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12" windowWidth="28008" windowHeight="8616" tabRatio="772" activeTab="3"/>
  </bookViews>
  <sheets>
    <sheet name="Intro" sheetId="7943" r:id="rId1"/>
    <sheet name="Code and Input changes" sheetId="7947" r:id="rId2"/>
    <sheet name="Tables" sheetId="7948" r:id="rId3"/>
    <sheet name="Input" sheetId="1" r:id="rId4"/>
    <sheet name="Adjustment for previous period" sheetId="7942" r:id="rId5"/>
    <sheet name="Actual RAB roll forward" sheetId="18" r:id="rId6"/>
    <sheet name="Total actual RAB roll forward" sheetId="7941" r:id="rId7"/>
    <sheet name="Tax value roll forward" sheetId="7944" r:id="rId8"/>
    <sheet name="Asset lives roll forward" sheetId="7945" r:id="rId9"/>
    <sheet name="Output summary" sheetId="7946" r:id="rId10"/>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Input!$G$252</definedName>
    <definedName name="_xlnm.Print_Area" localSheetId="5">'Actual RAB roll forward'!$C$1:$S$954</definedName>
    <definedName name="_xlnm.Print_Area" localSheetId="4">'Adjustment for previous period'!$B$1:$R$523</definedName>
    <definedName name="_xlnm.Print_Area" localSheetId="8">'Asset lives roll forward'!$A$1:$L$426</definedName>
    <definedName name="_xlnm.Print_Area" localSheetId="3">Input!$F$1:$X$253</definedName>
    <definedName name="_xlnm.Print_Area" localSheetId="0">Intro!$A$1:$W$35</definedName>
    <definedName name="_xlnm.Print_Area" localSheetId="9">'Output summary'!$A$1:$M$5</definedName>
    <definedName name="_xlnm.Print_Area" localSheetId="7">'Tax value roll forward'!$A$1:$R$397</definedName>
    <definedName name="_xlnm.Print_Area" localSheetId="6">'Total actual RAB roll forward'!$C$1:$R$684</definedName>
    <definedName name="RAB">Input!$J$37</definedName>
    <definedName name="vanilla1">Input!$H$252</definedName>
    <definedName name="vanilla10">Input!$Q$252</definedName>
    <definedName name="vanilla2">Input!$I$252</definedName>
    <definedName name="vanilla3">Input!$J$252</definedName>
    <definedName name="vanilla4">Input!$K$252</definedName>
    <definedName name="vanilla5">Input!$L$252</definedName>
    <definedName name="vanilla6">Input!$M$252</definedName>
    <definedName name="vanilla7">Input!$N$252</definedName>
    <definedName name="vanilla8">Input!$O$252</definedName>
    <definedName name="vanilla9">Input!$P$252</definedName>
  </definedNames>
  <calcPr calcId="145621" calcOnSave="0"/>
</workbook>
</file>

<file path=xl/calcChain.xml><?xml version="1.0" encoding="utf-8"?>
<calcChain xmlns="http://schemas.openxmlformats.org/spreadsheetml/2006/main">
  <c r="H166" i="1" l="1"/>
  <c r="H64" i="1" l="1"/>
  <c r="O9" i="1" l="1"/>
  <c r="O10" i="1"/>
  <c r="O11" i="1"/>
  <c r="O12" i="1"/>
  <c r="O13" i="1"/>
  <c r="O14" i="1"/>
  <c r="O15" i="1"/>
  <c r="O8" i="1"/>
  <c r="O7" i="1"/>
  <c r="M9" i="1"/>
  <c r="M10" i="1"/>
  <c r="M11" i="1"/>
  <c r="M12" i="1"/>
  <c r="M13" i="1"/>
  <c r="M14" i="1"/>
  <c r="M15" i="1"/>
  <c r="M8" i="1"/>
  <c r="M7" i="1"/>
  <c r="AK8" i="1"/>
  <c r="AK9" i="1"/>
  <c r="AK10" i="1"/>
  <c r="AK11" i="1"/>
  <c r="AK12" i="1"/>
  <c r="AK13" i="1"/>
  <c r="AK14" i="1"/>
  <c r="AK15" i="1"/>
  <c r="AK7" i="1"/>
  <c r="AJ37" i="1"/>
  <c r="AH37" i="1"/>
  <c r="AK37" i="1" l="1"/>
  <c r="AI37" i="1" l="1"/>
  <c r="AG37" i="1"/>
  <c r="D4" i="7948" l="1"/>
  <c r="D18" i="7948" s="1"/>
  <c r="E4" i="7948"/>
  <c r="E18" i="7948" s="1"/>
  <c r="F4" i="7948"/>
  <c r="F18" i="7948" s="1"/>
  <c r="G4" i="7948"/>
  <c r="G18" i="7948" s="1"/>
  <c r="C4" i="7948"/>
  <c r="C18" i="7948" s="1"/>
  <c r="J164" i="1" l="1"/>
  <c r="J163" i="1"/>
  <c r="J162" i="1"/>
  <c r="J158" i="1" l="1"/>
  <c r="J56" i="1"/>
  <c r="J63" i="1" l="1"/>
  <c r="J62" i="1"/>
  <c r="J61" i="1"/>
  <c r="J60" i="1"/>
  <c r="F6" i="7942" l="1"/>
  <c r="J245" i="1" l="1"/>
  <c r="I245" i="1"/>
  <c r="H245" i="1"/>
  <c r="G245" i="1"/>
  <c r="K245" i="1"/>
  <c r="J131" i="18" l="1"/>
  <c r="K131" i="18"/>
  <c r="L131" i="18"/>
  <c r="K132" i="18"/>
  <c r="L132" i="18"/>
  <c r="L133" i="18"/>
  <c r="I130" i="18"/>
  <c r="J130" i="18"/>
  <c r="K130" i="18"/>
  <c r="L130" i="18"/>
  <c r="I455" i="18"/>
  <c r="J455" i="18"/>
  <c r="K455" i="18"/>
  <c r="L455" i="18"/>
  <c r="J456" i="18"/>
  <c r="K456" i="18"/>
  <c r="L456" i="18"/>
  <c r="K457" i="18"/>
  <c r="L457" i="18"/>
  <c r="L458" i="18"/>
  <c r="I442" i="18"/>
  <c r="J442" i="18"/>
  <c r="K442" i="18"/>
  <c r="L442" i="18"/>
  <c r="J443" i="18"/>
  <c r="K443" i="18"/>
  <c r="L443" i="18"/>
  <c r="K444" i="18"/>
  <c r="L444" i="18"/>
  <c r="L445" i="18"/>
  <c r="I429" i="18"/>
  <c r="J429" i="18"/>
  <c r="K429" i="18"/>
  <c r="L429" i="18"/>
  <c r="J430" i="18"/>
  <c r="K430" i="18"/>
  <c r="L430" i="18"/>
  <c r="K431" i="18"/>
  <c r="L431" i="18"/>
  <c r="L432" i="18"/>
  <c r="I416" i="18"/>
  <c r="J416" i="18"/>
  <c r="K416" i="18"/>
  <c r="L416" i="18"/>
  <c r="J417" i="18"/>
  <c r="K417" i="18"/>
  <c r="L417" i="18"/>
  <c r="K418" i="18"/>
  <c r="L418" i="18"/>
  <c r="L419" i="18"/>
  <c r="I403" i="18"/>
  <c r="J403" i="18"/>
  <c r="K403" i="18"/>
  <c r="L403" i="18"/>
  <c r="J404" i="18"/>
  <c r="K404" i="18"/>
  <c r="L404" i="18"/>
  <c r="K405" i="18"/>
  <c r="L405" i="18"/>
  <c r="L406" i="18"/>
  <c r="I390" i="18"/>
  <c r="J390" i="18"/>
  <c r="K390" i="18"/>
  <c r="L390" i="18"/>
  <c r="J391" i="18"/>
  <c r="K391" i="18"/>
  <c r="L391" i="18"/>
  <c r="K392" i="18"/>
  <c r="L392" i="18"/>
  <c r="L393" i="18"/>
  <c r="I364" i="18"/>
  <c r="J364" i="18"/>
  <c r="K364" i="18"/>
  <c r="L364" i="18"/>
  <c r="J365" i="18"/>
  <c r="K365" i="18"/>
  <c r="L365" i="18"/>
  <c r="K366" i="18"/>
  <c r="L366" i="18"/>
  <c r="L367" i="18"/>
  <c r="I182" i="18"/>
  <c r="J182" i="18"/>
  <c r="K182" i="18"/>
  <c r="L182" i="18"/>
  <c r="J183" i="18"/>
  <c r="K183" i="18"/>
  <c r="L183" i="18"/>
  <c r="K184" i="18"/>
  <c r="L184" i="18"/>
  <c r="L185" i="18"/>
  <c r="F36" i="7945"/>
  <c r="F22" i="7945"/>
  <c r="F8" i="7945"/>
  <c r="I451" i="7944"/>
  <c r="J451" i="7944"/>
  <c r="K451" i="7944"/>
  <c r="L451" i="7944"/>
  <c r="J452" i="7944"/>
  <c r="K452" i="7944"/>
  <c r="L452" i="7944"/>
  <c r="K453" i="7944"/>
  <c r="L453" i="7944"/>
  <c r="L454" i="7944"/>
  <c r="I438" i="7944"/>
  <c r="J438" i="7944"/>
  <c r="K438" i="7944"/>
  <c r="L438" i="7944"/>
  <c r="J439" i="7944"/>
  <c r="K439" i="7944"/>
  <c r="L439" i="7944"/>
  <c r="K440" i="7944"/>
  <c r="L440" i="7944"/>
  <c r="L441" i="7944"/>
  <c r="I425" i="7944"/>
  <c r="J425" i="7944"/>
  <c r="K425" i="7944"/>
  <c r="L425" i="7944"/>
  <c r="J426" i="7944"/>
  <c r="K426" i="7944"/>
  <c r="L426" i="7944"/>
  <c r="K427" i="7944"/>
  <c r="L427" i="7944"/>
  <c r="L428" i="7944"/>
  <c r="I412" i="7944"/>
  <c r="J412" i="7944"/>
  <c r="K412" i="7944"/>
  <c r="L412" i="7944"/>
  <c r="J413" i="7944"/>
  <c r="K413" i="7944"/>
  <c r="L413" i="7944"/>
  <c r="K414" i="7944"/>
  <c r="L414" i="7944"/>
  <c r="L415" i="7944"/>
  <c r="I399" i="7944"/>
  <c r="J399" i="7944"/>
  <c r="K399" i="7944"/>
  <c r="L399" i="7944"/>
  <c r="J400" i="7944"/>
  <c r="K400" i="7944"/>
  <c r="L400" i="7944"/>
  <c r="K401" i="7944"/>
  <c r="L401" i="7944"/>
  <c r="L402" i="7944"/>
  <c r="I386" i="7944"/>
  <c r="J386" i="7944"/>
  <c r="K386" i="7944"/>
  <c r="L386" i="7944"/>
  <c r="J387" i="7944"/>
  <c r="K387" i="7944"/>
  <c r="L387" i="7944"/>
  <c r="K388" i="7944"/>
  <c r="L388" i="7944"/>
  <c r="L389" i="7944"/>
  <c r="I373" i="7944"/>
  <c r="J373" i="7944"/>
  <c r="K373" i="7944"/>
  <c r="L373" i="7944"/>
  <c r="J374" i="7944"/>
  <c r="K374" i="7944"/>
  <c r="L374" i="7944"/>
  <c r="K375" i="7944"/>
  <c r="L375" i="7944"/>
  <c r="L376" i="7944"/>
  <c r="I360" i="7944"/>
  <c r="J360" i="7944"/>
  <c r="K360" i="7944"/>
  <c r="L360" i="7944"/>
  <c r="J361" i="7944"/>
  <c r="K361" i="7944"/>
  <c r="L361" i="7944"/>
  <c r="K362" i="7944"/>
  <c r="L362" i="7944"/>
  <c r="L363" i="7944"/>
  <c r="I347" i="7944"/>
  <c r="J347" i="7944"/>
  <c r="K347" i="7944"/>
  <c r="L347" i="7944"/>
  <c r="J348" i="7944"/>
  <c r="K348" i="7944"/>
  <c r="L348" i="7944"/>
  <c r="K349" i="7944"/>
  <c r="L349" i="7944"/>
  <c r="L350" i="7944"/>
  <c r="I334" i="7944"/>
  <c r="J334" i="7944"/>
  <c r="K334" i="7944"/>
  <c r="L334" i="7944"/>
  <c r="J335" i="7944"/>
  <c r="K335" i="7944"/>
  <c r="L335" i="7944"/>
  <c r="K336" i="7944"/>
  <c r="L336" i="7944"/>
  <c r="L337" i="7944"/>
  <c r="I321" i="7944"/>
  <c r="J321" i="7944"/>
  <c r="K321" i="7944"/>
  <c r="L321" i="7944"/>
  <c r="J322" i="7944"/>
  <c r="K322" i="7944"/>
  <c r="L322" i="7944"/>
  <c r="K323" i="7944"/>
  <c r="L323" i="7944"/>
  <c r="L324" i="7944"/>
  <c r="I308" i="7944"/>
  <c r="J308" i="7944"/>
  <c r="K308" i="7944"/>
  <c r="L308" i="7944"/>
  <c r="J309" i="7944"/>
  <c r="K309" i="7944"/>
  <c r="L309" i="7944"/>
  <c r="K310" i="7944"/>
  <c r="L310" i="7944"/>
  <c r="L311" i="7944"/>
  <c r="I295" i="7944"/>
  <c r="J295" i="7944"/>
  <c r="K295" i="7944"/>
  <c r="L295" i="7944"/>
  <c r="J296" i="7944"/>
  <c r="K296" i="7944"/>
  <c r="L296" i="7944"/>
  <c r="K297" i="7944"/>
  <c r="L297" i="7944"/>
  <c r="L298" i="7944"/>
  <c r="I282" i="7944"/>
  <c r="J282" i="7944"/>
  <c r="K282" i="7944"/>
  <c r="L282" i="7944"/>
  <c r="J283" i="7944"/>
  <c r="K283" i="7944"/>
  <c r="L283" i="7944"/>
  <c r="K284" i="7944"/>
  <c r="L284" i="7944"/>
  <c r="L285" i="7944"/>
  <c r="I269" i="7944"/>
  <c r="J269" i="7944"/>
  <c r="K269" i="7944"/>
  <c r="L269" i="7944"/>
  <c r="J270" i="7944"/>
  <c r="K270" i="7944"/>
  <c r="L270" i="7944"/>
  <c r="K271" i="7944"/>
  <c r="L271" i="7944"/>
  <c r="L272" i="7944"/>
  <c r="I256" i="7944"/>
  <c r="J256" i="7944"/>
  <c r="K256" i="7944"/>
  <c r="L256" i="7944"/>
  <c r="J257" i="7944"/>
  <c r="K257" i="7944"/>
  <c r="L257" i="7944"/>
  <c r="K258" i="7944"/>
  <c r="L258" i="7944"/>
  <c r="L259" i="7944"/>
  <c r="I243" i="7944"/>
  <c r="J243" i="7944"/>
  <c r="K243" i="7944"/>
  <c r="L243" i="7944"/>
  <c r="J244" i="7944"/>
  <c r="K244" i="7944"/>
  <c r="L244" i="7944"/>
  <c r="K245" i="7944"/>
  <c r="L245" i="7944"/>
  <c r="L246" i="7944"/>
  <c r="I230" i="7944"/>
  <c r="J230" i="7944"/>
  <c r="K230" i="7944"/>
  <c r="L230" i="7944"/>
  <c r="J231" i="7944"/>
  <c r="K231" i="7944"/>
  <c r="L231" i="7944"/>
  <c r="K232" i="7944"/>
  <c r="L232" i="7944"/>
  <c r="L233" i="7944"/>
  <c r="I217" i="7944"/>
  <c r="J217" i="7944"/>
  <c r="K217" i="7944"/>
  <c r="L217" i="7944"/>
  <c r="J218" i="7944"/>
  <c r="K218" i="7944"/>
  <c r="L218" i="7944"/>
  <c r="K219" i="7944"/>
  <c r="L219" i="7944"/>
  <c r="L220" i="7944"/>
  <c r="I204" i="7944"/>
  <c r="J204" i="7944"/>
  <c r="K204" i="7944"/>
  <c r="L204" i="7944"/>
  <c r="J205" i="7944"/>
  <c r="K205" i="7944"/>
  <c r="L205" i="7944"/>
  <c r="K206" i="7944"/>
  <c r="L206" i="7944"/>
  <c r="L207" i="7944"/>
  <c r="I191" i="7944"/>
  <c r="J191" i="7944"/>
  <c r="K191" i="7944"/>
  <c r="L191" i="7944"/>
  <c r="J192" i="7944"/>
  <c r="K192" i="7944"/>
  <c r="L192" i="7944"/>
  <c r="K193" i="7944"/>
  <c r="L193" i="7944"/>
  <c r="L194" i="7944"/>
  <c r="I178" i="7944"/>
  <c r="J178" i="7944"/>
  <c r="K178" i="7944"/>
  <c r="L178" i="7944"/>
  <c r="J179" i="7944"/>
  <c r="K179" i="7944"/>
  <c r="L179" i="7944"/>
  <c r="K180" i="7944"/>
  <c r="L180" i="7944"/>
  <c r="L181" i="7944"/>
  <c r="I165" i="7944"/>
  <c r="J165" i="7944"/>
  <c r="K165" i="7944"/>
  <c r="L165" i="7944"/>
  <c r="J166" i="7944"/>
  <c r="K166" i="7944"/>
  <c r="L166" i="7944"/>
  <c r="K167" i="7944"/>
  <c r="L167" i="7944"/>
  <c r="L168" i="7944"/>
  <c r="I152" i="7944"/>
  <c r="J152" i="7944"/>
  <c r="K152" i="7944"/>
  <c r="L152" i="7944"/>
  <c r="J153" i="7944"/>
  <c r="K153" i="7944"/>
  <c r="L153" i="7944"/>
  <c r="K154" i="7944"/>
  <c r="L154" i="7944"/>
  <c r="L155" i="7944"/>
  <c r="I139" i="7944"/>
  <c r="J139" i="7944"/>
  <c r="K139" i="7944"/>
  <c r="J140" i="7944"/>
  <c r="K140" i="7944"/>
  <c r="L140" i="7944"/>
  <c r="K141" i="7944"/>
  <c r="L141" i="7944"/>
  <c r="L142" i="7944"/>
  <c r="I126" i="7944"/>
  <c r="J126" i="7944"/>
  <c r="K126" i="7944"/>
  <c r="L126" i="7944"/>
  <c r="J127" i="7944"/>
  <c r="K127" i="7944"/>
  <c r="L127" i="7944"/>
  <c r="K128" i="7944"/>
  <c r="L128" i="7944"/>
  <c r="L129" i="7944"/>
  <c r="I113" i="7944"/>
  <c r="J113" i="7944"/>
  <c r="K113" i="7944"/>
  <c r="L113" i="7944"/>
  <c r="J114" i="7944"/>
  <c r="K114" i="7944"/>
  <c r="L114" i="7944"/>
  <c r="K115" i="7944"/>
  <c r="L115" i="7944"/>
  <c r="L116" i="7944"/>
  <c r="I100" i="7944"/>
  <c r="J100" i="7944"/>
  <c r="K100" i="7944"/>
  <c r="L100" i="7944"/>
  <c r="J101" i="7944"/>
  <c r="K101" i="7944"/>
  <c r="L101" i="7944"/>
  <c r="K102" i="7944"/>
  <c r="L102" i="7944"/>
  <c r="L103" i="7944"/>
  <c r="K36" i="7945"/>
  <c r="K22" i="7945"/>
  <c r="K8" i="7945"/>
  <c r="G206" i="7942"/>
  <c r="G174" i="7942"/>
  <c r="H251" i="1"/>
  <c r="I251" i="1" s="1"/>
  <c r="H252" i="1"/>
  <c r="C167" i="18"/>
  <c r="F5" i="1"/>
  <c r="N252" i="1"/>
  <c r="N7" i="7942" s="1"/>
  <c r="O252" i="1"/>
  <c r="O7" i="7942" s="1"/>
  <c r="P252" i="1"/>
  <c r="Q252" i="1"/>
  <c r="Q7" i="7942" s="1"/>
  <c r="M252" i="1"/>
  <c r="H8" i="7944"/>
  <c r="H40" i="7944"/>
  <c r="H9" i="7944"/>
  <c r="H41" i="7944"/>
  <c r="H10" i="7944"/>
  <c r="H42" i="7944"/>
  <c r="H11" i="7944"/>
  <c r="H43" i="7944"/>
  <c r="H12" i="7944"/>
  <c r="H44" i="7944"/>
  <c r="H13" i="7944"/>
  <c r="H45" i="7944"/>
  <c r="H14" i="7944"/>
  <c r="H46" i="7944"/>
  <c r="H15" i="7944"/>
  <c r="H47" i="7944"/>
  <c r="H16" i="7944"/>
  <c r="H48" i="7944"/>
  <c r="H17" i="7944"/>
  <c r="H49" i="7944"/>
  <c r="H18" i="7944"/>
  <c r="H50" i="7944"/>
  <c r="H19" i="7944"/>
  <c r="H51" i="7944"/>
  <c r="H20" i="7944"/>
  <c r="H52" i="7944"/>
  <c r="H21" i="7944"/>
  <c r="H53" i="7944"/>
  <c r="H22" i="7944"/>
  <c r="H54" i="7944"/>
  <c r="H23" i="7944"/>
  <c r="H55" i="7944"/>
  <c r="H24" i="7944"/>
  <c r="H56" i="7944"/>
  <c r="H25" i="7944"/>
  <c r="H57" i="7944"/>
  <c r="H26" i="7944"/>
  <c r="H58" i="7944"/>
  <c r="H27" i="7944"/>
  <c r="H59" i="7944"/>
  <c r="H28" i="7944"/>
  <c r="H60" i="7944"/>
  <c r="H29" i="7944"/>
  <c r="H61" i="7944"/>
  <c r="H30" i="7944"/>
  <c r="H62" i="7944"/>
  <c r="H31" i="7944"/>
  <c r="H63" i="7944"/>
  <c r="H32" i="7944"/>
  <c r="H64" i="7944"/>
  <c r="H33" i="7944"/>
  <c r="H65" i="7944"/>
  <c r="H34" i="7944"/>
  <c r="H66" i="7944"/>
  <c r="H35" i="7944"/>
  <c r="H67" i="7944"/>
  <c r="H36" i="7944"/>
  <c r="H68" i="7944"/>
  <c r="H37" i="7944"/>
  <c r="H69" i="7944"/>
  <c r="L40" i="7944"/>
  <c r="J13" i="7945" s="1"/>
  <c r="K13" i="7945" s="1"/>
  <c r="L41" i="7944"/>
  <c r="J27" i="7945" s="1"/>
  <c r="K27" i="7945" s="1"/>
  <c r="L42" i="7944"/>
  <c r="J41" i="7945" s="1"/>
  <c r="K41" i="7945" s="1"/>
  <c r="L43" i="7944"/>
  <c r="J55" i="7945" s="1"/>
  <c r="K55" i="7945" s="1"/>
  <c r="L44" i="7944"/>
  <c r="J69" i="7945" s="1"/>
  <c r="L45" i="7944"/>
  <c r="J83" i="7945" s="1"/>
  <c r="K83" i="7945" s="1"/>
  <c r="L46" i="7944"/>
  <c r="J97" i="7945" s="1"/>
  <c r="K97" i="7945" s="1"/>
  <c r="L47" i="7944"/>
  <c r="J111" i="7945" s="1"/>
  <c r="K111" i="7945" s="1"/>
  <c r="L48" i="7944"/>
  <c r="J125" i="7945" s="1"/>
  <c r="L49" i="7944"/>
  <c r="J139" i="7945" s="1"/>
  <c r="K139" i="7945" s="1"/>
  <c r="L50" i="7944"/>
  <c r="J153" i="7945" s="1"/>
  <c r="K153" i="7945" s="1"/>
  <c r="L51" i="7944"/>
  <c r="J167" i="7945" s="1"/>
  <c r="K167" i="7945" s="1"/>
  <c r="L52" i="7944"/>
  <c r="J181" i="7945" s="1"/>
  <c r="K181" i="7945" s="1"/>
  <c r="L53" i="7944"/>
  <c r="J195" i="7945" s="1"/>
  <c r="K195" i="7945" s="1"/>
  <c r="L54" i="7944"/>
  <c r="J209" i="7945" s="1"/>
  <c r="K209" i="7945" s="1"/>
  <c r="L55" i="7944"/>
  <c r="J223" i="7945" s="1"/>
  <c r="K223" i="7945" s="1"/>
  <c r="L56" i="7944"/>
  <c r="J237" i="7945" s="1"/>
  <c r="K237" i="7945" s="1"/>
  <c r="L57" i="7944"/>
  <c r="J251" i="7945" s="1"/>
  <c r="K251" i="7945" s="1"/>
  <c r="L58" i="7944"/>
  <c r="J265" i="7945" s="1"/>
  <c r="K265" i="7945" s="1"/>
  <c r="L59" i="7944"/>
  <c r="J279" i="7945" s="1"/>
  <c r="K279" i="7945" s="1"/>
  <c r="L60" i="7944"/>
  <c r="J293" i="7945" s="1"/>
  <c r="K293" i="7945" s="1"/>
  <c r="L61" i="7944"/>
  <c r="J307" i="7945" s="1"/>
  <c r="K307" i="7945" s="1"/>
  <c r="L62" i="7944"/>
  <c r="J321" i="7945" s="1"/>
  <c r="L63" i="7944"/>
  <c r="J335" i="7945" s="1"/>
  <c r="L64" i="7944"/>
  <c r="J349" i="7945" s="1"/>
  <c r="L65" i="7944"/>
  <c r="J363" i="7945" s="1"/>
  <c r="L66" i="7944"/>
  <c r="J377" i="7945" s="1"/>
  <c r="L67" i="7944"/>
  <c r="J391" i="7945" s="1"/>
  <c r="L68" i="7944"/>
  <c r="J405" i="7945" s="1"/>
  <c r="L69" i="7944"/>
  <c r="J419" i="7945" s="1"/>
  <c r="I40" i="7944"/>
  <c r="I41" i="7944"/>
  <c r="I42" i="7944"/>
  <c r="I43" i="7944"/>
  <c r="I44" i="7944"/>
  <c r="I45" i="7944"/>
  <c r="I46" i="7944"/>
  <c r="I47" i="7944"/>
  <c r="I48" i="7944"/>
  <c r="I49" i="7944"/>
  <c r="I50" i="7944"/>
  <c r="I51" i="7944"/>
  <c r="I52" i="7944"/>
  <c r="I53" i="7944"/>
  <c r="I54" i="7944"/>
  <c r="I55" i="7944"/>
  <c r="I56" i="7944"/>
  <c r="I57" i="7944"/>
  <c r="I58" i="7944"/>
  <c r="I59" i="7944"/>
  <c r="I60" i="7944"/>
  <c r="I61" i="7944"/>
  <c r="I62" i="7944"/>
  <c r="I63" i="7944"/>
  <c r="I64" i="7944"/>
  <c r="I65" i="7944"/>
  <c r="I66" i="7944"/>
  <c r="I67" i="7944"/>
  <c r="I68" i="7944"/>
  <c r="I69" i="7944"/>
  <c r="J40" i="7944"/>
  <c r="J41" i="7944"/>
  <c r="J42" i="7944"/>
  <c r="J43" i="7944"/>
  <c r="J44" i="7944"/>
  <c r="J45" i="7944"/>
  <c r="J46" i="7944"/>
  <c r="J47" i="7944"/>
  <c r="J48" i="7944"/>
  <c r="J49" i="7944"/>
  <c r="J50" i="7944"/>
  <c r="J51" i="7944"/>
  <c r="J52" i="7944"/>
  <c r="J53" i="7944"/>
  <c r="J54" i="7944"/>
  <c r="J55" i="7944"/>
  <c r="J56" i="7944"/>
  <c r="J57" i="7944"/>
  <c r="J58" i="7944"/>
  <c r="J59" i="7944"/>
  <c r="J60" i="7944"/>
  <c r="J61" i="7944"/>
  <c r="J62" i="7944"/>
  <c r="J63" i="7944"/>
  <c r="J64" i="7944"/>
  <c r="J65" i="7944"/>
  <c r="J66" i="7944"/>
  <c r="J67" i="7944"/>
  <c r="J68" i="7944"/>
  <c r="J69" i="7944"/>
  <c r="K40" i="7944"/>
  <c r="K41" i="7944"/>
  <c r="K42" i="7944"/>
  <c r="K43" i="7944"/>
  <c r="J54" i="7945" s="1"/>
  <c r="K54" i="7945" s="1"/>
  <c r="K44" i="7944"/>
  <c r="K45" i="7944"/>
  <c r="K46" i="7944"/>
  <c r="K47" i="7944"/>
  <c r="J110" i="7945" s="1"/>
  <c r="K110" i="7945" s="1"/>
  <c r="K48" i="7944"/>
  <c r="K49" i="7944"/>
  <c r="K50" i="7944"/>
  <c r="K51" i="7944"/>
  <c r="J166" i="7945" s="1"/>
  <c r="K166" i="7945" s="1"/>
  <c r="K52" i="7944"/>
  <c r="K53" i="7944"/>
  <c r="K54" i="7944"/>
  <c r="K55" i="7944"/>
  <c r="J222" i="7945" s="1"/>
  <c r="K222" i="7945" s="1"/>
  <c r="K56" i="7944"/>
  <c r="K57" i="7944"/>
  <c r="K58" i="7944"/>
  <c r="K59" i="7944"/>
  <c r="K60" i="7944"/>
  <c r="K61" i="7944"/>
  <c r="K62" i="7944"/>
  <c r="K63" i="7944"/>
  <c r="K64" i="7944"/>
  <c r="K65" i="7944"/>
  <c r="J362" i="7945" s="1"/>
  <c r="K66" i="7944"/>
  <c r="K67" i="7944"/>
  <c r="K68" i="7944"/>
  <c r="K69" i="7944"/>
  <c r="J418" i="7945" s="1"/>
  <c r="M40" i="7944"/>
  <c r="J14" i="7945" s="1"/>
  <c r="K14" i="7945" s="1"/>
  <c r="M41" i="7944"/>
  <c r="J28" i="7945" s="1"/>
  <c r="K28" i="7945" s="1"/>
  <c r="M42" i="7944"/>
  <c r="J42" i="7945" s="1"/>
  <c r="K42" i="7945" s="1"/>
  <c r="M43" i="7944"/>
  <c r="J56" i="7945" s="1"/>
  <c r="K56" i="7945" s="1"/>
  <c r="M44" i="7944"/>
  <c r="J70" i="7945" s="1"/>
  <c r="M45" i="7944"/>
  <c r="J84" i="7945" s="1"/>
  <c r="K84" i="7945" s="1"/>
  <c r="M46" i="7944"/>
  <c r="J98" i="7945" s="1"/>
  <c r="K98" i="7945" s="1"/>
  <c r="M47" i="7944"/>
  <c r="J112" i="7945" s="1"/>
  <c r="K112" i="7945" s="1"/>
  <c r="M48" i="7944"/>
  <c r="J126" i="7945" s="1"/>
  <c r="M49" i="7944"/>
  <c r="J140" i="7945" s="1"/>
  <c r="K140" i="7945" s="1"/>
  <c r="M50" i="7944"/>
  <c r="J154" i="7945" s="1"/>
  <c r="K154" i="7945" s="1"/>
  <c r="M51" i="7944"/>
  <c r="J168" i="7945" s="1"/>
  <c r="K168" i="7945" s="1"/>
  <c r="M52" i="7944"/>
  <c r="J182" i="7945" s="1"/>
  <c r="K182" i="7945" s="1"/>
  <c r="M53" i="7944"/>
  <c r="J196" i="7945" s="1"/>
  <c r="K196" i="7945" s="1"/>
  <c r="M54" i="7944"/>
  <c r="J210" i="7945" s="1"/>
  <c r="K210" i="7945" s="1"/>
  <c r="M55" i="7944"/>
  <c r="J224" i="7945" s="1"/>
  <c r="K224" i="7945" s="1"/>
  <c r="M56" i="7944"/>
  <c r="J238" i="7945" s="1"/>
  <c r="K238" i="7945" s="1"/>
  <c r="M57" i="7944"/>
  <c r="J252" i="7945" s="1"/>
  <c r="K252" i="7945" s="1"/>
  <c r="M58" i="7944"/>
  <c r="J266" i="7945" s="1"/>
  <c r="K266" i="7945" s="1"/>
  <c r="M59" i="7944"/>
  <c r="J280" i="7945" s="1"/>
  <c r="K280" i="7945" s="1"/>
  <c r="M60" i="7944"/>
  <c r="J294" i="7945" s="1"/>
  <c r="K294" i="7945" s="1"/>
  <c r="M61" i="7944"/>
  <c r="J308" i="7945" s="1"/>
  <c r="K308" i="7945" s="1"/>
  <c r="M62" i="7944"/>
  <c r="J322" i="7945" s="1"/>
  <c r="M63" i="7944"/>
  <c r="J336" i="7945" s="1"/>
  <c r="M64" i="7944"/>
  <c r="J350" i="7945" s="1"/>
  <c r="M65" i="7944"/>
  <c r="J364" i="7945" s="1"/>
  <c r="M66" i="7944"/>
  <c r="J378" i="7945" s="1"/>
  <c r="M67" i="7944"/>
  <c r="J392" i="7945" s="1"/>
  <c r="M68" i="7944"/>
  <c r="J406" i="7945" s="1"/>
  <c r="M69" i="7944"/>
  <c r="J420" i="7945" s="1"/>
  <c r="N40" i="7944"/>
  <c r="J15" i="7945" s="1"/>
  <c r="K15" i="7945" s="1"/>
  <c r="N41" i="7944"/>
  <c r="J29" i="7945" s="1"/>
  <c r="K29" i="7945" s="1"/>
  <c r="N42" i="7944"/>
  <c r="J43" i="7945" s="1"/>
  <c r="K43" i="7945" s="1"/>
  <c r="N43" i="7944"/>
  <c r="J57" i="7945" s="1"/>
  <c r="K57" i="7945" s="1"/>
  <c r="N44" i="7944"/>
  <c r="J71" i="7945" s="1"/>
  <c r="N45" i="7944"/>
  <c r="J85" i="7945" s="1"/>
  <c r="K85" i="7945" s="1"/>
  <c r="N46" i="7944"/>
  <c r="J99" i="7945" s="1"/>
  <c r="K99" i="7945" s="1"/>
  <c r="N47" i="7944"/>
  <c r="J113" i="7945" s="1"/>
  <c r="K113" i="7945" s="1"/>
  <c r="N48" i="7944"/>
  <c r="J127" i="7945" s="1"/>
  <c r="N49" i="7944"/>
  <c r="J141" i="7945" s="1"/>
  <c r="K141" i="7945" s="1"/>
  <c r="N50" i="7944"/>
  <c r="J155" i="7945" s="1"/>
  <c r="K155" i="7945" s="1"/>
  <c r="N51" i="7944"/>
  <c r="J169" i="7945" s="1"/>
  <c r="K169" i="7945" s="1"/>
  <c r="N52" i="7944"/>
  <c r="J183" i="7945" s="1"/>
  <c r="K183" i="7945" s="1"/>
  <c r="N53" i="7944"/>
  <c r="J197" i="7945" s="1"/>
  <c r="K197" i="7945" s="1"/>
  <c r="N54" i="7944"/>
  <c r="J211" i="7945" s="1"/>
  <c r="K211" i="7945" s="1"/>
  <c r="N55" i="7944"/>
  <c r="J225" i="7945" s="1"/>
  <c r="K225" i="7945" s="1"/>
  <c r="N56" i="7944"/>
  <c r="J239" i="7945" s="1"/>
  <c r="K239" i="7945" s="1"/>
  <c r="N57" i="7944"/>
  <c r="J253" i="7945" s="1"/>
  <c r="K253" i="7945" s="1"/>
  <c r="N58" i="7944"/>
  <c r="J267" i="7945" s="1"/>
  <c r="K267" i="7945" s="1"/>
  <c r="N59" i="7944"/>
  <c r="J281" i="7945" s="1"/>
  <c r="K281" i="7945" s="1"/>
  <c r="N60" i="7944"/>
  <c r="J295" i="7945" s="1"/>
  <c r="K295" i="7945" s="1"/>
  <c r="N61" i="7944"/>
  <c r="J309" i="7945" s="1"/>
  <c r="K309" i="7945" s="1"/>
  <c r="N62" i="7944"/>
  <c r="J323" i="7945" s="1"/>
  <c r="N63" i="7944"/>
  <c r="J337" i="7945" s="1"/>
  <c r="N64" i="7944"/>
  <c r="J351" i="7945" s="1"/>
  <c r="N65" i="7944"/>
  <c r="J365" i="7945" s="1"/>
  <c r="N66" i="7944"/>
  <c r="J379" i="7945" s="1"/>
  <c r="N67" i="7944"/>
  <c r="J393" i="7945" s="1"/>
  <c r="N68" i="7944"/>
  <c r="J407" i="7945" s="1"/>
  <c r="N69" i="7944"/>
  <c r="J421" i="7945" s="1"/>
  <c r="O40" i="7944"/>
  <c r="J16" i="7945" s="1"/>
  <c r="K16" i="7945" s="1"/>
  <c r="O41" i="7944"/>
  <c r="J30" i="7945" s="1"/>
  <c r="K30" i="7945" s="1"/>
  <c r="O42" i="7944"/>
  <c r="J44" i="7945" s="1"/>
  <c r="K44" i="7945" s="1"/>
  <c r="O43" i="7944"/>
  <c r="O44" i="7944"/>
  <c r="J72" i="7945" s="1"/>
  <c r="O45" i="7944"/>
  <c r="J86" i="7945" s="1"/>
  <c r="K86" i="7945" s="1"/>
  <c r="O46" i="7944"/>
  <c r="J100" i="7945" s="1"/>
  <c r="K100" i="7945" s="1"/>
  <c r="O47" i="7944"/>
  <c r="J114" i="7945" s="1"/>
  <c r="K114" i="7945" s="1"/>
  <c r="O48" i="7944"/>
  <c r="J128" i="7945" s="1"/>
  <c r="O49" i="7944"/>
  <c r="J142" i="7945" s="1"/>
  <c r="K142" i="7945" s="1"/>
  <c r="O50" i="7944"/>
  <c r="J156" i="7945" s="1"/>
  <c r="K156" i="7945" s="1"/>
  <c r="O51" i="7944"/>
  <c r="J170" i="7945" s="1"/>
  <c r="K170" i="7945" s="1"/>
  <c r="O52" i="7944"/>
  <c r="J184" i="7945" s="1"/>
  <c r="K184" i="7945" s="1"/>
  <c r="O53" i="7944"/>
  <c r="J198" i="7945" s="1"/>
  <c r="K198" i="7945" s="1"/>
  <c r="O54" i="7944"/>
  <c r="J212" i="7945" s="1"/>
  <c r="K212" i="7945" s="1"/>
  <c r="O55" i="7944"/>
  <c r="J226" i="7945" s="1"/>
  <c r="K226" i="7945" s="1"/>
  <c r="O56" i="7944"/>
  <c r="J240" i="7945" s="1"/>
  <c r="K240" i="7945" s="1"/>
  <c r="O57" i="7944"/>
  <c r="J254" i="7945" s="1"/>
  <c r="K254" i="7945" s="1"/>
  <c r="O58" i="7944"/>
  <c r="J268" i="7945" s="1"/>
  <c r="K268" i="7945" s="1"/>
  <c r="O59" i="7944"/>
  <c r="J282" i="7945" s="1"/>
  <c r="K282" i="7945" s="1"/>
  <c r="O60" i="7944"/>
  <c r="J296" i="7945" s="1"/>
  <c r="K296" i="7945" s="1"/>
  <c r="O61" i="7944"/>
  <c r="J310" i="7945" s="1"/>
  <c r="K310" i="7945" s="1"/>
  <c r="O62" i="7944"/>
  <c r="J324" i="7945" s="1"/>
  <c r="O63" i="7944"/>
  <c r="J338" i="7945" s="1"/>
  <c r="O64" i="7944"/>
  <c r="J352" i="7945" s="1"/>
  <c r="O65" i="7944"/>
  <c r="J366" i="7945" s="1"/>
  <c r="O66" i="7944"/>
  <c r="J380" i="7945" s="1"/>
  <c r="O67" i="7944"/>
  <c r="J394" i="7945" s="1"/>
  <c r="O68" i="7944"/>
  <c r="J408" i="7945" s="1"/>
  <c r="O69" i="7944"/>
  <c r="J422" i="7945" s="1"/>
  <c r="P40" i="7944"/>
  <c r="J17" i="7945" s="1"/>
  <c r="K17" i="7945" s="1"/>
  <c r="P41" i="7944"/>
  <c r="J31" i="7945" s="1"/>
  <c r="K31" i="7945" s="1"/>
  <c r="P42" i="7944"/>
  <c r="J45" i="7945" s="1"/>
  <c r="K45" i="7945" s="1"/>
  <c r="P43" i="7944"/>
  <c r="J59" i="7945" s="1"/>
  <c r="K59" i="7945" s="1"/>
  <c r="P44" i="7944"/>
  <c r="J73" i="7945" s="1"/>
  <c r="P45" i="7944"/>
  <c r="J87" i="7945" s="1"/>
  <c r="K87" i="7945" s="1"/>
  <c r="P46" i="7944"/>
  <c r="J101" i="7945" s="1"/>
  <c r="K101" i="7945" s="1"/>
  <c r="P47" i="7944"/>
  <c r="J115" i="7945" s="1"/>
  <c r="K115" i="7945" s="1"/>
  <c r="P48" i="7944"/>
  <c r="J129" i="7945" s="1"/>
  <c r="P49" i="7944"/>
  <c r="J143" i="7945" s="1"/>
  <c r="K143" i="7945" s="1"/>
  <c r="P50" i="7944"/>
  <c r="J157" i="7945" s="1"/>
  <c r="K157" i="7945" s="1"/>
  <c r="P51" i="7944"/>
  <c r="J171" i="7945" s="1"/>
  <c r="K171" i="7945" s="1"/>
  <c r="P52" i="7944"/>
  <c r="J185" i="7945" s="1"/>
  <c r="K185" i="7945" s="1"/>
  <c r="P53" i="7944"/>
  <c r="J199" i="7945" s="1"/>
  <c r="K199" i="7945" s="1"/>
  <c r="P54" i="7944"/>
  <c r="J213" i="7945" s="1"/>
  <c r="K213" i="7945" s="1"/>
  <c r="P55" i="7944"/>
  <c r="J227" i="7945" s="1"/>
  <c r="K227" i="7945" s="1"/>
  <c r="P56" i="7944"/>
  <c r="J241" i="7945" s="1"/>
  <c r="K241" i="7945" s="1"/>
  <c r="P57" i="7944"/>
  <c r="J255" i="7945" s="1"/>
  <c r="K255" i="7945" s="1"/>
  <c r="P58" i="7944"/>
  <c r="J269" i="7945" s="1"/>
  <c r="K269" i="7945" s="1"/>
  <c r="P59" i="7944"/>
  <c r="J283" i="7945" s="1"/>
  <c r="K283" i="7945" s="1"/>
  <c r="P60" i="7944"/>
  <c r="J297" i="7945" s="1"/>
  <c r="K297" i="7945" s="1"/>
  <c r="P61" i="7944"/>
  <c r="J311" i="7945" s="1"/>
  <c r="K311" i="7945" s="1"/>
  <c r="P62" i="7944"/>
  <c r="J325" i="7945" s="1"/>
  <c r="P63" i="7944"/>
  <c r="J339" i="7945" s="1"/>
  <c r="P64" i="7944"/>
  <c r="J353" i="7945" s="1"/>
  <c r="P65" i="7944"/>
  <c r="J367" i="7945" s="1"/>
  <c r="P66" i="7944"/>
  <c r="J381" i="7945" s="1"/>
  <c r="P67" i="7944"/>
  <c r="J395" i="7945" s="1"/>
  <c r="P68" i="7944"/>
  <c r="J409" i="7945" s="1"/>
  <c r="P69" i="7944"/>
  <c r="J423" i="7945" s="1"/>
  <c r="Q40" i="7944"/>
  <c r="J18" i="7945" s="1"/>
  <c r="K18" i="7945" s="1"/>
  <c r="Q41" i="7944"/>
  <c r="Q42" i="7944"/>
  <c r="J46" i="7945" s="1"/>
  <c r="K46" i="7945" s="1"/>
  <c r="Q43" i="7944"/>
  <c r="J60" i="7945" s="1"/>
  <c r="K60" i="7945" s="1"/>
  <c r="Q44" i="7944"/>
  <c r="J74" i="7945" s="1"/>
  <c r="Q45" i="7944"/>
  <c r="J88" i="7945" s="1"/>
  <c r="K88" i="7945" s="1"/>
  <c r="Q46" i="7944"/>
  <c r="J102" i="7945" s="1"/>
  <c r="K102" i="7945" s="1"/>
  <c r="Q47" i="7944"/>
  <c r="J116" i="7945" s="1"/>
  <c r="K116" i="7945" s="1"/>
  <c r="Q48" i="7944"/>
  <c r="J130" i="7945" s="1"/>
  <c r="Q49" i="7944"/>
  <c r="J144" i="7945" s="1"/>
  <c r="K144" i="7945" s="1"/>
  <c r="Q50" i="7944"/>
  <c r="J158" i="7945" s="1"/>
  <c r="K158" i="7945" s="1"/>
  <c r="Q51" i="7944"/>
  <c r="J172" i="7945" s="1"/>
  <c r="K172" i="7945" s="1"/>
  <c r="Q52" i="7944"/>
  <c r="J186" i="7945" s="1"/>
  <c r="K186" i="7945" s="1"/>
  <c r="Q53" i="7944"/>
  <c r="J200" i="7945" s="1"/>
  <c r="K200" i="7945" s="1"/>
  <c r="Q54" i="7944"/>
  <c r="J214" i="7945" s="1"/>
  <c r="K214" i="7945" s="1"/>
  <c r="Q55" i="7944"/>
  <c r="J228" i="7945" s="1"/>
  <c r="K228" i="7945" s="1"/>
  <c r="Q56" i="7944"/>
  <c r="J242" i="7945" s="1"/>
  <c r="K242" i="7945" s="1"/>
  <c r="Q57" i="7944"/>
  <c r="J256" i="7945" s="1"/>
  <c r="K256" i="7945" s="1"/>
  <c r="Q58" i="7944"/>
  <c r="J270" i="7945" s="1"/>
  <c r="K270" i="7945" s="1"/>
  <c r="Q59" i="7944"/>
  <c r="J284" i="7945" s="1"/>
  <c r="K284" i="7945" s="1"/>
  <c r="Q60" i="7944"/>
  <c r="J298" i="7945" s="1"/>
  <c r="K298" i="7945" s="1"/>
  <c r="Q61" i="7944"/>
  <c r="J312" i="7945" s="1"/>
  <c r="K312" i="7945" s="1"/>
  <c r="Q62" i="7944"/>
  <c r="J326" i="7945" s="1"/>
  <c r="Q63" i="7944"/>
  <c r="J340" i="7945" s="1"/>
  <c r="Q64" i="7944"/>
  <c r="J354" i="7945" s="1"/>
  <c r="Q65" i="7944"/>
  <c r="J368" i="7945" s="1"/>
  <c r="Q66" i="7944"/>
  <c r="J382" i="7945" s="1"/>
  <c r="Q67" i="7944"/>
  <c r="J396" i="7945" s="1"/>
  <c r="Q68" i="7944"/>
  <c r="J410" i="7945" s="1"/>
  <c r="Q69" i="7944"/>
  <c r="J424" i="7945" s="1"/>
  <c r="G335" i="7942"/>
  <c r="G367" i="7942"/>
  <c r="G763" i="18" s="1"/>
  <c r="G429" i="7941" s="1"/>
  <c r="G399" i="7942"/>
  <c r="G795" i="18" s="1"/>
  <c r="G461" i="7941" s="1"/>
  <c r="G431" i="7942"/>
  <c r="G567" i="18" s="1"/>
  <c r="G105" i="7941" s="1"/>
  <c r="G495" i="7942"/>
  <c r="G631" i="18" s="1"/>
  <c r="G169" i="7941" s="1"/>
  <c r="H246" i="1"/>
  <c r="H240" i="1" s="1"/>
  <c r="G334" i="7942"/>
  <c r="G366" i="7942"/>
  <c r="G762" i="18" s="1"/>
  <c r="G428" i="7941" s="1"/>
  <c r="G398" i="7942"/>
  <c r="G430" i="7942"/>
  <c r="G566" i="18" s="1"/>
  <c r="G104" i="7941" s="1"/>
  <c r="G494" i="7942"/>
  <c r="G630" i="18" s="1"/>
  <c r="I246" i="1"/>
  <c r="I237" i="1" s="1"/>
  <c r="H239" i="1"/>
  <c r="H236" i="1"/>
  <c r="H235" i="1"/>
  <c r="I233" i="1"/>
  <c r="B413" i="7945"/>
  <c r="B399" i="7945"/>
  <c r="B385" i="7945"/>
  <c r="B371" i="7945"/>
  <c r="B357" i="7945"/>
  <c r="B343" i="7945"/>
  <c r="B329" i="7945"/>
  <c r="B315" i="7945"/>
  <c r="B301" i="7945"/>
  <c r="B287" i="7945"/>
  <c r="I232" i="1"/>
  <c r="H7" i="18"/>
  <c r="H6" i="18"/>
  <c r="I6" i="18"/>
  <c r="J6" i="18"/>
  <c r="K6" i="18"/>
  <c r="L6" i="18"/>
  <c r="G826" i="18"/>
  <c r="G492" i="7941" s="1"/>
  <c r="G730" i="18"/>
  <c r="G396" i="7941" s="1"/>
  <c r="G731" i="18"/>
  <c r="H213" i="1"/>
  <c r="G368" i="7942"/>
  <c r="G732" i="18"/>
  <c r="G398" i="7941" s="1"/>
  <c r="I214" i="1"/>
  <c r="H216" i="1"/>
  <c r="H217" i="1"/>
  <c r="H218" i="1"/>
  <c r="H219" i="1"/>
  <c r="H220" i="1"/>
  <c r="H221" i="1"/>
  <c r="H222" i="1"/>
  <c r="H223" i="1"/>
  <c r="I224" i="1"/>
  <c r="I225" i="1"/>
  <c r="I226" i="1"/>
  <c r="I228" i="1"/>
  <c r="H229" i="1"/>
  <c r="H230" i="1"/>
  <c r="G138" i="1"/>
  <c r="G251" i="1"/>
  <c r="G252" i="1" s="1"/>
  <c r="G6" i="7942"/>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4" i="7942"/>
  <c r="G110" i="1"/>
  <c r="G13" i="7942"/>
  <c r="G109" i="1"/>
  <c r="G12" i="7942"/>
  <c r="I130" i="1"/>
  <c r="H131" i="1"/>
  <c r="H109" i="1"/>
  <c r="G470" i="18"/>
  <c r="G8" i="7941" s="1"/>
  <c r="I109" i="1"/>
  <c r="H110" i="1"/>
  <c r="G503" i="18"/>
  <c r="G41" i="7941" s="1"/>
  <c r="G471" i="18"/>
  <c r="G9" i="7941" s="1"/>
  <c r="H111" i="1"/>
  <c r="G496" i="7942"/>
  <c r="G632" i="18" s="1"/>
  <c r="G170" i="7941" s="1"/>
  <c r="G472" i="18"/>
  <c r="G10" i="7941" s="1"/>
  <c r="I111" i="1"/>
  <c r="H112" i="1"/>
  <c r="I113" i="1"/>
  <c r="H114" i="1"/>
  <c r="I115" i="1"/>
  <c r="H116" i="1"/>
  <c r="H117" i="1"/>
  <c r="H118" i="1"/>
  <c r="I119" i="1"/>
  <c r="H120" i="1"/>
  <c r="H121" i="1"/>
  <c r="H122" i="1"/>
  <c r="H123" i="1"/>
  <c r="H124" i="1"/>
  <c r="H125" i="1"/>
  <c r="I126" i="1"/>
  <c r="H127" i="1"/>
  <c r="H128" i="1"/>
  <c r="H129" i="1"/>
  <c r="H132" i="1"/>
  <c r="H133" i="1"/>
  <c r="H134" i="1"/>
  <c r="I135" i="1"/>
  <c r="H136" i="1"/>
  <c r="I137" i="1"/>
  <c r="H138" i="1"/>
  <c r="G175" i="7942"/>
  <c r="G207" i="7942"/>
  <c r="G173" i="7942"/>
  <c r="G205" i="7942"/>
  <c r="G36" i="7946"/>
  <c r="G35" i="7946"/>
  <c r="G34" i="7946"/>
  <c r="G28" i="7946"/>
  <c r="G33" i="7946"/>
  <c r="G32" i="7946"/>
  <c r="G31" i="7946"/>
  <c r="G30" i="7946"/>
  <c r="G29" i="7946"/>
  <c r="G27" i="7946"/>
  <c r="E27" i="7946"/>
  <c r="E28" i="7946"/>
  <c r="E29" i="7946"/>
  <c r="E30" i="7946"/>
  <c r="E31" i="7946"/>
  <c r="E32" i="7946"/>
  <c r="E33" i="7946"/>
  <c r="E34" i="7946"/>
  <c r="E35" i="7946"/>
  <c r="E36" i="7946"/>
  <c r="K424" i="7945"/>
  <c r="K416" i="7945"/>
  <c r="K417" i="7945"/>
  <c r="K418" i="7945"/>
  <c r="K419" i="7945"/>
  <c r="K420" i="7945"/>
  <c r="K421" i="7945"/>
  <c r="K422" i="7945"/>
  <c r="K423" i="7945"/>
  <c r="K415" i="7945"/>
  <c r="K410" i="7945"/>
  <c r="K402" i="7945"/>
  <c r="K403" i="7945"/>
  <c r="K404" i="7945"/>
  <c r="K405" i="7945"/>
  <c r="K406" i="7945"/>
  <c r="K407" i="7945"/>
  <c r="K408" i="7945"/>
  <c r="K409" i="7945"/>
  <c r="K401" i="7945"/>
  <c r="K396" i="7945"/>
  <c r="K388" i="7945"/>
  <c r="K389" i="7945"/>
  <c r="K390" i="7945"/>
  <c r="K391" i="7945"/>
  <c r="K392" i="7945"/>
  <c r="K393" i="7945"/>
  <c r="K394" i="7945"/>
  <c r="K395" i="7945"/>
  <c r="K387" i="7945"/>
  <c r="K374" i="7945"/>
  <c r="K375" i="7945"/>
  <c r="K376" i="7945"/>
  <c r="K377" i="7945"/>
  <c r="K378" i="7945"/>
  <c r="K379" i="7945"/>
  <c r="K380" i="7945"/>
  <c r="K381" i="7945"/>
  <c r="K382" i="7945"/>
  <c r="K373" i="7945"/>
  <c r="K368" i="7945"/>
  <c r="K360" i="7945"/>
  <c r="K361" i="7945"/>
  <c r="K362" i="7945"/>
  <c r="K363" i="7945"/>
  <c r="K364" i="7945"/>
  <c r="K365" i="7945"/>
  <c r="K366" i="7945"/>
  <c r="K367" i="7945"/>
  <c r="K359" i="7945"/>
  <c r="K354" i="7945"/>
  <c r="K346" i="7945"/>
  <c r="K347" i="7945"/>
  <c r="K348" i="7945"/>
  <c r="K349" i="7945"/>
  <c r="K350" i="7945"/>
  <c r="K351" i="7945"/>
  <c r="K352" i="7945"/>
  <c r="K353" i="7945"/>
  <c r="K345" i="7945"/>
  <c r="K340" i="7945"/>
  <c r="K332" i="7945"/>
  <c r="K333" i="7945"/>
  <c r="K334" i="7945"/>
  <c r="K335" i="7945"/>
  <c r="K336" i="7945"/>
  <c r="K337" i="7945"/>
  <c r="K338" i="7945"/>
  <c r="K339" i="7945"/>
  <c r="K331" i="7945"/>
  <c r="K318" i="7945"/>
  <c r="K319" i="7945"/>
  <c r="K320" i="7945"/>
  <c r="K321" i="7945"/>
  <c r="K322" i="7945"/>
  <c r="K323" i="7945"/>
  <c r="K324" i="7945"/>
  <c r="K325" i="7945"/>
  <c r="K326" i="7945"/>
  <c r="K317" i="7945"/>
  <c r="K414" i="7945"/>
  <c r="K400" i="7945"/>
  <c r="K386" i="7945"/>
  <c r="K372" i="7945"/>
  <c r="K358" i="7945"/>
  <c r="K344" i="7945"/>
  <c r="K316" i="7945"/>
  <c r="K330" i="7945"/>
  <c r="K302" i="7945"/>
  <c r="K288" i="7945"/>
  <c r="F424" i="7945"/>
  <c r="F416" i="7945"/>
  <c r="F417" i="7945"/>
  <c r="F418" i="7945"/>
  <c r="F419" i="7945"/>
  <c r="F420" i="7945"/>
  <c r="F421" i="7945"/>
  <c r="F422" i="7945"/>
  <c r="F423" i="7945"/>
  <c r="F415" i="7945"/>
  <c r="F410" i="7945"/>
  <c r="F402" i="7945"/>
  <c r="F403" i="7945"/>
  <c r="F404" i="7945"/>
  <c r="F405" i="7945"/>
  <c r="F406" i="7945"/>
  <c r="F407" i="7945"/>
  <c r="F408" i="7945"/>
  <c r="F409" i="7945"/>
  <c r="F401" i="7945"/>
  <c r="F396" i="7945"/>
  <c r="F388" i="7945"/>
  <c r="F389" i="7945"/>
  <c r="F390" i="7945"/>
  <c r="F391" i="7945"/>
  <c r="F392" i="7945"/>
  <c r="F393" i="7945"/>
  <c r="F394" i="7945"/>
  <c r="F395" i="7945"/>
  <c r="F387" i="7945"/>
  <c r="F382" i="7945"/>
  <c r="F374" i="7945"/>
  <c r="F375" i="7945"/>
  <c r="F376" i="7945"/>
  <c r="F377" i="7945"/>
  <c r="F378" i="7945"/>
  <c r="F379" i="7945"/>
  <c r="F380" i="7945"/>
  <c r="F381" i="7945"/>
  <c r="F373" i="7945"/>
  <c r="F368" i="7945"/>
  <c r="F360" i="7945"/>
  <c r="F361" i="7945"/>
  <c r="F362" i="7945"/>
  <c r="F363" i="7945"/>
  <c r="F364" i="7945"/>
  <c r="F365" i="7945"/>
  <c r="F366" i="7945"/>
  <c r="F367" i="7945"/>
  <c r="F359" i="7945"/>
  <c r="F346" i="7945"/>
  <c r="F347" i="7945"/>
  <c r="F348" i="7945"/>
  <c r="F349" i="7945"/>
  <c r="F350" i="7945"/>
  <c r="F351" i="7945"/>
  <c r="F352" i="7945"/>
  <c r="F353" i="7945"/>
  <c r="F354" i="7945"/>
  <c r="F345" i="7945"/>
  <c r="F318" i="7945"/>
  <c r="F319" i="7945"/>
  <c r="F320" i="7945"/>
  <c r="F321" i="7945"/>
  <c r="F322" i="7945"/>
  <c r="F323" i="7945"/>
  <c r="F324" i="7945"/>
  <c r="F325" i="7945"/>
  <c r="F326" i="7945"/>
  <c r="F317"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Q459" i="7944"/>
  <c r="Q458" i="7944"/>
  <c r="P458" i="7944"/>
  <c r="P457" i="7944"/>
  <c r="Q457" i="7944"/>
  <c r="O457" i="7944"/>
  <c r="O456" i="7944"/>
  <c r="P456" i="7944"/>
  <c r="Q456" i="7944"/>
  <c r="N456" i="7944"/>
  <c r="N455" i="7944"/>
  <c r="O455" i="7944"/>
  <c r="P455" i="7944"/>
  <c r="Q455" i="7944"/>
  <c r="M455" i="7944"/>
  <c r="M454" i="7944"/>
  <c r="N454" i="7944"/>
  <c r="O454" i="7944"/>
  <c r="P454" i="7944"/>
  <c r="Q454" i="7944"/>
  <c r="M453" i="7944"/>
  <c r="N453" i="7944"/>
  <c r="O453" i="7944"/>
  <c r="P453" i="7944"/>
  <c r="Q453" i="7944"/>
  <c r="M440" i="7944"/>
  <c r="N440" i="7944"/>
  <c r="O440" i="7944"/>
  <c r="P440" i="7944"/>
  <c r="Q440" i="7944"/>
  <c r="M452" i="7944"/>
  <c r="N452" i="7944"/>
  <c r="O452" i="7944"/>
  <c r="P452" i="7944"/>
  <c r="Q452" i="7944"/>
  <c r="M451" i="7944"/>
  <c r="N451" i="7944"/>
  <c r="O451" i="7944"/>
  <c r="P451" i="7944"/>
  <c r="Q451" i="7944"/>
  <c r="C461" i="7944"/>
  <c r="B449" i="7944"/>
  <c r="Q446" i="7944"/>
  <c r="Q445" i="7944"/>
  <c r="P445" i="7944"/>
  <c r="P444" i="7944"/>
  <c r="Q444" i="7944"/>
  <c r="O444" i="7944"/>
  <c r="O443" i="7944"/>
  <c r="P443" i="7944"/>
  <c r="Q443" i="7944"/>
  <c r="N443" i="7944"/>
  <c r="N442" i="7944"/>
  <c r="O442" i="7944"/>
  <c r="P442" i="7944"/>
  <c r="Q442" i="7944"/>
  <c r="M442" i="7944"/>
  <c r="M441" i="7944"/>
  <c r="N441" i="7944"/>
  <c r="O441" i="7944"/>
  <c r="P441" i="7944"/>
  <c r="Q441" i="7944"/>
  <c r="M439" i="7944"/>
  <c r="N439" i="7944"/>
  <c r="O439" i="7944"/>
  <c r="P439" i="7944"/>
  <c r="Q439" i="7944"/>
  <c r="M438" i="7944"/>
  <c r="N438" i="7944"/>
  <c r="O438" i="7944"/>
  <c r="P438" i="7944"/>
  <c r="Q438" i="7944"/>
  <c r="C448" i="7944"/>
  <c r="B436" i="7944"/>
  <c r="Q433" i="7944"/>
  <c r="Q432" i="7944"/>
  <c r="P432" i="7944"/>
  <c r="P431" i="7944"/>
  <c r="Q431" i="7944"/>
  <c r="O431" i="7944"/>
  <c r="O430" i="7944"/>
  <c r="P430" i="7944"/>
  <c r="Q430" i="7944"/>
  <c r="N430" i="7944"/>
  <c r="N429" i="7944"/>
  <c r="O429" i="7944"/>
  <c r="P429" i="7944"/>
  <c r="Q429" i="7944"/>
  <c r="M429" i="7944"/>
  <c r="M428" i="7944"/>
  <c r="N428" i="7944"/>
  <c r="O428" i="7944"/>
  <c r="P428" i="7944"/>
  <c r="Q428" i="7944"/>
  <c r="M427" i="7944"/>
  <c r="N427" i="7944"/>
  <c r="O427" i="7944"/>
  <c r="P427" i="7944"/>
  <c r="Q427" i="7944"/>
  <c r="M426" i="7944"/>
  <c r="N426" i="7944"/>
  <c r="O426" i="7944"/>
  <c r="P426" i="7944"/>
  <c r="Q426" i="7944"/>
  <c r="M425" i="7944"/>
  <c r="N425" i="7944"/>
  <c r="O425" i="7944"/>
  <c r="P425" i="7944"/>
  <c r="Q425" i="7944"/>
  <c r="C435" i="7944"/>
  <c r="B423" i="7944"/>
  <c r="Q420" i="7944"/>
  <c r="Q419" i="7944"/>
  <c r="P419" i="7944"/>
  <c r="P418" i="7944"/>
  <c r="Q418" i="7944"/>
  <c r="O418" i="7944"/>
  <c r="O417" i="7944"/>
  <c r="P417" i="7944"/>
  <c r="Q417" i="7944"/>
  <c r="N417" i="7944"/>
  <c r="N416" i="7944"/>
  <c r="O416" i="7944"/>
  <c r="P416" i="7944"/>
  <c r="Q416" i="7944"/>
  <c r="M416" i="7944"/>
  <c r="M415" i="7944"/>
  <c r="N415" i="7944"/>
  <c r="O415" i="7944"/>
  <c r="P415" i="7944"/>
  <c r="Q415" i="7944"/>
  <c r="M414" i="7944"/>
  <c r="N414" i="7944"/>
  <c r="O414" i="7944"/>
  <c r="P414" i="7944"/>
  <c r="Q414" i="7944"/>
  <c r="M413" i="7944"/>
  <c r="N413" i="7944"/>
  <c r="O413" i="7944"/>
  <c r="P413" i="7944"/>
  <c r="Q413" i="7944"/>
  <c r="M412" i="7944"/>
  <c r="N412" i="7944"/>
  <c r="O412" i="7944"/>
  <c r="P412" i="7944"/>
  <c r="Q412" i="7944"/>
  <c r="C422" i="7944"/>
  <c r="B410" i="7944"/>
  <c r="Q407" i="7944"/>
  <c r="Q406" i="7944"/>
  <c r="P406" i="7944"/>
  <c r="P405" i="7944"/>
  <c r="Q405" i="7944"/>
  <c r="O405" i="7944"/>
  <c r="O404" i="7944"/>
  <c r="P404" i="7944"/>
  <c r="Q404" i="7944"/>
  <c r="N404" i="7944"/>
  <c r="N403" i="7944"/>
  <c r="O403" i="7944"/>
  <c r="P403" i="7944"/>
  <c r="Q403" i="7944"/>
  <c r="M403" i="7944"/>
  <c r="M402" i="7944"/>
  <c r="N402" i="7944"/>
  <c r="O402" i="7944"/>
  <c r="P402" i="7944"/>
  <c r="Q402" i="7944"/>
  <c r="M401" i="7944"/>
  <c r="N401" i="7944"/>
  <c r="O401" i="7944"/>
  <c r="P401" i="7944"/>
  <c r="Q401" i="7944"/>
  <c r="M400" i="7944"/>
  <c r="N400" i="7944"/>
  <c r="O400" i="7944"/>
  <c r="P400" i="7944"/>
  <c r="Q400" i="7944"/>
  <c r="M387" i="7944"/>
  <c r="N387" i="7944"/>
  <c r="O387" i="7944"/>
  <c r="P387" i="7944"/>
  <c r="Q387" i="7944"/>
  <c r="M399" i="7944"/>
  <c r="N399" i="7944"/>
  <c r="O399" i="7944"/>
  <c r="P399" i="7944"/>
  <c r="Q399" i="7944"/>
  <c r="C409" i="7944"/>
  <c r="B397" i="7944"/>
  <c r="Q394" i="7944"/>
  <c r="Q393" i="7944"/>
  <c r="P393" i="7944"/>
  <c r="P392" i="7944"/>
  <c r="Q392" i="7944"/>
  <c r="O392" i="7944"/>
  <c r="O391" i="7944"/>
  <c r="P391" i="7944"/>
  <c r="Q391" i="7944"/>
  <c r="N391" i="7944"/>
  <c r="N390" i="7944"/>
  <c r="O390" i="7944"/>
  <c r="P390" i="7944"/>
  <c r="Q390" i="7944"/>
  <c r="M390" i="7944"/>
  <c r="M389" i="7944"/>
  <c r="N389" i="7944"/>
  <c r="O389" i="7944"/>
  <c r="P389" i="7944"/>
  <c r="Q389" i="7944"/>
  <c r="Q388" i="7944"/>
  <c r="M388" i="7944"/>
  <c r="N388" i="7944"/>
  <c r="O388" i="7944"/>
  <c r="P388" i="7944"/>
  <c r="M386" i="7944"/>
  <c r="N386" i="7944"/>
  <c r="O386" i="7944"/>
  <c r="P386" i="7944"/>
  <c r="Q386" i="7944"/>
  <c r="C396" i="7944"/>
  <c r="B384" i="7944"/>
  <c r="Q381" i="7944"/>
  <c r="Q380" i="7944"/>
  <c r="P380" i="7944"/>
  <c r="P379" i="7944"/>
  <c r="Q379" i="7944"/>
  <c r="O379" i="7944"/>
  <c r="O378" i="7944"/>
  <c r="P378" i="7944"/>
  <c r="Q378" i="7944"/>
  <c r="N378" i="7944"/>
  <c r="N377" i="7944"/>
  <c r="O377" i="7944"/>
  <c r="P377" i="7944"/>
  <c r="Q377" i="7944"/>
  <c r="M377" i="7944"/>
  <c r="Q376" i="7944"/>
  <c r="M376" i="7944"/>
  <c r="N376" i="7944"/>
  <c r="O376" i="7944"/>
  <c r="P376" i="7944"/>
  <c r="Q375" i="7944"/>
  <c r="M375" i="7944"/>
  <c r="N375" i="7944"/>
  <c r="O375" i="7944"/>
  <c r="P375" i="7944"/>
  <c r="M374" i="7944"/>
  <c r="N374" i="7944"/>
  <c r="O374" i="7944"/>
  <c r="P374" i="7944"/>
  <c r="Q374" i="7944"/>
  <c r="Q373" i="7944"/>
  <c r="M373" i="7944"/>
  <c r="N373" i="7944"/>
  <c r="O373" i="7944"/>
  <c r="P373" i="7944"/>
  <c r="C383" i="7944"/>
  <c r="B371" i="7944"/>
  <c r="Q368" i="7944"/>
  <c r="Q367" i="7944"/>
  <c r="P367" i="7944"/>
  <c r="P366" i="7944"/>
  <c r="Q366" i="7944"/>
  <c r="O366" i="7944"/>
  <c r="Q365" i="7944"/>
  <c r="O365" i="7944"/>
  <c r="P365" i="7944"/>
  <c r="N365" i="7944"/>
  <c r="Q364" i="7944"/>
  <c r="N364" i="7944"/>
  <c r="O364" i="7944"/>
  <c r="P364" i="7944"/>
  <c r="M364" i="7944"/>
  <c r="M363" i="7944"/>
  <c r="N363" i="7944"/>
  <c r="O363" i="7944"/>
  <c r="P363" i="7944"/>
  <c r="Q363" i="7944"/>
  <c r="Q362" i="7944"/>
  <c r="M362" i="7944"/>
  <c r="N362" i="7944"/>
  <c r="O362" i="7944"/>
  <c r="P362" i="7944"/>
  <c r="Q361" i="7944"/>
  <c r="M361" i="7944"/>
  <c r="N361" i="7944"/>
  <c r="O361" i="7944"/>
  <c r="P361" i="7944"/>
  <c r="Q360" i="7944"/>
  <c r="M360" i="7944"/>
  <c r="N360" i="7944"/>
  <c r="O360" i="7944"/>
  <c r="P360" i="7944"/>
  <c r="C370" i="7944"/>
  <c r="B358" i="7944"/>
  <c r="Q355" i="7944"/>
  <c r="Q354" i="7944"/>
  <c r="P354" i="7944"/>
  <c r="P353" i="7944"/>
  <c r="Q353" i="7944"/>
  <c r="O353" i="7944"/>
  <c r="Q352" i="7944"/>
  <c r="O352" i="7944"/>
  <c r="P352" i="7944"/>
  <c r="N352" i="7944"/>
  <c r="N351" i="7944"/>
  <c r="O351" i="7944"/>
  <c r="P351" i="7944"/>
  <c r="M351" i="7944"/>
  <c r="M350" i="7944"/>
  <c r="N350" i="7944"/>
  <c r="O350" i="7944"/>
  <c r="M349" i="7944"/>
  <c r="N349" i="7944"/>
  <c r="M348" i="7944"/>
  <c r="C357" i="7944"/>
  <c r="B345" i="7944"/>
  <c r="Q342" i="7944"/>
  <c r="Q341" i="7944"/>
  <c r="P341" i="7944"/>
  <c r="P340" i="7944"/>
  <c r="Q340" i="7944"/>
  <c r="O340" i="7944"/>
  <c r="O339" i="7944"/>
  <c r="P339" i="7944"/>
  <c r="Q339" i="7944"/>
  <c r="N339" i="7944"/>
  <c r="Q338" i="7944"/>
  <c r="N338" i="7944"/>
  <c r="O338" i="7944"/>
  <c r="P338" i="7944"/>
  <c r="M338" i="7944"/>
  <c r="Q337" i="7944"/>
  <c r="M337" i="7944"/>
  <c r="N337" i="7944"/>
  <c r="O337" i="7944"/>
  <c r="P337" i="7944"/>
  <c r="Q336" i="7944"/>
  <c r="M336" i="7944"/>
  <c r="N336" i="7944"/>
  <c r="O336" i="7944"/>
  <c r="P336" i="7944"/>
  <c r="M335" i="7944"/>
  <c r="N335" i="7944"/>
  <c r="O335" i="7944"/>
  <c r="P335" i="7944"/>
  <c r="Q335" i="7944"/>
  <c r="M334" i="7944"/>
  <c r="N334" i="7944"/>
  <c r="O334" i="7944"/>
  <c r="P334" i="7944"/>
  <c r="Q334" i="7944"/>
  <c r="H3" i="7944"/>
  <c r="I3" i="7944"/>
  <c r="C344" i="7944"/>
  <c r="B332" i="7944"/>
  <c r="C69" i="7944"/>
  <c r="C68" i="7944"/>
  <c r="C67" i="7944"/>
  <c r="C66" i="7944"/>
  <c r="C65" i="7944"/>
  <c r="C64" i="7944"/>
  <c r="C63" i="7944"/>
  <c r="C62" i="7944"/>
  <c r="C61" i="7944"/>
  <c r="C60" i="7944"/>
  <c r="C37" i="7944"/>
  <c r="C36" i="7944"/>
  <c r="C35" i="7944"/>
  <c r="C34" i="7944"/>
  <c r="C33" i="7944"/>
  <c r="C32" i="7944"/>
  <c r="C31" i="7944"/>
  <c r="C30" i="7944"/>
  <c r="C29" i="7944"/>
  <c r="C28" i="7944"/>
  <c r="D683" i="7941"/>
  <c r="D682" i="7941"/>
  <c r="D681" i="7941"/>
  <c r="D680" i="7941"/>
  <c r="D679" i="7941"/>
  <c r="D678" i="7941"/>
  <c r="D677" i="7941"/>
  <c r="D676" i="7941"/>
  <c r="D675" i="7941"/>
  <c r="D674" i="7941"/>
  <c r="D651" i="7941"/>
  <c r="D650" i="7941"/>
  <c r="D649" i="7941"/>
  <c r="D648" i="7941"/>
  <c r="D647" i="7941"/>
  <c r="D646" i="7941"/>
  <c r="D645" i="7941"/>
  <c r="D644" i="7941"/>
  <c r="D643" i="7941"/>
  <c r="D642" i="7941"/>
  <c r="D619" i="7941"/>
  <c r="D618" i="7941"/>
  <c r="D617" i="7941"/>
  <c r="D616" i="7941"/>
  <c r="D615" i="7941"/>
  <c r="D614" i="7941"/>
  <c r="D613" i="7941"/>
  <c r="D612" i="7941"/>
  <c r="D611" i="7941"/>
  <c r="D610" i="7941"/>
  <c r="D587" i="7941"/>
  <c r="D586" i="7941"/>
  <c r="D585" i="7941"/>
  <c r="D584" i="7941"/>
  <c r="D583" i="7941"/>
  <c r="D582" i="7941"/>
  <c r="D581" i="7941"/>
  <c r="D580" i="7941"/>
  <c r="D579" i="7941"/>
  <c r="D578" i="7941"/>
  <c r="D553" i="7941"/>
  <c r="D552" i="7941"/>
  <c r="D551" i="7941"/>
  <c r="D550" i="7941"/>
  <c r="D549" i="7941"/>
  <c r="D548" i="7941"/>
  <c r="D547" i="7941"/>
  <c r="D546" i="7941"/>
  <c r="D545" i="7941"/>
  <c r="D544" i="7941"/>
  <c r="D521" i="7941"/>
  <c r="D520" i="7941"/>
  <c r="D519" i="7941"/>
  <c r="D518" i="7941"/>
  <c r="D517" i="7941"/>
  <c r="D516" i="7941"/>
  <c r="D515" i="7941"/>
  <c r="D514" i="7941"/>
  <c r="D513" i="7941"/>
  <c r="D512" i="7941"/>
  <c r="D489" i="7941"/>
  <c r="D488" i="7941"/>
  <c r="D487" i="7941"/>
  <c r="D486" i="7941"/>
  <c r="D485" i="7941"/>
  <c r="D484" i="7941"/>
  <c r="D483" i="7941"/>
  <c r="D482" i="7941"/>
  <c r="D481" i="7941"/>
  <c r="D480" i="7941"/>
  <c r="D457" i="7941"/>
  <c r="D456" i="7941"/>
  <c r="D455" i="7941"/>
  <c r="D454" i="7941"/>
  <c r="D453" i="7941"/>
  <c r="D452" i="7941"/>
  <c r="D451" i="7941"/>
  <c r="D450" i="7941"/>
  <c r="D449" i="7941"/>
  <c r="D448" i="7941"/>
  <c r="D425" i="7941"/>
  <c r="D424" i="7941"/>
  <c r="D423" i="7941"/>
  <c r="D422" i="7941"/>
  <c r="D421" i="7941"/>
  <c r="D420" i="7941"/>
  <c r="D419" i="7941"/>
  <c r="D418" i="7941"/>
  <c r="D417" i="7941"/>
  <c r="D416" i="7941"/>
  <c r="D391" i="7941"/>
  <c r="D390" i="7941"/>
  <c r="D389" i="7941"/>
  <c r="D388" i="7941"/>
  <c r="D387" i="7941"/>
  <c r="D386" i="7941"/>
  <c r="D385" i="7941"/>
  <c r="D384" i="7941"/>
  <c r="D383" i="7941"/>
  <c r="D382" i="7941"/>
  <c r="D359" i="7941"/>
  <c r="D358" i="7941"/>
  <c r="D357" i="7941"/>
  <c r="D356" i="7941"/>
  <c r="D355" i="7941"/>
  <c r="D354" i="7941"/>
  <c r="D353" i="7941"/>
  <c r="D352" i="7941"/>
  <c r="D351" i="7941"/>
  <c r="D350" i="7941"/>
  <c r="D327" i="7941"/>
  <c r="D326" i="7941"/>
  <c r="D325" i="7941"/>
  <c r="D324" i="7941"/>
  <c r="D323" i="7941"/>
  <c r="D322" i="7941"/>
  <c r="D321" i="7941"/>
  <c r="D320" i="7941"/>
  <c r="D319" i="7941"/>
  <c r="D318" i="7941"/>
  <c r="D295" i="7941"/>
  <c r="D294" i="7941"/>
  <c r="D293" i="7941"/>
  <c r="D292" i="7941"/>
  <c r="D291" i="7941"/>
  <c r="D290" i="7941"/>
  <c r="D289" i="7941"/>
  <c r="D288" i="7941"/>
  <c r="D287" i="7941"/>
  <c r="D286" i="7941"/>
  <c r="D263" i="7941"/>
  <c r="D262" i="7941"/>
  <c r="D261" i="7941"/>
  <c r="D260" i="7941"/>
  <c r="D259" i="7941"/>
  <c r="D258" i="7941"/>
  <c r="D257" i="7941"/>
  <c r="D256" i="7941"/>
  <c r="D255" i="7941"/>
  <c r="D254" i="7941"/>
  <c r="D231" i="7941"/>
  <c r="D230" i="7941"/>
  <c r="D229" i="7941"/>
  <c r="D228" i="7941"/>
  <c r="D227" i="7941"/>
  <c r="D226" i="7941"/>
  <c r="D225" i="7941"/>
  <c r="D224" i="7941"/>
  <c r="D223" i="7941"/>
  <c r="D222"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G336" i="7942"/>
  <c r="G6" i="18"/>
  <c r="D953" i="18"/>
  <c r="D952" i="18"/>
  <c r="D951" i="18"/>
  <c r="D950" i="18"/>
  <c r="D949" i="18"/>
  <c r="D948" i="18"/>
  <c r="D947" i="18"/>
  <c r="D946" i="18"/>
  <c r="D945" i="18"/>
  <c r="D944" i="18"/>
  <c r="G749" i="18"/>
  <c r="D921" i="18"/>
  <c r="D920" i="18"/>
  <c r="D919" i="18"/>
  <c r="D918" i="18"/>
  <c r="D917" i="18"/>
  <c r="D916" i="18"/>
  <c r="D915" i="18"/>
  <c r="D914" i="18"/>
  <c r="D913" i="18"/>
  <c r="D912" i="18"/>
  <c r="D887" i="18"/>
  <c r="D886" i="18"/>
  <c r="D885" i="18"/>
  <c r="D884" i="18"/>
  <c r="D883" i="18"/>
  <c r="D882" i="18"/>
  <c r="D881" i="18"/>
  <c r="D880" i="18"/>
  <c r="D879" i="18"/>
  <c r="D878" i="18"/>
  <c r="D855" i="18"/>
  <c r="D854" i="18"/>
  <c r="D853" i="18"/>
  <c r="D852" i="18"/>
  <c r="D851" i="18"/>
  <c r="D850" i="18"/>
  <c r="D849" i="18"/>
  <c r="D848" i="18"/>
  <c r="D847" i="18"/>
  <c r="D846" i="18"/>
  <c r="D823" i="18"/>
  <c r="D822" i="18"/>
  <c r="D821" i="18"/>
  <c r="D820" i="18"/>
  <c r="D819" i="18"/>
  <c r="D818" i="18"/>
  <c r="D817" i="18"/>
  <c r="D816" i="18"/>
  <c r="D815" i="18"/>
  <c r="D814" i="18"/>
  <c r="G759" i="18"/>
  <c r="G425" i="7941" s="1"/>
  <c r="D791" i="18"/>
  <c r="D790" i="18"/>
  <c r="D789" i="18"/>
  <c r="D788" i="18"/>
  <c r="D787" i="18"/>
  <c r="D786" i="18"/>
  <c r="D785" i="18"/>
  <c r="D784" i="18"/>
  <c r="D783" i="18"/>
  <c r="D782" i="18"/>
  <c r="G750" i="18"/>
  <c r="G751" i="18"/>
  <c r="G417" i="7941" s="1"/>
  <c r="G752" i="18"/>
  <c r="G418" i="7941" s="1"/>
  <c r="G753" i="18"/>
  <c r="G419" i="7941" s="1"/>
  <c r="G754" i="18"/>
  <c r="G755" i="18"/>
  <c r="G421" i="7941" s="1"/>
  <c r="G756" i="18"/>
  <c r="G422" i="7941" s="1"/>
  <c r="G757" i="18"/>
  <c r="G423" i="7941" s="1"/>
  <c r="G758" i="18"/>
  <c r="D759" i="18"/>
  <c r="D758" i="18"/>
  <c r="D757" i="18"/>
  <c r="D756" i="18"/>
  <c r="D755" i="18"/>
  <c r="D754" i="18"/>
  <c r="D753" i="18"/>
  <c r="D752" i="18"/>
  <c r="D751" i="18"/>
  <c r="D750" i="18"/>
  <c r="G733" i="18"/>
  <c r="G399" i="7941" s="1"/>
  <c r="G734" i="18"/>
  <c r="G400" i="7941" s="1"/>
  <c r="G735" i="18"/>
  <c r="G401" i="7941" s="1"/>
  <c r="G736" i="18"/>
  <c r="G402" i="7941" s="1"/>
  <c r="G737" i="18"/>
  <c r="G403" i="7941" s="1"/>
  <c r="G738" i="18"/>
  <c r="G739" i="18"/>
  <c r="G405" i="7941" s="1"/>
  <c r="G740" i="18"/>
  <c r="G406" i="7941" s="1"/>
  <c r="G741" i="18"/>
  <c r="G407" i="7941" s="1"/>
  <c r="G742" i="18"/>
  <c r="G743" i="18"/>
  <c r="G409" i="7941" s="1"/>
  <c r="G744" i="18"/>
  <c r="G410" i="7941" s="1"/>
  <c r="G745" i="18"/>
  <c r="G746" i="18"/>
  <c r="G747" i="18"/>
  <c r="G413" i="7941" s="1"/>
  <c r="G748" i="18"/>
  <c r="G414" i="7941" s="1"/>
  <c r="G473" i="18"/>
  <c r="G11" i="7941" s="1"/>
  <c r="G474" i="18"/>
  <c r="G475" i="18"/>
  <c r="G13" i="7941" s="1"/>
  <c r="G476" i="18"/>
  <c r="G14" i="7941" s="1"/>
  <c r="G477" i="18"/>
  <c r="G15" i="7941" s="1"/>
  <c r="G478" i="18"/>
  <c r="G479" i="18"/>
  <c r="G17" i="7941" s="1"/>
  <c r="G480" i="18"/>
  <c r="G18" i="7941" s="1"/>
  <c r="G481" i="18"/>
  <c r="G19" i="7941" s="1"/>
  <c r="G482" i="18"/>
  <c r="G483" i="18"/>
  <c r="G709" i="18" s="1"/>
  <c r="G484" i="18"/>
  <c r="G22" i="7941" s="1"/>
  <c r="G485" i="18"/>
  <c r="G486" i="18"/>
  <c r="G487" i="18"/>
  <c r="G25" i="7941" s="1"/>
  <c r="G488" i="18"/>
  <c r="G26" i="7941" s="1"/>
  <c r="G489" i="18"/>
  <c r="G27" i="7941" s="1"/>
  <c r="G490" i="18"/>
  <c r="G491" i="18"/>
  <c r="G29" i="7941" s="1"/>
  <c r="G492" i="18"/>
  <c r="G493" i="18"/>
  <c r="G31" i="7941" s="1"/>
  <c r="G494" i="18"/>
  <c r="G495" i="18"/>
  <c r="G496" i="18"/>
  <c r="G34" i="7941" s="1"/>
  <c r="G497" i="18"/>
  <c r="G35" i="7941" s="1"/>
  <c r="G498" i="18"/>
  <c r="G499" i="18"/>
  <c r="G37" i="7941" s="1"/>
  <c r="D725" i="18"/>
  <c r="D724" i="18"/>
  <c r="D723" i="18"/>
  <c r="D722" i="18"/>
  <c r="D721" i="18"/>
  <c r="D720" i="18"/>
  <c r="D719" i="18"/>
  <c r="D718" i="18"/>
  <c r="D717" i="18"/>
  <c r="D716" i="18"/>
  <c r="D693" i="18"/>
  <c r="D692" i="18"/>
  <c r="D691" i="18"/>
  <c r="D690" i="18"/>
  <c r="D689" i="18"/>
  <c r="D688" i="18"/>
  <c r="D687" i="18"/>
  <c r="D686" i="18"/>
  <c r="D685" i="18"/>
  <c r="D684"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Q463" i="18"/>
  <c r="P462" i="18"/>
  <c r="Q462" i="18"/>
  <c r="O461" i="18"/>
  <c r="P461" i="18"/>
  <c r="Q461" i="18"/>
  <c r="N460" i="18"/>
  <c r="O460" i="18"/>
  <c r="P460" i="18"/>
  <c r="Q460" i="18"/>
  <c r="M459" i="18"/>
  <c r="N459" i="18"/>
  <c r="O459" i="18"/>
  <c r="P459" i="18"/>
  <c r="Q459" i="18"/>
  <c r="M458" i="18"/>
  <c r="N458" i="18"/>
  <c r="O458" i="18"/>
  <c r="P458" i="18"/>
  <c r="Q458" i="18"/>
  <c r="M457" i="18"/>
  <c r="N457" i="18"/>
  <c r="O457" i="18"/>
  <c r="P457" i="18"/>
  <c r="Q457" i="18"/>
  <c r="M456" i="18"/>
  <c r="N456" i="18"/>
  <c r="O456" i="18"/>
  <c r="P456" i="18"/>
  <c r="Q456" i="18"/>
  <c r="M455" i="18"/>
  <c r="N455" i="18"/>
  <c r="O455" i="18"/>
  <c r="P455" i="18"/>
  <c r="Q455" i="18"/>
  <c r="D465" i="18"/>
  <c r="C453" i="18"/>
  <c r="Q450" i="18"/>
  <c r="P449" i="18"/>
  <c r="Q449" i="18"/>
  <c r="O448" i="18"/>
  <c r="P448" i="18"/>
  <c r="Q448" i="18"/>
  <c r="N447" i="18"/>
  <c r="O447" i="18"/>
  <c r="P447" i="18"/>
  <c r="Q447" i="18"/>
  <c r="M446" i="18"/>
  <c r="N446" i="18"/>
  <c r="O446" i="18"/>
  <c r="P446" i="18"/>
  <c r="Q446" i="18"/>
  <c r="M445" i="18"/>
  <c r="N445" i="18"/>
  <c r="O445" i="18"/>
  <c r="P445" i="18"/>
  <c r="Q445" i="18"/>
  <c r="M444" i="18"/>
  <c r="N444" i="18"/>
  <c r="O444" i="18"/>
  <c r="P444" i="18"/>
  <c r="Q444" i="18"/>
  <c r="M443" i="18"/>
  <c r="N443" i="18"/>
  <c r="O443" i="18"/>
  <c r="P443" i="18"/>
  <c r="Q443" i="18"/>
  <c r="M442" i="18"/>
  <c r="N442" i="18"/>
  <c r="O442" i="18"/>
  <c r="P442" i="18"/>
  <c r="Q442" i="18"/>
  <c r="D452" i="18"/>
  <c r="C440" i="18"/>
  <c r="Q437" i="18"/>
  <c r="P423" i="18"/>
  <c r="Q423" i="18"/>
  <c r="P436" i="18"/>
  <c r="Q436" i="18"/>
  <c r="O435" i="18"/>
  <c r="P435" i="18"/>
  <c r="Q435" i="18"/>
  <c r="N434" i="18"/>
  <c r="O434" i="18"/>
  <c r="P434" i="18"/>
  <c r="Q434" i="18"/>
  <c r="M433" i="18"/>
  <c r="N433" i="18"/>
  <c r="O433" i="18"/>
  <c r="P433" i="18"/>
  <c r="Q433" i="18"/>
  <c r="M432" i="18"/>
  <c r="N432" i="18"/>
  <c r="O432" i="18"/>
  <c r="P432" i="18"/>
  <c r="Q432" i="18"/>
  <c r="M431" i="18"/>
  <c r="N431" i="18"/>
  <c r="O431" i="18"/>
  <c r="P431" i="18"/>
  <c r="Q431" i="18"/>
  <c r="M430" i="18"/>
  <c r="N430" i="18"/>
  <c r="O430" i="18"/>
  <c r="P430" i="18"/>
  <c r="Q430" i="18"/>
  <c r="M429" i="18"/>
  <c r="N429" i="18"/>
  <c r="O429" i="18"/>
  <c r="P429" i="18"/>
  <c r="Q429" i="18"/>
  <c r="D439" i="18"/>
  <c r="C427" i="18"/>
  <c r="Q424" i="18"/>
  <c r="O422" i="18"/>
  <c r="P422" i="18"/>
  <c r="Q422" i="18"/>
  <c r="N421" i="18"/>
  <c r="O421" i="18"/>
  <c r="P421" i="18"/>
  <c r="Q421" i="18"/>
  <c r="M420" i="18"/>
  <c r="N420" i="18"/>
  <c r="O420" i="18"/>
  <c r="P420" i="18"/>
  <c r="Q420" i="18"/>
  <c r="M419" i="18"/>
  <c r="N419" i="18"/>
  <c r="O419" i="18"/>
  <c r="P419" i="18"/>
  <c r="Q419" i="18"/>
  <c r="M418" i="18"/>
  <c r="N418" i="18"/>
  <c r="O418" i="18"/>
  <c r="P418" i="18"/>
  <c r="Q418" i="18"/>
  <c r="M417" i="18"/>
  <c r="N417" i="18"/>
  <c r="O417" i="18"/>
  <c r="P417" i="18"/>
  <c r="Q417" i="18"/>
  <c r="M416" i="18"/>
  <c r="N416" i="18"/>
  <c r="O416" i="18"/>
  <c r="P416" i="18"/>
  <c r="Q416" i="18"/>
  <c r="D426" i="18"/>
  <c r="C414" i="18"/>
  <c r="Q411" i="18"/>
  <c r="P410" i="18"/>
  <c r="Q410" i="18"/>
  <c r="O409" i="18"/>
  <c r="P409" i="18"/>
  <c r="Q409" i="18"/>
  <c r="N408" i="18"/>
  <c r="O408" i="18"/>
  <c r="P408" i="18"/>
  <c r="Q408" i="18"/>
  <c r="M407" i="18"/>
  <c r="N407" i="18"/>
  <c r="O407" i="18"/>
  <c r="P407" i="18"/>
  <c r="Q407" i="18"/>
  <c r="M406" i="18"/>
  <c r="N406" i="18"/>
  <c r="O406" i="18"/>
  <c r="P406" i="18"/>
  <c r="Q406" i="18"/>
  <c r="M405" i="18"/>
  <c r="N405" i="18"/>
  <c r="O405" i="18"/>
  <c r="P405" i="18"/>
  <c r="Q405" i="18"/>
  <c r="M404" i="18"/>
  <c r="N404" i="18"/>
  <c r="O404" i="18"/>
  <c r="P404" i="18"/>
  <c r="Q404" i="18"/>
  <c r="M403" i="18"/>
  <c r="N403" i="18"/>
  <c r="O403" i="18"/>
  <c r="P403" i="18"/>
  <c r="Q403" i="18"/>
  <c r="D413" i="18"/>
  <c r="C401" i="18"/>
  <c r="Q398" i="18"/>
  <c r="P397" i="18"/>
  <c r="Q397" i="18"/>
  <c r="O396" i="18"/>
  <c r="P396" i="18"/>
  <c r="Q396" i="18"/>
  <c r="N395" i="18"/>
  <c r="O395" i="18"/>
  <c r="P395" i="18"/>
  <c r="Q395" i="18"/>
  <c r="M394" i="18"/>
  <c r="N394" i="18"/>
  <c r="O394" i="18"/>
  <c r="P394" i="18"/>
  <c r="Q394" i="18"/>
  <c r="M393" i="18"/>
  <c r="N393" i="18"/>
  <c r="O393" i="18"/>
  <c r="P393" i="18"/>
  <c r="Q393" i="18"/>
  <c r="M392" i="18"/>
  <c r="N392" i="18"/>
  <c r="O392" i="18"/>
  <c r="P392" i="18"/>
  <c r="Q392" i="18"/>
  <c r="M391" i="18"/>
  <c r="N391" i="18"/>
  <c r="O391" i="18"/>
  <c r="P391" i="18"/>
  <c r="Q391" i="18"/>
  <c r="M390" i="18"/>
  <c r="N390" i="18"/>
  <c r="O390" i="18"/>
  <c r="P390" i="18"/>
  <c r="Q390" i="18"/>
  <c r="D400" i="18"/>
  <c r="C388" i="18"/>
  <c r="D387" i="18"/>
  <c r="C375" i="18"/>
  <c r="Q372" i="18"/>
  <c r="P371" i="18"/>
  <c r="Q371" i="18"/>
  <c r="O370" i="18"/>
  <c r="P370" i="18"/>
  <c r="Q370" i="18"/>
  <c r="N369" i="18"/>
  <c r="O369" i="18"/>
  <c r="P369" i="18"/>
  <c r="Q369" i="18"/>
  <c r="M368" i="18"/>
  <c r="N368" i="18"/>
  <c r="O368" i="18"/>
  <c r="P368" i="18"/>
  <c r="Q368" i="18"/>
  <c r="M367" i="18"/>
  <c r="N367" i="18"/>
  <c r="O367" i="18"/>
  <c r="P367" i="18"/>
  <c r="Q367" i="18"/>
  <c r="M366" i="18"/>
  <c r="N366" i="18"/>
  <c r="O366" i="18"/>
  <c r="P366" i="18"/>
  <c r="Q366" i="18"/>
  <c r="M365" i="18"/>
  <c r="N365" i="18"/>
  <c r="O365" i="18"/>
  <c r="P365" i="18"/>
  <c r="Q365" i="18"/>
  <c r="M364" i="18"/>
  <c r="N364" i="18"/>
  <c r="O364" i="18"/>
  <c r="P364" i="18"/>
  <c r="Q364" i="18"/>
  <c r="D374" i="18"/>
  <c r="C362" i="18"/>
  <c r="D361" i="18"/>
  <c r="C349" i="18"/>
  <c r="D348" i="18"/>
  <c r="C336" i="18"/>
  <c r="D73" i="18"/>
  <c r="D72" i="18"/>
  <c r="D71" i="18"/>
  <c r="D70" i="18"/>
  <c r="D69" i="18"/>
  <c r="D68" i="18"/>
  <c r="D67" i="18"/>
  <c r="D66" i="18"/>
  <c r="D65" i="18"/>
  <c r="D64" i="18"/>
  <c r="D41" i="18"/>
  <c r="D40" i="18"/>
  <c r="D39" i="18"/>
  <c r="D38" i="18"/>
  <c r="D37" i="18"/>
  <c r="D36" i="18"/>
  <c r="D35" i="18"/>
  <c r="D34" i="18"/>
  <c r="D33" i="18"/>
  <c r="D32" i="18"/>
  <c r="G514" i="7942"/>
  <c r="G650" i="18" s="1"/>
  <c r="G188" i="7941" s="1"/>
  <c r="G515" i="7942"/>
  <c r="G651" i="18" s="1"/>
  <c r="G189" i="7941" s="1"/>
  <c r="G516" i="7942"/>
  <c r="G652" i="18" s="1"/>
  <c r="G190" i="7941" s="1"/>
  <c r="G517" i="7942"/>
  <c r="G653" i="18" s="1"/>
  <c r="G191" i="7941" s="1"/>
  <c r="G518" i="7942"/>
  <c r="G654" i="18" s="1"/>
  <c r="G192" i="7941" s="1"/>
  <c r="G519" i="7942"/>
  <c r="G655" i="18" s="1"/>
  <c r="G193" i="7941" s="1"/>
  <c r="G520" i="7942"/>
  <c r="G656" i="18" s="1"/>
  <c r="G194" i="7941" s="1"/>
  <c r="G521" i="7942"/>
  <c r="G657" i="18" s="1"/>
  <c r="G195" i="7941" s="1"/>
  <c r="G522" i="7942"/>
  <c r="G658" i="18" s="1"/>
  <c r="G196" i="7941" s="1"/>
  <c r="G523" i="7942"/>
  <c r="G659" i="18" s="1"/>
  <c r="G197" i="7941" s="1"/>
  <c r="C523" i="7942"/>
  <c r="C522" i="7942"/>
  <c r="C521" i="7942"/>
  <c r="C520" i="7942"/>
  <c r="C519" i="7942"/>
  <c r="C518" i="7942"/>
  <c r="C517" i="7942"/>
  <c r="C516" i="7942"/>
  <c r="C515" i="7942"/>
  <c r="C514" i="7942"/>
  <c r="G513" i="7942"/>
  <c r="G649" i="18" s="1"/>
  <c r="G187" i="7941" s="1"/>
  <c r="C513" i="7942"/>
  <c r="G354" i="7942"/>
  <c r="G386" i="7942"/>
  <c r="G782" i="18" s="1"/>
  <c r="G448" i="7941" s="1"/>
  <c r="G418" i="7942"/>
  <c r="G554" i="18" s="1"/>
  <c r="G92" i="7941" s="1"/>
  <c r="G450" i="7942"/>
  <c r="G586" i="18" s="1"/>
  <c r="G482" i="7942"/>
  <c r="G462" i="7942"/>
  <c r="G858" i="18" s="1"/>
  <c r="G524" i="7941" s="1"/>
  <c r="G463" i="7942"/>
  <c r="G859" i="18" s="1"/>
  <c r="G525" i="7941" s="1"/>
  <c r="G400" i="7942"/>
  <c r="G536" i="18" s="1"/>
  <c r="G74" i="7941" s="1"/>
  <c r="G432" i="7942"/>
  <c r="G828" i="18" s="1"/>
  <c r="G494" i="7941" s="1"/>
  <c r="G464" i="7942"/>
  <c r="G860" i="18" s="1"/>
  <c r="G337" i="7942"/>
  <c r="G369" i="7942"/>
  <c r="G401" i="7942"/>
  <c r="G797" i="18" s="1"/>
  <c r="G463" i="7941" s="1"/>
  <c r="G433" i="7942"/>
  <c r="G829" i="18" s="1"/>
  <c r="G465" i="7942"/>
  <c r="G497" i="7942"/>
  <c r="G633" i="18" s="1"/>
  <c r="G171" i="7941" s="1"/>
  <c r="G338" i="7942"/>
  <c r="G370" i="7942"/>
  <c r="G766" i="18" s="1"/>
  <c r="G432" i="7941" s="1"/>
  <c r="G402" i="7942"/>
  <c r="G434" i="7942"/>
  <c r="G570" i="18" s="1"/>
  <c r="G108" i="7941" s="1"/>
  <c r="G466" i="7942"/>
  <c r="G498" i="7942"/>
  <c r="G634" i="18" s="1"/>
  <c r="G172" i="7941" s="1"/>
  <c r="G339" i="7942"/>
  <c r="G371" i="7942"/>
  <c r="G507" i="18" s="1"/>
  <c r="G45" i="7941" s="1"/>
  <c r="G403" i="7942"/>
  <c r="G539" i="18" s="1"/>
  <c r="G77" i="7941" s="1"/>
  <c r="G435" i="7942"/>
  <c r="G571" i="18" s="1"/>
  <c r="G109" i="7941" s="1"/>
  <c r="G467" i="7942"/>
  <c r="G863" i="18" s="1"/>
  <c r="G529" i="7941" s="1"/>
  <c r="G499" i="7942"/>
  <c r="G635" i="18" s="1"/>
  <c r="G173" i="7941" s="1"/>
  <c r="G340" i="7942"/>
  <c r="G372" i="7942"/>
  <c r="G768" i="18" s="1"/>
  <c r="G434" i="7941" s="1"/>
  <c r="G404" i="7942"/>
  <c r="G800" i="18" s="1"/>
  <c r="G466" i="7941" s="1"/>
  <c r="G436" i="7942"/>
  <c r="G468" i="7942"/>
  <c r="G864" i="18" s="1"/>
  <c r="G530" i="7941" s="1"/>
  <c r="G500" i="7942"/>
  <c r="G636" i="18" s="1"/>
  <c r="G174" i="7941" s="1"/>
  <c r="G341" i="7942"/>
  <c r="G373" i="7942"/>
  <c r="G769" i="18" s="1"/>
  <c r="G435" i="7941" s="1"/>
  <c r="G405" i="7942"/>
  <c r="G437" i="7942"/>
  <c r="G833" i="18" s="1"/>
  <c r="G469" i="7942"/>
  <c r="G865" i="18" s="1"/>
  <c r="G531" i="7941" s="1"/>
  <c r="G501" i="7942"/>
  <c r="G637" i="18" s="1"/>
  <c r="G175" i="7941" s="1"/>
  <c r="G342" i="7942"/>
  <c r="G374" i="7942"/>
  <c r="G406" i="7942"/>
  <c r="G802" i="18" s="1"/>
  <c r="G468" i="7941" s="1"/>
  <c r="G438" i="7942"/>
  <c r="G470" i="7942"/>
  <c r="G866" i="18" s="1"/>
  <c r="G532" i="7941" s="1"/>
  <c r="G502" i="7942"/>
  <c r="G638" i="18" s="1"/>
  <c r="G176" i="7941" s="1"/>
  <c r="G343" i="7942"/>
  <c r="G375" i="7942"/>
  <c r="G771" i="18" s="1"/>
  <c r="G437" i="7941" s="1"/>
  <c r="G407" i="7942"/>
  <c r="G543" i="18" s="1"/>
  <c r="G81" i="7941" s="1"/>
  <c r="G439" i="7942"/>
  <c r="G835" i="18" s="1"/>
  <c r="G501" i="7941" s="1"/>
  <c r="G471" i="7942"/>
  <c r="G867" i="18" s="1"/>
  <c r="G533" i="7941" s="1"/>
  <c r="G503" i="7942"/>
  <c r="G639" i="18" s="1"/>
  <c r="G177" i="7941" s="1"/>
  <c r="G344" i="7942"/>
  <c r="G376" i="7942"/>
  <c r="G512" i="18" s="1"/>
  <c r="G408" i="7942"/>
  <c r="G544" i="18" s="1"/>
  <c r="G82" i="7941" s="1"/>
  <c r="G440" i="7942"/>
  <c r="G836" i="18" s="1"/>
  <c r="G502" i="7941" s="1"/>
  <c r="G472" i="7942"/>
  <c r="G868" i="18" s="1"/>
  <c r="G534" i="7941" s="1"/>
  <c r="G504" i="7942"/>
  <c r="G640" i="18" s="1"/>
  <c r="G178" i="7941" s="1"/>
  <c r="G345" i="7942"/>
  <c r="G377" i="7942"/>
  <c r="G773" i="18" s="1"/>
  <c r="G439" i="7941" s="1"/>
  <c r="G409" i="7942"/>
  <c r="G545" i="18" s="1"/>
  <c r="G83" i="7941" s="1"/>
  <c r="G441" i="7942"/>
  <c r="G837" i="18" s="1"/>
  <c r="G473" i="7942"/>
  <c r="G609" i="18" s="1"/>
  <c r="G147" i="7941" s="1"/>
  <c r="G505" i="7942"/>
  <c r="G641" i="18" s="1"/>
  <c r="G179" i="7941" s="1"/>
  <c r="G346" i="7942"/>
  <c r="G378" i="7942"/>
  <c r="G774" i="18" s="1"/>
  <c r="G440" i="7941" s="1"/>
  <c r="G410" i="7942"/>
  <c r="G546" i="18" s="1"/>
  <c r="G84" i="7941" s="1"/>
  <c r="G442" i="7942"/>
  <c r="G838" i="18" s="1"/>
  <c r="G474" i="7942"/>
  <c r="G506" i="7942"/>
  <c r="G642" i="18" s="1"/>
  <c r="G180" i="7941" s="1"/>
  <c r="G347" i="7942"/>
  <c r="G379" i="7942"/>
  <c r="G411" i="7942"/>
  <c r="G443" i="7942"/>
  <c r="G839" i="18" s="1"/>
  <c r="G505" i="7941" s="1"/>
  <c r="G475" i="7942"/>
  <c r="G507" i="7942"/>
  <c r="G643" i="18" s="1"/>
  <c r="G181" i="7941" s="1"/>
  <c r="G348" i="7942"/>
  <c r="G380" i="7942"/>
  <c r="G516" i="18" s="1"/>
  <c r="G412" i="7942"/>
  <c r="G548" i="18" s="1"/>
  <c r="G86" i="7941" s="1"/>
  <c r="G444" i="7942"/>
  <c r="G476" i="7942"/>
  <c r="G612" i="18" s="1"/>
  <c r="G150" i="7941" s="1"/>
  <c r="G508" i="7942"/>
  <c r="G644" i="18" s="1"/>
  <c r="G182" i="7941" s="1"/>
  <c r="G349" i="7942"/>
  <c r="G381" i="7942"/>
  <c r="G413" i="7942"/>
  <c r="G549" i="18" s="1"/>
  <c r="G87" i="7941" s="1"/>
  <c r="G445" i="7942"/>
  <c r="G581" i="18" s="1"/>
  <c r="G477" i="7942"/>
  <c r="G873" i="18" s="1"/>
  <c r="G539" i="7941" s="1"/>
  <c r="G509" i="7942"/>
  <c r="G645" i="18" s="1"/>
  <c r="G183" i="7941" s="1"/>
  <c r="G350" i="7942"/>
  <c r="G382" i="7942"/>
  <c r="G778" i="18" s="1"/>
  <c r="G444" i="7941" s="1"/>
  <c r="G414" i="7942"/>
  <c r="G446" i="7942"/>
  <c r="G582" i="18" s="1"/>
  <c r="G120" i="7941" s="1"/>
  <c r="G478" i="7942"/>
  <c r="G614" i="18" s="1"/>
  <c r="G152" i="7941" s="1"/>
  <c r="G510" i="7942"/>
  <c r="G646" i="18" s="1"/>
  <c r="G184" i="7941" s="1"/>
  <c r="G351" i="7942"/>
  <c r="G383" i="7942"/>
  <c r="G519" i="18" s="1"/>
  <c r="G57" i="7941" s="1"/>
  <c r="G415" i="7942"/>
  <c r="G811" i="18" s="1"/>
  <c r="G477" i="7941" s="1"/>
  <c r="G447" i="7942"/>
  <c r="G843" i="18" s="1"/>
  <c r="G509" i="7941" s="1"/>
  <c r="G479" i="7942"/>
  <c r="G615" i="18" s="1"/>
  <c r="G153" i="7941" s="1"/>
  <c r="G511" i="7942"/>
  <c r="G647" i="18" s="1"/>
  <c r="G185" i="7941" s="1"/>
  <c r="G352" i="7942"/>
  <c r="G384" i="7942"/>
  <c r="G416" i="7942"/>
  <c r="G812" i="18" s="1"/>
  <c r="G478" i="7941" s="1"/>
  <c r="G448" i="7942"/>
  <c r="G844" i="18" s="1"/>
  <c r="G510" i="7941" s="1"/>
  <c r="G480" i="7942"/>
  <c r="G876" i="18" s="1"/>
  <c r="G542" i="7941" s="1"/>
  <c r="G512" i="7942"/>
  <c r="G648" i="18" s="1"/>
  <c r="G186" i="7941" s="1"/>
  <c r="G353" i="7942"/>
  <c r="G385" i="7942"/>
  <c r="G417" i="7942"/>
  <c r="G553" i="18" s="1"/>
  <c r="G91" i="7941" s="1"/>
  <c r="G449" i="7942"/>
  <c r="G845" i="18" s="1"/>
  <c r="G481" i="7942"/>
  <c r="G877" i="18" s="1"/>
  <c r="G543" i="7941" s="1"/>
  <c r="G363" i="7942"/>
  <c r="G395" i="7942"/>
  <c r="G791" i="18" s="1"/>
  <c r="G457" i="7941" s="1"/>
  <c r="G427" i="7942"/>
  <c r="G563" i="18" s="1"/>
  <c r="G101" i="7941" s="1"/>
  <c r="G459" i="7942"/>
  <c r="G855" i="18" s="1"/>
  <c r="G521" i="7941" s="1"/>
  <c r="G491" i="7942"/>
  <c r="G627" i="18" s="1"/>
  <c r="G165" i="7941" s="1"/>
  <c r="G359" i="7942"/>
  <c r="G391" i="7942"/>
  <c r="G527" i="18" s="1"/>
  <c r="G65" i="7941" s="1"/>
  <c r="G423" i="7942"/>
  <c r="G819" i="18" s="1"/>
  <c r="G455" i="7942"/>
  <c r="G851" i="18" s="1"/>
  <c r="G487" i="7942"/>
  <c r="G883" i="18" s="1"/>
  <c r="G549" i="7941" s="1"/>
  <c r="G358" i="7942"/>
  <c r="G390" i="7942"/>
  <c r="G786" i="18" s="1"/>
  <c r="G452" i="7941" s="1"/>
  <c r="G422" i="7942"/>
  <c r="G558" i="18" s="1"/>
  <c r="G96" i="7941" s="1"/>
  <c r="G454" i="7942"/>
  <c r="G486" i="7942"/>
  <c r="G882" i="18" s="1"/>
  <c r="G357" i="7942"/>
  <c r="G389" i="7942"/>
  <c r="G525" i="18" s="1"/>
  <c r="G63" i="7941" s="1"/>
  <c r="G421" i="7942"/>
  <c r="G817" i="18" s="1"/>
  <c r="G483" i="7941" s="1"/>
  <c r="G453" i="7942"/>
  <c r="G849" i="18" s="1"/>
  <c r="G515" i="7941" s="1"/>
  <c r="G485" i="7942"/>
  <c r="G881" i="18" s="1"/>
  <c r="G547" i="7941" s="1"/>
  <c r="G356" i="7942"/>
  <c r="G388" i="7942"/>
  <c r="G524" i="18" s="1"/>
  <c r="G62" i="7941" s="1"/>
  <c r="G420" i="7942"/>
  <c r="G556" i="18" s="1"/>
  <c r="G452" i="7942"/>
  <c r="G848" i="18" s="1"/>
  <c r="G514" i="7941" s="1"/>
  <c r="G484" i="7942"/>
  <c r="G620" i="18" s="1"/>
  <c r="G158" i="7941" s="1"/>
  <c r="G355" i="7942"/>
  <c r="G387" i="7942"/>
  <c r="G783" i="18" s="1"/>
  <c r="G419" i="7942"/>
  <c r="G815" i="18" s="1"/>
  <c r="G481" i="7941" s="1"/>
  <c r="G451" i="7942"/>
  <c r="G847" i="18" s="1"/>
  <c r="G513" i="7941" s="1"/>
  <c r="G483" i="7942"/>
  <c r="G360" i="7942"/>
  <c r="G392" i="7942"/>
  <c r="G788" i="18" s="1"/>
  <c r="G454" i="7941" s="1"/>
  <c r="G424" i="7942"/>
  <c r="G456" i="7942"/>
  <c r="G592" i="18" s="1"/>
  <c r="G130" i="7941" s="1"/>
  <c r="G488" i="7942"/>
  <c r="G884" i="18" s="1"/>
  <c r="G361" i="7942"/>
  <c r="G393" i="7942"/>
  <c r="G789" i="18" s="1"/>
  <c r="G455" i="7941" s="1"/>
  <c r="G425" i="7942"/>
  <c r="G457" i="7942"/>
  <c r="G853" i="18" s="1"/>
  <c r="G489" i="7942"/>
  <c r="G885" i="18" s="1"/>
  <c r="G551" i="7941" s="1"/>
  <c r="G362" i="7942"/>
  <c r="G394" i="7942"/>
  <c r="G790" i="18" s="1"/>
  <c r="G456" i="7941" s="1"/>
  <c r="G426" i="7942"/>
  <c r="G562" i="18" s="1"/>
  <c r="G458" i="7942"/>
  <c r="G854" i="18" s="1"/>
  <c r="G520" i="7941" s="1"/>
  <c r="G490" i="7942"/>
  <c r="G886" i="18" s="1"/>
  <c r="G552" i="7941" s="1"/>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63" i="7942"/>
  <c r="C362" i="7942"/>
  <c r="C361" i="7942"/>
  <c r="C360" i="7942"/>
  <c r="C359" i="7942"/>
  <c r="C358" i="7942"/>
  <c r="C357" i="7942"/>
  <c r="C356" i="7942"/>
  <c r="C355" i="7942"/>
  <c r="C354" i="7942"/>
  <c r="C395" i="7942"/>
  <c r="C394" i="7942"/>
  <c r="C393" i="7942"/>
  <c r="C392" i="7942"/>
  <c r="C391" i="7942"/>
  <c r="C390" i="7942"/>
  <c r="C389" i="7942"/>
  <c r="C388" i="7942"/>
  <c r="C387" i="7942"/>
  <c r="C386" i="7942"/>
  <c r="C385" i="7942"/>
  <c r="G208" i="7942"/>
  <c r="G176" i="7942"/>
  <c r="G209" i="7942"/>
  <c r="G177" i="7942"/>
  <c r="G210" i="7942"/>
  <c r="G178" i="7942"/>
  <c r="G211" i="7942"/>
  <c r="G179" i="7942"/>
  <c r="G212" i="7942"/>
  <c r="G180" i="7942"/>
  <c r="G213" i="7942"/>
  <c r="G181" i="7942"/>
  <c r="G214" i="7942"/>
  <c r="G182" i="7942"/>
  <c r="G215" i="7942"/>
  <c r="G183" i="7942"/>
  <c r="G216" i="7942"/>
  <c r="G184" i="7942"/>
  <c r="G217" i="7942"/>
  <c r="G185" i="7942"/>
  <c r="G218" i="7942"/>
  <c r="G186" i="7942"/>
  <c r="G219" i="7942"/>
  <c r="G187" i="7942"/>
  <c r="G220" i="7942"/>
  <c r="G188" i="7942"/>
  <c r="G221" i="7942"/>
  <c r="G189" i="7942"/>
  <c r="G222" i="7942"/>
  <c r="G190" i="7942"/>
  <c r="G223" i="7942"/>
  <c r="G191" i="7942"/>
  <c r="G224" i="7942"/>
  <c r="G192" i="7942"/>
  <c r="G225" i="7942"/>
  <c r="G193" i="7942"/>
  <c r="G226" i="7942"/>
  <c r="G194" i="7942"/>
  <c r="G227" i="7942"/>
  <c r="G195" i="7942"/>
  <c r="G228" i="7942"/>
  <c r="G196" i="7942"/>
  <c r="G229" i="7942"/>
  <c r="G261" i="7942" s="1"/>
  <c r="G197" i="7942"/>
  <c r="G230" i="7942"/>
  <c r="G198" i="7942"/>
  <c r="G231" i="7942"/>
  <c r="G199" i="7942"/>
  <c r="G232" i="7942"/>
  <c r="G200" i="7942"/>
  <c r="G233" i="7942"/>
  <c r="G201" i="7942"/>
  <c r="G234" i="7942"/>
  <c r="G202"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G15" i="7942"/>
  <c r="G16" i="7942"/>
  <c r="G17" i="7942"/>
  <c r="G18" i="7942"/>
  <c r="G19" i="7942"/>
  <c r="G20" i="7942"/>
  <c r="G21" i="7942"/>
  <c r="G22" i="7942"/>
  <c r="G23" i="7942"/>
  <c r="G24" i="7942"/>
  <c r="G25" i="7942"/>
  <c r="G26" i="7942"/>
  <c r="G27" i="7942"/>
  <c r="G28" i="7942"/>
  <c r="G29" i="7942"/>
  <c r="G30" i="7942"/>
  <c r="G31" i="7942"/>
  <c r="G32" i="7942"/>
  <c r="G33" i="7942"/>
  <c r="G34" i="7942"/>
  <c r="G35" i="7942"/>
  <c r="G36" i="7942"/>
  <c r="G37" i="7942"/>
  <c r="G38" i="7942"/>
  <c r="G39" i="7942"/>
  <c r="G40" i="7942"/>
  <c r="G41"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F240" i="1"/>
  <c r="F239" i="1"/>
  <c r="F238" i="1"/>
  <c r="F237" i="1"/>
  <c r="F234" i="1"/>
  <c r="F235" i="1"/>
  <c r="F236" i="1"/>
  <c r="F233" i="1"/>
  <c r="F232" i="1"/>
  <c r="F231" i="1"/>
  <c r="M207" i="1"/>
  <c r="H207" i="1"/>
  <c r="I207" i="1"/>
  <c r="J207" i="1"/>
  <c r="K207" i="1"/>
  <c r="L207" i="1"/>
  <c r="N207" i="1"/>
  <c r="O207" i="1"/>
  <c r="P207" i="1"/>
  <c r="Q207" i="1"/>
  <c r="G207" i="1"/>
  <c r="F206" i="1"/>
  <c r="F205" i="1"/>
  <c r="F204" i="1"/>
  <c r="F203" i="1"/>
  <c r="F202" i="1"/>
  <c r="F201" i="1"/>
  <c r="F200" i="1"/>
  <c r="F199" i="1"/>
  <c r="F198" i="1"/>
  <c r="F197" i="1"/>
  <c r="N173" i="1"/>
  <c r="M173" i="1"/>
  <c r="H173" i="1"/>
  <c r="I173" i="1"/>
  <c r="J173" i="1"/>
  <c r="K173" i="1"/>
  <c r="L173" i="1"/>
  <c r="O173" i="1"/>
  <c r="P173" i="1"/>
  <c r="Q173" i="1"/>
  <c r="G173" i="1"/>
  <c r="F172" i="1"/>
  <c r="F171" i="1"/>
  <c r="F170" i="1"/>
  <c r="F169" i="1"/>
  <c r="F168" i="1"/>
  <c r="F167" i="1"/>
  <c r="F166" i="1"/>
  <c r="F165" i="1"/>
  <c r="F164" i="1"/>
  <c r="F163" i="1"/>
  <c r="F138" i="1"/>
  <c r="F137" i="1"/>
  <c r="F136" i="1"/>
  <c r="F135" i="1"/>
  <c r="F134" i="1"/>
  <c r="F133" i="1"/>
  <c r="F132" i="1"/>
  <c r="F131" i="1"/>
  <c r="F130" i="1"/>
  <c r="F129" i="1"/>
  <c r="M105" i="1"/>
  <c r="N105" i="1"/>
  <c r="O105" i="1"/>
  <c r="P105" i="1"/>
  <c r="Q105" i="1"/>
  <c r="H105" i="1"/>
  <c r="I105" i="1"/>
  <c r="J105" i="1"/>
  <c r="K105" i="1"/>
  <c r="L105" i="1"/>
  <c r="G105" i="1"/>
  <c r="F104" i="1"/>
  <c r="F103" i="1"/>
  <c r="F102" i="1"/>
  <c r="F101" i="1"/>
  <c r="F100" i="1"/>
  <c r="F99" i="1"/>
  <c r="F98" i="1"/>
  <c r="F97" i="1"/>
  <c r="F96" i="1"/>
  <c r="F95" i="1"/>
  <c r="M71" i="1"/>
  <c r="N71" i="1"/>
  <c r="O71" i="1"/>
  <c r="P71" i="1"/>
  <c r="Q71" i="1"/>
  <c r="L71" i="1"/>
  <c r="K71" i="1"/>
  <c r="J71" i="1"/>
  <c r="I71" i="1"/>
  <c r="H71" i="1"/>
  <c r="G71" i="1"/>
  <c r="F70" i="1"/>
  <c r="F69" i="1"/>
  <c r="F68" i="1"/>
  <c r="F67" i="1"/>
  <c r="F66" i="1"/>
  <c r="F65" i="1"/>
  <c r="F64" i="1"/>
  <c r="F63" i="1"/>
  <c r="F62" i="1"/>
  <c r="F61" i="1"/>
  <c r="F60" i="1"/>
  <c r="R37" i="1"/>
  <c r="Q37" i="1"/>
  <c r="P37" i="1"/>
  <c r="O37" i="1"/>
  <c r="N37" i="1"/>
  <c r="M37" i="1"/>
  <c r="J37" i="1"/>
  <c r="E2" i="7946"/>
  <c r="B2" i="7945"/>
  <c r="B2" i="7944"/>
  <c r="C2" i="7941"/>
  <c r="C2" i="18"/>
  <c r="B2" i="7942"/>
  <c r="F2" i="1"/>
  <c r="H40" i="1"/>
  <c r="I40" i="1" s="1"/>
  <c r="I4" i="7942" s="1"/>
  <c r="Q328" i="7944"/>
  <c r="P327" i="7944"/>
  <c r="Q327" i="7944"/>
  <c r="O326" i="7944"/>
  <c r="P326" i="7944"/>
  <c r="Q326" i="7944"/>
  <c r="N325" i="7944"/>
  <c r="O325" i="7944"/>
  <c r="P325" i="7944"/>
  <c r="Q325" i="7944"/>
  <c r="M324" i="7944"/>
  <c r="N324" i="7944"/>
  <c r="O324" i="7944"/>
  <c r="P324" i="7944"/>
  <c r="Q324" i="7944"/>
  <c r="M323" i="7944"/>
  <c r="N323" i="7944"/>
  <c r="O323" i="7944"/>
  <c r="P323" i="7944"/>
  <c r="Q323" i="7944"/>
  <c r="M322" i="7944"/>
  <c r="N322" i="7944"/>
  <c r="O322" i="7944"/>
  <c r="P322" i="7944"/>
  <c r="Q322" i="7944"/>
  <c r="M321" i="7944"/>
  <c r="N321" i="7944"/>
  <c r="O321" i="7944"/>
  <c r="P321" i="7944"/>
  <c r="Q321" i="7944"/>
  <c r="Q329" i="7944"/>
  <c r="P328" i="7944"/>
  <c r="O327" i="7944"/>
  <c r="N326" i="7944"/>
  <c r="M325" i="7944"/>
  <c r="Q315" i="7944"/>
  <c r="P314" i="7944"/>
  <c r="Q314" i="7944"/>
  <c r="O313" i="7944"/>
  <c r="P313" i="7944"/>
  <c r="Q313" i="7944"/>
  <c r="N312" i="7944"/>
  <c r="O312" i="7944"/>
  <c r="P312" i="7944"/>
  <c r="M311" i="7944"/>
  <c r="N311" i="7944"/>
  <c r="O311" i="7944"/>
  <c r="M310" i="7944"/>
  <c r="N310" i="7944"/>
  <c r="M309" i="7944"/>
  <c r="Q316" i="7944"/>
  <c r="P315" i="7944"/>
  <c r="O314" i="7944"/>
  <c r="N313" i="7944"/>
  <c r="M312" i="7944"/>
  <c r="Q302" i="7944"/>
  <c r="P301" i="7944"/>
  <c r="Q301" i="7944"/>
  <c r="O300" i="7944"/>
  <c r="P300" i="7944"/>
  <c r="Q300" i="7944"/>
  <c r="N299" i="7944"/>
  <c r="O299" i="7944"/>
  <c r="P299" i="7944"/>
  <c r="Q299" i="7944"/>
  <c r="M298" i="7944"/>
  <c r="N298" i="7944"/>
  <c r="O298" i="7944"/>
  <c r="P298" i="7944"/>
  <c r="Q298" i="7944"/>
  <c r="M297" i="7944"/>
  <c r="N297" i="7944"/>
  <c r="O297" i="7944"/>
  <c r="P297" i="7944"/>
  <c r="Q297" i="7944"/>
  <c r="M296" i="7944"/>
  <c r="N296" i="7944"/>
  <c r="O296" i="7944"/>
  <c r="P296" i="7944"/>
  <c r="Q296" i="7944"/>
  <c r="M295" i="7944"/>
  <c r="N295" i="7944"/>
  <c r="O295" i="7944"/>
  <c r="P295" i="7944"/>
  <c r="Q295" i="7944"/>
  <c r="Q303" i="7944"/>
  <c r="P302" i="7944"/>
  <c r="O301" i="7944"/>
  <c r="N300" i="7944"/>
  <c r="M299" i="7944"/>
  <c r="Q289" i="7944"/>
  <c r="P288" i="7944"/>
  <c r="Q288" i="7944"/>
  <c r="O287" i="7944"/>
  <c r="P287" i="7944"/>
  <c r="Q287" i="7944"/>
  <c r="N286" i="7944"/>
  <c r="O286" i="7944"/>
  <c r="P286" i="7944"/>
  <c r="M285" i="7944"/>
  <c r="N285" i="7944"/>
  <c r="O285" i="7944"/>
  <c r="M284" i="7944"/>
  <c r="N284" i="7944"/>
  <c r="M283" i="7944"/>
  <c r="Q290" i="7944"/>
  <c r="P289" i="7944"/>
  <c r="O288" i="7944"/>
  <c r="N287" i="7944"/>
  <c r="M286" i="7944"/>
  <c r="Q276" i="7944"/>
  <c r="P275" i="7944"/>
  <c r="Q275" i="7944"/>
  <c r="O274" i="7944"/>
  <c r="P274" i="7944"/>
  <c r="Q274" i="7944"/>
  <c r="N273" i="7944"/>
  <c r="O273" i="7944"/>
  <c r="P273" i="7944"/>
  <c r="Q273" i="7944"/>
  <c r="M272" i="7944"/>
  <c r="N272" i="7944"/>
  <c r="O272" i="7944"/>
  <c r="P272" i="7944"/>
  <c r="Q272" i="7944"/>
  <c r="M271" i="7944"/>
  <c r="N271" i="7944"/>
  <c r="O271" i="7944"/>
  <c r="P271" i="7944"/>
  <c r="Q271" i="7944"/>
  <c r="M270" i="7944"/>
  <c r="N270" i="7944"/>
  <c r="O270" i="7944"/>
  <c r="P270" i="7944"/>
  <c r="Q270" i="7944"/>
  <c r="M269" i="7944"/>
  <c r="N269" i="7944"/>
  <c r="O269" i="7944"/>
  <c r="P269" i="7944"/>
  <c r="Q269" i="7944"/>
  <c r="Q277" i="7944"/>
  <c r="P276" i="7944"/>
  <c r="O275" i="7944"/>
  <c r="N274" i="7944"/>
  <c r="M273" i="7944"/>
  <c r="Q263" i="7944"/>
  <c r="P262" i="7944"/>
  <c r="Q262" i="7944"/>
  <c r="O261" i="7944"/>
  <c r="P261" i="7944"/>
  <c r="Q261" i="7944"/>
  <c r="N260" i="7944"/>
  <c r="O260" i="7944"/>
  <c r="P260" i="7944"/>
  <c r="Q260" i="7944"/>
  <c r="M259" i="7944"/>
  <c r="N259" i="7944"/>
  <c r="O259" i="7944"/>
  <c r="P259" i="7944"/>
  <c r="Q259" i="7944"/>
  <c r="M258" i="7944"/>
  <c r="N258" i="7944"/>
  <c r="O258" i="7944"/>
  <c r="P258" i="7944"/>
  <c r="Q258" i="7944"/>
  <c r="M257" i="7944"/>
  <c r="N257" i="7944"/>
  <c r="O257" i="7944"/>
  <c r="P257" i="7944"/>
  <c r="Q257" i="7944"/>
  <c r="M256" i="7944"/>
  <c r="N256" i="7944"/>
  <c r="O256" i="7944"/>
  <c r="P256" i="7944"/>
  <c r="Q256" i="7944"/>
  <c r="Q264" i="7944"/>
  <c r="P263" i="7944"/>
  <c r="O262" i="7944"/>
  <c r="N261" i="7944"/>
  <c r="M260" i="7944"/>
  <c r="Q250" i="7944"/>
  <c r="P249" i="7944"/>
  <c r="Q249" i="7944"/>
  <c r="O248" i="7944"/>
  <c r="P248" i="7944"/>
  <c r="Q248" i="7944"/>
  <c r="N247" i="7944"/>
  <c r="O247" i="7944"/>
  <c r="P247" i="7944"/>
  <c r="Q247" i="7944"/>
  <c r="M246" i="7944"/>
  <c r="N246" i="7944"/>
  <c r="O246" i="7944"/>
  <c r="P246" i="7944"/>
  <c r="Q246" i="7944"/>
  <c r="M245" i="7944"/>
  <c r="N245" i="7944"/>
  <c r="O245" i="7944"/>
  <c r="P245" i="7944"/>
  <c r="Q245" i="7944"/>
  <c r="M244" i="7944"/>
  <c r="N244" i="7944"/>
  <c r="O244" i="7944"/>
  <c r="P244" i="7944"/>
  <c r="Q244" i="7944"/>
  <c r="M243" i="7944"/>
  <c r="N243" i="7944"/>
  <c r="O243" i="7944"/>
  <c r="P243" i="7944"/>
  <c r="Q243" i="7944"/>
  <c r="Q251" i="7944"/>
  <c r="P250" i="7944"/>
  <c r="O249" i="7944"/>
  <c r="N248" i="7944"/>
  <c r="M247" i="7944"/>
  <c r="Q237" i="7944"/>
  <c r="P236" i="7944"/>
  <c r="Q236" i="7944"/>
  <c r="O235" i="7944"/>
  <c r="P235" i="7944"/>
  <c r="Q235" i="7944"/>
  <c r="N234" i="7944"/>
  <c r="O234" i="7944"/>
  <c r="P234" i="7944"/>
  <c r="Q234" i="7944"/>
  <c r="M233" i="7944"/>
  <c r="N233" i="7944"/>
  <c r="O233" i="7944"/>
  <c r="P233" i="7944"/>
  <c r="Q233" i="7944"/>
  <c r="M232" i="7944"/>
  <c r="N232" i="7944"/>
  <c r="O232" i="7944"/>
  <c r="P232" i="7944"/>
  <c r="Q232" i="7944"/>
  <c r="M231" i="7944"/>
  <c r="N231" i="7944"/>
  <c r="O231" i="7944"/>
  <c r="P231" i="7944"/>
  <c r="Q231" i="7944"/>
  <c r="M230" i="7944"/>
  <c r="N230" i="7944"/>
  <c r="O230" i="7944"/>
  <c r="P230" i="7944"/>
  <c r="Q230" i="7944"/>
  <c r="Q238" i="7944"/>
  <c r="P237" i="7944"/>
  <c r="O236" i="7944"/>
  <c r="N235" i="7944"/>
  <c r="M234" i="7944"/>
  <c r="Q224" i="7944"/>
  <c r="P223" i="7944"/>
  <c r="Q223" i="7944"/>
  <c r="O222" i="7944"/>
  <c r="P222" i="7944"/>
  <c r="Q222" i="7944"/>
  <c r="N221" i="7944"/>
  <c r="O221" i="7944"/>
  <c r="P221" i="7944"/>
  <c r="Q221" i="7944"/>
  <c r="M220" i="7944"/>
  <c r="N220" i="7944"/>
  <c r="O220" i="7944"/>
  <c r="P220" i="7944"/>
  <c r="Q220" i="7944"/>
  <c r="M219" i="7944"/>
  <c r="N219" i="7944"/>
  <c r="O219" i="7944"/>
  <c r="P219" i="7944"/>
  <c r="Q219" i="7944"/>
  <c r="M218" i="7944"/>
  <c r="N218" i="7944"/>
  <c r="O218" i="7944"/>
  <c r="P218" i="7944"/>
  <c r="Q218" i="7944"/>
  <c r="M217" i="7944"/>
  <c r="N217" i="7944"/>
  <c r="O217" i="7944"/>
  <c r="P217" i="7944"/>
  <c r="Q217" i="7944"/>
  <c r="Q225" i="7944"/>
  <c r="P224" i="7944"/>
  <c r="O223" i="7944"/>
  <c r="N222" i="7944"/>
  <c r="M221" i="7944"/>
  <c r="Q211" i="7944"/>
  <c r="P210" i="7944"/>
  <c r="Q210" i="7944"/>
  <c r="O209" i="7944"/>
  <c r="P209" i="7944"/>
  <c r="Q209" i="7944"/>
  <c r="N208" i="7944"/>
  <c r="O208" i="7944"/>
  <c r="P208" i="7944"/>
  <c r="Q208" i="7944"/>
  <c r="M207" i="7944"/>
  <c r="N207" i="7944"/>
  <c r="O207" i="7944"/>
  <c r="P207" i="7944"/>
  <c r="Q207" i="7944"/>
  <c r="M206" i="7944"/>
  <c r="N206" i="7944"/>
  <c r="O206" i="7944"/>
  <c r="P206" i="7944"/>
  <c r="Q206" i="7944"/>
  <c r="M205" i="7944"/>
  <c r="N205" i="7944"/>
  <c r="O205" i="7944"/>
  <c r="P205" i="7944"/>
  <c r="Q205" i="7944"/>
  <c r="M204" i="7944"/>
  <c r="N204" i="7944"/>
  <c r="O204" i="7944"/>
  <c r="P204" i="7944"/>
  <c r="Q204" i="7944"/>
  <c r="Q212" i="7944"/>
  <c r="P211" i="7944"/>
  <c r="O210" i="7944"/>
  <c r="N209" i="7944"/>
  <c r="M208" i="7944"/>
  <c r="Q198" i="7944"/>
  <c r="P197" i="7944"/>
  <c r="Q197" i="7944"/>
  <c r="O196" i="7944"/>
  <c r="P196" i="7944"/>
  <c r="Q196" i="7944"/>
  <c r="N195" i="7944"/>
  <c r="O195" i="7944"/>
  <c r="P195" i="7944"/>
  <c r="Q195" i="7944"/>
  <c r="M194" i="7944"/>
  <c r="N194" i="7944"/>
  <c r="O194" i="7944"/>
  <c r="P194" i="7944"/>
  <c r="Q194" i="7944"/>
  <c r="M193" i="7944"/>
  <c r="N193" i="7944"/>
  <c r="O193" i="7944"/>
  <c r="P193" i="7944"/>
  <c r="Q193" i="7944"/>
  <c r="M192" i="7944"/>
  <c r="N192" i="7944"/>
  <c r="O192" i="7944"/>
  <c r="P192" i="7944"/>
  <c r="Q192" i="7944"/>
  <c r="M191" i="7944"/>
  <c r="N191" i="7944"/>
  <c r="O191" i="7944"/>
  <c r="P191" i="7944"/>
  <c r="Q191" i="7944"/>
  <c r="Q199" i="7944"/>
  <c r="P198" i="7944"/>
  <c r="O197" i="7944"/>
  <c r="N196" i="7944"/>
  <c r="M195" i="7944"/>
  <c r="Q185" i="7944"/>
  <c r="P184" i="7944"/>
  <c r="Q184" i="7944"/>
  <c r="O183" i="7944"/>
  <c r="P183" i="7944"/>
  <c r="Q183" i="7944"/>
  <c r="N182" i="7944"/>
  <c r="O182" i="7944"/>
  <c r="P182" i="7944"/>
  <c r="Q182" i="7944"/>
  <c r="M181" i="7944"/>
  <c r="N181" i="7944"/>
  <c r="O181" i="7944"/>
  <c r="P181" i="7944"/>
  <c r="Q181" i="7944"/>
  <c r="M180" i="7944"/>
  <c r="N180" i="7944"/>
  <c r="O180" i="7944"/>
  <c r="P180" i="7944"/>
  <c r="Q180" i="7944"/>
  <c r="M179" i="7944"/>
  <c r="N179" i="7944"/>
  <c r="O179" i="7944"/>
  <c r="P179" i="7944"/>
  <c r="Q179" i="7944"/>
  <c r="M178" i="7944"/>
  <c r="N178" i="7944"/>
  <c r="O178" i="7944"/>
  <c r="P178" i="7944"/>
  <c r="Q178" i="7944"/>
  <c r="Q186" i="7944"/>
  <c r="P185" i="7944"/>
  <c r="O184" i="7944"/>
  <c r="N183" i="7944"/>
  <c r="M182" i="7944"/>
  <c r="Q172" i="7944"/>
  <c r="P171" i="7944"/>
  <c r="Q171" i="7944"/>
  <c r="O170" i="7944"/>
  <c r="P170" i="7944"/>
  <c r="Q170" i="7944"/>
  <c r="N169" i="7944"/>
  <c r="O169" i="7944"/>
  <c r="P169" i="7944"/>
  <c r="Q169" i="7944"/>
  <c r="M168" i="7944"/>
  <c r="N168" i="7944"/>
  <c r="O168" i="7944"/>
  <c r="P168" i="7944"/>
  <c r="Q168" i="7944"/>
  <c r="M167" i="7944"/>
  <c r="N167" i="7944"/>
  <c r="O167" i="7944"/>
  <c r="P167" i="7944"/>
  <c r="Q167" i="7944"/>
  <c r="M166" i="7944"/>
  <c r="N166" i="7944"/>
  <c r="O166" i="7944"/>
  <c r="P166" i="7944"/>
  <c r="Q166" i="7944"/>
  <c r="M165" i="7944"/>
  <c r="N165" i="7944"/>
  <c r="O165" i="7944"/>
  <c r="P165" i="7944"/>
  <c r="Q165" i="7944"/>
  <c r="Q173" i="7944"/>
  <c r="P172" i="7944"/>
  <c r="O171" i="7944"/>
  <c r="N170" i="7944"/>
  <c r="M169" i="7944"/>
  <c r="Q159" i="7944"/>
  <c r="P158" i="7944"/>
  <c r="Q158" i="7944"/>
  <c r="O157" i="7944"/>
  <c r="P157" i="7944"/>
  <c r="Q157" i="7944"/>
  <c r="N156" i="7944"/>
  <c r="O156" i="7944"/>
  <c r="P156" i="7944"/>
  <c r="Q156" i="7944"/>
  <c r="M155" i="7944"/>
  <c r="N155" i="7944"/>
  <c r="O155" i="7944"/>
  <c r="P155" i="7944"/>
  <c r="M154" i="7944"/>
  <c r="N154" i="7944"/>
  <c r="O154" i="7944"/>
  <c r="M153" i="7944"/>
  <c r="N153" i="7944"/>
  <c r="M152" i="7944"/>
  <c r="Q160" i="7944"/>
  <c r="P159" i="7944"/>
  <c r="O158" i="7944"/>
  <c r="N157" i="7944"/>
  <c r="M156" i="7944"/>
  <c r="Q146" i="7944"/>
  <c r="P145" i="7944"/>
  <c r="Q145" i="7944"/>
  <c r="O144" i="7944"/>
  <c r="P144" i="7944"/>
  <c r="N143" i="7944"/>
  <c r="O143" i="7944"/>
  <c r="M142" i="7944"/>
  <c r="N142" i="7944"/>
  <c r="M141" i="7944"/>
  <c r="Q147" i="7944"/>
  <c r="P146" i="7944"/>
  <c r="O145" i="7944"/>
  <c r="N144" i="7944"/>
  <c r="M143" i="7944"/>
  <c r="Q133" i="7944"/>
  <c r="P132" i="7944"/>
  <c r="Q132" i="7944"/>
  <c r="O131" i="7944"/>
  <c r="P131" i="7944"/>
  <c r="Q131" i="7944"/>
  <c r="N130" i="7944"/>
  <c r="O130" i="7944"/>
  <c r="P130" i="7944"/>
  <c r="Q130" i="7944"/>
  <c r="M129" i="7944"/>
  <c r="N129" i="7944"/>
  <c r="O129" i="7944"/>
  <c r="P129" i="7944"/>
  <c r="Q129" i="7944"/>
  <c r="M128" i="7944"/>
  <c r="N128" i="7944"/>
  <c r="O128" i="7944"/>
  <c r="P128" i="7944"/>
  <c r="Q128" i="7944"/>
  <c r="M127" i="7944"/>
  <c r="N127" i="7944"/>
  <c r="O127" i="7944"/>
  <c r="P127" i="7944"/>
  <c r="Q127" i="7944"/>
  <c r="M126" i="7944"/>
  <c r="N126" i="7944"/>
  <c r="O126" i="7944"/>
  <c r="P126" i="7944"/>
  <c r="Q126" i="7944"/>
  <c r="Q134" i="7944"/>
  <c r="P133" i="7944"/>
  <c r="O132" i="7944"/>
  <c r="N131" i="7944"/>
  <c r="M130" i="7944"/>
  <c r="Q120" i="7944"/>
  <c r="P119" i="7944"/>
  <c r="Q119" i="7944"/>
  <c r="O118" i="7944"/>
  <c r="P118" i="7944"/>
  <c r="Q118" i="7944"/>
  <c r="N117" i="7944"/>
  <c r="O117" i="7944"/>
  <c r="P117" i="7944"/>
  <c r="Q117" i="7944"/>
  <c r="M116" i="7944"/>
  <c r="N116" i="7944"/>
  <c r="O116" i="7944"/>
  <c r="P116" i="7944"/>
  <c r="Q116" i="7944"/>
  <c r="M115" i="7944"/>
  <c r="N115" i="7944"/>
  <c r="O115" i="7944"/>
  <c r="P115" i="7944"/>
  <c r="Q115" i="7944"/>
  <c r="M114" i="7944"/>
  <c r="N114" i="7944"/>
  <c r="O114" i="7944"/>
  <c r="P114" i="7944"/>
  <c r="Q114" i="7944"/>
  <c r="M113" i="7944"/>
  <c r="N113" i="7944"/>
  <c r="O113" i="7944"/>
  <c r="P113" i="7944"/>
  <c r="Q113" i="7944"/>
  <c r="Q121" i="7944"/>
  <c r="P120" i="7944"/>
  <c r="O119" i="7944"/>
  <c r="N118" i="7944"/>
  <c r="M117" i="7944"/>
  <c r="Q107" i="7944"/>
  <c r="P106" i="7944"/>
  <c r="Q106" i="7944"/>
  <c r="O105" i="7944"/>
  <c r="P105" i="7944"/>
  <c r="Q105" i="7944"/>
  <c r="N104" i="7944"/>
  <c r="O104" i="7944"/>
  <c r="P104" i="7944"/>
  <c r="Q104" i="7944"/>
  <c r="M103" i="7944"/>
  <c r="N103" i="7944"/>
  <c r="O103" i="7944"/>
  <c r="P103" i="7944"/>
  <c r="Q103" i="7944"/>
  <c r="M102" i="7944"/>
  <c r="N102" i="7944"/>
  <c r="O102" i="7944"/>
  <c r="P102" i="7944"/>
  <c r="Q102" i="7944"/>
  <c r="M101" i="7944"/>
  <c r="N101" i="7944"/>
  <c r="O101" i="7944"/>
  <c r="P101" i="7944"/>
  <c r="Q101" i="7944"/>
  <c r="M100" i="7944"/>
  <c r="N100" i="7944"/>
  <c r="O100" i="7944"/>
  <c r="P100" i="7944"/>
  <c r="Q100" i="7944"/>
  <c r="Q108" i="7944"/>
  <c r="P107" i="7944"/>
  <c r="O106" i="7944"/>
  <c r="N105" i="7944"/>
  <c r="M104" i="7944"/>
  <c r="K274" i="7945"/>
  <c r="K260" i="7945"/>
  <c r="K246" i="7945"/>
  <c r="K232" i="7945"/>
  <c r="K218" i="7945"/>
  <c r="K204" i="7945"/>
  <c r="K190" i="7945"/>
  <c r="K176" i="7945"/>
  <c r="K162" i="7945"/>
  <c r="K148" i="7945"/>
  <c r="K134" i="7945"/>
  <c r="K122" i="7945"/>
  <c r="K123" i="7945"/>
  <c r="K124" i="7945"/>
  <c r="K125" i="7945"/>
  <c r="K126" i="7945"/>
  <c r="K127" i="7945"/>
  <c r="K128" i="7945"/>
  <c r="K129" i="7945"/>
  <c r="K130" i="7945"/>
  <c r="K121" i="7945"/>
  <c r="K120" i="7945"/>
  <c r="K106" i="7945"/>
  <c r="K92" i="7945"/>
  <c r="K78" i="7945"/>
  <c r="K66" i="7945"/>
  <c r="K67" i="7945"/>
  <c r="K68" i="7945"/>
  <c r="K69" i="7945"/>
  <c r="K70" i="7945"/>
  <c r="K71" i="7945"/>
  <c r="K72" i="7945"/>
  <c r="K73" i="7945"/>
  <c r="K74" i="7945"/>
  <c r="K65" i="7945"/>
  <c r="K64" i="7945"/>
  <c r="K50" i="7945"/>
  <c r="E8" i="7946"/>
  <c r="E9" i="7946"/>
  <c r="E10" i="7946"/>
  <c r="E11" i="7946"/>
  <c r="E12" i="7946"/>
  <c r="E13" i="7946"/>
  <c r="E14" i="7946"/>
  <c r="E15" i="7946"/>
  <c r="E16" i="7946"/>
  <c r="E17" i="7946"/>
  <c r="E18" i="7946"/>
  <c r="E19" i="7946"/>
  <c r="E20" i="7946"/>
  <c r="E21" i="7946"/>
  <c r="E22" i="7946"/>
  <c r="E23" i="7946"/>
  <c r="E24" i="7946"/>
  <c r="E25" i="7946"/>
  <c r="E26" i="7946"/>
  <c r="G26" i="7946"/>
  <c r="G25" i="7946"/>
  <c r="G24" i="7946"/>
  <c r="G23" i="7946"/>
  <c r="G22" i="7946"/>
  <c r="G21" i="7946"/>
  <c r="G20" i="7946"/>
  <c r="G19" i="7946"/>
  <c r="G18" i="7946"/>
  <c r="G17" i="7946"/>
  <c r="G16" i="7946"/>
  <c r="G15" i="7946"/>
  <c r="G14" i="7946"/>
  <c r="G13" i="7946"/>
  <c r="G12" i="7946"/>
  <c r="G11" i="7946"/>
  <c r="G10" i="7946"/>
  <c r="G9" i="7946"/>
  <c r="G8" i="7946"/>
  <c r="G7" i="7946"/>
  <c r="E7" i="7946"/>
  <c r="H3" i="18"/>
  <c r="I3" i="18" s="1"/>
  <c r="F122" i="7945"/>
  <c r="F123" i="7945"/>
  <c r="F124" i="7945"/>
  <c r="F125" i="7945"/>
  <c r="F126" i="7945"/>
  <c r="F127" i="7945"/>
  <c r="F128" i="7945"/>
  <c r="F129" i="7945"/>
  <c r="F130" i="7945"/>
  <c r="F121" i="7945"/>
  <c r="F66" i="7945"/>
  <c r="F67" i="7945"/>
  <c r="F68" i="7945"/>
  <c r="F69" i="7945"/>
  <c r="F70" i="7945"/>
  <c r="F71" i="7945"/>
  <c r="F72" i="7945"/>
  <c r="F73" i="7945"/>
  <c r="F74" i="7945"/>
  <c r="F65" i="7945"/>
  <c r="F274" i="7945"/>
  <c r="F260" i="7945"/>
  <c r="F246" i="7945"/>
  <c r="F232" i="7945"/>
  <c r="F218" i="7945"/>
  <c r="F204" i="7945"/>
  <c r="F190" i="7945"/>
  <c r="F176" i="7945"/>
  <c r="F162" i="7945"/>
  <c r="F148" i="7945"/>
  <c r="F134" i="7945"/>
  <c r="F120" i="7945"/>
  <c r="F106" i="7945"/>
  <c r="F92" i="7945"/>
  <c r="F78" i="7945"/>
  <c r="F64" i="7945"/>
  <c r="F50"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M6" i="18"/>
  <c r="N6" i="18"/>
  <c r="O6" i="18"/>
  <c r="P6" i="18"/>
  <c r="Q6" i="18"/>
  <c r="D673" i="7941"/>
  <c r="D672" i="7941"/>
  <c r="D671" i="7941"/>
  <c r="D670" i="7941"/>
  <c r="D669" i="7941"/>
  <c r="D668" i="7941"/>
  <c r="D667" i="7941"/>
  <c r="D666" i="7941"/>
  <c r="D665" i="7941"/>
  <c r="D664" i="7941"/>
  <c r="D663" i="7941"/>
  <c r="D662" i="7941"/>
  <c r="D661" i="7941"/>
  <c r="D660" i="7941"/>
  <c r="D659" i="7941"/>
  <c r="D658" i="7941"/>
  <c r="D657" i="7941"/>
  <c r="D656" i="7941"/>
  <c r="D655" i="7941"/>
  <c r="D654" i="7941"/>
  <c r="D641" i="7941"/>
  <c r="D640" i="7941"/>
  <c r="D639" i="7941"/>
  <c r="D638" i="7941"/>
  <c r="D637" i="7941"/>
  <c r="D636" i="7941"/>
  <c r="D635" i="7941"/>
  <c r="D634" i="7941"/>
  <c r="D633" i="7941"/>
  <c r="D632" i="7941"/>
  <c r="D631" i="7941"/>
  <c r="D630" i="7941"/>
  <c r="D629" i="7941"/>
  <c r="D628" i="7941"/>
  <c r="D627" i="7941"/>
  <c r="D626" i="7941"/>
  <c r="D625" i="7941"/>
  <c r="D624" i="7941"/>
  <c r="D623" i="7941"/>
  <c r="D622" i="7941"/>
  <c r="D609" i="7941"/>
  <c r="D608" i="7941"/>
  <c r="D607" i="7941"/>
  <c r="D606" i="7941"/>
  <c r="D605" i="7941"/>
  <c r="D604" i="7941"/>
  <c r="D603" i="7941"/>
  <c r="D602" i="7941"/>
  <c r="D601" i="7941"/>
  <c r="D600" i="7941"/>
  <c r="D599" i="7941"/>
  <c r="D598" i="7941"/>
  <c r="D597" i="7941"/>
  <c r="D596" i="7941"/>
  <c r="D595" i="7941"/>
  <c r="D594" i="7941"/>
  <c r="D593" i="7941"/>
  <c r="D592" i="7941"/>
  <c r="D591" i="7941"/>
  <c r="D590" i="7941"/>
  <c r="D577" i="7941"/>
  <c r="D576" i="7941"/>
  <c r="D575" i="7941"/>
  <c r="D574" i="7941"/>
  <c r="D573" i="7941"/>
  <c r="D572" i="7941"/>
  <c r="D571" i="7941"/>
  <c r="D570" i="7941"/>
  <c r="D569" i="7941"/>
  <c r="D568" i="7941"/>
  <c r="D567" i="7941"/>
  <c r="D566" i="7941"/>
  <c r="D565" i="7941"/>
  <c r="D564" i="7941"/>
  <c r="D563" i="7941"/>
  <c r="D562" i="7941"/>
  <c r="D561" i="7941"/>
  <c r="D560" i="7941"/>
  <c r="D559" i="7941"/>
  <c r="D558" i="7941"/>
  <c r="D543" i="7941"/>
  <c r="D542" i="7941"/>
  <c r="D541" i="7941"/>
  <c r="D540" i="7941"/>
  <c r="D539" i="7941"/>
  <c r="D538" i="7941"/>
  <c r="D537" i="7941"/>
  <c r="D536" i="7941"/>
  <c r="D535" i="7941"/>
  <c r="D534" i="7941"/>
  <c r="D533" i="7941"/>
  <c r="D532" i="7941"/>
  <c r="D531" i="7941"/>
  <c r="D530" i="7941"/>
  <c r="D529" i="7941"/>
  <c r="D528" i="7941"/>
  <c r="D527" i="7941"/>
  <c r="D526" i="7941"/>
  <c r="D525" i="7941"/>
  <c r="D524" i="7941"/>
  <c r="D511" i="7941"/>
  <c r="D510" i="7941"/>
  <c r="D509" i="7941"/>
  <c r="D508" i="7941"/>
  <c r="D507" i="7941"/>
  <c r="D506" i="7941"/>
  <c r="D505" i="7941"/>
  <c r="D504" i="7941"/>
  <c r="D503" i="7941"/>
  <c r="D502" i="7941"/>
  <c r="D501" i="7941"/>
  <c r="D500" i="7941"/>
  <c r="D499" i="7941"/>
  <c r="D498" i="7941"/>
  <c r="D497" i="7941"/>
  <c r="D496" i="7941"/>
  <c r="D495" i="7941"/>
  <c r="D494" i="7941"/>
  <c r="D493" i="7941"/>
  <c r="D492" i="7941"/>
  <c r="D479" i="7941"/>
  <c r="D478" i="7941"/>
  <c r="D477" i="7941"/>
  <c r="D476" i="7941"/>
  <c r="D475" i="7941"/>
  <c r="D474" i="7941"/>
  <c r="D473" i="7941"/>
  <c r="D472" i="7941"/>
  <c r="D471" i="7941"/>
  <c r="D470" i="7941"/>
  <c r="D469" i="7941"/>
  <c r="D468" i="7941"/>
  <c r="D467" i="7941"/>
  <c r="D466" i="7941"/>
  <c r="D465" i="7941"/>
  <c r="D464" i="7941"/>
  <c r="D463" i="7941"/>
  <c r="D462" i="7941"/>
  <c r="D461" i="7941"/>
  <c r="D460" i="7941"/>
  <c r="D447" i="7941"/>
  <c r="D446" i="7941"/>
  <c r="D445" i="7941"/>
  <c r="D444" i="7941"/>
  <c r="D443" i="7941"/>
  <c r="D442" i="7941"/>
  <c r="D441" i="7941"/>
  <c r="D440" i="7941"/>
  <c r="D439" i="7941"/>
  <c r="D438" i="7941"/>
  <c r="D437" i="7941"/>
  <c r="D436" i="7941"/>
  <c r="D435" i="7941"/>
  <c r="D434" i="7941"/>
  <c r="D433" i="7941"/>
  <c r="D432" i="7941"/>
  <c r="D431" i="7941"/>
  <c r="D430" i="7941"/>
  <c r="D429" i="7941"/>
  <c r="D428" i="7941"/>
  <c r="D415" i="7941"/>
  <c r="D414" i="7941"/>
  <c r="D413" i="7941"/>
  <c r="D412" i="7941"/>
  <c r="D411" i="7941"/>
  <c r="D410" i="7941"/>
  <c r="D409" i="7941"/>
  <c r="D408" i="7941"/>
  <c r="D407" i="7941"/>
  <c r="D406" i="7941"/>
  <c r="D405" i="7941"/>
  <c r="D404" i="7941"/>
  <c r="D403" i="7941"/>
  <c r="D402" i="7941"/>
  <c r="D401" i="7941"/>
  <c r="D400" i="7941"/>
  <c r="D399" i="7941"/>
  <c r="D398" i="7941"/>
  <c r="D397" i="7941"/>
  <c r="D396" i="7941"/>
  <c r="D911" i="18"/>
  <c r="D910" i="18"/>
  <c r="D909" i="18"/>
  <c r="D908" i="18"/>
  <c r="D907" i="18"/>
  <c r="D906" i="18"/>
  <c r="D905" i="18"/>
  <c r="D904" i="18"/>
  <c r="D903" i="18"/>
  <c r="D902" i="18"/>
  <c r="D901" i="18"/>
  <c r="D900" i="18"/>
  <c r="D899" i="18"/>
  <c r="D898" i="18"/>
  <c r="D897" i="18"/>
  <c r="D896" i="18"/>
  <c r="D895" i="18"/>
  <c r="D894" i="18"/>
  <c r="D893" i="18"/>
  <c r="D892" i="18"/>
  <c r="D943" i="18"/>
  <c r="D942" i="18"/>
  <c r="D941" i="18"/>
  <c r="D940" i="18"/>
  <c r="D939" i="18"/>
  <c r="D938" i="18"/>
  <c r="D937" i="18"/>
  <c r="D936" i="18"/>
  <c r="D935" i="18"/>
  <c r="D934" i="18"/>
  <c r="D933" i="18"/>
  <c r="D932" i="18"/>
  <c r="D931" i="18"/>
  <c r="D930" i="18"/>
  <c r="D929" i="18"/>
  <c r="D928" i="18"/>
  <c r="D927" i="18"/>
  <c r="D926" i="18"/>
  <c r="D925" i="18"/>
  <c r="D924" i="18"/>
  <c r="D877" i="18"/>
  <c r="D876" i="18"/>
  <c r="D875" i="18"/>
  <c r="D874" i="18"/>
  <c r="D873" i="18"/>
  <c r="D872" i="18"/>
  <c r="D871" i="18"/>
  <c r="D870" i="18"/>
  <c r="D869" i="18"/>
  <c r="D868" i="18"/>
  <c r="D867" i="18"/>
  <c r="D866" i="18"/>
  <c r="D865" i="18"/>
  <c r="D864" i="18"/>
  <c r="D863" i="18"/>
  <c r="D862" i="18"/>
  <c r="D861" i="18"/>
  <c r="D860" i="18"/>
  <c r="D859" i="18"/>
  <c r="D858" i="18"/>
  <c r="D845" i="18"/>
  <c r="D844" i="18"/>
  <c r="D843" i="18"/>
  <c r="D842" i="18"/>
  <c r="D841" i="18"/>
  <c r="D840" i="18"/>
  <c r="D839" i="18"/>
  <c r="D838" i="18"/>
  <c r="D837" i="18"/>
  <c r="D836" i="18"/>
  <c r="D835" i="18"/>
  <c r="D834" i="18"/>
  <c r="D833" i="18"/>
  <c r="D832" i="18"/>
  <c r="D831" i="18"/>
  <c r="D830" i="18"/>
  <c r="D829" i="18"/>
  <c r="D828" i="18"/>
  <c r="D827" i="18"/>
  <c r="D826" i="18"/>
  <c r="D813" i="18"/>
  <c r="D812" i="18"/>
  <c r="D811" i="18"/>
  <c r="D810" i="18"/>
  <c r="D809" i="18"/>
  <c r="D808" i="18"/>
  <c r="D807" i="18"/>
  <c r="D806" i="18"/>
  <c r="D805" i="18"/>
  <c r="D804" i="18"/>
  <c r="D803" i="18"/>
  <c r="D802" i="18"/>
  <c r="D801" i="18"/>
  <c r="D800" i="18"/>
  <c r="D799" i="18"/>
  <c r="D798" i="18"/>
  <c r="D797" i="18"/>
  <c r="D796" i="18"/>
  <c r="D795" i="18"/>
  <c r="D794" i="18"/>
  <c r="D781" i="18"/>
  <c r="D780" i="18"/>
  <c r="D779" i="18"/>
  <c r="D778" i="18"/>
  <c r="D777" i="18"/>
  <c r="D776" i="18"/>
  <c r="D775" i="18"/>
  <c r="D774" i="18"/>
  <c r="D773" i="18"/>
  <c r="D772" i="18"/>
  <c r="D771" i="18"/>
  <c r="D770" i="18"/>
  <c r="D769" i="18"/>
  <c r="D768" i="18"/>
  <c r="D767" i="18"/>
  <c r="D766" i="18"/>
  <c r="D765" i="18"/>
  <c r="D764" i="18"/>
  <c r="D763" i="18"/>
  <c r="D762" i="18"/>
  <c r="D749" i="18"/>
  <c r="D748" i="18"/>
  <c r="D747" i="18"/>
  <c r="D746" i="18"/>
  <c r="D745" i="18"/>
  <c r="D744" i="18"/>
  <c r="D743" i="18"/>
  <c r="D742" i="18"/>
  <c r="D741" i="18"/>
  <c r="D740" i="18"/>
  <c r="D739" i="18"/>
  <c r="D738" i="18"/>
  <c r="D737" i="18"/>
  <c r="D736" i="18"/>
  <c r="D735" i="18"/>
  <c r="D734" i="18"/>
  <c r="D733" i="18"/>
  <c r="D732" i="18"/>
  <c r="D731" i="18"/>
  <c r="D730" i="18"/>
  <c r="D63" i="18"/>
  <c r="D62" i="18"/>
  <c r="D61" i="18"/>
  <c r="D60" i="18"/>
  <c r="D59" i="18"/>
  <c r="D58" i="18"/>
  <c r="D57" i="18"/>
  <c r="D56" i="18"/>
  <c r="D55" i="18"/>
  <c r="D54" i="18"/>
  <c r="D53" i="18"/>
  <c r="D52" i="18"/>
  <c r="D51" i="18"/>
  <c r="D50" i="18"/>
  <c r="D49" i="18"/>
  <c r="D48" i="18"/>
  <c r="D47" i="18"/>
  <c r="D46" i="18"/>
  <c r="D45" i="18"/>
  <c r="D44" i="18"/>
  <c r="M131" i="18"/>
  <c r="N131" i="18"/>
  <c r="O131" i="18"/>
  <c r="P131" i="18"/>
  <c r="Q131" i="18"/>
  <c r="B189" i="7944"/>
  <c r="B176" i="7944"/>
  <c r="B202" i="7944"/>
  <c r="B215" i="7944"/>
  <c r="B228" i="7944"/>
  <c r="B241" i="7944"/>
  <c r="B254" i="7944"/>
  <c r="B267" i="7944"/>
  <c r="B280" i="7944"/>
  <c r="B293" i="7944"/>
  <c r="B306" i="7944"/>
  <c r="B319" i="7944"/>
  <c r="B163" i="7944"/>
  <c r="B150" i="7944"/>
  <c r="B137" i="7944"/>
  <c r="B124" i="7944"/>
  <c r="B111" i="7944"/>
  <c r="B98" i="7944"/>
  <c r="B85" i="7944"/>
  <c r="B72" i="7944"/>
  <c r="C323" i="18"/>
  <c r="C310" i="18"/>
  <c r="C297" i="18"/>
  <c r="C284" i="18"/>
  <c r="C271" i="18"/>
  <c r="C258" i="18"/>
  <c r="C245" i="18"/>
  <c r="C232" i="18"/>
  <c r="C219" i="18"/>
  <c r="C206" i="18"/>
  <c r="C193" i="18"/>
  <c r="C180" i="18"/>
  <c r="C154" i="18"/>
  <c r="C141" i="18"/>
  <c r="C128" i="18"/>
  <c r="C115" i="18"/>
  <c r="C102" i="18"/>
  <c r="C89" i="18"/>
  <c r="C76" i="18"/>
  <c r="F107" i="1"/>
  <c r="F209" i="1"/>
  <c r="H176" i="1"/>
  <c r="I250" i="1"/>
  <c r="J250" i="1" s="1"/>
  <c r="K250" i="1" s="1"/>
  <c r="L250" i="1" s="1"/>
  <c r="M250" i="1" s="1"/>
  <c r="N250" i="1" s="1"/>
  <c r="O250" i="1" s="1"/>
  <c r="P250" i="1" s="1"/>
  <c r="Q250" i="1" s="1"/>
  <c r="P189" i="18"/>
  <c r="Q189" i="18"/>
  <c r="O188" i="18"/>
  <c r="P188" i="18"/>
  <c r="Q188" i="18"/>
  <c r="N187" i="18"/>
  <c r="O187" i="18"/>
  <c r="P187" i="18"/>
  <c r="Q187" i="18"/>
  <c r="M186" i="18"/>
  <c r="N186" i="18"/>
  <c r="O186" i="18"/>
  <c r="P186" i="18"/>
  <c r="Q186" i="18"/>
  <c r="M185" i="18"/>
  <c r="N185" i="18"/>
  <c r="O185" i="18"/>
  <c r="P185" i="18"/>
  <c r="Q185" i="18"/>
  <c r="M184" i="18"/>
  <c r="N184" i="18"/>
  <c r="O184" i="18"/>
  <c r="P184" i="18"/>
  <c r="Q184" i="18"/>
  <c r="M183" i="18"/>
  <c r="N183" i="18"/>
  <c r="O183" i="18"/>
  <c r="P183" i="18"/>
  <c r="Q183" i="18"/>
  <c r="M182" i="18"/>
  <c r="N182" i="18"/>
  <c r="O182" i="18"/>
  <c r="P182" i="18"/>
  <c r="Q182" i="18"/>
  <c r="Q190" i="18"/>
  <c r="P137" i="18"/>
  <c r="Q137" i="18"/>
  <c r="O136" i="18"/>
  <c r="P136" i="18"/>
  <c r="Q136" i="18"/>
  <c r="N135" i="18"/>
  <c r="O135" i="18"/>
  <c r="P135" i="18"/>
  <c r="Q135" i="18"/>
  <c r="M134" i="18"/>
  <c r="N134" i="18"/>
  <c r="O134" i="18"/>
  <c r="P134" i="18"/>
  <c r="Q134" i="18"/>
  <c r="M133" i="18"/>
  <c r="N133" i="18"/>
  <c r="O133" i="18"/>
  <c r="P133" i="18"/>
  <c r="Q133" i="18"/>
  <c r="M132" i="18"/>
  <c r="N132" i="18"/>
  <c r="O132" i="18"/>
  <c r="P132" i="18"/>
  <c r="Q132" i="18"/>
  <c r="M130" i="18"/>
  <c r="N130" i="18"/>
  <c r="O130" i="18"/>
  <c r="P130" i="18"/>
  <c r="Q130" i="18"/>
  <c r="Q138" i="18"/>
  <c r="H248" i="1"/>
  <c r="I248" i="1" s="1"/>
  <c r="J248" i="1" s="1"/>
  <c r="K248" i="1" s="1"/>
  <c r="L248" i="1" s="1"/>
  <c r="M248" i="1" s="1"/>
  <c r="N248" i="1" s="1"/>
  <c r="O248" i="1" s="1"/>
  <c r="P248" i="1" s="1"/>
  <c r="Q248" i="1" s="1"/>
  <c r="C331" i="7944"/>
  <c r="C318" i="7944"/>
  <c r="C305" i="7944"/>
  <c r="C292" i="7944"/>
  <c r="C279" i="7944"/>
  <c r="C266" i="7944"/>
  <c r="C253" i="7944"/>
  <c r="C240" i="7944"/>
  <c r="C227" i="7944"/>
  <c r="C214" i="7944"/>
  <c r="C201" i="7944"/>
  <c r="C188" i="7944"/>
  <c r="C175" i="7944"/>
  <c r="C162" i="7944"/>
  <c r="C149" i="7944"/>
  <c r="C136" i="7944"/>
  <c r="C123" i="7944"/>
  <c r="C110" i="7944"/>
  <c r="C97" i="7944"/>
  <c r="C84"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P7" i="7942"/>
  <c r="I247" i="1"/>
  <c r="J247" i="1"/>
  <c r="K247" i="1" s="1"/>
  <c r="L247" i="1" s="1"/>
  <c r="M247" i="1" s="1"/>
  <c r="N247" i="1" s="1"/>
  <c r="O247" i="1" s="1"/>
  <c r="P247" i="1" s="1"/>
  <c r="Q247" i="1" s="1"/>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49" i="7941"/>
  <c r="D348" i="7941"/>
  <c r="D347" i="7941"/>
  <c r="D346" i="7941"/>
  <c r="D345" i="7941"/>
  <c r="D344" i="7941"/>
  <c r="D343" i="7941"/>
  <c r="D342" i="7941"/>
  <c r="D341" i="7941"/>
  <c r="D340" i="7941"/>
  <c r="D339" i="7941"/>
  <c r="D338" i="7941"/>
  <c r="D337" i="7941"/>
  <c r="D336" i="7941"/>
  <c r="D335" i="7941"/>
  <c r="D334" i="7941"/>
  <c r="D333" i="7941"/>
  <c r="D332" i="7941"/>
  <c r="D331" i="7941"/>
  <c r="D330" i="7941"/>
  <c r="D317" i="7941"/>
  <c r="D316" i="7941"/>
  <c r="D315" i="7941"/>
  <c r="D314" i="7941"/>
  <c r="D313" i="7941"/>
  <c r="D312" i="7941"/>
  <c r="D311" i="7941"/>
  <c r="D310" i="7941"/>
  <c r="D309" i="7941"/>
  <c r="D308" i="7941"/>
  <c r="D307" i="7941"/>
  <c r="D306" i="7941"/>
  <c r="D305" i="7941"/>
  <c r="D304" i="7941"/>
  <c r="D303" i="7941"/>
  <c r="D302" i="7941"/>
  <c r="D301" i="7941"/>
  <c r="D300" i="7941"/>
  <c r="D299" i="7941"/>
  <c r="D298"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F162" i="1"/>
  <c r="F161" i="1"/>
  <c r="F160" i="1"/>
  <c r="F159" i="1"/>
  <c r="F158" i="1"/>
  <c r="F157" i="1"/>
  <c r="F156" i="1"/>
  <c r="F155" i="1"/>
  <c r="F154" i="1"/>
  <c r="F153" i="1"/>
  <c r="F152" i="1"/>
  <c r="F151" i="1"/>
  <c r="F150" i="1"/>
  <c r="F149" i="1"/>
  <c r="F148" i="1"/>
  <c r="F147" i="1"/>
  <c r="F146" i="1"/>
  <c r="F145" i="1"/>
  <c r="F144" i="1"/>
  <c r="F143" i="1"/>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81" i="7941"/>
  <c r="D380" i="7941"/>
  <c r="D379" i="7941"/>
  <c r="D378" i="7941"/>
  <c r="D377" i="7941"/>
  <c r="D376" i="7941"/>
  <c r="D375" i="7941"/>
  <c r="D374" i="7941"/>
  <c r="D373" i="7941"/>
  <c r="D372" i="7941"/>
  <c r="D371" i="7941"/>
  <c r="D370" i="7941"/>
  <c r="D369" i="7941"/>
  <c r="D368" i="7941"/>
  <c r="D367" i="7941"/>
  <c r="D366" i="7941"/>
  <c r="D365" i="7941"/>
  <c r="D364" i="7941"/>
  <c r="D363" i="7941"/>
  <c r="D362" i="7941"/>
  <c r="D221" i="7941"/>
  <c r="D220" i="7941"/>
  <c r="D219" i="7941"/>
  <c r="D218" i="7941"/>
  <c r="D217" i="7941"/>
  <c r="D216" i="7941"/>
  <c r="D215" i="7941"/>
  <c r="D214" i="7941"/>
  <c r="D213" i="7941"/>
  <c r="D212" i="7941"/>
  <c r="D211" i="7941"/>
  <c r="D210" i="7941"/>
  <c r="D209" i="7941"/>
  <c r="D208" i="7941"/>
  <c r="D207" i="7941"/>
  <c r="D206" i="7941"/>
  <c r="D205" i="7941"/>
  <c r="D204" i="7941"/>
  <c r="D203" i="7941"/>
  <c r="D202" i="7941"/>
  <c r="H3" i="7941"/>
  <c r="I3" i="7941"/>
  <c r="J3" i="7941" s="1"/>
  <c r="K3" i="7941" s="1"/>
  <c r="L3" i="7941" s="1"/>
  <c r="M3" i="7941" s="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683" i="18"/>
  <c r="D682" i="18"/>
  <c r="D681" i="18"/>
  <c r="D680" i="18"/>
  <c r="D679" i="18"/>
  <c r="D678" i="18"/>
  <c r="D677" i="18"/>
  <c r="D676" i="18"/>
  <c r="D675" i="18"/>
  <c r="D674" i="18"/>
  <c r="D673" i="18"/>
  <c r="D672" i="18"/>
  <c r="D671" i="18"/>
  <c r="D670" i="18"/>
  <c r="D669" i="18"/>
  <c r="D668" i="18"/>
  <c r="D667" i="18"/>
  <c r="D666" i="18"/>
  <c r="D665" i="18"/>
  <c r="D664" i="18"/>
  <c r="D715" i="18"/>
  <c r="D714" i="18"/>
  <c r="D713" i="18"/>
  <c r="D712" i="18"/>
  <c r="D711" i="18"/>
  <c r="D710" i="18"/>
  <c r="D709" i="18"/>
  <c r="D708" i="18"/>
  <c r="D707" i="18"/>
  <c r="D706" i="18"/>
  <c r="D705" i="18"/>
  <c r="D704" i="18"/>
  <c r="D703" i="18"/>
  <c r="D702" i="18"/>
  <c r="D701" i="18"/>
  <c r="D700" i="18"/>
  <c r="D699" i="18"/>
  <c r="D698" i="18"/>
  <c r="D697" i="18"/>
  <c r="D696"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D88" i="18"/>
  <c r="D101" i="18"/>
  <c r="D114" i="18"/>
  <c r="D127" i="18"/>
  <c r="D140" i="18"/>
  <c r="D153" i="18"/>
  <c r="D166" i="18"/>
  <c r="D179" i="18"/>
  <c r="D192" i="18"/>
  <c r="D205" i="18"/>
  <c r="D218" i="18"/>
  <c r="D231" i="18"/>
  <c r="D244" i="18"/>
  <c r="D257" i="18"/>
  <c r="D270" i="18"/>
  <c r="D283" i="18"/>
  <c r="F109" i="1"/>
  <c r="F110" i="1"/>
  <c r="F111" i="1"/>
  <c r="F112" i="1"/>
  <c r="F113" i="1"/>
  <c r="F114" i="1"/>
  <c r="F115" i="1"/>
  <c r="F116" i="1"/>
  <c r="F117" i="1"/>
  <c r="F118" i="1"/>
  <c r="F119" i="1"/>
  <c r="F120" i="1"/>
  <c r="F121" i="1"/>
  <c r="F122" i="1"/>
  <c r="F123" i="1"/>
  <c r="F124" i="1"/>
  <c r="F125" i="1"/>
  <c r="F126" i="1"/>
  <c r="F127" i="1"/>
  <c r="F128"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D335" i="18"/>
  <c r="D322" i="18"/>
  <c r="D309" i="18"/>
  <c r="D296" i="18"/>
  <c r="H210" i="1"/>
  <c r="M7" i="7942"/>
  <c r="H244" i="1"/>
  <c r="R106" i="1"/>
  <c r="J40" i="1"/>
  <c r="J210" i="1" s="1"/>
  <c r="H388" i="18"/>
  <c r="H427" i="18"/>
  <c r="H349" i="18"/>
  <c r="H297" i="18"/>
  <c r="H245" i="18"/>
  <c r="H193" i="18"/>
  <c r="G588" i="18"/>
  <c r="G126" i="7941" s="1"/>
  <c r="G621" i="18"/>
  <c r="G159" i="7941" s="1"/>
  <c r="G559" i="18"/>
  <c r="G97" i="7941" s="1"/>
  <c r="G552" i="18"/>
  <c r="G90" i="7941" s="1"/>
  <c r="G875" i="18"/>
  <c r="G541" i="7941" s="1"/>
  <c r="G613" i="18"/>
  <c r="G151" i="7941" s="1"/>
  <c r="G872" i="18"/>
  <c r="G538" i="7941" s="1"/>
  <c r="G807" i="18"/>
  <c r="G473" i="7941" s="1"/>
  <c r="G547" i="18"/>
  <c r="G85" i="7941" s="1"/>
  <c r="G805" i="18"/>
  <c r="G471" i="7941" s="1"/>
  <c r="G608" i="18"/>
  <c r="G146" i="7941" s="1"/>
  <c r="G804" i="18"/>
  <c r="G470" i="7941" s="1"/>
  <c r="G803" i="18"/>
  <c r="G469" i="7941" s="1"/>
  <c r="G605" i="18"/>
  <c r="G143" i="7941" s="1"/>
  <c r="G801" i="18"/>
  <c r="G467" i="7941" s="1"/>
  <c r="G541" i="18"/>
  <c r="G79" i="7941" s="1"/>
  <c r="G540" i="18"/>
  <c r="G78" i="7941" s="1"/>
  <c r="G799" i="18"/>
  <c r="G465" i="7941" s="1"/>
  <c r="G862" i="18"/>
  <c r="G528" i="7941" s="1"/>
  <c r="G602" i="18"/>
  <c r="G140" i="7941" s="1"/>
  <c r="G861" i="18"/>
  <c r="G527" i="7941" s="1"/>
  <c r="G537" i="18"/>
  <c r="G75" i="7941" s="1"/>
  <c r="G568" i="18"/>
  <c r="G106" i="7941" s="1"/>
  <c r="G599" i="18"/>
  <c r="G137" i="7941" s="1"/>
  <c r="G814" i="18"/>
  <c r="G480" i="7941" s="1"/>
  <c r="G33" i="7941"/>
  <c r="G23" i="7941"/>
  <c r="G412" i="7941"/>
  <c r="G408" i="7941"/>
  <c r="G404" i="7941"/>
  <c r="G424" i="7941"/>
  <c r="G420" i="7941"/>
  <c r="G416" i="7941"/>
  <c r="G415" i="7941"/>
  <c r="I436" i="7944"/>
  <c r="I410" i="7944"/>
  <c r="I384" i="7944"/>
  <c r="I358" i="7944"/>
  <c r="I332" i="7944"/>
  <c r="I306" i="7944"/>
  <c r="I280" i="7944"/>
  <c r="I254" i="7944"/>
  <c r="I228" i="7944"/>
  <c r="I202" i="7944"/>
  <c r="I176" i="7944"/>
  <c r="I150" i="7944"/>
  <c r="I124" i="7944"/>
  <c r="I98" i="7944"/>
  <c r="I85" i="7944"/>
  <c r="I72" i="7944"/>
  <c r="I449" i="7944"/>
  <c r="I461" i="7944" s="1"/>
  <c r="I423" i="7944"/>
  <c r="I435" i="7944" s="1"/>
  <c r="I397" i="7944"/>
  <c r="I371" i="7944"/>
  <c r="I383" i="7944" s="1"/>
  <c r="I345" i="7944"/>
  <c r="I357" i="7944" s="1"/>
  <c r="I319" i="7944"/>
  <c r="I331" i="7944" s="1"/>
  <c r="I293" i="7944"/>
  <c r="I267" i="7944"/>
  <c r="I279" i="7944" s="1"/>
  <c r="I241" i="7944"/>
  <c r="I253" i="7944" s="1"/>
  <c r="I215" i="7944"/>
  <c r="I227" i="7944" s="1"/>
  <c r="I189" i="7944"/>
  <c r="I163" i="7944"/>
  <c r="I175" i="7944" s="1"/>
  <c r="I137" i="7944"/>
  <c r="I149" i="7944" s="1"/>
  <c r="I111" i="7944"/>
  <c r="I123" i="7944" s="1"/>
  <c r="I87" i="7944"/>
  <c r="I97" i="7944" s="1"/>
  <c r="I74" i="7944"/>
  <c r="J3" i="7944"/>
  <c r="J75" i="7944" s="1"/>
  <c r="G626" i="18"/>
  <c r="G164" i="7941" s="1"/>
  <c r="G820" i="18"/>
  <c r="G486" i="7941" s="1"/>
  <c r="G560" i="18"/>
  <c r="G880" i="18"/>
  <c r="G589" i="18"/>
  <c r="G127" i="7941" s="1"/>
  <c r="G785" i="18"/>
  <c r="G451" i="7941" s="1"/>
  <c r="G818" i="18"/>
  <c r="G484" i="7941" s="1"/>
  <c r="G591" i="18"/>
  <c r="G129" i="7941" s="1"/>
  <c r="G887" i="18"/>
  <c r="G553" i="7941" s="1"/>
  <c r="G781" i="18"/>
  <c r="G447" i="7941" s="1"/>
  <c r="G521" i="18"/>
  <c r="G842" i="18"/>
  <c r="G840" i="18"/>
  <c r="G580" i="18"/>
  <c r="G118" i="7941" s="1"/>
  <c r="G579" i="18"/>
  <c r="G117" i="7941" s="1"/>
  <c r="G775" i="18"/>
  <c r="G441" i="7941" s="1"/>
  <c r="G515" i="18"/>
  <c r="G53" i="7941" s="1"/>
  <c r="G576" i="18"/>
  <c r="G114" i="7941" s="1"/>
  <c r="G834" i="18"/>
  <c r="G574" i="18"/>
  <c r="G112" i="7941" s="1"/>
  <c r="G832" i="18"/>
  <c r="G572" i="18"/>
  <c r="G110" i="7941" s="1"/>
  <c r="G767" i="18"/>
  <c r="G433" i="7941" s="1"/>
  <c r="G830" i="18"/>
  <c r="G36" i="7941"/>
  <c r="G32" i="7941"/>
  <c r="G30" i="7941"/>
  <c r="G28" i="7941"/>
  <c r="G24" i="7941"/>
  <c r="G20" i="7941"/>
  <c r="G16" i="7941"/>
  <c r="G12" i="7941"/>
  <c r="G411" i="7941"/>
  <c r="G257" i="7942"/>
  <c r="G705" i="18"/>
  <c r="G673" i="18" s="1"/>
  <c r="G932" i="18"/>
  <c r="H449" i="7944"/>
  <c r="H461" i="7944" s="1"/>
  <c r="I37" i="7944" s="1"/>
  <c r="H423" i="7944"/>
  <c r="H435" i="7944" s="1"/>
  <c r="I35" i="7944" s="1"/>
  <c r="H397" i="7944"/>
  <c r="H409" i="7944" s="1"/>
  <c r="I33" i="7944" s="1"/>
  <c r="H371" i="7944"/>
  <c r="H383" i="7944" s="1"/>
  <c r="H345" i="7944"/>
  <c r="H357" i="7944" s="1"/>
  <c r="I29" i="7944" s="1"/>
  <c r="H319" i="7944"/>
  <c r="H331" i="7944" s="1"/>
  <c r="I27" i="7944" s="1"/>
  <c r="H293" i="7944"/>
  <c r="H305" i="7944" s="1"/>
  <c r="I25" i="7944" s="1"/>
  <c r="H267" i="7944"/>
  <c r="H241" i="7944"/>
  <c r="H215" i="7944"/>
  <c r="H227" i="7944" s="1"/>
  <c r="I19" i="7944" s="1"/>
  <c r="H189" i="7944"/>
  <c r="H201" i="7944" s="1"/>
  <c r="H163" i="7944"/>
  <c r="H175" i="7944" s="1"/>
  <c r="H137" i="7944"/>
  <c r="H149" i="7944" s="1"/>
  <c r="I13" i="7944" s="1"/>
  <c r="H111" i="7944"/>
  <c r="H123" i="7944" s="1"/>
  <c r="I11" i="7944" s="1"/>
  <c r="H436" i="7944"/>
  <c r="H448" i="7944" s="1"/>
  <c r="I36" i="7944" s="1"/>
  <c r="H410" i="7944"/>
  <c r="H422" i="7944" s="1"/>
  <c r="H384" i="7944"/>
  <c r="H396" i="7944" s="1"/>
  <c r="H358" i="7944"/>
  <c r="H370" i="7944" s="1"/>
  <c r="H332" i="7944"/>
  <c r="H344" i="7944" s="1"/>
  <c r="H306" i="7944"/>
  <c r="H280" i="7944"/>
  <c r="H292" i="7944" s="1"/>
  <c r="H254" i="7944"/>
  <c r="H266" i="7944" s="1"/>
  <c r="H228" i="7944"/>
  <c r="H240" i="7944" s="1"/>
  <c r="H202" i="7944"/>
  <c r="H214" i="7944" s="1"/>
  <c r="H176" i="7944"/>
  <c r="H188" i="7944" s="1"/>
  <c r="H150" i="7944"/>
  <c r="H162" i="7944" s="1"/>
  <c r="H124" i="7944"/>
  <c r="H136" i="7944" s="1"/>
  <c r="H98" i="7944"/>
  <c r="H110" i="7944" s="1"/>
  <c r="H85" i="7944"/>
  <c r="H97" i="7944" s="1"/>
  <c r="H72" i="7944"/>
  <c r="H84" i="7944" s="1"/>
  <c r="H253" i="7944"/>
  <c r="H318" i="7944"/>
  <c r="H279" i="7944"/>
  <c r="K40" i="1"/>
  <c r="K142" i="1" s="1"/>
  <c r="J244" i="1"/>
  <c r="J4" i="7941"/>
  <c r="K74" i="1"/>
  <c r="K108" i="1"/>
  <c r="K176" i="1"/>
  <c r="J306" i="7945" l="1"/>
  <c r="K306" i="7945" s="1"/>
  <c r="J250" i="7945"/>
  <c r="K250" i="7945" s="1"/>
  <c r="R208" i="1"/>
  <c r="G241" i="7942"/>
  <c r="G253" i="7942"/>
  <c r="G249" i="7942"/>
  <c r="G245" i="7942"/>
  <c r="I32" i="7944"/>
  <c r="J29" i="7944"/>
  <c r="J37" i="7944"/>
  <c r="G522" i="18"/>
  <c r="G60" i="7941" s="1"/>
  <c r="G577" i="18"/>
  <c r="G115" i="7941" s="1"/>
  <c r="G583" i="18"/>
  <c r="G121" i="7941" s="1"/>
  <c r="G823" i="18"/>
  <c r="G489" i="7941" s="1"/>
  <c r="G622" i="18"/>
  <c r="G160" i="7941" s="1"/>
  <c r="G264" i="7942"/>
  <c r="G262" i="7942"/>
  <c r="G258" i="7942"/>
  <c r="G252" i="7942"/>
  <c r="G248" i="7942"/>
  <c r="G246" i="7942"/>
  <c r="G242" i="7942"/>
  <c r="G600" i="18"/>
  <c r="G138" i="7941" s="1"/>
  <c r="G822" i="18"/>
  <c r="G488" i="7941" s="1"/>
  <c r="G928" i="18"/>
  <c r="G506" i="18"/>
  <c r="G44" i="7941" s="1"/>
  <c r="G831" i="18"/>
  <c r="G497" i="7941" s="1"/>
  <c r="G563" i="7941" s="1"/>
  <c r="G518" i="18"/>
  <c r="I14" i="7944"/>
  <c r="I22" i="7944"/>
  <c r="I30" i="7944"/>
  <c r="G944" i="18"/>
  <c r="G912" i="18" s="1"/>
  <c r="G723" i="18"/>
  <c r="G21" i="7941"/>
  <c r="G215" i="7941" s="1"/>
  <c r="G874" i="18"/>
  <c r="G540" i="7941" s="1"/>
  <c r="G948" i="18"/>
  <c r="G916" i="18" s="1"/>
  <c r="G725" i="18"/>
  <c r="G693" i="18" s="1"/>
  <c r="G598" i="18"/>
  <c r="G136" i="7941" s="1"/>
  <c r="G569" i="18"/>
  <c r="G107" i="7941" s="1"/>
  <c r="G575" i="18"/>
  <c r="G113" i="7941" s="1"/>
  <c r="G701" i="18"/>
  <c r="G669" i="18" s="1"/>
  <c r="G573" i="18"/>
  <c r="G111" i="7941" s="1"/>
  <c r="H359" i="7942"/>
  <c r="G607" i="18"/>
  <c r="G145" i="7941" s="1"/>
  <c r="G616" i="18"/>
  <c r="G154" i="7941" s="1"/>
  <c r="G677" i="18"/>
  <c r="G940" i="18"/>
  <c r="I28" i="7944"/>
  <c r="I18" i="7944"/>
  <c r="I12" i="7944"/>
  <c r="J390" i="7945"/>
  <c r="G603" i="18"/>
  <c r="G141" i="7941" s="1"/>
  <c r="G207" i="7941" s="1"/>
  <c r="G542" i="18"/>
  <c r="G80" i="7941" s="1"/>
  <c r="G808" i="18"/>
  <c r="G474" i="7941" s="1"/>
  <c r="G551" i="18"/>
  <c r="G89" i="7941" s="1"/>
  <c r="G219" i="7941" s="1"/>
  <c r="G852" i="18"/>
  <c r="G518" i="7941" s="1"/>
  <c r="J27" i="7944"/>
  <c r="J35" i="7944"/>
  <c r="G841" i="18"/>
  <c r="G869" i="18"/>
  <c r="G535" i="7941" s="1"/>
  <c r="G623" i="18"/>
  <c r="G161" i="7941" s="1"/>
  <c r="G850" i="18"/>
  <c r="G516" i="7941" s="1"/>
  <c r="G590" i="18"/>
  <c r="G128" i="7941" s="1"/>
  <c r="G204" i="7942"/>
  <c r="G238" i="7942"/>
  <c r="G784" i="18"/>
  <c r="G450" i="7941" s="1"/>
  <c r="G530" i="18"/>
  <c r="G68" i="7941" s="1"/>
  <c r="O142" i="7944"/>
  <c r="P142" i="7944" s="1"/>
  <c r="Q142" i="7944" s="1"/>
  <c r="G260" i="7942"/>
  <c r="G250" i="7942"/>
  <c r="G240" i="7942"/>
  <c r="H356" i="7942"/>
  <c r="G538" i="18"/>
  <c r="G76" i="7941" s="1"/>
  <c r="G798" i="18"/>
  <c r="G464" i="7941" s="1"/>
  <c r="I240" i="7944"/>
  <c r="I448" i="7944"/>
  <c r="G531" i="18"/>
  <c r="G69" i="7941" s="1"/>
  <c r="G557" i="18"/>
  <c r="G95" i="7941" s="1"/>
  <c r="H31" i="7941" s="1"/>
  <c r="G777" i="18"/>
  <c r="G443" i="7941" s="1"/>
  <c r="G517" i="18"/>
  <c r="G55" i="7941" s="1"/>
  <c r="G870" i="18"/>
  <c r="G536" i="7941" s="1"/>
  <c r="G610" i="18"/>
  <c r="G148" i="7941" s="1"/>
  <c r="I31" i="7944"/>
  <c r="J31" i="7944" s="1"/>
  <c r="I21" i="7944"/>
  <c r="J21" i="7944" s="1"/>
  <c r="G821" i="18"/>
  <c r="G487" i="7941" s="1"/>
  <c r="G561" i="18"/>
  <c r="G99" i="7941" s="1"/>
  <c r="G879" i="18"/>
  <c r="G545" i="7941" s="1"/>
  <c r="G619" i="18"/>
  <c r="G157" i="7941" s="1"/>
  <c r="G765" i="18"/>
  <c r="G431" i="7941" s="1"/>
  <c r="G505" i="18"/>
  <c r="G43" i="7941" s="1"/>
  <c r="G846" i="18"/>
  <c r="G512" i="7941" s="1"/>
  <c r="G813" i="18"/>
  <c r="G479" i="7941" s="1"/>
  <c r="G256" i="7942"/>
  <c r="G254" i="7942"/>
  <c r="G244" i="7942"/>
  <c r="G770" i="18"/>
  <c r="G436" i="7941" s="1"/>
  <c r="G510" i="18"/>
  <c r="G48" i="7941" s="1"/>
  <c r="G508" i="18"/>
  <c r="G46" i="7941" s="1"/>
  <c r="G772" i="18"/>
  <c r="G438" i="7941" s="1"/>
  <c r="G568" i="7941" s="1"/>
  <c r="I344" i="7944"/>
  <c r="J28" i="7944" s="1"/>
  <c r="I162" i="7944"/>
  <c r="J14" i="7944" s="1"/>
  <c r="I266" i="7944"/>
  <c r="J22" i="7944" s="1"/>
  <c r="I370" i="7944"/>
  <c r="J30" i="7944" s="1"/>
  <c r="G780" i="18"/>
  <c r="G446" i="7941" s="1"/>
  <c r="G576" i="7941" s="1"/>
  <c r="G520" i="18"/>
  <c r="G550" i="18"/>
  <c r="G88" i="7941" s="1"/>
  <c r="G810" i="18"/>
  <c r="G476" i="7941" s="1"/>
  <c r="G729" i="18"/>
  <c r="G397" i="7941"/>
  <c r="J32" i="7945"/>
  <c r="K32" i="7945" s="1"/>
  <c r="Q39" i="7944"/>
  <c r="I34" i="7944"/>
  <c r="G365" i="7942"/>
  <c r="G936" i="18"/>
  <c r="G952" i="18"/>
  <c r="G920" i="18" s="1"/>
  <c r="G513" i="18"/>
  <c r="G51" i="7941" s="1"/>
  <c r="G578" i="18"/>
  <c r="G116" i="7941" s="1"/>
  <c r="G587" i="18"/>
  <c r="G125" i="7941" s="1"/>
  <c r="G529" i="18"/>
  <c r="I188" i="7944"/>
  <c r="I292" i="7944"/>
  <c r="I396" i="7944"/>
  <c r="J32" i="7944" s="1"/>
  <c r="G604" i="18"/>
  <c r="G142" i="7941" s="1"/>
  <c r="G606" i="18"/>
  <c r="G144" i="7941" s="1"/>
  <c r="H361" i="7942"/>
  <c r="H357" i="7942"/>
  <c r="H353" i="7942"/>
  <c r="H347" i="7942"/>
  <c r="J138" i="7945"/>
  <c r="K138" i="7945" s="1"/>
  <c r="M282" i="7944"/>
  <c r="N282" i="7944" s="1"/>
  <c r="G266" i="7942"/>
  <c r="I15" i="7944"/>
  <c r="J15" i="7944" s="1"/>
  <c r="I17" i="7944"/>
  <c r="G717" i="18"/>
  <c r="I214" i="7944"/>
  <c r="J18" i="7944" s="1"/>
  <c r="I318" i="7944"/>
  <c r="I422" i="7944"/>
  <c r="G263" i="7942"/>
  <c r="G259" i="7942"/>
  <c r="G255" i="7942"/>
  <c r="G251" i="7942"/>
  <c r="G247" i="7942"/>
  <c r="G243" i="7942"/>
  <c r="H358" i="7942"/>
  <c r="N348" i="7944"/>
  <c r="O348" i="7944" s="1"/>
  <c r="G119" i="7941"/>
  <c r="G519" i="7941"/>
  <c r="G585" i="7941" s="1"/>
  <c r="H758" i="18"/>
  <c r="H952" i="18" s="1"/>
  <c r="N39" i="7944"/>
  <c r="H334" i="7942"/>
  <c r="J76" i="18" s="1"/>
  <c r="G779" i="18"/>
  <c r="G445" i="7941" s="1"/>
  <c r="H413" i="7941" s="1"/>
  <c r="G806" i="18"/>
  <c r="G472" i="7941" s="1"/>
  <c r="H355" i="7942"/>
  <c r="G523" i="18"/>
  <c r="G699" i="18"/>
  <c r="G667" i="18" s="1"/>
  <c r="H363" i="7942"/>
  <c r="G509" i="18"/>
  <c r="G514" i="18"/>
  <c r="G52" i="7941" s="1"/>
  <c r="G776" i="18"/>
  <c r="G442" i="7941" s="1"/>
  <c r="G584" i="18"/>
  <c r="G122" i="7941" s="1"/>
  <c r="G585" i="18"/>
  <c r="G123" i="7941" s="1"/>
  <c r="G816" i="18"/>
  <c r="G482" i="7941" s="1"/>
  <c r="G624" i="18"/>
  <c r="G162" i="7941" s="1"/>
  <c r="G611" i="18"/>
  <c r="G149" i="7941" s="1"/>
  <c r="H21" i="7941" s="1"/>
  <c r="G617" i="18"/>
  <c r="G155" i="7941" s="1"/>
  <c r="G595" i="18"/>
  <c r="G133" i="7941" s="1"/>
  <c r="G231" i="7941" s="1"/>
  <c r="G555" i="18"/>
  <c r="G93" i="7941" s="1"/>
  <c r="G625" i="18"/>
  <c r="G163" i="7941" s="1"/>
  <c r="G594" i="18"/>
  <c r="G132" i="7941" s="1"/>
  <c r="H336" i="7942"/>
  <c r="J102" i="18" s="1"/>
  <c r="G237" i="7942"/>
  <c r="G535" i="18"/>
  <c r="G502" i="18"/>
  <c r="G40" i="7941" s="1"/>
  <c r="G827" i="18"/>
  <c r="G493" i="7941" s="1"/>
  <c r="H475" i="18"/>
  <c r="H701" i="18" s="1"/>
  <c r="H360" i="7942"/>
  <c r="G528" i="18"/>
  <c r="G66" i="7941" s="1"/>
  <c r="H495" i="18"/>
  <c r="H721" i="18" s="1"/>
  <c r="P39" i="7944"/>
  <c r="G493" i="7942"/>
  <c r="G715" i="18"/>
  <c r="G683" i="18" s="1"/>
  <c r="H362" i="7942"/>
  <c r="G511" i="18"/>
  <c r="G593" i="18"/>
  <c r="G131" i="7941" s="1"/>
  <c r="G429" i="7942"/>
  <c r="G796" i="18"/>
  <c r="G462" i="7941" s="1"/>
  <c r="G787" i="18"/>
  <c r="G453" i="7941" s="1"/>
  <c r="H335" i="7942"/>
  <c r="H89" i="18" s="1"/>
  <c r="G871" i="18"/>
  <c r="G537" i="7941" s="1"/>
  <c r="H409" i="7941" s="1"/>
  <c r="G809" i="18"/>
  <c r="G526" i="18"/>
  <c r="G64" i="7941" s="1"/>
  <c r="I201" i="7944"/>
  <c r="I305" i="7944"/>
  <c r="J25" i="7944" s="1"/>
  <c r="I409" i="7944"/>
  <c r="J33" i="7944" s="1"/>
  <c r="G587" i="7941"/>
  <c r="Q144" i="7944"/>
  <c r="J334" i="7945"/>
  <c r="J278" i="7945"/>
  <c r="K278" i="7945" s="1"/>
  <c r="J82" i="7945"/>
  <c r="K82" i="7945" s="1"/>
  <c r="J347" i="7945"/>
  <c r="J360" i="7945"/>
  <c r="J388" i="7945"/>
  <c r="J403" i="7945"/>
  <c r="J416" i="7945"/>
  <c r="O284" i="7944"/>
  <c r="P284" i="7944" s="1"/>
  <c r="Q284" i="7944" s="1"/>
  <c r="O310" i="7944"/>
  <c r="P310" i="7944" s="1"/>
  <c r="M308" i="7944"/>
  <c r="N308" i="7944" s="1"/>
  <c r="O308" i="7944" s="1"/>
  <c r="P308" i="7944" s="1"/>
  <c r="H343" i="7942"/>
  <c r="G949" i="18"/>
  <c r="Q351" i="7944"/>
  <c r="J194" i="7945"/>
  <c r="K194" i="7945" s="1"/>
  <c r="I26" i="7944"/>
  <c r="I24" i="7944"/>
  <c r="I20" i="7944"/>
  <c r="I16" i="7944"/>
  <c r="I10" i="7944"/>
  <c r="J96" i="7945"/>
  <c r="K96" i="7945" s="1"/>
  <c r="J124" i="7945"/>
  <c r="J208" i="7945"/>
  <c r="K208" i="7945" s="1"/>
  <c r="J320" i="7945"/>
  <c r="J348" i="7945"/>
  <c r="J346" i="7945"/>
  <c r="J361" i="7945"/>
  <c r="J376" i="7945"/>
  <c r="J374" i="7945"/>
  <c r="J389" i="7945"/>
  <c r="J404" i="7945"/>
  <c r="J417" i="7945"/>
  <c r="J3" i="18"/>
  <c r="I362" i="18"/>
  <c r="I374" i="18" s="1"/>
  <c r="I297" i="18"/>
  <c r="I232" i="18"/>
  <c r="I375" i="18"/>
  <c r="I336" i="18"/>
  <c r="I193" i="18"/>
  <c r="I414" i="18"/>
  <c r="I426" i="18" s="1"/>
  <c r="I310" i="18"/>
  <c r="I245" i="18"/>
  <c r="I440" i="18"/>
  <c r="I452" i="18" s="1"/>
  <c r="I349" i="18"/>
  <c r="I284" i="18"/>
  <c r="I206" i="18"/>
  <c r="I427" i="18"/>
  <c r="I439" i="18" s="1"/>
  <c r="I258" i="18"/>
  <c r="I180" i="18"/>
  <c r="I192" i="18" s="1"/>
  <c r="H257" i="18"/>
  <c r="H905" i="18" s="1"/>
  <c r="H361" i="18"/>
  <c r="H913" i="18" s="1"/>
  <c r="H400" i="18"/>
  <c r="H916" i="18" s="1"/>
  <c r="H258" i="18"/>
  <c r="H362" i="18"/>
  <c r="G586" i="7941"/>
  <c r="H219" i="18"/>
  <c r="H271" i="18"/>
  <c r="H323" i="18"/>
  <c r="H401" i="18"/>
  <c r="H413" i="18" s="1"/>
  <c r="H453" i="18"/>
  <c r="H205" i="18"/>
  <c r="H901" i="18" s="1"/>
  <c r="H309" i="18"/>
  <c r="H909" i="18" s="1"/>
  <c r="H439" i="18"/>
  <c r="H919" i="18" s="1"/>
  <c r="H206" i="18"/>
  <c r="H310" i="18"/>
  <c r="H440" i="18"/>
  <c r="H33" i="7941"/>
  <c r="H180" i="18"/>
  <c r="H232" i="18"/>
  <c r="H284" i="18"/>
  <c r="H336" i="18"/>
  <c r="H414" i="18"/>
  <c r="H375" i="18"/>
  <c r="R174" i="1"/>
  <c r="R72" i="1"/>
  <c r="H425" i="7941"/>
  <c r="G227" i="7941"/>
  <c r="I388" i="18"/>
  <c r="I219" i="18"/>
  <c r="I271" i="18"/>
  <c r="I323" i="18"/>
  <c r="I401" i="18"/>
  <c r="I453" i="18"/>
  <c r="I465" i="18" s="1"/>
  <c r="J219" i="18"/>
  <c r="J323" i="18"/>
  <c r="J453" i="18"/>
  <c r="J104" i="18"/>
  <c r="G930" i="18"/>
  <c r="G898" i="18" s="1"/>
  <c r="G938" i="18"/>
  <c r="G946" i="18"/>
  <c r="G914" i="18" s="1"/>
  <c r="G703" i="18"/>
  <c r="G671" i="18" s="1"/>
  <c r="G711" i="18"/>
  <c r="G679" i="18" s="1"/>
  <c r="G721" i="18"/>
  <c r="G689" i="18" s="1"/>
  <c r="G943" i="18"/>
  <c r="I138" i="1"/>
  <c r="H137" i="1"/>
  <c r="I134" i="1"/>
  <c r="I132" i="1"/>
  <c r="I128" i="1"/>
  <c r="I125" i="1"/>
  <c r="I123" i="1"/>
  <c r="I121" i="1"/>
  <c r="I118" i="1"/>
  <c r="I116" i="1"/>
  <c r="H115" i="1"/>
  <c r="H18" i="18" s="1"/>
  <c r="H508" i="18" s="1"/>
  <c r="H46" i="7941" s="1"/>
  <c r="I112" i="1"/>
  <c r="I110" i="1"/>
  <c r="I229" i="1"/>
  <c r="H228" i="1"/>
  <c r="H61" i="18" s="1"/>
  <c r="H779" i="18" s="1"/>
  <c r="H445" i="7941" s="1"/>
  <c r="H226" i="1"/>
  <c r="H224" i="1"/>
  <c r="I247" i="18" s="1"/>
  <c r="I217" i="1"/>
  <c r="H215" i="1"/>
  <c r="H48" i="18" s="1"/>
  <c r="H766" i="18" s="1"/>
  <c r="H432" i="7941" s="1"/>
  <c r="I213" i="1"/>
  <c r="H231" i="1"/>
  <c r="J246" i="1"/>
  <c r="J234" i="1" s="1"/>
  <c r="H212" i="1"/>
  <c r="I91" i="18" s="1"/>
  <c r="G953" i="18"/>
  <c r="G921" i="18" s="1"/>
  <c r="G934" i="18"/>
  <c r="G902" i="18" s="1"/>
  <c r="G942" i="18"/>
  <c r="G910" i="18" s="1"/>
  <c r="G950" i="18"/>
  <c r="G918" i="18" s="1"/>
  <c r="G707" i="18"/>
  <c r="G675" i="18" s="1"/>
  <c r="G713" i="18"/>
  <c r="G719" i="18"/>
  <c r="G722" i="18"/>
  <c r="G690" i="18" s="1"/>
  <c r="G939" i="18"/>
  <c r="G935" i="18"/>
  <c r="G903" i="18" s="1"/>
  <c r="I136" i="1"/>
  <c r="H135" i="1"/>
  <c r="H38" i="18" s="1"/>
  <c r="H528" i="18" s="1"/>
  <c r="H66" i="7941" s="1"/>
  <c r="I133" i="1"/>
  <c r="I129" i="1"/>
  <c r="I127" i="1"/>
  <c r="H126" i="1"/>
  <c r="H29" i="18" s="1"/>
  <c r="H519" i="18" s="1"/>
  <c r="H57" i="7941" s="1"/>
  <c r="I124" i="1"/>
  <c r="I122" i="1"/>
  <c r="I120" i="1"/>
  <c r="H119" i="1"/>
  <c r="H22" i="18" s="1"/>
  <c r="H512" i="18" s="1"/>
  <c r="H50" i="7941" s="1"/>
  <c r="I117" i="1"/>
  <c r="I114" i="1"/>
  <c r="H113" i="1"/>
  <c r="I131" i="1"/>
  <c r="H130" i="1"/>
  <c r="I230" i="1"/>
  <c r="H227" i="1"/>
  <c r="H225" i="1"/>
  <c r="I260" i="18" s="1"/>
  <c r="I222" i="1"/>
  <c r="I220" i="1"/>
  <c r="I218" i="1"/>
  <c r="I216" i="1"/>
  <c r="H214" i="1"/>
  <c r="J117" i="18" s="1"/>
  <c r="H232" i="1"/>
  <c r="H65" i="18" s="1"/>
  <c r="H783" i="18" s="1"/>
  <c r="H449" i="7941" s="1"/>
  <c r="H234" i="1"/>
  <c r="H67" i="18" s="1"/>
  <c r="H785" i="18" s="1"/>
  <c r="H451" i="7941" s="1"/>
  <c r="H238" i="1"/>
  <c r="H41" i="18"/>
  <c r="H531" i="18" s="1"/>
  <c r="H69" i="7941" s="1"/>
  <c r="H37" i="18"/>
  <c r="H527" i="18" s="1"/>
  <c r="H21" i="18"/>
  <c r="H511" i="18" s="1"/>
  <c r="H19" i="18"/>
  <c r="H509" i="18" s="1"/>
  <c r="H15" i="18"/>
  <c r="H505" i="18" s="1"/>
  <c r="H43" i="7941" s="1"/>
  <c r="H12" i="18"/>
  <c r="H502" i="18" s="1"/>
  <c r="H40" i="7941" s="1"/>
  <c r="H69" i="18"/>
  <c r="H787" i="18" s="1"/>
  <c r="H453" i="7941" s="1"/>
  <c r="H32" i="18"/>
  <c r="H522" i="18" s="1"/>
  <c r="H60" i="7941" s="1"/>
  <c r="G50" i="7942"/>
  <c r="G82" i="7942" s="1"/>
  <c r="G70" i="7942"/>
  <c r="G102" i="7942" s="1"/>
  <c r="G69" i="7942"/>
  <c r="G101" i="7942" s="1"/>
  <c r="G63" i="7942"/>
  <c r="G95" i="7942" s="1"/>
  <c r="G68" i="7942"/>
  <c r="G100" i="7942" s="1"/>
  <c r="G65" i="7942"/>
  <c r="G97" i="7942" s="1"/>
  <c r="G72" i="7942"/>
  <c r="G104" i="7942" s="1"/>
  <c r="G67" i="7942"/>
  <c r="G99" i="7942" s="1"/>
  <c r="G73" i="7942"/>
  <c r="G105" i="7942" s="1"/>
  <c r="G71" i="7942"/>
  <c r="G103" i="7942" s="1"/>
  <c r="G47" i="7942"/>
  <c r="G79" i="7942" s="1"/>
  <c r="H30" i="18"/>
  <c r="H520" i="18" s="1"/>
  <c r="H58" i="7941" s="1"/>
  <c r="H25" i="18"/>
  <c r="H515" i="18" s="1"/>
  <c r="H16" i="18"/>
  <c r="H506" i="18" s="1"/>
  <c r="H44" i="7941" s="1"/>
  <c r="G48" i="7942"/>
  <c r="G80" i="7942" s="1"/>
  <c r="G60" i="7942"/>
  <c r="G92" i="7942" s="1"/>
  <c r="I221" i="18"/>
  <c r="H40" i="18"/>
  <c r="H530" i="18" s="1"/>
  <c r="H68" i="7941" s="1"/>
  <c r="H31" i="18"/>
  <c r="H521" i="18" s="1"/>
  <c r="H59" i="7941" s="1"/>
  <c r="H28" i="18"/>
  <c r="H518" i="18" s="1"/>
  <c r="H56" i="7941" s="1"/>
  <c r="H26" i="18"/>
  <c r="H516" i="18" s="1"/>
  <c r="H54" i="7941" s="1"/>
  <c r="H24" i="18"/>
  <c r="H514" i="18" s="1"/>
  <c r="H52" i="7941" s="1"/>
  <c r="G54" i="7942"/>
  <c r="G86" i="7942" s="1"/>
  <c r="G58" i="7942"/>
  <c r="G90" i="7942" s="1"/>
  <c r="G62" i="7942"/>
  <c r="G94" i="7942" s="1"/>
  <c r="G66" i="7942"/>
  <c r="G98" i="7942" s="1"/>
  <c r="H62" i="18"/>
  <c r="H780" i="18" s="1"/>
  <c r="H446" i="7941" s="1"/>
  <c r="H52" i="18"/>
  <c r="E121" i="7945" s="1"/>
  <c r="H50" i="18"/>
  <c r="H768" i="18" s="1"/>
  <c r="H434" i="7941" s="1"/>
  <c r="H7" i="7942"/>
  <c r="G51" i="7942"/>
  <c r="G83" i="7942" s="1"/>
  <c r="G55" i="7942"/>
  <c r="G87" i="7942" s="1"/>
  <c r="G59" i="7942"/>
  <c r="G91" i="7942" s="1"/>
  <c r="H35" i="18"/>
  <c r="H525" i="18" s="1"/>
  <c r="H63" i="7941" s="1"/>
  <c r="H27" i="18"/>
  <c r="H517" i="18" s="1"/>
  <c r="H55" i="7941" s="1"/>
  <c r="H33" i="18"/>
  <c r="H523" i="18" s="1"/>
  <c r="H61" i="7941" s="1"/>
  <c r="G45" i="7942"/>
  <c r="G77" i="7942" s="1"/>
  <c r="G52" i="7942"/>
  <c r="G84" i="7942" s="1"/>
  <c r="G56" i="7942"/>
  <c r="G88" i="7942" s="1"/>
  <c r="G64" i="7942"/>
  <c r="G96" i="7942" s="1"/>
  <c r="I195" i="18"/>
  <c r="I143" i="18"/>
  <c r="H46" i="18"/>
  <c r="H764" i="18" s="1"/>
  <c r="H430" i="7941" s="1"/>
  <c r="H71" i="18"/>
  <c r="E387" i="7945" s="1"/>
  <c r="H73" i="18"/>
  <c r="H791" i="18" s="1"/>
  <c r="H457" i="7941" s="1"/>
  <c r="H39" i="18"/>
  <c r="H529" i="18" s="1"/>
  <c r="H67" i="7941" s="1"/>
  <c r="H36" i="18"/>
  <c r="H526" i="18" s="1"/>
  <c r="H64" i="7941" s="1"/>
  <c r="H23" i="18"/>
  <c r="H513" i="18" s="1"/>
  <c r="H51" i="7941" s="1"/>
  <c r="H20" i="18"/>
  <c r="H510" i="18" s="1"/>
  <c r="H48" i="7941" s="1"/>
  <c r="H17" i="18"/>
  <c r="H507" i="18" s="1"/>
  <c r="H45" i="7941" s="1"/>
  <c r="H14" i="18"/>
  <c r="H504" i="18" s="1"/>
  <c r="H42" i="7941" s="1"/>
  <c r="H34" i="18"/>
  <c r="H524" i="18" s="1"/>
  <c r="H62" i="7941" s="1"/>
  <c r="H68" i="18"/>
  <c r="H786" i="18" s="1"/>
  <c r="H452" i="7941" s="1"/>
  <c r="H72" i="18"/>
  <c r="H790" i="18" s="1"/>
  <c r="J214" i="1"/>
  <c r="J220" i="1"/>
  <c r="J110" i="1"/>
  <c r="J116" i="1"/>
  <c r="J122" i="1"/>
  <c r="J123" i="1"/>
  <c r="J117" i="1"/>
  <c r="J124" i="1"/>
  <c r="J132" i="1"/>
  <c r="J133" i="1"/>
  <c r="I312" i="18"/>
  <c r="I413" i="18"/>
  <c r="G704" i="18"/>
  <c r="G672" i="18" s="1"/>
  <c r="G933" i="18"/>
  <c r="G901" i="18" s="1"/>
  <c r="G947" i="18"/>
  <c r="G915" i="18" s="1"/>
  <c r="G44" i="7942"/>
  <c r="G76" i="7942" s="1"/>
  <c r="G46" i="7942"/>
  <c r="G78" i="7942" s="1"/>
  <c r="G53" i="7942"/>
  <c r="G85" i="7942" s="1"/>
  <c r="G61" i="7942"/>
  <c r="G93" i="7942" s="1"/>
  <c r="J156" i="18"/>
  <c r="I234" i="18"/>
  <c r="I110" i="7944"/>
  <c r="H55" i="18"/>
  <c r="H773" i="18" s="1"/>
  <c r="H439" i="7941" s="1"/>
  <c r="M140" i="7944"/>
  <c r="N140" i="7944" s="1"/>
  <c r="N283" i="7944"/>
  <c r="O283" i="7944" s="1"/>
  <c r="N309" i="7944"/>
  <c r="O309" i="7944" s="1"/>
  <c r="P309" i="7944" s="1"/>
  <c r="Q309" i="7944" s="1"/>
  <c r="J221" i="18"/>
  <c r="I286" i="18"/>
  <c r="I8" i="7944"/>
  <c r="J13" i="7944"/>
  <c r="I136" i="7944"/>
  <c r="H60" i="18"/>
  <c r="H778" i="18" s="1"/>
  <c r="H444" i="7941" s="1"/>
  <c r="H56" i="18"/>
  <c r="H774" i="18" s="1"/>
  <c r="H440" i="7941" s="1"/>
  <c r="J67" i="7945"/>
  <c r="J151" i="7945"/>
  <c r="K151" i="7945" s="1"/>
  <c r="J95" i="7945"/>
  <c r="K95" i="7945" s="1"/>
  <c r="L139" i="7944"/>
  <c r="J79" i="7945" s="1"/>
  <c r="K79" i="7945" s="1"/>
  <c r="I104" i="18"/>
  <c r="H57" i="18"/>
  <c r="H775" i="18" s="1"/>
  <c r="H441" i="7941" s="1"/>
  <c r="J19" i="7944"/>
  <c r="I84" i="7944"/>
  <c r="P143" i="7944"/>
  <c r="Q143" i="7944" s="1"/>
  <c r="J11" i="7944"/>
  <c r="L39" i="7944"/>
  <c r="G20" i="7948" s="1"/>
  <c r="Q155" i="7944"/>
  <c r="Q312" i="7944"/>
  <c r="I325" i="18"/>
  <c r="H63" i="18"/>
  <c r="H781" i="18" s="1"/>
  <c r="H447" i="7941" s="1"/>
  <c r="I273" i="18"/>
  <c r="H54" i="18"/>
  <c r="H772" i="18" s="1"/>
  <c r="H438" i="7941" s="1"/>
  <c r="J208" i="18"/>
  <c r="H64" i="18"/>
  <c r="H782" i="18" s="1"/>
  <c r="H448" i="7941" s="1"/>
  <c r="J338" i="18"/>
  <c r="N141" i="7944"/>
  <c r="O141" i="7944" s="1"/>
  <c r="J152" i="7945"/>
  <c r="K152" i="7945" s="1"/>
  <c r="J180" i="7945"/>
  <c r="K180" i="7945" s="1"/>
  <c r="J236" i="7945"/>
  <c r="K236" i="7945" s="1"/>
  <c r="P285" i="7944"/>
  <c r="Q285" i="7944" s="1"/>
  <c r="J264" i="7945"/>
  <c r="K264" i="7945" s="1"/>
  <c r="P311" i="7944"/>
  <c r="Q311" i="7944" s="1"/>
  <c r="J292" i="7945"/>
  <c r="K292" i="7945" s="1"/>
  <c r="J333" i="7945"/>
  <c r="I338" i="18"/>
  <c r="I208" i="18"/>
  <c r="Q286" i="7944"/>
  <c r="J195" i="18"/>
  <c r="H53" i="18"/>
  <c r="H771" i="18" s="1"/>
  <c r="H437" i="7941" s="1"/>
  <c r="H51" i="18"/>
  <c r="H769" i="18" s="1"/>
  <c r="H435" i="7941" s="1"/>
  <c r="J169" i="18"/>
  <c r="H49" i="18"/>
  <c r="H767" i="18" s="1"/>
  <c r="H433" i="7941" s="1"/>
  <c r="J143" i="18"/>
  <c r="H47" i="18"/>
  <c r="H765" i="18" s="1"/>
  <c r="H431" i="7941" s="1"/>
  <c r="I39" i="7944"/>
  <c r="D20" i="7948" s="1"/>
  <c r="M347" i="7944"/>
  <c r="I169" i="18"/>
  <c r="J273" i="18"/>
  <c r="J325" i="18"/>
  <c r="J234" i="18"/>
  <c r="J260" i="18"/>
  <c r="J286" i="18"/>
  <c r="J312" i="18"/>
  <c r="P154" i="7944"/>
  <c r="Q154" i="7944" s="1"/>
  <c r="O349" i="7944"/>
  <c r="P349" i="7944" s="1"/>
  <c r="Q349" i="7944" s="1"/>
  <c r="K39" i="7944"/>
  <c r="F20" i="7948" s="1"/>
  <c r="J40" i="7945"/>
  <c r="K40" i="7945" s="1"/>
  <c r="J68" i="7945"/>
  <c r="J123" i="7945"/>
  <c r="J179" i="7945"/>
  <c r="K179" i="7945" s="1"/>
  <c r="J207" i="7945"/>
  <c r="K207" i="7945" s="1"/>
  <c r="J235" i="7945"/>
  <c r="K235" i="7945" s="1"/>
  <c r="J319" i="7945"/>
  <c r="J332" i="7945"/>
  <c r="I156" i="18"/>
  <c r="G139" i="1"/>
  <c r="K210" i="1"/>
  <c r="K4" i="7942"/>
  <c r="J74" i="1"/>
  <c r="J4" i="18"/>
  <c r="G40" i="1"/>
  <c r="H108" i="1"/>
  <c r="H142" i="1"/>
  <c r="H4" i="18"/>
  <c r="K4" i="7941"/>
  <c r="K4" i="7944"/>
  <c r="K244" i="1"/>
  <c r="J108" i="1"/>
  <c r="J4" i="7944"/>
  <c r="J4" i="7942"/>
  <c r="H74" i="1"/>
  <c r="K4" i="18"/>
  <c r="L40" i="1"/>
  <c r="J176" i="1"/>
  <c r="J142" i="1"/>
  <c r="I210" i="1"/>
  <c r="H4" i="7942"/>
  <c r="H4" i="7944"/>
  <c r="E5" i="7945" s="1"/>
  <c r="H4" i="7941"/>
  <c r="M139" i="7944"/>
  <c r="G168" i="7941"/>
  <c r="G167" i="7941" s="1"/>
  <c r="G629" i="18"/>
  <c r="G900" i="18"/>
  <c r="H739" i="18"/>
  <c r="N152" i="7944"/>
  <c r="O153" i="7944"/>
  <c r="P153" i="7944" s="1"/>
  <c r="G11" i="7942"/>
  <c r="H339" i="7942"/>
  <c r="H7" i="7944"/>
  <c r="C19" i="7948" s="1"/>
  <c r="H747" i="18"/>
  <c r="H941" i="18" s="1"/>
  <c r="O282" i="7944"/>
  <c r="G172" i="7942"/>
  <c r="H348" i="7942"/>
  <c r="H345" i="7942"/>
  <c r="H344" i="7942"/>
  <c r="P350" i="7944"/>
  <c r="Q350" i="7944" s="1"/>
  <c r="J53" i="7945"/>
  <c r="K53" i="7945" s="1"/>
  <c r="J81" i="7945"/>
  <c r="K81" i="7945" s="1"/>
  <c r="J109" i="7945"/>
  <c r="K109" i="7945" s="1"/>
  <c r="J137" i="7945"/>
  <c r="K137" i="7945" s="1"/>
  <c r="J165" i="7945"/>
  <c r="K165" i="7945" s="1"/>
  <c r="J193" i="7945"/>
  <c r="K193" i="7945" s="1"/>
  <c r="J221" i="7945"/>
  <c r="K221" i="7945" s="1"/>
  <c r="J249" i="7945"/>
  <c r="K249" i="7945" s="1"/>
  <c r="J277" i="7945"/>
  <c r="K277" i="7945" s="1"/>
  <c r="J305" i="7945"/>
  <c r="K305" i="7945" s="1"/>
  <c r="H340" i="7942"/>
  <c r="J52" i="7945"/>
  <c r="K52" i="7945" s="1"/>
  <c r="J80" i="7945"/>
  <c r="K80" i="7945" s="1"/>
  <c r="J108" i="7945"/>
  <c r="K108" i="7945" s="1"/>
  <c r="J136" i="7945"/>
  <c r="K136" i="7945" s="1"/>
  <c r="J164" i="7945"/>
  <c r="K164" i="7945" s="1"/>
  <c r="J192" i="7945"/>
  <c r="K192" i="7945" s="1"/>
  <c r="J220" i="7945"/>
  <c r="K220" i="7945" s="1"/>
  <c r="J248" i="7945"/>
  <c r="K248" i="7945" s="1"/>
  <c r="J276" i="7945"/>
  <c r="K276" i="7945" s="1"/>
  <c r="J304" i="7945"/>
  <c r="K304" i="7945" s="1"/>
  <c r="G333" i="7942"/>
  <c r="G395" i="7941"/>
  <c r="J36" i="7944"/>
  <c r="I23" i="7944"/>
  <c r="L4" i="7942"/>
  <c r="L210" i="1"/>
  <c r="L4" i="18"/>
  <c r="L4" i="7944"/>
  <c r="L4" i="7941"/>
  <c r="L74" i="1"/>
  <c r="L142" i="1"/>
  <c r="L108" i="1"/>
  <c r="H71" i="7944"/>
  <c r="C21" i="7948" s="1"/>
  <c r="I400" i="18"/>
  <c r="H933" i="18"/>
  <c r="I252" i="1"/>
  <c r="J251" i="1"/>
  <c r="K3" i="7944"/>
  <c r="H753" i="18"/>
  <c r="I9" i="7944"/>
  <c r="G124" i="7941"/>
  <c r="H76" i="18"/>
  <c r="G526" i="7941"/>
  <c r="G495" i="7941"/>
  <c r="G496" i="7941"/>
  <c r="G498" i="7941"/>
  <c r="G564" i="7941" s="1"/>
  <c r="H736" i="18"/>
  <c r="G499" i="7941"/>
  <c r="H737" i="18"/>
  <c r="G500" i="7941"/>
  <c r="G567" i="7941"/>
  <c r="H405" i="7941"/>
  <c r="G503" i="7941"/>
  <c r="H741" i="18"/>
  <c r="G504" i="7941"/>
  <c r="G506" i="7941"/>
  <c r="G507" i="7941"/>
  <c r="G508" i="7941"/>
  <c r="G511" i="7941"/>
  <c r="G517" i="7941"/>
  <c r="H755" i="18"/>
  <c r="G548" i="7941"/>
  <c r="H754" i="18"/>
  <c r="H419" i="7941"/>
  <c r="G581" i="7941"/>
  <c r="G546" i="7941"/>
  <c r="H752" i="18"/>
  <c r="G550" i="7941"/>
  <c r="H756" i="18"/>
  <c r="J88" i="7944"/>
  <c r="J72" i="7944"/>
  <c r="J423" i="7944"/>
  <c r="J371" i="7944"/>
  <c r="J319" i="7944"/>
  <c r="J267" i="7944"/>
  <c r="J215" i="7944"/>
  <c r="J163" i="7944"/>
  <c r="J111" i="7944"/>
  <c r="J74" i="7944"/>
  <c r="J410" i="7944"/>
  <c r="J358" i="7944"/>
  <c r="J306" i="7944"/>
  <c r="J254" i="7944"/>
  <c r="J202" i="7944"/>
  <c r="J150" i="7944"/>
  <c r="J98" i="7944"/>
  <c r="J449" i="7944"/>
  <c r="J397" i="7944"/>
  <c r="J345" i="7944"/>
  <c r="J293" i="7944"/>
  <c r="J241" i="7944"/>
  <c r="J189" i="7944"/>
  <c r="J137" i="7944"/>
  <c r="J87" i="7944"/>
  <c r="J436" i="7944"/>
  <c r="J384" i="7944"/>
  <c r="J332" i="7944"/>
  <c r="J280" i="7944"/>
  <c r="J228" i="7944"/>
  <c r="J176" i="7944"/>
  <c r="J124" i="7944"/>
  <c r="J85" i="7944"/>
  <c r="H23" i="7941"/>
  <c r="G225" i="7941"/>
  <c r="G7" i="7941"/>
  <c r="I4" i="7941"/>
  <c r="I244" i="1"/>
  <c r="I142" i="1"/>
  <c r="I108" i="1"/>
  <c r="I4" i="7944"/>
  <c r="I4" i="18"/>
  <c r="I74" i="1"/>
  <c r="I176" i="1"/>
  <c r="G601" i="18"/>
  <c r="H337" i="7942"/>
  <c r="G397" i="7942"/>
  <c r="G618" i="18"/>
  <c r="G156" i="7941" s="1"/>
  <c r="G878" i="18"/>
  <c r="H354" i="7942"/>
  <c r="H759" i="18"/>
  <c r="G50" i="7941"/>
  <c r="G212" i="7941" s="1"/>
  <c r="H480" i="18"/>
  <c r="G54" i="7941"/>
  <c r="H484" i="18"/>
  <c r="G56" i="7941"/>
  <c r="G58" i="7941"/>
  <c r="G220" i="7941" s="1"/>
  <c r="G59" i="7941"/>
  <c r="G94" i="7941"/>
  <c r="H492" i="18"/>
  <c r="G98" i="7941"/>
  <c r="G67" i="7941"/>
  <c r="G100" i="7941"/>
  <c r="G485" i="7941"/>
  <c r="G917" i="18"/>
  <c r="J465" i="18"/>
  <c r="G449" i="7941"/>
  <c r="H424" i="7941"/>
  <c r="G469" i="18"/>
  <c r="G720" i="18"/>
  <c r="G688" i="18" s="1"/>
  <c r="J180" i="18"/>
  <c r="J192" i="18" s="1"/>
  <c r="J232" i="18"/>
  <c r="J284" i="18"/>
  <c r="J336" i="18"/>
  <c r="J414" i="18"/>
  <c r="J375" i="18"/>
  <c r="J206" i="18"/>
  <c r="J258" i="18"/>
  <c r="J310" i="18"/>
  <c r="J362" i="18"/>
  <c r="J440" i="18"/>
  <c r="G926" i="18"/>
  <c r="G697" i="18"/>
  <c r="G665" i="18" s="1"/>
  <c r="G951" i="18"/>
  <c r="G919" i="18" s="1"/>
  <c r="G929" i="18"/>
  <c r="G897" i="18" s="1"/>
  <c r="G937" i="18"/>
  <c r="G905" i="18" s="1"/>
  <c r="G700" i="18"/>
  <c r="G668" i="18" s="1"/>
  <c r="G708" i="18"/>
  <c r="G676" i="18" s="1"/>
  <c r="G716" i="18"/>
  <c r="G684" i="18" s="1"/>
  <c r="G724" i="18"/>
  <c r="G692" i="18" s="1"/>
  <c r="G925" i="18"/>
  <c r="G893" i="18" s="1"/>
  <c r="G927" i="18"/>
  <c r="G895" i="18" s="1"/>
  <c r="G712" i="18"/>
  <c r="G924" i="18"/>
  <c r="G714" i="18"/>
  <c r="G682" i="18" s="1"/>
  <c r="G108" i="1"/>
  <c r="G241" i="1"/>
  <c r="H352" i="7942"/>
  <c r="H350" i="7942"/>
  <c r="H346" i="7942"/>
  <c r="H341" i="7942"/>
  <c r="J167" i="18" s="1"/>
  <c r="G941" i="18"/>
  <c r="G909" i="18" s="1"/>
  <c r="G698" i="18"/>
  <c r="G666" i="18" s="1"/>
  <c r="G534" i="18"/>
  <c r="G794" i="18"/>
  <c r="J58" i="7945"/>
  <c r="K58" i="7945" s="1"/>
  <c r="O39" i="7944"/>
  <c r="J289" i="7945"/>
  <c r="K289" i="7945" s="1"/>
  <c r="J331" i="7945"/>
  <c r="H351" i="7942"/>
  <c r="G710" i="18"/>
  <c r="G678" i="18" s="1"/>
  <c r="G706" i="18"/>
  <c r="G674" i="18" s="1"/>
  <c r="G239" i="7942"/>
  <c r="G265" i="7942"/>
  <c r="H342" i="7942"/>
  <c r="G461" i="7942"/>
  <c r="G718" i="18"/>
  <c r="G686" i="18" s="1"/>
  <c r="G702" i="18"/>
  <c r="G670" i="18" s="1"/>
  <c r="G945" i="18"/>
  <c r="G913" i="18" s="1"/>
  <c r="H13" i="18"/>
  <c r="H503" i="18" s="1"/>
  <c r="H139" i="1"/>
  <c r="G504" i="18"/>
  <c r="G764" i="18"/>
  <c r="J387" i="7945"/>
  <c r="G696" i="18"/>
  <c r="J234" i="7945"/>
  <c r="K234" i="7945" s="1"/>
  <c r="J38" i="7945"/>
  <c r="K38" i="7945" s="1"/>
  <c r="J66" i="7945"/>
  <c r="J65" i="7945"/>
  <c r="J107" i="7945"/>
  <c r="K107" i="7945" s="1"/>
  <c r="J122" i="7945"/>
  <c r="J121" i="7945"/>
  <c r="J135" i="7945"/>
  <c r="K135" i="7945" s="1"/>
  <c r="J150" i="7945"/>
  <c r="K150" i="7945" s="1"/>
  <c r="J178" i="7945"/>
  <c r="K178" i="7945" s="1"/>
  <c r="J177" i="7945"/>
  <c r="K177" i="7945" s="1"/>
  <c r="J191" i="7945"/>
  <c r="K191" i="7945" s="1"/>
  <c r="J219" i="7945"/>
  <c r="K219" i="7945" s="1"/>
  <c r="J233" i="7945"/>
  <c r="K233" i="7945" s="1"/>
  <c r="J247" i="7945"/>
  <c r="K247" i="7945" s="1"/>
  <c r="J262" i="7945"/>
  <c r="K262" i="7945" s="1"/>
  <c r="J290" i="7945"/>
  <c r="K290" i="7945" s="1"/>
  <c r="J303" i="7945"/>
  <c r="K303" i="7945" s="1"/>
  <c r="J345" i="7945"/>
  <c r="J359" i="7945"/>
  <c r="J402" i="7945"/>
  <c r="J401" i="7945"/>
  <c r="J415" i="7945"/>
  <c r="H349" i="7942"/>
  <c r="H338" i="7942"/>
  <c r="G931" i="18"/>
  <c r="G899" i="18" s="1"/>
  <c r="J317" i="7945"/>
  <c r="G49" i="7942"/>
  <c r="G57" i="7942"/>
  <c r="G89" i="7942" s="1"/>
  <c r="J375" i="7945"/>
  <c r="J206" i="7945"/>
  <c r="K206" i="7945" s="1"/>
  <c r="J163" i="7945"/>
  <c r="K163" i="7945" s="1"/>
  <c r="J235" i="1"/>
  <c r="J239" i="1"/>
  <c r="J7" i="18"/>
  <c r="J211" i="1"/>
  <c r="J226" i="1"/>
  <c r="J230" i="1"/>
  <c r="J216" i="1"/>
  <c r="J223" i="1"/>
  <c r="J232" i="1"/>
  <c r="J215" i="1"/>
  <c r="J291" i="7945"/>
  <c r="K291" i="7945" s="1"/>
  <c r="J93" i="7945"/>
  <c r="K93" i="7945" s="1"/>
  <c r="I221" i="1"/>
  <c r="I215" i="1"/>
  <c r="I212" i="1"/>
  <c r="I211" i="1"/>
  <c r="I236" i="1"/>
  <c r="J318" i="7945"/>
  <c r="J94" i="7945"/>
  <c r="K94" i="7945" s="1"/>
  <c r="J275" i="7945"/>
  <c r="K275" i="7945" s="1"/>
  <c r="J51" i="7945"/>
  <c r="K51" i="7945" s="1"/>
  <c r="H39" i="7944"/>
  <c r="C20" i="7948" s="1"/>
  <c r="I239" i="1"/>
  <c r="I238" i="1"/>
  <c r="I234" i="1"/>
  <c r="I231" i="1"/>
  <c r="I7" i="18"/>
  <c r="I240" i="1"/>
  <c r="I235" i="1"/>
  <c r="I219" i="1"/>
  <c r="I223" i="1"/>
  <c r="I227" i="1"/>
  <c r="J263" i="7945"/>
  <c r="K263" i="7945" s="1"/>
  <c r="J39" i="7944"/>
  <c r="E20" i="7948" s="1"/>
  <c r="J39" i="7945"/>
  <c r="K39" i="7945" s="1"/>
  <c r="J205" i="7945"/>
  <c r="K205" i="7945" s="1"/>
  <c r="H237" i="1"/>
  <c r="H70" i="18" s="1"/>
  <c r="H233" i="1"/>
  <c r="H66" i="18" s="1"/>
  <c r="H211" i="1"/>
  <c r="M39" i="7944"/>
  <c r="J373" i="7945"/>
  <c r="J261" i="7945"/>
  <c r="K261" i="7945" s="1"/>
  <c r="J149" i="7945"/>
  <c r="K149" i="7945" s="1"/>
  <c r="J37" i="7945"/>
  <c r="K37" i="7945" s="1"/>
  <c r="I377" i="18" l="1"/>
  <c r="J377" i="18"/>
  <c r="I322" i="18"/>
  <c r="I682" i="18" s="1"/>
  <c r="H58" i="18"/>
  <c r="H776" i="18" s="1"/>
  <c r="H442" i="7941" s="1"/>
  <c r="J247" i="18"/>
  <c r="H45" i="18"/>
  <c r="H763" i="18" s="1"/>
  <c r="H429" i="7941" s="1"/>
  <c r="H12" i="7941"/>
  <c r="G825" i="18"/>
  <c r="H102" i="18"/>
  <c r="H114" i="18" s="1"/>
  <c r="H474" i="18"/>
  <c r="H700" i="18" s="1"/>
  <c r="H473" i="18"/>
  <c r="H406" i="7941"/>
  <c r="G575" i="7941"/>
  <c r="H744" i="18"/>
  <c r="H401" i="7941"/>
  <c r="H740" i="18"/>
  <c r="H934" i="18" s="1"/>
  <c r="H735" i="18"/>
  <c r="H929" i="18" s="1"/>
  <c r="H487" i="18"/>
  <c r="H713" i="18" s="1"/>
  <c r="H498" i="18"/>
  <c r="H724" i="18" s="1"/>
  <c r="H746" i="18"/>
  <c r="H25" i="7941"/>
  <c r="E415" i="7945"/>
  <c r="H751" i="18"/>
  <c r="I218" i="18"/>
  <c r="I674" i="18" s="1"/>
  <c r="H313" i="7942"/>
  <c r="G681" i="18"/>
  <c r="H673" i="18"/>
  <c r="G226" i="7941"/>
  <c r="G217" i="7941"/>
  <c r="H414" i="7941"/>
  <c r="G911" i="18"/>
  <c r="H13" i="7941"/>
  <c r="H485" i="18"/>
  <c r="H711" i="18" s="1"/>
  <c r="H481" i="18"/>
  <c r="H707" i="18" s="1"/>
  <c r="G571" i="7941"/>
  <c r="G685" i="18"/>
  <c r="H478" i="18"/>
  <c r="H704" i="18" s="1"/>
  <c r="H749" i="18"/>
  <c r="H16" i="7941"/>
  <c r="I231" i="18"/>
  <c r="I903" i="18" s="1"/>
  <c r="H423" i="7941"/>
  <c r="H496" i="18"/>
  <c r="H748" i="18"/>
  <c r="H942" i="18" s="1"/>
  <c r="I387" i="18"/>
  <c r="I915" i="18" s="1"/>
  <c r="I296" i="18"/>
  <c r="I908" i="18" s="1"/>
  <c r="H691" i="18"/>
  <c r="H685" i="18"/>
  <c r="J26" i="7944"/>
  <c r="J17" i="7944"/>
  <c r="G896" i="18"/>
  <c r="J12" i="7944"/>
  <c r="G687" i="18"/>
  <c r="G906" i="18"/>
  <c r="J16" i="7944"/>
  <c r="H757" i="18"/>
  <c r="H951" i="18" s="1"/>
  <c r="H20" i="7941"/>
  <c r="H493" i="18"/>
  <c r="H719" i="18" s="1"/>
  <c r="H297" i="7942"/>
  <c r="J34" i="7944"/>
  <c r="H397" i="7941"/>
  <c r="J20" i="7944"/>
  <c r="H32" i="7941"/>
  <c r="H36" i="7941"/>
  <c r="I76" i="18"/>
  <c r="J10" i="7944"/>
  <c r="I89" i="18"/>
  <c r="I101" i="18" s="1"/>
  <c r="H486" i="18"/>
  <c r="H712" i="18" s="1"/>
  <c r="H482" i="18"/>
  <c r="H476" i="18"/>
  <c r="H702" i="18" s="1"/>
  <c r="H738" i="18"/>
  <c r="H932" i="18" s="1"/>
  <c r="H734" i="18"/>
  <c r="H928" i="18" s="1"/>
  <c r="G561" i="7941"/>
  <c r="I102" i="18"/>
  <c r="I114" i="18" s="1"/>
  <c r="I894" i="18" s="1"/>
  <c r="I270" i="18"/>
  <c r="I678" i="18" s="1"/>
  <c r="H499" i="18"/>
  <c r="H725" i="18" s="1"/>
  <c r="G908" i="18"/>
  <c r="G691" i="18"/>
  <c r="H733" i="18"/>
  <c r="H927" i="18" s="1"/>
  <c r="G680" i="18"/>
  <c r="H494" i="18"/>
  <c r="H720" i="18" s="1"/>
  <c r="H489" i="18"/>
  <c r="H715" i="18" s="1"/>
  <c r="H24" i="7941"/>
  <c r="G565" i="18"/>
  <c r="H37" i="7941"/>
  <c r="J24" i="7944"/>
  <c r="H745" i="18"/>
  <c r="G559" i="7941"/>
  <c r="E401" i="7945"/>
  <c r="G475" i="7941"/>
  <c r="G573" i="7941" s="1"/>
  <c r="H497" i="18"/>
  <c r="H723" i="18" s="1"/>
  <c r="H488" i="18"/>
  <c r="H714" i="18" s="1"/>
  <c r="H743" i="18"/>
  <c r="H937" i="18" s="1"/>
  <c r="G904" i="18"/>
  <c r="H731" i="18"/>
  <c r="H925" i="18" s="1"/>
  <c r="I257" i="18"/>
  <c r="I677" i="18" s="1"/>
  <c r="H152" i="7942"/>
  <c r="G907" i="18"/>
  <c r="H483" i="18"/>
  <c r="H709" i="18" s="1"/>
  <c r="G73" i="7941"/>
  <c r="H471" i="18"/>
  <c r="H697" i="18" s="1"/>
  <c r="G47" i="7941"/>
  <c r="H477" i="18"/>
  <c r="H703" i="18" s="1"/>
  <c r="H402" i="7941"/>
  <c r="H742" i="18"/>
  <c r="H936" i="18" s="1"/>
  <c r="J8" i="7944"/>
  <c r="G49" i="7941"/>
  <c r="H479" i="18"/>
  <c r="H705" i="18" s="1"/>
  <c r="H543" i="18" s="1"/>
  <c r="H81" i="7941" s="1"/>
  <c r="G236" i="7942"/>
  <c r="G12" i="7948" s="1"/>
  <c r="G894" i="18"/>
  <c r="H490" i="18"/>
  <c r="H716" i="18" s="1"/>
  <c r="H34" i="7941"/>
  <c r="G572" i="7941"/>
  <c r="C22" i="7948"/>
  <c r="Q310" i="7944"/>
  <c r="I348" i="18"/>
  <c r="I912" i="18" s="1"/>
  <c r="G61" i="7941"/>
  <c r="H491" i="18"/>
  <c r="H717" i="18" s="1"/>
  <c r="H420" i="7941"/>
  <c r="G582" i="7941"/>
  <c r="H296" i="18"/>
  <c r="H322" i="18"/>
  <c r="H283" i="18"/>
  <c r="H374" i="18"/>
  <c r="I244" i="18"/>
  <c r="I904" i="18" s="1"/>
  <c r="H387" i="18"/>
  <c r="H244" i="18"/>
  <c r="H218" i="18"/>
  <c r="H465" i="18"/>
  <c r="H231" i="18"/>
  <c r="H270" i="18"/>
  <c r="H28" i="7941"/>
  <c r="I283" i="18"/>
  <c r="H677" i="18"/>
  <c r="H426" i="18"/>
  <c r="H192" i="18"/>
  <c r="I205" i="18"/>
  <c r="I673" i="18" s="1"/>
  <c r="H688" i="18"/>
  <c r="H681" i="18"/>
  <c r="H551" i="18" s="1"/>
  <c r="H348" i="18"/>
  <c r="H452" i="18"/>
  <c r="H335" i="18"/>
  <c r="H101" i="18"/>
  <c r="K3" i="18"/>
  <c r="J427" i="18"/>
  <c r="J439" i="18" s="1"/>
  <c r="J919" i="18" s="1"/>
  <c r="J271" i="18"/>
  <c r="J193" i="18"/>
  <c r="J89" i="18"/>
  <c r="J297" i="18"/>
  <c r="J401" i="18"/>
  <c r="J413" i="18" s="1"/>
  <c r="J917" i="18" s="1"/>
  <c r="J245" i="18"/>
  <c r="J349" i="18"/>
  <c r="J388" i="18"/>
  <c r="I335" i="18"/>
  <c r="I911" i="18" s="1"/>
  <c r="J217" i="1"/>
  <c r="J224" i="1"/>
  <c r="K246" i="1"/>
  <c r="K7" i="18" s="1"/>
  <c r="J218" i="1"/>
  <c r="J237" i="1"/>
  <c r="J128" i="1"/>
  <c r="J127" i="1"/>
  <c r="J120" i="1"/>
  <c r="J229" i="1"/>
  <c r="I55" i="18"/>
  <c r="I773" i="18" s="1"/>
  <c r="I439" i="7941" s="1"/>
  <c r="J225" i="1"/>
  <c r="J240" i="1"/>
  <c r="J238" i="1"/>
  <c r="J222" i="1"/>
  <c r="J231" i="1"/>
  <c r="J233" i="1"/>
  <c r="J129" i="1"/>
  <c r="J212" i="1"/>
  <c r="J121" i="1"/>
  <c r="J131" i="1"/>
  <c r="E359" i="7945"/>
  <c r="H142" i="7942"/>
  <c r="I139" i="1"/>
  <c r="H144" i="7942"/>
  <c r="K351" i="18"/>
  <c r="I351" i="18"/>
  <c r="I361" i="18" s="1"/>
  <c r="I913" i="18" s="1"/>
  <c r="K117" i="18"/>
  <c r="I117" i="18"/>
  <c r="J299" i="18"/>
  <c r="J351" i="18"/>
  <c r="J228" i="1"/>
  <c r="J109" i="1"/>
  <c r="J111" i="1"/>
  <c r="J115" i="1"/>
  <c r="J137" i="1"/>
  <c r="J227" i="1"/>
  <c r="J114" i="1"/>
  <c r="J136" i="1"/>
  <c r="J236" i="1"/>
  <c r="J219" i="1"/>
  <c r="J221" i="1"/>
  <c r="J130" i="1"/>
  <c r="J113" i="1"/>
  <c r="J119" i="1"/>
  <c r="J126" i="1"/>
  <c r="J135" i="1"/>
  <c r="J213" i="1"/>
  <c r="J112" i="1"/>
  <c r="J118" i="1"/>
  <c r="J125" i="1"/>
  <c r="J134" i="1"/>
  <c r="J138" i="1"/>
  <c r="J326" i="18"/>
  <c r="J335" i="18" s="1"/>
  <c r="J911" i="18" s="1"/>
  <c r="H770" i="18"/>
  <c r="H436" i="7941" s="1"/>
  <c r="H59" i="18"/>
  <c r="H777" i="18" s="1"/>
  <c r="H443" i="7941" s="1"/>
  <c r="J91" i="18"/>
  <c r="I299" i="18"/>
  <c r="I309" i="18" s="1"/>
  <c r="I681" i="18" s="1"/>
  <c r="H164" i="7942"/>
  <c r="I47" i="18"/>
  <c r="I765" i="18" s="1"/>
  <c r="I431" i="7941" s="1"/>
  <c r="H148" i="7942"/>
  <c r="H138" i="7942"/>
  <c r="H291" i="7942"/>
  <c r="H162" i="7942"/>
  <c r="H160" i="7942"/>
  <c r="I68" i="18"/>
  <c r="E346" i="7945" s="1"/>
  <c r="H789" i="18"/>
  <c r="H455" i="7941" s="1"/>
  <c r="H271" i="7942"/>
  <c r="K170" i="18"/>
  <c r="K274" i="18"/>
  <c r="H128" i="7942"/>
  <c r="H132" i="7942"/>
  <c r="H130" i="7942"/>
  <c r="H116" i="7942"/>
  <c r="H166" i="7942"/>
  <c r="H156" i="7942"/>
  <c r="H120" i="7942"/>
  <c r="H307" i="7942"/>
  <c r="H114" i="7942"/>
  <c r="H158" i="7942"/>
  <c r="J92" i="18"/>
  <c r="E65" i="7945"/>
  <c r="H126" i="7942"/>
  <c r="H281" i="7942"/>
  <c r="H136" i="7942"/>
  <c r="H140" i="7942"/>
  <c r="H150" i="7942"/>
  <c r="I14" i="18"/>
  <c r="I36" i="18"/>
  <c r="I526" i="18" s="1"/>
  <c r="I64" i="7941" s="1"/>
  <c r="I30" i="18"/>
  <c r="I520" i="18" s="1"/>
  <c r="I58" i="7941" s="1"/>
  <c r="H108" i="7942"/>
  <c r="J274" i="18"/>
  <c r="H124" i="7942"/>
  <c r="H122" i="7942"/>
  <c r="I69" i="18"/>
  <c r="E360" i="7945" s="1"/>
  <c r="I13" i="18"/>
  <c r="I503" i="18" s="1"/>
  <c r="I41" i="7941" s="1"/>
  <c r="K157" i="18"/>
  <c r="J105" i="18"/>
  <c r="J114" i="18" s="1"/>
  <c r="J666" i="18" s="1"/>
  <c r="H327" i="7942"/>
  <c r="H279" i="7942"/>
  <c r="H299" i="7942"/>
  <c r="H319" i="7942"/>
  <c r="H285" i="7942"/>
  <c r="H305" i="7942"/>
  <c r="H303" i="7942"/>
  <c r="H289" i="7942"/>
  <c r="H287" i="7942"/>
  <c r="H293" i="7942"/>
  <c r="H275" i="7942"/>
  <c r="H295" i="7942"/>
  <c r="H315" i="7942"/>
  <c r="H277" i="7942"/>
  <c r="H301" i="7942"/>
  <c r="H321" i="7942"/>
  <c r="H269" i="7942"/>
  <c r="H283" i="7942"/>
  <c r="H309" i="7942"/>
  <c r="H311" i="7942"/>
  <c r="H317" i="7942"/>
  <c r="H323" i="7942"/>
  <c r="H154" i="7942"/>
  <c r="H146" i="7942"/>
  <c r="E345" i="7945"/>
  <c r="J170" i="18"/>
  <c r="J179" i="18" s="1"/>
  <c r="J899" i="18" s="1"/>
  <c r="J352" i="18"/>
  <c r="J118" i="18"/>
  <c r="J261" i="18"/>
  <c r="J270" i="18" s="1"/>
  <c r="J313" i="18"/>
  <c r="J322" i="18" s="1"/>
  <c r="J910" i="18" s="1"/>
  <c r="J222" i="18"/>
  <c r="J231" i="18" s="1"/>
  <c r="K222" i="18"/>
  <c r="K196" i="18"/>
  <c r="I907" i="18"/>
  <c r="J144" i="18"/>
  <c r="K248" i="18"/>
  <c r="J157" i="18"/>
  <c r="I504" i="18"/>
  <c r="I42" i="7941" s="1"/>
  <c r="K313" i="18"/>
  <c r="J300" i="18"/>
  <c r="J196" i="18"/>
  <c r="J248" i="18"/>
  <c r="I71" i="7944"/>
  <c r="D21" i="7948" s="1"/>
  <c r="P141" i="7944"/>
  <c r="Q141" i="7944" s="1"/>
  <c r="O140" i="7944"/>
  <c r="P140" i="7944" s="1"/>
  <c r="Q140" i="7944" s="1"/>
  <c r="I67" i="18"/>
  <c r="I785" i="18" s="1"/>
  <c r="I451" i="7941" s="1"/>
  <c r="J378" i="18"/>
  <c r="J387" i="18" s="1"/>
  <c r="K275" i="18"/>
  <c r="P283" i="7944"/>
  <c r="Q283" i="7944" s="1"/>
  <c r="J339" i="18"/>
  <c r="J348" i="18" s="1"/>
  <c r="P348" i="7944"/>
  <c r="Q348" i="7944" s="1"/>
  <c r="K287" i="18"/>
  <c r="J287" i="18"/>
  <c r="K235" i="18"/>
  <c r="J235" i="18"/>
  <c r="J244" i="18" s="1"/>
  <c r="I54" i="18"/>
  <c r="I772" i="18" s="1"/>
  <c r="I438" i="7941" s="1"/>
  <c r="J209" i="18"/>
  <c r="J218" i="18" s="1"/>
  <c r="N347" i="7944"/>
  <c r="O347" i="7944" s="1"/>
  <c r="H11" i="18"/>
  <c r="M40" i="1"/>
  <c r="L176" i="1"/>
  <c r="L244" i="1"/>
  <c r="G4" i="18"/>
  <c r="C9" i="18" s="1"/>
  <c r="G4" i="7942"/>
  <c r="F4" i="7942" s="1"/>
  <c r="G4" i="7941"/>
  <c r="G244" i="1"/>
  <c r="G74" i="1"/>
  <c r="G142" i="1"/>
  <c r="G210" i="1"/>
  <c r="G176" i="1"/>
  <c r="P282" i="7944"/>
  <c r="Q282" i="7944" s="1"/>
  <c r="H141" i="18"/>
  <c r="I141" i="18"/>
  <c r="I153" i="18" s="1"/>
  <c r="I897" i="18" s="1"/>
  <c r="J115" i="18"/>
  <c r="G222" i="7941"/>
  <c r="H154" i="18"/>
  <c r="I154" i="18"/>
  <c r="I166" i="18" s="1"/>
  <c r="I898" i="18" s="1"/>
  <c r="J154" i="18"/>
  <c r="N139" i="7944"/>
  <c r="H26" i="7941"/>
  <c r="Q308" i="7944"/>
  <c r="O152" i="7944"/>
  <c r="P152" i="7944" s="1"/>
  <c r="Q153" i="7944"/>
  <c r="H128" i="18"/>
  <c r="I128" i="18"/>
  <c r="I140" i="18" s="1"/>
  <c r="I896" i="18" s="1"/>
  <c r="J128" i="18"/>
  <c r="J140" i="18" s="1"/>
  <c r="J668" i="18" s="1"/>
  <c r="K128" i="18"/>
  <c r="K140" i="18" s="1"/>
  <c r="H115" i="18"/>
  <c r="I115" i="18"/>
  <c r="H167" i="18"/>
  <c r="I167" i="18"/>
  <c r="I179" i="18" s="1"/>
  <c r="I671" i="18" s="1"/>
  <c r="K167" i="18"/>
  <c r="H699" i="18"/>
  <c r="I786" i="18"/>
  <c r="I452" i="7941" s="1"/>
  <c r="H134" i="7942"/>
  <c r="J921" i="18"/>
  <c r="J693" i="18"/>
  <c r="G221" i="7941"/>
  <c r="H27" i="7941"/>
  <c r="I902" i="18"/>
  <c r="J305" i="7944"/>
  <c r="J318" i="7944"/>
  <c r="J123" i="7944"/>
  <c r="H403" i="7941"/>
  <c r="G565" i="7941"/>
  <c r="I7" i="7942"/>
  <c r="I62" i="18"/>
  <c r="I65" i="18"/>
  <c r="I50" i="18"/>
  <c r="I59" i="18"/>
  <c r="I17" i="18"/>
  <c r="I507" i="18" s="1"/>
  <c r="I45" i="7941" s="1"/>
  <c r="I21" i="18"/>
  <c r="I511" i="18" s="1"/>
  <c r="I49" i="7941" s="1"/>
  <c r="I25" i="18"/>
  <c r="I515" i="18" s="1"/>
  <c r="I53" i="7941" s="1"/>
  <c r="I29" i="18"/>
  <c r="I519" i="18" s="1"/>
  <c r="I57" i="7941" s="1"/>
  <c r="I35" i="18"/>
  <c r="I525" i="18" s="1"/>
  <c r="I63" i="7941" s="1"/>
  <c r="I39" i="18"/>
  <c r="I529" i="18" s="1"/>
  <c r="I67" i="7941" s="1"/>
  <c r="I51" i="18"/>
  <c r="I58" i="18"/>
  <c r="I33" i="18"/>
  <c r="I523" i="18" s="1"/>
  <c r="I61" i="7941" s="1"/>
  <c r="I24" i="18"/>
  <c r="I514" i="18" s="1"/>
  <c r="I52" i="7941" s="1"/>
  <c r="I27" i="18"/>
  <c r="I517" i="18" s="1"/>
  <c r="I55" i="7941" s="1"/>
  <c r="I34" i="18"/>
  <c r="I524" i="18" s="1"/>
  <c r="I62" i="7941" s="1"/>
  <c r="I15" i="18"/>
  <c r="I505" i="18" s="1"/>
  <c r="I43" i="7941" s="1"/>
  <c r="I20" i="18"/>
  <c r="I510" i="18" s="1"/>
  <c r="I48" i="7941" s="1"/>
  <c r="I38" i="18"/>
  <c r="I528" i="18" s="1"/>
  <c r="I66" i="7941" s="1"/>
  <c r="I16" i="18"/>
  <c r="I506" i="18" s="1"/>
  <c r="I44" i="7941" s="1"/>
  <c r="I28" i="18"/>
  <c r="I518" i="18" s="1"/>
  <c r="I56" i="7941" s="1"/>
  <c r="I31" i="18"/>
  <c r="I521" i="18" s="1"/>
  <c r="I59" i="7941" s="1"/>
  <c r="I19" i="18"/>
  <c r="I509" i="18" s="1"/>
  <c r="I47" i="7941" s="1"/>
  <c r="I37" i="18"/>
  <c r="I527" i="18" s="1"/>
  <c r="I65" i="7941" s="1"/>
  <c r="I32" i="18"/>
  <c r="I522" i="18" s="1"/>
  <c r="I60" i="7941" s="1"/>
  <c r="H803" i="18"/>
  <c r="I921" i="18"/>
  <c r="I693" i="18"/>
  <c r="I73" i="18"/>
  <c r="I71" i="18"/>
  <c r="I53" i="18"/>
  <c r="I44" i="18"/>
  <c r="I241" i="1"/>
  <c r="I57" i="18"/>
  <c r="G81" i="7942"/>
  <c r="G43" i="7942"/>
  <c r="I56" i="18"/>
  <c r="I690" i="18"/>
  <c r="I684" i="18"/>
  <c r="I692" i="18"/>
  <c r="I918" i="18"/>
  <c r="I686" i="18"/>
  <c r="I72" i="18"/>
  <c r="I61" i="18"/>
  <c r="I63" i="18"/>
  <c r="E317" i="7945"/>
  <c r="H784" i="18"/>
  <c r="H450" i="7941" s="1"/>
  <c r="I52" i="18"/>
  <c r="I64" i="18"/>
  <c r="I48" i="18"/>
  <c r="H112" i="7942"/>
  <c r="H110" i="7942"/>
  <c r="H47" i="7941"/>
  <c r="H456" i="7941"/>
  <c r="I12" i="18"/>
  <c r="I66" i="18"/>
  <c r="H49" i="7941"/>
  <c r="I18" i="18"/>
  <c r="I508" i="18" s="1"/>
  <c r="I46" i="7941" s="1"/>
  <c r="I41" i="18"/>
  <c r="I531" i="18" s="1"/>
  <c r="I69" i="7941" s="1"/>
  <c r="J79" i="18"/>
  <c r="J374" i="18"/>
  <c r="J426" i="18"/>
  <c r="J900" i="18"/>
  <c r="J672" i="18"/>
  <c r="H417" i="7941"/>
  <c r="G579" i="7941"/>
  <c r="H722" i="18"/>
  <c r="H708" i="18"/>
  <c r="H706" i="18"/>
  <c r="G230" i="7941"/>
  <c r="H953" i="18"/>
  <c r="I914" i="18"/>
  <c r="J240" i="7944"/>
  <c r="J448" i="7944"/>
  <c r="K36" i="7944" s="1"/>
  <c r="J253" i="7944"/>
  <c r="J461" i="7944"/>
  <c r="J266" i="7944"/>
  <c r="J279" i="7944"/>
  <c r="J84" i="7944"/>
  <c r="H950" i="18"/>
  <c r="H949" i="18"/>
  <c r="H943" i="18"/>
  <c r="H940" i="18"/>
  <c r="H938" i="18"/>
  <c r="H931" i="18"/>
  <c r="H821" i="18"/>
  <c r="H487" i="7941" s="1"/>
  <c r="H947" i="18"/>
  <c r="K251" i="1"/>
  <c r="J252" i="1"/>
  <c r="H18" i="7941"/>
  <c r="H788" i="18"/>
  <c r="H454" i="7941" s="1"/>
  <c r="E373" i="7945"/>
  <c r="K236" i="1"/>
  <c r="K217" i="1"/>
  <c r="K221" i="1"/>
  <c r="K227" i="1"/>
  <c r="K228" i="1"/>
  <c r="K109" i="1"/>
  <c r="K111" i="1"/>
  <c r="K238" i="1"/>
  <c r="K237" i="1"/>
  <c r="K120" i="1"/>
  <c r="K124" i="1"/>
  <c r="K136" i="1"/>
  <c r="K240" i="1"/>
  <c r="K132" i="1"/>
  <c r="K135" i="1"/>
  <c r="H53" i="7941"/>
  <c r="G430" i="7941"/>
  <c r="G761" i="18"/>
  <c r="H732" i="18"/>
  <c r="H917" i="18"/>
  <c r="H689" i="18"/>
  <c r="H559" i="18" s="1"/>
  <c r="H97" i="7941" s="1"/>
  <c r="G103" i="7941"/>
  <c r="J292" i="7944"/>
  <c r="H88" i="18"/>
  <c r="J56" i="18"/>
  <c r="G42" i="7941"/>
  <c r="G501" i="18"/>
  <c r="H472" i="18"/>
  <c r="H41" i="7941"/>
  <c r="I22" i="18"/>
  <c r="I512" i="18" s="1"/>
  <c r="I50" i="7941" s="1"/>
  <c r="I40" i="18"/>
  <c r="I530" i="18" s="1"/>
  <c r="I68" i="7941" s="1"/>
  <c r="H325" i="7942"/>
  <c r="H273" i="7942"/>
  <c r="G460" i="7941"/>
  <c r="G793" i="18"/>
  <c r="H730" i="18"/>
  <c r="H501" i="18"/>
  <c r="C6" i="7948" s="1"/>
  <c r="G892" i="18"/>
  <c r="G923" i="18"/>
  <c r="I46" i="18"/>
  <c r="I691" i="18"/>
  <c r="I919" i="18"/>
  <c r="H410" i="7941"/>
  <c r="G583" i="7941"/>
  <c r="H421" i="7941"/>
  <c r="I672" i="18"/>
  <c r="I900" i="18"/>
  <c r="H718" i="18"/>
  <c r="H710" i="18"/>
  <c r="G214" i="7941"/>
  <c r="I920" i="18"/>
  <c r="I910" i="18"/>
  <c r="G218" i="7941"/>
  <c r="J136" i="7944"/>
  <c r="J344" i="7944"/>
  <c r="J149" i="7944"/>
  <c r="J357" i="7944"/>
  <c r="J162" i="7944"/>
  <c r="J370" i="7944"/>
  <c r="J175" i="7944"/>
  <c r="J383" i="7944"/>
  <c r="H946" i="18"/>
  <c r="H948" i="18"/>
  <c r="H939" i="18"/>
  <c r="H935" i="18"/>
  <c r="H930" i="18"/>
  <c r="G491" i="7941"/>
  <c r="H333" i="7942"/>
  <c r="J9" i="7944"/>
  <c r="K89" i="7944"/>
  <c r="K88" i="7944"/>
  <c r="K410" i="7944"/>
  <c r="K422" i="7944" s="1"/>
  <c r="K358" i="7944"/>
  <c r="K370" i="7944" s="1"/>
  <c r="K306" i="7944"/>
  <c r="K318" i="7944" s="1"/>
  <c r="K254" i="7944"/>
  <c r="K266" i="7944" s="1"/>
  <c r="K202" i="7944"/>
  <c r="K214" i="7944" s="1"/>
  <c r="K150" i="7944"/>
  <c r="K162" i="7944" s="1"/>
  <c r="K98" i="7944"/>
  <c r="K110" i="7944" s="1"/>
  <c r="K72" i="7944"/>
  <c r="K423" i="7944"/>
  <c r="K435" i="7944" s="1"/>
  <c r="K371" i="7944"/>
  <c r="K383" i="7944" s="1"/>
  <c r="K319" i="7944"/>
  <c r="K331" i="7944" s="1"/>
  <c r="K267" i="7944"/>
  <c r="K279" i="7944" s="1"/>
  <c r="K215" i="7944"/>
  <c r="K227" i="7944" s="1"/>
  <c r="K163" i="7944"/>
  <c r="K175" i="7944" s="1"/>
  <c r="K111" i="7944"/>
  <c r="K123" i="7944" s="1"/>
  <c r="K74" i="7944"/>
  <c r="K436" i="7944"/>
  <c r="K448" i="7944" s="1"/>
  <c r="K384" i="7944"/>
  <c r="K396" i="7944" s="1"/>
  <c r="K332" i="7944"/>
  <c r="K344" i="7944" s="1"/>
  <c r="K280" i="7944"/>
  <c r="K292" i="7944" s="1"/>
  <c r="K228" i="7944"/>
  <c r="K240" i="7944" s="1"/>
  <c r="K176" i="7944"/>
  <c r="K188" i="7944" s="1"/>
  <c r="K124" i="7944"/>
  <c r="K136" i="7944" s="1"/>
  <c r="K85" i="7944"/>
  <c r="K449" i="7944"/>
  <c r="K461" i="7944" s="1"/>
  <c r="K397" i="7944"/>
  <c r="K409" i="7944" s="1"/>
  <c r="K345" i="7944"/>
  <c r="K357" i="7944" s="1"/>
  <c r="K293" i="7944"/>
  <c r="K305" i="7944" s="1"/>
  <c r="K241" i="7944"/>
  <c r="K253" i="7944" s="1"/>
  <c r="K189" i="7944"/>
  <c r="K201" i="7944" s="1"/>
  <c r="K137" i="7944"/>
  <c r="K149" i="7944" s="1"/>
  <c r="K87" i="7944"/>
  <c r="L3" i="7944"/>
  <c r="K76" i="7944"/>
  <c r="K75" i="7944"/>
  <c r="I7" i="7944"/>
  <c r="D19" i="7948" s="1"/>
  <c r="D22" i="7948" s="1"/>
  <c r="I689" i="18"/>
  <c r="I679" i="18"/>
  <c r="H65" i="7941"/>
  <c r="G208" i="7941"/>
  <c r="H14" i="7941"/>
  <c r="J97" i="7944"/>
  <c r="J110" i="7944"/>
  <c r="J331" i="7944"/>
  <c r="G584" i="7941"/>
  <c r="H422" i="7941"/>
  <c r="H415" i="7941"/>
  <c r="G577" i="7941"/>
  <c r="G574" i="7941"/>
  <c r="H412" i="7941"/>
  <c r="G570" i="7941"/>
  <c r="H408" i="7941"/>
  <c r="I675" i="18"/>
  <c r="I60" i="18"/>
  <c r="H44" i="18"/>
  <c r="H241" i="1"/>
  <c r="I78" i="18"/>
  <c r="K78" i="18"/>
  <c r="J78" i="18"/>
  <c r="I45" i="18"/>
  <c r="J49" i="18"/>
  <c r="I26" i="18"/>
  <c r="I516" i="18" s="1"/>
  <c r="I54" i="7941" s="1"/>
  <c r="G664" i="18"/>
  <c r="G695" i="18"/>
  <c r="I70" i="18"/>
  <c r="I49" i="18"/>
  <c r="G72" i="7941"/>
  <c r="H470" i="18"/>
  <c r="G533" i="18"/>
  <c r="I23" i="18"/>
  <c r="I513" i="18" s="1"/>
  <c r="I51" i="7941" s="1"/>
  <c r="J452" i="18"/>
  <c r="H945" i="18"/>
  <c r="G229" i="7941"/>
  <c r="H35" i="7941"/>
  <c r="G224" i="7941"/>
  <c r="H30" i="7941"/>
  <c r="H22" i="7941"/>
  <c r="G216" i="7941"/>
  <c r="G213" i="7941"/>
  <c r="H19" i="7941"/>
  <c r="G206" i="7941"/>
  <c r="G544" i="7941"/>
  <c r="G523" i="7941" s="1"/>
  <c r="H750" i="18"/>
  <c r="G139" i="7941"/>
  <c r="G135" i="7941" s="1"/>
  <c r="G597" i="18"/>
  <c r="G210" i="7941"/>
  <c r="J188" i="7944"/>
  <c r="J396" i="7944"/>
  <c r="J201" i="7944"/>
  <c r="J409" i="7944"/>
  <c r="J214" i="7944"/>
  <c r="J422" i="7944"/>
  <c r="K34" i="7944" s="1"/>
  <c r="J227" i="7944"/>
  <c r="J435" i="7944"/>
  <c r="G580" i="7941"/>
  <c r="H418" i="7941"/>
  <c r="H407" i="7941"/>
  <c r="G569" i="7941"/>
  <c r="H404" i="7941"/>
  <c r="G566" i="7941"/>
  <c r="H400" i="7941"/>
  <c r="G562" i="7941"/>
  <c r="G857" i="18"/>
  <c r="G228" i="7941"/>
  <c r="H811" i="18"/>
  <c r="I917" i="18"/>
  <c r="I916" i="18"/>
  <c r="I688" i="18"/>
  <c r="H399" i="7941"/>
  <c r="J23" i="7944"/>
  <c r="I687" i="18" l="1"/>
  <c r="I683" i="18"/>
  <c r="I906" i="18"/>
  <c r="J205" i="18"/>
  <c r="J673" i="18" s="1"/>
  <c r="I88" i="18"/>
  <c r="I892" i="18" s="1"/>
  <c r="H666" i="18"/>
  <c r="H894" i="18"/>
  <c r="I905" i="18"/>
  <c r="J257" i="18"/>
  <c r="J905" i="18" s="1"/>
  <c r="H555" i="18"/>
  <c r="I491" i="18" s="1"/>
  <c r="I680" i="18"/>
  <c r="K20" i="7944"/>
  <c r="G663" i="18"/>
  <c r="G891" i="18"/>
  <c r="I676" i="18"/>
  <c r="I325" i="7942"/>
  <c r="H547" i="18"/>
  <c r="H85" i="7941" s="1"/>
  <c r="H17" i="7941"/>
  <c r="I17" i="7941" s="1"/>
  <c r="G211" i="7941"/>
  <c r="J689" i="18"/>
  <c r="H411" i="7941"/>
  <c r="J691" i="18"/>
  <c r="I901" i="18"/>
  <c r="G203" i="7941"/>
  <c r="H9" i="7941"/>
  <c r="H15" i="7941"/>
  <c r="G209" i="7941"/>
  <c r="H29" i="7941"/>
  <c r="G223" i="7941"/>
  <c r="H89" i="7941"/>
  <c r="I487" i="18"/>
  <c r="K89" i="18"/>
  <c r="K286" i="18"/>
  <c r="K156" i="18"/>
  <c r="K195" i="18"/>
  <c r="K169" i="18"/>
  <c r="K104" i="18"/>
  <c r="K312" i="18"/>
  <c r="K440" i="18"/>
  <c r="K310" i="18"/>
  <c r="K206" i="18"/>
  <c r="L3" i="18"/>
  <c r="L158" i="18" s="1"/>
  <c r="K349" i="18"/>
  <c r="K245" i="18"/>
  <c r="K91" i="18"/>
  <c r="K325" i="18"/>
  <c r="K414" i="18"/>
  <c r="K284" i="18"/>
  <c r="K180" i="18"/>
  <c r="K453" i="18"/>
  <c r="K323" i="18"/>
  <c r="K219" i="18"/>
  <c r="K234" i="18"/>
  <c r="K247" i="18"/>
  <c r="K338" i="18"/>
  <c r="K76" i="18"/>
  <c r="K362" i="18"/>
  <c r="K258" i="18"/>
  <c r="K375" i="18"/>
  <c r="K427" i="18"/>
  <c r="K297" i="18"/>
  <c r="K193" i="18"/>
  <c r="K299" i="18"/>
  <c r="K377" i="18"/>
  <c r="K260" i="18"/>
  <c r="K102" i="18"/>
  <c r="K208" i="18"/>
  <c r="K401" i="18"/>
  <c r="K413" i="18" s="1"/>
  <c r="K689" i="18" s="1"/>
  <c r="K143" i="18"/>
  <c r="K336" i="18"/>
  <c r="K271" i="18"/>
  <c r="K221" i="18"/>
  <c r="K232" i="18"/>
  <c r="K388" i="18"/>
  <c r="K400" i="18" s="1"/>
  <c r="K916" i="18" s="1"/>
  <c r="H911" i="18"/>
  <c r="H813" i="18" s="1"/>
  <c r="H683" i="18"/>
  <c r="H553" i="18" s="1"/>
  <c r="H912" i="18"/>
  <c r="H684" i="18"/>
  <c r="H554" i="18" s="1"/>
  <c r="H918" i="18"/>
  <c r="H820" i="18" s="1"/>
  <c r="H486" i="7941" s="1"/>
  <c r="I422" i="7941" s="1"/>
  <c r="H690" i="18"/>
  <c r="H560" i="18" s="1"/>
  <c r="K115" i="18"/>
  <c r="K209" i="18"/>
  <c r="K352" i="18"/>
  <c r="K300" i="18"/>
  <c r="K273" i="18"/>
  <c r="H903" i="18"/>
  <c r="H805" i="18" s="1"/>
  <c r="H675" i="18"/>
  <c r="H545" i="18" s="1"/>
  <c r="H902" i="18"/>
  <c r="H804" i="18" s="1"/>
  <c r="I740" i="18" s="1"/>
  <c r="H674" i="18"/>
  <c r="H687" i="18"/>
  <c r="H557" i="18" s="1"/>
  <c r="H95" i="7941" s="1"/>
  <c r="H915" i="18"/>
  <c r="H817" i="18" s="1"/>
  <c r="H914" i="18"/>
  <c r="H816" i="18" s="1"/>
  <c r="H686" i="18"/>
  <c r="H556" i="18" s="1"/>
  <c r="H910" i="18"/>
  <c r="H812" i="18" s="1"/>
  <c r="I748" i="18" s="1"/>
  <c r="H682" i="18"/>
  <c r="H552" i="18" s="1"/>
  <c r="H179" i="18"/>
  <c r="H899" i="18" s="1"/>
  <c r="H801" i="18" s="1"/>
  <c r="H467" i="7941" s="1"/>
  <c r="H565" i="7941" s="1"/>
  <c r="H893" i="18"/>
  <c r="H795" i="18" s="1"/>
  <c r="H665" i="18"/>
  <c r="H535" i="18" s="1"/>
  <c r="H73" i="7941" s="1"/>
  <c r="H920" i="18"/>
  <c r="H822" i="18" s="1"/>
  <c r="H488" i="7941" s="1"/>
  <c r="I424" i="7941" s="1"/>
  <c r="H692" i="18"/>
  <c r="H562" i="18" s="1"/>
  <c r="H900" i="18"/>
  <c r="H802" i="18" s="1"/>
  <c r="H672" i="18"/>
  <c r="H542" i="18" s="1"/>
  <c r="K92" i="18"/>
  <c r="H819" i="18"/>
  <c r="H485" i="7941" s="1"/>
  <c r="I421" i="7941" s="1"/>
  <c r="H127" i="18"/>
  <c r="H667" i="18" s="1"/>
  <c r="H537" i="18" s="1"/>
  <c r="H140" i="18"/>
  <c r="H896" i="18" s="1"/>
  <c r="H798" i="18" s="1"/>
  <c r="H153" i="18"/>
  <c r="H897" i="18" s="1"/>
  <c r="H799" i="18" s="1"/>
  <c r="I735" i="18" s="1"/>
  <c r="K339" i="18"/>
  <c r="K378" i="18"/>
  <c r="K118" i="18"/>
  <c r="K326" i="18"/>
  <c r="K261" i="18"/>
  <c r="K144" i="18"/>
  <c r="J283" i="18"/>
  <c r="J907" i="18" s="1"/>
  <c r="K105" i="18"/>
  <c r="J400" i="18"/>
  <c r="H906" i="18"/>
  <c r="H678" i="18"/>
  <c r="H548" i="18" s="1"/>
  <c r="H921" i="18"/>
  <c r="H823" i="18" s="1"/>
  <c r="H693" i="18"/>
  <c r="H563" i="18" s="1"/>
  <c r="H101" i="7941" s="1"/>
  <c r="H904" i="18"/>
  <c r="H806" i="18" s="1"/>
  <c r="H676" i="18"/>
  <c r="H546" i="18" s="1"/>
  <c r="K79" i="18"/>
  <c r="H907" i="18"/>
  <c r="H809" i="18" s="1"/>
  <c r="H679" i="18"/>
  <c r="H549" i="18" s="1"/>
  <c r="H87" i="7941" s="1"/>
  <c r="I23" i="7941" s="1"/>
  <c r="H908" i="18"/>
  <c r="H810" i="18" s="1"/>
  <c r="H680" i="18"/>
  <c r="H550" i="18" s="1"/>
  <c r="I685" i="18"/>
  <c r="I666" i="18"/>
  <c r="K129" i="1"/>
  <c r="K122" i="1"/>
  <c r="K224" i="1"/>
  <c r="K110" i="1"/>
  <c r="K127" i="1"/>
  <c r="K230" i="1"/>
  <c r="K214" i="1"/>
  <c r="K232" i="1"/>
  <c r="J71" i="18"/>
  <c r="E389" i="7945" s="1"/>
  <c r="L197" i="18"/>
  <c r="L353" i="18"/>
  <c r="J70" i="18"/>
  <c r="K126" i="1"/>
  <c r="K131" i="1"/>
  <c r="K138" i="1"/>
  <c r="K130" i="1"/>
  <c r="K123" i="1"/>
  <c r="K222" i="1"/>
  <c r="K233" i="1"/>
  <c r="K234" i="1"/>
  <c r="J679" i="18"/>
  <c r="K113" i="1"/>
  <c r="K117" i="1"/>
  <c r="K226" i="1"/>
  <c r="K121" i="1"/>
  <c r="K134" i="1"/>
  <c r="K116" i="1"/>
  <c r="K216" i="1"/>
  <c r="K137" i="1"/>
  <c r="K119" i="1"/>
  <c r="K218" i="1"/>
  <c r="K231" i="1"/>
  <c r="K220" i="1"/>
  <c r="K229" i="1"/>
  <c r="K215" i="1"/>
  <c r="L246" i="1"/>
  <c r="L237" i="1" s="1"/>
  <c r="J894" i="18"/>
  <c r="K125" i="1"/>
  <c r="K223" i="1"/>
  <c r="K114" i="1"/>
  <c r="K239" i="1"/>
  <c r="K118" i="1"/>
  <c r="K128" i="1"/>
  <c r="K112" i="1"/>
  <c r="K211" i="1"/>
  <c r="K133" i="1"/>
  <c r="K115" i="1"/>
  <c r="K212" i="1"/>
  <c r="K235" i="1"/>
  <c r="K219" i="1"/>
  <c r="K225" i="1"/>
  <c r="K213" i="1"/>
  <c r="I495" i="18"/>
  <c r="I721" i="18" s="1"/>
  <c r="I787" i="18"/>
  <c r="I453" i="7941" s="1"/>
  <c r="I127" i="18"/>
  <c r="I667" i="18" s="1"/>
  <c r="H585" i="7941"/>
  <c r="J101" i="18"/>
  <c r="J893" i="18" s="1"/>
  <c r="J241" i="1"/>
  <c r="J139" i="1"/>
  <c r="J683" i="18"/>
  <c r="I909" i="18"/>
  <c r="J361" i="18"/>
  <c r="J685" i="18" s="1"/>
  <c r="J309" i="18"/>
  <c r="J909" i="18" s="1"/>
  <c r="I423" i="7941"/>
  <c r="J44" i="18"/>
  <c r="J762" i="18" s="1"/>
  <c r="J50" i="18"/>
  <c r="J127" i="18"/>
  <c r="J903" i="18"/>
  <c r="J675" i="18"/>
  <c r="I110" i="7942"/>
  <c r="K171" i="18"/>
  <c r="K262" i="18"/>
  <c r="L275" i="18"/>
  <c r="I668" i="18"/>
  <c r="I112" i="7942"/>
  <c r="L327" i="18"/>
  <c r="K145" i="18"/>
  <c r="J88" i="18"/>
  <c r="J892" i="18" s="1"/>
  <c r="K80" i="18"/>
  <c r="I273" i="7942"/>
  <c r="J59" i="18"/>
  <c r="J777" i="18" s="1"/>
  <c r="J443" i="7941" s="1"/>
  <c r="J682" i="18"/>
  <c r="K223" i="18"/>
  <c r="K340" i="18"/>
  <c r="K197" i="18"/>
  <c r="J901" i="18"/>
  <c r="J57" i="18"/>
  <c r="J775" i="18" s="1"/>
  <c r="J441" i="7941" s="1"/>
  <c r="L106" i="18"/>
  <c r="K301" i="18"/>
  <c r="L210" i="18"/>
  <c r="K210" i="18"/>
  <c r="K288" i="18"/>
  <c r="K119" i="18"/>
  <c r="L314" i="18"/>
  <c r="K106" i="18"/>
  <c r="K314" i="18"/>
  <c r="L301" i="18"/>
  <c r="K379" i="18"/>
  <c r="K249" i="18"/>
  <c r="L223" i="18"/>
  <c r="K236" i="18"/>
  <c r="L236" i="18"/>
  <c r="L119" i="18"/>
  <c r="J166" i="18"/>
  <c r="J898" i="18" s="1"/>
  <c r="I757" i="18"/>
  <c r="I951" i="18" s="1"/>
  <c r="I821" i="18" s="1"/>
  <c r="J48" i="18"/>
  <c r="J766" i="18" s="1"/>
  <c r="J432" i="7941" s="1"/>
  <c r="J51" i="18"/>
  <c r="J769" i="18" s="1"/>
  <c r="J435" i="7941" s="1"/>
  <c r="K158" i="18"/>
  <c r="K327" i="18"/>
  <c r="L262" i="18"/>
  <c r="K353" i="18"/>
  <c r="L379" i="18"/>
  <c r="I899" i="18"/>
  <c r="J671" i="18"/>
  <c r="J674" i="18"/>
  <c r="J902" i="18"/>
  <c r="J684" i="18"/>
  <c r="J912" i="18"/>
  <c r="J676" i="18"/>
  <c r="J904" i="18"/>
  <c r="J7" i="7944"/>
  <c r="E19" i="7948" s="1"/>
  <c r="J296" i="18"/>
  <c r="P347" i="7944"/>
  <c r="Q347" i="7944" s="1"/>
  <c r="M74" i="1"/>
  <c r="M142" i="1"/>
  <c r="M4" i="7944"/>
  <c r="Q7" i="7946" s="1"/>
  <c r="E5" i="7946" s="1"/>
  <c r="M108" i="1"/>
  <c r="M210" i="1"/>
  <c r="M4" i="18"/>
  <c r="N40" i="1"/>
  <c r="M176" i="1"/>
  <c r="M4" i="7941"/>
  <c r="M244" i="1"/>
  <c r="M4" i="7942"/>
  <c r="H268" i="7942"/>
  <c r="Q152" i="7944"/>
  <c r="I670" i="18"/>
  <c r="I669" i="18"/>
  <c r="H166" i="18"/>
  <c r="K154" i="18"/>
  <c r="J141" i="18"/>
  <c r="O139" i="7944"/>
  <c r="P139" i="7944" s="1"/>
  <c r="J896" i="18"/>
  <c r="I479" i="18"/>
  <c r="I705" i="18" s="1"/>
  <c r="L34" i="7944"/>
  <c r="K31" i="7944"/>
  <c r="K30" i="7944"/>
  <c r="H729" i="18"/>
  <c r="H924" i="18"/>
  <c r="H808" i="18"/>
  <c r="H558" i="18"/>
  <c r="H118" i="7942"/>
  <c r="I118" i="7942" s="1"/>
  <c r="E388" i="7945"/>
  <c r="I789" i="18"/>
  <c r="I455" i="7941" s="1"/>
  <c r="H93" i="7941"/>
  <c r="I783" i="18"/>
  <c r="I449" i="7941" s="1"/>
  <c r="K23" i="7944"/>
  <c r="H807" i="18"/>
  <c r="K19" i="7944"/>
  <c r="K17" i="7944"/>
  <c r="H944" i="18"/>
  <c r="H815" i="18"/>
  <c r="J915" i="18"/>
  <c r="J687" i="18"/>
  <c r="J692" i="18"/>
  <c r="J920" i="18"/>
  <c r="H696" i="18"/>
  <c r="H469" i="18"/>
  <c r="C5" i="7948" s="1"/>
  <c r="K18" i="7944"/>
  <c r="K27" i="7944"/>
  <c r="E375" i="7945"/>
  <c r="J788" i="18"/>
  <c r="J454" i="7941" s="1"/>
  <c r="K29" i="7944"/>
  <c r="K28" i="7944"/>
  <c r="H561" i="18"/>
  <c r="H698" i="18"/>
  <c r="H664" i="18"/>
  <c r="H892" i="18"/>
  <c r="H11" i="7941"/>
  <c r="H926" i="18"/>
  <c r="I21" i="7941"/>
  <c r="H215" i="7941"/>
  <c r="K37" i="7944"/>
  <c r="L80" i="18"/>
  <c r="J73" i="18"/>
  <c r="E122" i="7945"/>
  <c r="I770" i="18"/>
  <c r="I436" i="7941" s="1"/>
  <c r="I781" i="18"/>
  <c r="I447" i="7941" s="1"/>
  <c r="J65" i="18"/>
  <c r="I775" i="18"/>
  <c r="I441" i="7941" s="1"/>
  <c r="E416" i="7945"/>
  <c r="I791" i="18"/>
  <c r="I457" i="7941" s="1"/>
  <c r="I780" i="18"/>
  <c r="I446" i="7941" s="1"/>
  <c r="K26" i="7944"/>
  <c r="E374" i="7945"/>
  <c r="I788" i="18"/>
  <c r="I454" i="7941" s="1"/>
  <c r="H39" i="7941"/>
  <c r="K24" i="7944"/>
  <c r="I782" i="18"/>
  <c r="I448" i="7941" s="1"/>
  <c r="G578" i="7941"/>
  <c r="H416" i="7941"/>
  <c r="H8" i="7941"/>
  <c r="G202" i="7941"/>
  <c r="G71" i="7941"/>
  <c r="I763" i="18"/>
  <c r="I778" i="18"/>
  <c r="I444" i="7941" s="1"/>
  <c r="L423" i="7944"/>
  <c r="L319" i="7944"/>
  <c r="L331" i="7944" s="1"/>
  <c r="M331" i="7944" s="1"/>
  <c r="L215" i="7944"/>
  <c r="L111" i="7944"/>
  <c r="L123" i="7944" s="1"/>
  <c r="L88" i="7944"/>
  <c r="J24" i="7945" s="1"/>
  <c r="K24" i="7945" s="1"/>
  <c r="L358" i="7944"/>
  <c r="L370" i="7944" s="1"/>
  <c r="L254" i="7944"/>
  <c r="L266" i="7944" s="1"/>
  <c r="M266" i="7944" s="1"/>
  <c r="L150" i="7944"/>
  <c r="L162" i="7944" s="1"/>
  <c r="M162" i="7944" s="1"/>
  <c r="L89" i="7944"/>
  <c r="J25" i="7945" s="1"/>
  <c r="K25" i="7945" s="1"/>
  <c r="L72" i="7944"/>
  <c r="J8" i="7945" s="1"/>
  <c r="L449" i="7944"/>
  <c r="L345" i="7944"/>
  <c r="L357" i="7944" s="1"/>
  <c r="L241" i="7944"/>
  <c r="L253" i="7944" s="1"/>
  <c r="M253" i="7944" s="1"/>
  <c r="N253" i="7944" s="1"/>
  <c r="O253" i="7944" s="1"/>
  <c r="L137" i="7944"/>
  <c r="L149" i="7944" s="1"/>
  <c r="M149" i="7944" s="1"/>
  <c r="L74" i="7944"/>
  <c r="J9" i="7945" s="1"/>
  <c r="K9" i="7945" s="1"/>
  <c r="L384" i="7944"/>
  <c r="L280" i="7944"/>
  <c r="L292" i="7944" s="1"/>
  <c r="M292" i="7944" s="1"/>
  <c r="L176" i="7944"/>
  <c r="L85" i="7944"/>
  <c r="L371" i="7944"/>
  <c r="L383" i="7944" s="1"/>
  <c r="L163" i="7944"/>
  <c r="L175" i="7944" s="1"/>
  <c r="M175" i="7944" s="1"/>
  <c r="L410" i="7944"/>
  <c r="L202" i="7944"/>
  <c r="L267" i="7944"/>
  <c r="L279" i="7944" s="1"/>
  <c r="L75" i="7944"/>
  <c r="J10" i="7945" s="1"/>
  <c r="K10" i="7945" s="1"/>
  <c r="L306" i="7944"/>
  <c r="L318" i="7944" s="1"/>
  <c r="L98" i="7944"/>
  <c r="L110" i="7944" s="1"/>
  <c r="M110" i="7944" s="1"/>
  <c r="L77" i="7944"/>
  <c r="J12" i="7945" s="1"/>
  <c r="K12" i="7945" s="1"/>
  <c r="L87" i="7944"/>
  <c r="J23" i="7945" s="1"/>
  <c r="K23" i="7945" s="1"/>
  <c r="L332" i="7944"/>
  <c r="L344" i="7944" s="1"/>
  <c r="M344" i="7944" s="1"/>
  <c r="L76" i="7944"/>
  <c r="J11" i="7945" s="1"/>
  <c r="K11" i="7945" s="1"/>
  <c r="L397" i="7944"/>
  <c r="L228" i="7944"/>
  <c r="L240" i="7944" s="1"/>
  <c r="M240" i="7944" s="1"/>
  <c r="N240" i="7944" s="1"/>
  <c r="M3" i="7944"/>
  <c r="L189" i="7944"/>
  <c r="L436" i="7944"/>
  <c r="L90" i="7944"/>
  <c r="J26" i="7945" s="1"/>
  <c r="K26" i="7945" s="1"/>
  <c r="L124" i="7944"/>
  <c r="L136" i="7944" s="1"/>
  <c r="M136" i="7944" s="1"/>
  <c r="L293" i="7944"/>
  <c r="L305" i="7944" s="1"/>
  <c r="K9" i="7944"/>
  <c r="K15" i="7944"/>
  <c r="J78" i="7945"/>
  <c r="J89" i="7945" s="1"/>
  <c r="K89" i="7945" s="1"/>
  <c r="J906" i="18"/>
  <c r="J678" i="18"/>
  <c r="G558" i="7941"/>
  <c r="G459" i="7941"/>
  <c r="H396" i="7941"/>
  <c r="J774" i="18"/>
  <c r="J440" i="7941" s="1"/>
  <c r="G205" i="7941"/>
  <c r="J7" i="7942"/>
  <c r="J34" i="18"/>
  <c r="J524" i="18" s="1"/>
  <c r="J62" i="7941" s="1"/>
  <c r="J16" i="18"/>
  <c r="J506" i="18" s="1"/>
  <c r="J44" i="7941" s="1"/>
  <c r="J20" i="18"/>
  <c r="J510" i="18" s="1"/>
  <c r="J48" i="7941" s="1"/>
  <c r="J24" i="18"/>
  <c r="J514" i="18" s="1"/>
  <c r="J52" i="7941" s="1"/>
  <c r="J28" i="18"/>
  <c r="J518" i="18" s="1"/>
  <c r="J56" i="7941" s="1"/>
  <c r="J32" i="18"/>
  <c r="J522" i="18" s="1"/>
  <c r="J60" i="7941" s="1"/>
  <c r="J38" i="18"/>
  <c r="J528" i="18" s="1"/>
  <c r="J66" i="7941" s="1"/>
  <c r="J62" i="18"/>
  <c r="J18" i="18"/>
  <c r="J508" i="18" s="1"/>
  <c r="J46" i="7941" s="1"/>
  <c r="J19" i="18"/>
  <c r="J509" i="18" s="1"/>
  <c r="J47" i="7941" s="1"/>
  <c r="J36" i="18"/>
  <c r="J526" i="18" s="1"/>
  <c r="J64" i="7941" s="1"/>
  <c r="J37" i="18"/>
  <c r="J527" i="18" s="1"/>
  <c r="J65" i="7941" s="1"/>
  <c r="J54" i="18"/>
  <c r="J22" i="18"/>
  <c r="J512" i="18" s="1"/>
  <c r="J50" i="7941" s="1"/>
  <c r="J23" i="18"/>
  <c r="J513" i="18" s="1"/>
  <c r="J51" i="7941" s="1"/>
  <c r="J15" i="18"/>
  <c r="J505" i="18" s="1"/>
  <c r="J43" i="7941" s="1"/>
  <c r="J31" i="18"/>
  <c r="J521" i="18" s="1"/>
  <c r="J59" i="7941" s="1"/>
  <c r="J26" i="18"/>
  <c r="J516" i="18" s="1"/>
  <c r="J54" i="7941" s="1"/>
  <c r="J27" i="18"/>
  <c r="J517" i="18" s="1"/>
  <c r="J55" i="7941" s="1"/>
  <c r="J40" i="18"/>
  <c r="J530" i="18" s="1"/>
  <c r="J68" i="7941" s="1"/>
  <c r="J41" i="18"/>
  <c r="J531" i="18" s="1"/>
  <c r="J69" i="7941" s="1"/>
  <c r="J33" i="18"/>
  <c r="J523" i="18" s="1"/>
  <c r="J61" i="7941" s="1"/>
  <c r="J12" i="18"/>
  <c r="J14" i="18"/>
  <c r="J504" i="18" s="1"/>
  <c r="J42" i="7941" s="1"/>
  <c r="J17" i="18"/>
  <c r="J507" i="18" s="1"/>
  <c r="J45" i="7941" s="1"/>
  <c r="J61" i="18"/>
  <c r="J69" i="18"/>
  <c r="J60" i="18"/>
  <c r="J39" i="18"/>
  <c r="J529" i="18" s="1"/>
  <c r="J67" i="7941" s="1"/>
  <c r="J35" i="18"/>
  <c r="J525" i="18" s="1"/>
  <c r="J63" i="7941" s="1"/>
  <c r="J25" i="18"/>
  <c r="J515" i="18" s="1"/>
  <c r="J53" i="7941" s="1"/>
  <c r="J47" i="18"/>
  <c r="K93" i="18"/>
  <c r="J29" i="18"/>
  <c r="J519" i="18" s="1"/>
  <c r="J57" i="7941" s="1"/>
  <c r="J52" i="18"/>
  <c r="J67" i="18"/>
  <c r="J45" i="18"/>
  <c r="J53" i="18"/>
  <c r="J30" i="18"/>
  <c r="J520" i="18" s="1"/>
  <c r="J58" i="7941" s="1"/>
  <c r="J21" i="18"/>
  <c r="J511" i="18" s="1"/>
  <c r="J49" i="7941" s="1"/>
  <c r="J13" i="18"/>
  <c r="J503" i="18" s="1"/>
  <c r="J41" i="7941" s="1"/>
  <c r="J46" i="18"/>
  <c r="J71" i="7944"/>
  <c r="E21" i="7948" s="1"/>
  <c r="K668" i="18"/>
  <c r="I893" i="18"/>
  <c r="I665" i="18"/>
  <c r="J918" i="18"/>
  <c r="J690" i="18"/>
  <c r="J686" i="18"/>
  <c r="J914" i="18"/>
  <c r="E318" i="7945"/>
  <c r="I784" i="18"/>
  <c r="I450" i="7941" s="1"/>
  <c r="J64" i="18"/>
  <c r="J58" i="18"/>
  <c r="J66" i="18"/>
  <c r="I779" i="18"/>
  <c r="I445" i="7941" s="1"/>
  <c r="I774" i="18"/>
  <c r="I440" i="7941" s="1"/>
  <c r="J72" i="18"/>
  <c r="I43" i="18"/>
  <c r="I762" i="18"/>
  <c r="H469" i="7941"/>
  <c r="I739" i="18"/>
  <c r="I776" i="18"/>
  <c r="I442" i="7941" s="1"/>
  <c r="I777" i="18"/>
  <c r="I443" i="7941" s="1"/>
  <c r="I124" i="7942"/>
  <c r="I166" i="7942"/>
  <c r="I122" i="7942"/>
  <c r="I277" i="7942"/>
  <c r="I285" i="7942"/>
  <c r="I293" i="7942"/>
  <c r="I297" i="7942"/>
  <c r="I130" i="7942"/>
  <c r="I108" i="7942"/>
  <c r="I136" i="7942"/>
  <c r="I128" i="7942"/>
  <c r="I120" i="7942"/>
  <c r="I140" i="7942"/>
  <c r="I116" i="7942"/>
  <c r="I158" i="7942"/>
  <c r="I142" i="7942"/>
  <c r="I138" i="7942"/>
  <c r="I327" i="7942"/>
  <c r="I313" i="7942"/>
  <c r="I150" i="7942"/>
  <c r="I317" i="7942"/>
  <c r="I321" i="7942"/>
  <c r="I291" i="7942"/>
  <c r="I311" i="7942"/>
  <c r="I114" i="7942"/>
  <c r="I289" i="7942"/>
  <c r="I323" i="7942"/>
  <c r="I299" i="7942"/>
  <c r="I160" i="7942"/>
  <c r="I303" i="7942"/>
  <c r="I287" i="7942"/>
  <c r="I275" i="7942"/>
  <c r="I144" i="7942"/>
  <c r="I305" i="7942"/>
  <c r="I281" i="7942"/>
  <c r="I156" i="7942"/>
  <c r="I164" i="7942"/>
  <c r="I132" i="7942"/>
  <c r="I301" i="7942"/>
  <c r="I315" i="7942"/>
  <c r="I295" i="7942"/>
  <c r="I146" i="7942"/>
  <c r="I307" i="7942"/>
  <c r="I309" i="7942"/>
  <c r="I283" i="7942"/>
  <c r="I279" i="7942"/>
  <c r="I148" i="7942"/>
  <c r="I152" i="7942"/>
  <c r="I319" i="7942"/>
  <c r="I271" i="7942"/>
  <c r="I162" i="7942"/>
  <c r="I154" i="7942"/>
  <c r="I269" i="7942"/>
  <c r="I126" i="7942"/>
  <c r="K11" i="7944"/>
  <c r="I134" i="7942"/>
  <c r="J767" i="18"/>
  <c r="J433" i="7941" s="1"/>
  <c r="K10" i="7944"/>
  <c r="H227" i="7941"/>
  <c r="I33" i="7941"/>
  <c r="H818" i="18"/>
  <c r="J288" i="7945"/>
  <c r="J299" i="7945" s="1"/>
  <c r="K299" i="7945" s="1"/>
  <c r="O27" i="7946" s="1"/>
  <c r="L36" i="7944"/>
  <c r="H477" i="7941"/>
  <c r="I747" i="18"/>
  <c r="K35" i="7944"/>
  <c r="K33" i="7944"/>
  <c r="K32" i="7944"/>
  <c r="I767" i="18"/>
  <c r="I433" i="7941" s="1"/>
  <c r="H43" i="18"/>
  <c r="H762" i="18"/>
  <c r="K16" i="7944"/>
  <c r="K97" i="7944"/>
  <c r="K84" i="7944"/>
  <c r="J106" i="7945"/>
  <c r="J117" i="7945" s="1"/>
  <c r="K117" i="7945" s="1"/>
  <c r="O14" i="7946" s="1"/>
  <c r="K14" i="7944"/>
  <c r="K13" i="7944"/>
  <c r="K12" i="7944"/>
  <c r="I764" i="18"/>
  <c r="I430" i="7941" s="1"/>
  <c r="G39" i="7941"/>
  <c r="H10" i="7941"/>
  <c r="G204" i="7941"/>
  <c r="J232" i="7945"/>
  <c r="J243" i="7945" s="1"/>
  <c r="K243" i="7945" s="1"/>
  <c r="O23" i="7946" s="1"/>
  <c r="G427" i="7941"/>
  <c r="H398" i="7941"/>
  <c r="G560" i="7941"/>
  <c r="L213" i="1"/>
  <c r="L136" i="1"/>
  <c r="L230" i="1"/>
  <c r="L128" i="1"/>
  <c r="L20" i="7944"/>
  <c r="L251" i="1"/>
  <c r="K252" i="1"/>
  <c r="K7" i="7942" s="1"/>
  <c r="K22" i="7944"/>
  <c r="K21" i="7944"/>
  <c r="H544" i="18"/>
  <c r="K896" i="18"/>
  <c r="L93" i="18"/>
  <c r="I502" i="18"/>
  <c r="I11" i="18"/>
  <c r="G75" i="7942"/>
  <c r="G10" i="7948" s="1"/>
  <c r="J55" i="18"/>
  <c r="E66" i="7945"/>
  <c r="I766" i="18"/>
  <c r="I432" i="7941" s="1"/>
  <c r="J68" i="18"/>
  <c r="E402" i="7945"/>
  <c r="I790" i="18"/>
  <c r="J63" i="18"/>
  <c r="I771" i="18"/>
  <c r="I437" i="7941" s="1"/>
  <c r="I769" i="18"/>
  <c r="I435" i="7941" s="1"/>
  <c r="I768" i="18"/>
  <c r="I434" i="7941" s="1"/>
  <c r="K8" i="7944"/>
  <c r="K25" i="7944"/>
  <c r="I664" i="18" l="1"/>
  <c r="I663" i="18" s="1"/>
  <c r="D8" i="7948" s="1"/>
  <c r="K244" i="18"/>
  <c r="K676" i="18" s="1"/>
  <c r="J677" i="18"/>
  <c r="I483" i="18"/>
  <c r="I709" i="18" s="1"/>
  <c r="I547" i="18" s="1"/>
  <c r="I85" i="7941" s="1"/>
  <c r="J21" i="7941" s="1"/>
  <c r="I485" i="18"/>
  <c r="I711" i="18" s="1"/>
  <c r="I549" i="18" s="1"/>
  <c r="H478" i="7941"/>
  <c r="I414" i="7941" s="1"/>
  <c r="K241" i="1"/>
  <c r="K139" i="1"/>
  <c r="H671" i="18"/>
  <c r="H541" i="18" s="1"/>
  <c r="H79" i="7941" s="1"/>
  <c r="H203" i="7941"/>
  <c r="I471" i="18"/>
  <c r="I697" i="18" s="1"/>
  <c r="I535" i="18" s="1"/>
  <c r="I73" i="7941" s="1"/>
  <c r="I9" i="7941"/>
  <c r="H217" i="7941"/>
  <c r="K688" i="18"/>
  <c r="J190" i="7945"/>
  <c r="J201" i="7945" s="1"/>
  <c r="K201" i="7945" s="1"/>
  <c r="O20" i="7946" s="1"/>
  <c r="K387" i="18"/>
  <c r="K687" i="18" s="1"/>
  <c r="J789" i="18"/>
  <c r="J455" i="7941" s="1"/>
  <c r="I493" i="18"/>
  <c r="I719" i="18" s="1"/>
  <c r="H211" i="7941"/>
  <c r="E67" i="7945"/>
  <c r="K348" i="18"/>
  <c r="K912" i="18" s="1"/>
  <c r="H668" i="18"/>
  <c r="H538" i="18" s="1"/>
  <c r="I474" i="18" s="1"/>
  <c r="H669" i="18"/>
  <c r="H539" i="18" s="1"/>
  <c r="H77" i="7941" s="1"/>
  <c r="H207" i="7941" s="1"/>
  <c r="E22" i="7948"/>
  <c r="K335" i="18"/>
  <c r="K911" i="18" s="1"/>
  <c r="K127" i="18"/>
  <c r="K667" i="18" s="1"/>
  <c r="J913" i="18"/>
  <c r="I499" i="18"/>
  <c r="K231" i="18"/>
  <c r="K903" i="18" s="1"/>
  <c r="K179" i="18"/>
  <c r="K671" i="18" s="1"/>
  <c r="I756" i="18"/>
  <c r="I950" i="18" s="1"/>
  <c r="H586" i="7941"/>
  <c r="H583" i="7941"/>
  <c r="H470" i="7941"/>
  <c r="H568" i="7941" s="1"/>
  <c r="K114" i="18"/>
  <c r="K666" i="18" s="1"/>
  <c r="K218" i="18"/>
  <c r="K674" i="18" s="1"/>
  <c r="K205" i="18"/>
  <c r="K673" i="18" s="1"/>
  <c r="K917" i="18"/>
  <c r="H584" i="7941"/>
  <c r="K309" i="18"/>
  <c r="K681" i="18" s="1"/>
  <c r="K88" i="18"/>
  <c r="K892" i="18" s="1"/>
  <c r="K101" i="18"/>
  <c r="K893" i="18" s="1"/>
  <c r="K361" i="18"/>
  <c r="K685" i="18" s="1"/>
  <c r="K257" i="18"/>
  <c r="K905" i="18" s="1"/>
  <c r="I755" i="18"/>
  <c r="I949" i="18" s="1"/>
  <c r="I819" i="18" s="1"/>
  <c r="K283" i="18"/>
  <c r="K907" i="18" s="1"/>
  <c r="K426" i="18"/>
  <c r="K452" i="18"/>
  <c r="I713" i="18"/>
  <c r="I551" i="18" s="1"/>
  <c r="I89" i="7941" s="1"/>
  <c r="H895" i="18"/>
  <c r="H797" i="18" s="1"/>
  <c r="H463" i="7941" s="1"/>
  <c r="H75" i="18"/>
  <c r="H461" i="7941"/>
  <c r="I731" i="18"/>
  <c r="I925" i="18" s="1"/>
  <c r="I795" i="18" s="1"/>
  <c r="K374" i="18"/>
  <c r="K192" i="18"/>
  <c r="L145" i="18"/>
  <c r="E81" i="7945" s="1"/>
  <c r="F81" i="7945" s="1"/>
  <c r="L340" i="18"/>
  <c r="E291" i="7945" s="1"/>
  <c r="F291" i="7945" s="1"/>
  <c r="L249" i="18"/>
  <c r="E193" i="7945" s="1"/>
  <c r="F193" i="7945" s="1"/>
  <c r="K296" i="18"/>
  <c r="K680" i="18" s="1"/>
  <c r="L288" i="18"/>
  <c r="E235" i="7945" s="1"/>
  <c r="F235" i="7945" s="1"/>
  <c r="L171" i="18"/>
  <c r="E109" i="7945" s="1"/>
  <c r="F109" i="7945" s="1"/>
  <c r="K270" i="18"/>
  <c r="K678" i="18" s="1"/>
  <c r="K439" i="18"/>
  <c r="I758" i="18"/>
  <c r="I952" i="18" s="1"/>
  <c r="I822" i="18" s="1"/>
  <c r="I488" i="7941" s="1"/>
  <c r="J688" i="18"/>
  <c r="J916" i="18"/>
  <c r="K465" i="18"/>
  <c r="L312" i="18"/>
  <c r="E261" i="7945" s="1"/>
  <c r="F261" i="7945" s="1"/>
  <c r="L286" i="18"/>
  <c r="E233" i="7945" s="1"/>
  <c r="F233" i="7945" s="1"/>
  <c r="L234" i="18"/>
  <c r="E177" i="7945" s="1"/>
  <c r="F177" i="7945" s="1"/>
  <c r="L377" i="18"/>
  <c r="E331" i="7945" s="1"/>
  <c r="F331" i="7945" s="1"/>
  <c r="L104" i="18"/>
  <c r="E37" i="7945" s="1"/>
  <c r="F37" i="7945" s="1"/>
  <c r="L169" i="18"/>
  <c r="E107" i="7945" s="1"/>
  <c r="F107" i="7945" s="1"/>
  <c r="L260" i="18"/>
  <c r="E205" i="7945" s="1"/>
  <c r="F205" i="7945" s="1"/>
  <c r="L195" i="18"/>
  <c r="E135" i="7945" s="1"/>
  <c r="F135" i="7945" s="1"/>
  <c r="L325" i="18"/>
  <c r="E275" i="7945" s="1"/>
  <c r="F275" i="7945" s="1"/>
  <c r="L313" i="18"/>
  <c r="E262" i="7945" s="1"/>
  <c r="F262" i="7945" s="1"/>
  <c r="L235" i="18"/>
  <c r="E178" i="7945" s="1"/>
  <c r="F178" i="7945" s="1"/>
  <c r="M3" i="18"/>
  <c r="L401" i="18"/>
  <c r="L336" i="18"/>
  <c r="E288" i="7945" s="1"/>
  <c r="L414" i="18"/>
  <c r="L426" i="18" s="1"/>
  <c r="L271" i="18"/>
  <c r="E218" i="7945" s="1"/>
  <c r="L258" i="18"/>
  <c r="E204" i="7945" s="1"/>
  <c r="L284" i="18"/>
  <c r="E232" i="7945" s="1"/>
  <c r="L245" i="18"/>
  <c r="E190" i="7945" s="1"/>
  <c r="L76" i="18"/>
  <c r="E8" i="7945" s="1"/>
  <c r="L299" i="18"/>
  <c r="E247" i="7945" s="1"/>
  <c r="F247" i="7945" s="1"/>
  <c r="L247" i="18"/>
  <c r="E191" i="7945" s="1"/>
  <c r="F191" i="7945" s="1"/>
  <c r="L351" i="18"/>
  <c r="E303" i="7945" s="1"/>
  <c r="F303" i="7945" s="1"/>
  <c r="L157" i="18"/>
  <c r="E94" i="7945" s="1"/>
  <c r="F94" i="7945" s="1"/>
  <c r="L326" i="18"/>
  <c r="E276" i="7945" s="1"/>
  <c r="F276" i="7945" s="1"/>
  <c r="L143" i="18"/>
  <c r="E79" i="7945" s="1"/>
  <c r="F79" i="7945" s="1"/>
  <c r="L388" i="18"/>
  <c r="L349" i="18"/>
  <c r="E302" i="7945" s="1"/>
  <c r="L78" i="18"/>
  <c r="E9" i="7945" s="1"/>
  <c r="F9" i="7945" s="1"/>
  <c r="L167" i="18"/>
  <c r="E106" i="7945" s="1"/>
  <c r="L219" i="18"/>
  <c r="E162" i="7945" s="1"/>
  <c r="L206" i="18"/>
  <c r="E148" i="7945" s="1"/>
  <c r="L232" i="18"/>
  <c r="E176" i="7945" s="1"/>
  <c r="L362" i="18"/>
  <c r="L374" i="18" s="1"/>
  <c r="L221" i="18"/>
  <c r="E163" i="7945" s="1"/>
  <c r="F163" i="7945" s="1"/>
  <c r="L156" i="18"/>
  <c r="E93" i="7945" s="1"/>
  <c r="F93" i="7945" s="1"/>
  <c r="L117" i="18"/>
  <c r="E51" i="7945" s="1"/>
  <c r="F51" i="7945" s="1"/>
  <c r="L273" i="18"/>
  <c r="E219" i="7945" s="1"/>
  <c r="F219" i="7945" s="1"/>
  <c r="L352" i="18"/>
  <c r="E304" i="7945" s="1"/>
  <c r="F304" i="7945" s="1"/>
  <c r="L261" i="18"/>
  <c r="E206" i="7945" s="1"/>
  <c r="F206" i="7945" s="1"/>
  <c r="L196" i="18"/>
  <c r="E136" i="7945" s="1"/>
  <c r="F136" i="7945" s="1"/>
  <c r="L222" i="18"/>
  <c r="E164" i="7945" s="1"/>
  <c r="F164" i="7945" s="1"/>
  <c r="L248" i="18"/>
  <c r="E192" i="7945" s="1"/>
  <c r="F192" i="7945" s="1"/>
  <c r="L105" i="18"/>
  <c r="E38" i="7945" s="1"/>
  <c r="F38" i="7945" s="1"/>
  <c r="L300" i="18"/>
  <c r="E248" i="7945" s="1"/>
  <c r="F248" i="7945" s="1"/>
  <c r="L287" i="18"/>
  <c r="E234" i="7945" s="1"/>
  <c r="F234" i="7945" s="1"/>
  <c r="L453" i="18"/>
  <c r="L465" i="18" s="1"/>
  <c r="L323" i="18"/>
  <c r="E274" i="7945" s="1"/>
  <c r="L128" i="18"/>
  <c r="L115" i="18"/>
  <c r="E50" i="7945" s="1"/>
  <c r="L89" i="18"/>
  <c r="E22" i="7945" s="1"/>
  <c r="L92" i="18"/>
  <c r="E24" i="7945" s="1"/>
  <c r="F24" i="7945" s="1"/>
  <c r="L180" i="18"/>
  <c r="L192" i="18" s="1"/>
  <c r="L79" i="18"/>
  <c r="E10" i="7945" s="1"/>
  <c r="F10" i="7945" s="1"/>
  <c r="L208" i="18"/>
  <c r="E149" i="7945" s="1"/>
  <c r="F149" i="7945" s="1"/>
  <c r="L338" i="18"/>
  <c r="E289" i="7945" s="1"/>
  <c r="F289" i="7945" s="1"/>
  <c r="L274" i="18"/>
  <c r="E220" i="7945" s="1"/>
  <c r="F220" i="7945" s="1"/>
  <c r="L144" i="18"/>
  <c r="E80" i="7945" s="1"/>
  <c r="F80" i="7945" s="1"/>
  <c r="L170" i="18"/>
  <c r="E108" i="7945" s="1"/>
  <c r="F108" i="7945" s="1"/>
  <c r="L118" i="18"/>
  <c r="E52" i="7945" s="1"/>
  <c r="F52" i="7945" s="1"/>
  <c r="L378" i="18"/>
  <c r="E332" i="7945" s="1"/>
  <c r="F332" i="7945" s="1"/>
  <c r="L339" i="18"/>
  <c r="E290" i="7945" s="1"/>
  <c r="F290" i="7945" s="1"/>
  <c r="L209" i="18"/>
  <c r="E150" i="7945" s="1"/>
  <c r="F150" i="7945" s="1"/>
  <c r="L427" i="18"/>
  <c r="L439" i="18" s="1"/>
  <c r="L375" i="18"/>
  <c r="E330" i="7945" s="1"/>
  <c r="L102" i="18"/>
  <c r="E36" i="7945" s="1"/>
  <c r="L91" i="18"/>
  <c r="E23" i="7945" s="1"/>
  <c r="F23" i="7945" s="1"/>
  <c r="L310" i="18"/>
  <c r="E260" i="7945" s="1"/>
  <c r="L440" i="18"/>
  <c r="L452" i="18" s="1"/>
  <c r="L692" i="18" s="1"/>
  <c r="L297" i="18"/>
  <c r="E246" i="7945" s="1"/>
  <c r="L193" i="18"/>
  <c r="E134" i="7945" s="1"/>
  <c r="H219" i="7941"/>
  <c r="I25" i="7941"/>
  <c r="J665" i="18"/>
  <c r="L112" i="1"/>
  <c r="L118" i="1"/>
  <c r="L220" i="1"/>
  <c r="L134" i="1"/>
  <c r="L127" i="1"/>
  <c r="L235" i="1"/>
  <c r="L231" i="1"/>
  <c r="L117" i="1"/>
  <c r="L232" i="1"/>
  <c r="L111" i="1"/>
  <c r="L240" i="1"/>
  <c r="L239" i="1"/>
  <c r="L129" i="1"/>
  <c r="L138" i="1"/>
  <c r="L123" i="1"/>
  <c r="L132" i="1"/>
  <c r="L226" i="1"/>
  <c r="L212" i="1"/>
  <c r="L216" i="1"/>
  <c r="L7" i="18"/>
  <c r="L222" i="1"/>
  <c r="L131" i="1"/>
  <c r="L116" i="1"/>
  <c r="L121" i="1"/>
  <c r="L135" i="1"/>
  <c r="L137" i="1"/>
  <c r="L119" i="1"/>
  <c r="L229" i="1"/>
  <c r="L126" i="1"/>
  <c r="L221" i="1"/>
  <c r="L218" i="1"/>
  <c r="L223" i="1"/>
  <c r="L228" i="1"/>
  <c r="L214" i="1"/>
  <c r="L233" i="1"/>
  <c r="L110" i="1"/>
  <c r="L124" i="1"/>
  <c r="L215" i="1"/>
  <c r="L109" i="1"/>
  <c r="L114" i="1"/>
  <c r="L225" i="1"/>
  <c r="L236" i="1"/>
  <c r="M246" i="1"/>
  <c r="L125" i="1"/>
  <c r="L227" i="1"/>
  <c r="L113" i="1"/>
  <c r="L130" i="1"/>
  <c r="L120" i="1"/>
  <c r="L133" i="1"/>
  <c r="L115" i="1"/>
  <c r="L219" i="1"/>
  <c r="L122" i="1"/>
  <c r="L234" i="1"/>
  <c r="L238" i="1"/>
  <c r="L217" i="1"/>
  <c r="L224" i="1"/>
  <c r="L211" i="1"/>
  <c r="J664" i="18"/>
  <c r="E221" i="7945"/>
  <c r="F221" i="7945" s="1"/>
  <c r="E179" i="7945"/>
  <c r="F179" i="7945" s="1"/>
  <c r="I895" i="18"/>
  <c r="I891" i="18" s="1"/>
  <c r="E95" i="7945"/>
  <c r="F95" i="7945" s="1"/>
  <c r="E11" i="7945"/>
  <c r="F11" i="7945" s="1"/>
  <c r="I75" i="18"/>
  <c r="J681" i="18"/>
  <c r="J768" i="18"/>
  <c r="J434" i="7941" s="1"/>
  <c r="K166" i="18"/>
  <c r="J670" i="18"/>
  <c r="J667" i="18"/>
  <c r="J895" i="18"/>
  <c r="K69" i="18"/>
  <c r="E362" i="7945" s="1"/>
  <c r="L276" i="18"/>
  <c r="L302" i="18"/>
  <c r="M211" i="18"/>
  <c r="K19" i="18"/>
  <c r="K509" i="18" s="1"/>
  <c r="K47" i="7941" s="1"/>
  <c r="H107" i="7942"/>
  <c r="L315" i="18"/>
  <c r="M354" i="18"/>
  <c r="I487" i="7941"/>
  <c r="J757" i="18"/>
  <c r="J951" i="18" s="1"/>
  <c r="J821" i="18" s="1"/>
  <c r="J487" i="7941" s="1"/>
  <c r="K908" i="18"/>
  <c r="K20" i="18"/>
  <c r="K510" i="18" s="1"/>
  <c r="K48" i="7941" s="1"/>
  <c r="K52" i="18"/>
  <c r="E124" i="7945" s="1"/>
  <c r="M328" i="18"/>
  <c r="K67" i="18"/>
  <c r="K785" i="18" s="1"/>
  <c r="K451" i="7941" s="1"/>
  <c r="K39" i="18"/>
  <c r="K529" i="18" s="1"/>
  <c r="K67" i="7941" s="1"/>
  <c r="K70" i="18"/>
  <c r="K788" i="18" s="1"/>
  <c r="K454" i="7941" s="1"/>
  <c r="L198" i="18"/>
  <c r="L341" i="18"/>
  <c r="L172" i="18"/>
  <c r="L146" i="18"/>
  <c r="M276" i="18"/>
  <c r="M120" i="18"/>
  <c r="L107" i="18"/>
  <c r="L159" i="18"/>
  <c r="L211" i="18"/>
  <c r="L250" i="18"/>
  <c r="K31" i="18"/>
  <c r="K521" i="18" s="1"/>
  <c r="K59" i="7941" s="1"/>
  <c r="K71" i="18"/>
  <c r="E390" i="7945" s="1"/>
  <c r="K61" i="18"/>
  <c r="M315" i="18"/>
  <c r="L354" i="18"/>
  <c r="L120" i="18"/>
  <c r="L380" i="18"/>
  <c r="L289" i="18"/>
  <c r="M224" i="18"/>
  <c r="L263" i="18"/>
  <c r="K48" i="18"/>
  <c r="E68" i="7945" s="1"/>
  <c r="K51" i="18"/>
  <c r="K769" i="18" s="1"/>
  <c r="K435" i="7941" s="1"/>
  <c r="K55" i="18"/>
  <c r="K773" i="18" s="1"/>
  <c r="K439" i="7941" s="1"/>
  <c r="K21" i="18"/>
  <c r="K511" i="18" s="1"/>
  <c r="K49" i="7941" s="1"/>
  <c r="K73" i="18"/>
  <c r="E418" i="7945" s="1"/>
  <c r="M198" i="18"/>
  <c r="L328" i="18"/>
  <c r="M159" i="18"/>
  <c r="L224" i="18"/>
  <c r="M250" i="18"/>
  <c r="L237" i="18"/>
  <c r="K322" i="18"/>
  <c r="J43" i="18"/>
  <c r="M20" i="7944"/>
  <c r="N19" i="7946" s="1"/>
  <c r="N149" i="7944"/>
  <c r="O149" i="7944" s="1"/>
  <c r="J680" i="18"/>
  <c r="J908" i="18"/>
  <c r="J118" i="7942"/>
  <c r="K118" i="7942" s="1"/>
  <c r="N74" i="1"/>
  <c r="N4" i="7941"/>
  <c r="N176" i="1"/>
  <c r="N142" i="1"/>
  <c r="O40" i="1"/>
  <c r="N108" i="1"/>
  <c r="N4" i="7942"/>
  <c r="N4" i="7944"/>
  <c r="N210" i="1"/>
  <c r="N244" i="1"/>
  <c r="N4" i="18"/>
  <c r="N136" i="7944"/>
  <c r="O136" i="7944" s="1"/>
  <c r="P136" i="7944" s="1"/>
  <c r="Q136" i="7944" s="1"/>
  <c r="M305" i="7944"/>
  <c r="N305" i="7944" s="1"/>
  <c r="O305" i="7944" s="1"/>
  <c r="J36" i="7945"/>
  <c r="J47" i="7945" s="1"/>
  <c r="K47" i="7945" s="1"/>
  <c r="O9" i="7946" s="1"/>
  <c r="J246" i="7945"/>
  <c r="J257" i="7945" s="1"/>
  <c r="K257" i="7945" s="1"/>
  <c r="O24" i="7946" s="1"/>
  <c r="J176" i="7945"/>
  <c r="J187" i="7945" s="1"/>
  <c r="K187" i="7945" s="1"/>
  <c r="O19" i="7946" s="1"/>
  <c r="H465" i="7941"/>
  <c r="I401" i="7941" s="1"/>
  <c r="J153" i="18"/>
  <c r="K141" i="18"/>
  <c r="L141" i="18" s="1"/>
  <c r="H898" i="18"/>
  <c r="H800" i="18" s="1"/>
  <c r="I736" i="18" s="1"/>
  <c r="H670" i="18"/>
  <c r="H540" i="18" s="1"/>
  <c r="I476" i="18" s="1"/>
  <c r="I403" i="7941"/>
  <c r="J204" i="7945"/>
  <c r="J215" i="7945" s="1"/>
  <c r="K215" i="7945" s="1"/>
  <c r="O21" i="7946" s="1"/>
  <c r="I737" i="18"/>
  <c r="I931" i="18" s="1"/>
  <c r="Q139" i="7944"/>
  <c r="L154" i="18"/>
  <c r="E92" i="7945" s="1"/>
  <c r="G557" i="7941"/>
  <c r="N266" i="7944"/>
  <c r="O266" i="7944" s="1"/>
  <c r="L13" i="7944"/>
  <c r="M13" i="7944" s="1"/>
  <c r="N12" i="7946" s="1"/>
  <c r="H98" i="7941"/>
  <c r="I496" i="18"/>
  <c r="H82" i="7941"/>
  <c r="I480" i="18"/>
  <c r="I456" i="7941"/>
  <c r="P253" i="7944"/>
  <c r="Q253" i="7944" s="1"/>
  <c r="I87" i="7941"/>
  <c r="J485" i="18"/>
  <c r="L8" i="7944"/>
  <c r="K7" i="7944"/>
  <c r="F19" i="7948" s="1"/>
  <c r="L16" i="7944"/>
  <c r="N162" i="7944"/>
  <c r="O162" i="7944" s="1"/>
  <c r="P162" i="7944" s="1"/>
  <c r="O240" i="7944"/>
  <c r="H575" i="7941"/>
  <c r="I413" i="7941"/>
  <c r="E319" i="7945"/>
  <c r="J784" i="18"/>
  <c r="J450" i="7941" s="1"/>
  <c r="L9" i="7944"/>
  <c r="L396" i="7944"/>
  <c r="J344" i="7945"/>
  <c r="J355" i="7945" s="1"/>
  <c r="K355" i="7945" s="1"/>
  <c r="O31" i="7946" s="1"/>
  <c r="H7" i="7941"/>
  <c r="E417" i="7945"/>
  <c r="J791" i="18"/>
  <c r="J457" i="7941" s="1"/>
  <c r="H796" i="18"/>
  <c r="H536" i="18"/>
  <c r="J330" i="7945"/>
  <c r="J341" i="7945" s="1"/>
  <c r="K341" i="7945" s="1"/>
  <c r="O30" i="7946" s="1"/>
  <c r="L23" i="7944"/>
  <c r="M23" i="7944" s="1"/>
  <c r="N22" i="7946" s="1"/>
  <c r="H223" i="7941"/>
  <c r="I29" i="7941"/>
  <c r="K36" i="18"/>
  <c r="K526" i="18" s="1"/>
  <c r="K64" i="7941" s="1"/>
  <c r="J19" i="7945"/>
  <c r="K19" i="7945" s="1"/>
  <c r="O7" i="7946" s="1"/>
  <c r="L25" i="7944"/>
  <c r="M25" i="7944" s="1"/>
  <c r="N24" i="7946" s="1"/>
  <c r="E165" i="7945"/>
  <c r="F165" i="7945" s="1"/>
  <c r="J773" i="18"/>
  <c r="J439" i="7941" s="1"/>
  <c r="J218" i="7945"/>
  <c r="J229" i="7945" s="1"/>
  <c r="K229" i="7945" s="1"/>
  <c r="O22" i="7946" s="1"/>
  <c r="K62" i="18"/>
  <c r="K22" i="18"/>
  <c r="K512" i="18" s="1"/>
  <c r="K50" i="7941" s="1"/>
  <c r="K37" i="18"/>
  <c r="K527" i="18" s="1"/>
  <c r="K65" i="7941" s="1"/>
  <c r="K16" i="18"/>
  <c r="K506" i="18" s="1"/>
  <c r="K44" i="7941" s="1"/>
  <c r="H90" i="7941"/>
  <c r="I488" i="18"/>
  <c r="H464" i="7941"/>
  <c r="I734" i="18"/>
  <c r="K71" i="7944"/>
  <c r="F21" i="7948" s="1"/>
  <c r="L33" i="7944"/>
  <c r="L81" i="18"/>
  <c r="K17" i="18"/>
  <c r="K507" i="18" s="1"/>
  <c r="K45" i="7941" s="1"/>
  <c r="H484" i="7941"/>
  <c r="I754" i="18"/>
  <c r="N110" i="7944"/>
  <c r="M123" i="7944"/>
  <c r="N123" i="7944" s="1"/>
  <c r="I268" i="7942"/>
  <c r="I107" i="7942"/>
  <c r="I428" i="7941"/>
  <c r="I761" i="18"/>
  <c r="E207" i="7945"/>
  <c r="F207" i="7945" s="1"/>
  <c r="J776" i="18"/>
  <c r="J442" i="7941" s="1"/>
  <c r="H100" i="7941"/>
  <c r="I498" i="18"/>
  <c r="H479" i="7941"/>
  <c r="I749" i="18"/>
  <c r="J764" i="18"/>
  <c r="J430" i="7941" s="1"/>
  <c r="E39" i="7945"/>
  <c r="F39" i="7945" s="1"/>
  <c r="E137" i="7945"/>
  <c r="F137" i="7945" s="1"/>
  <c r="J771" i="18"/>
  <c r="J437" i="7941" s="1"/>
  <c r="E249" i="7945"/>
  <c r="F249" i="7945" s="1"/>
  <c r="J779" i="18"/>
  <c r="J445" i="7941" s="1"/>
  <c r="K50" i="18"/>
  <c r="K33" i="18"/>
  <c r="K523" i="18" s="1"/>
  <c r="K61" i="7941" s="1"/>
  <c r="K34" i="18"/>
  <c r="K524" i="18" s="1"/>
  <c r="K62" i="7941" s="1"/>
  <c r="H80" i="7941"/>
  <c r="I478" i="18"/>
  <c r="J64" i="7945"/>
  <c r="J75" i="7945" s="1"/>
  <c r="K75" i="7945" s="1"/>
  <c r="O11" i="7946" s="1"/>
  <c r="N175" i="7944"/>
  <c r="O175" i="7944" s="1"/>
  <c r="P175" i="7944" s="1"/>
  <c r="L15" i="7944"/>
  <c r="M15" i="7944" s="1"/>
  <c r="N14" i="7946" s="1"/>
  <c r="H475" i="7941"/>
  <c r="I745" i="18"/>
  <c r="L201" i="7944"/>
  <c r="J134" i="7945"/>
  <c r="J145" i="7945" s="1"/>
  <c r="K145" i="7945" s="1"/>
  <c r="O16" i="7946" s="1"/>
  <c r="L214" i="7944"/>
  <c r="J148" i="7945"/>
  <c r="J159" i="7945" s="1"/>
  <c r="K159" i="7945" s="1"/>
  <c r="O17" i="7946" s="1"/>
  <c r="L97" i="7944"/>
  <c r="J22" i="7945"/>
  <c r="J33" i="7945" s="1"/>
  <c r="K33" i="7945" s="1"/>
  <c r="O8" i="7946" s="1"/>
  <c r="L461" i="7944"/>
  <c r="J414" i="7945"/>
  <c r="J425" i="7945" s="1"/>
  <c r="K425" i="7945" s="1"/>
  <c r="O36" i="7946" s="1"/>
  <c r="L227" i="7944"/>
  <c r="J162" i="7945"/>
  <c r="J173" i="7945" s="1"/>
  <c r="K173" i="7945" s="1"/>
  <c r="O18" i="7946" s="1"/>
  <c r="J274" i="7945"/>
  <c r="J285" i="7945" s="1"/>
  <c r="K285" i="7945" s="1"/>
  <c r="O26" i="7946" s="1"/>
  <c r="M279" i="7944"/>
  <c r="N279" i="7944" s="1"/>
  <c r="K45" i="18"/>
  <c r="K28" i="18"/>
  <c r="K518" i="18" s="1"/>
  <c r="K56" i="7941" s="1"/>
  <c r="N292" i="7944"/>
  <c r="O292" i="7944" s="1"/>
  <c r="J302" i="7945"/>
  <c r="J313" i="7945" s="1"/>
  <c r="K313" i="7945" s="1"/>
  <c r="O28" i="7946" s="1"/>
  <c r="L37" i="7944"/>
  <c r="H472" i="7941"/>
  <c r="I742" i="18"/>
  <c r="K65" i="18"/>
  <c r="K63" i="18"/>
  <c r="K13" i="18"/>
  <c r="K503" i="18" s="1"/>
  <c r="K41" i="7941" s="1"/>
  <c r="K25" i="18"/>
  <c r="K515" i="18" s="1"/>
  <c r="K53" i="7941" s="1"/>
  <c r="H794" i="18"/>
  <c r="H94" i="7941"/>
  <c r="I492" i="18"/>
  <c r="L29" i="7944"/>
  <c r="M29" i="7944" s="1"/>
  <c r="N28" i="7946" s="1"/>
  <c r="I929" i="18"/>
  <c r="N331" i="7944"/>
  <c r="H481" i="7941"/>
  <c r="I751" i="18"/>
  <c r="L19" i="7944"/>
  <c r="I942" i="18"/>
  <c r="H75" i="7941"/>
  <c r="H205" i="7941" s="1"/>
  <c r="I473" i="18"/>
  <c r="K15" i="18"/>
  <c r="K505" i="18" s="1"/>
  <c r="K43" i="7941" s="1"/>
  <c r="M370" i="7944"/>
  <c r="L31" i="7944"/>
  <c r="M31" i="7944" s="1"/>
  <c r="N30" i="7946" s="1"/>
  <c r="E123" i="7945"/>
  <c r="J770" i="18"/>
  <c r="J436" i="7941" s="1"/>
  <c r="J502" i="18"/>
  <c r="J11" i="18"/>
  <c r="L409" i="7944"/>
  <c r="J358" i="7945"/>
  <c r="J369" i="7945" s="1"/>
  <c r="K369" i="7945" s="1"/>
  <c r="O32" i="7946" s="1"/>
  <c r="I429" i="7941"/>
  <c r="E347" i="7945"/>
  <c r="J786" i="18"/>
  <c r="J452" i="7941" s="1"/>
  <c r="H91" i="7941"/>
  <c r="I489" i="18"/>
  <c r="L21" i="7944"/>
  <c r="M21" i="7944" s="1"/>
  <c r="N20" i="7946" s="1"/>
  <c r="K53" i="18"/>
  <c r="K40" i="18"/>
  <c r="K530" i="18" s="1"/>
  <c r="K68" i="7941" s="1"/>
  <c r="K24" i="18"/>
  <c r="K514" i="18" s="1"/>
  <c r="K52" i="7941" s="1"/>
  <c r="L12" i="7944"/>
  <c r="M12" i="7944" s="1"/>
  <c r="N11" i="7946" s="1"/>
  <c r="L14" i="7944"/>
  <c r="M14" i="7944" s="1"/>
  <c r="N13" i="7946" s="1"/>
  <c r="H428" i="7941"/>
  <c r="H427" i="7941" s="1"/>
  <c r="H761" i="18"/>
  <c r="K58" i="18"/>
  <c r="L10" i="7944"/>
  <c r="M10" i="7944" s="1"/>
  <c r="N9" i="7946" s="1"/>
  <c r="L11" i="7944"/>
  <c r="M11" i="7944" s="1"/>
  <c r="N10" i="7946" s="1"/>
  <c r="I933" i="18"/>
  <c r="J782" i="18"/>
  <c r="J448" i="7941" s="1"/>
  <c r="J763" i="18"/>
  <c r="J429" i="7941" s="1"/>
  <c r="E25" i="7945"/>
  <c r="E151" i="7945"/>
  <c r="F151" i="7945" s="1"/>
  <c r="J772" i="18"/>
  <c r="J438" i="7941" s="1"/>
  <c r="K66" i="18"/>
  <c r="K12" i="18"/>
  <c r="K23" i="18"/>
  <c r="K513" i="18" s="1"/>
  <c r="K51" i="7941" s="1"/>
  <c r="K35" i="18"/>
  <c r="K525" i="18" s="1"/>
  <c r="K63" i="7941" s="1"/>
  <c r="H395" i="7941"/>
  <c r="M410" i="7944"/>
  <c r="M397" i="7944"/>
  <c r="M332" i="7944"/>
  <c r="M76" i="7944"/>
  <c r="M189" i="7944"/>
  <c r="M241" i="7944"/>
  <c r="M90" i="7944"/>
  <c r="M75" i="7944"/>
  <c r="M293" i="7944"/>
  <c r="M98" i="7944"/>
  <c r="M436" i="7944"/>
  <c r="M449" i="7944"/>
  <c r="M89" i="7944"/>
  <c r="M215" i="7944"/>
  <c r="M72" i="7944"/>
  <c r="M88" i="7944"/>
  <c r="M319" i="7944"/>
  <c r="M228" i="7944"/>
  <c r="M345" i="7944"/>
  <c r="M371" i="7944"/>
  <c r="M78" i="7944"/>
  <c r="M85" i="7944"/>
  <c r="M124" i="7944"/>
  <c r="M77" i="7944"/>
  <c r="M150" i="7944"/>
  <c r="M137" i="7944"/>
  <c r="M423" i="7944"/>
  <c r="M87" i="7944"/>
  <c r="M306" i="7944"/>
  <c r="M280" i="7944"/>
  <c r="N3" i="7944"/>
  <c r="M74" i="7944"/>
  <c r="M202" i="7944"/>
  <c r="M163" i="7944"/>
  <c r="M358" i="7944"/>
  <c r="M254" i="7944"/>
  <c r="M111" i="7944"/>
  <c r="M176" i="7944"/>
  <c r="M91" i="7944"/>
  <c r="M267" i="7944"/>
  <c r="M384" i="7944"/>
  <c r="L422" i="7944"/>
  <c r="J372" i="7945"/>
  <c r="J383" i="7945" s="1"/>
  <c r="K383" i="7945" s="1"/>
  <c r="O33" i="7946" s="1"/>
  <c r="L188" i="7944"/>
  <c r="J120" i="7945"/>
  <c r="J131" i="7945" s="1"/>
  <c r="K131" i="7945" s="1"/>
  <c r="O15" i="7946" s="1"/>
  <c r="L84" i="7944"/>
  <c r="M84" i="7944" s="1"/>
  <c r="I31" i="7941"/>
  <c r="H225" i="7941"/>
  <c r="H92" i="7941"/>
  <c r="I490" i="18"/>
  <c r="M318" i="7944"/>
  <c r="H88" i="7941"/>
  <c r="I486" i="18"/>
  <c r="K54" i="18"/>
  <c r="K14" i="18"/>
  <c r="K504" i="18" s="1"/>
  <c r="K42" i="7941" s="1"/>
  <c r="K27" i="18"/>
  <c r="K517" i="18" s="1"/>
  <c r="K55" i="7941" s="1"/>
  <c r="K38" i="18"/>
  <c r="K528" i="18" s="1"/>
  <c r="K66" i="7941" s="1"/>
  <c r="H534" i="18"/>
  <c r="N344" i="7944"/>
  <c r="M357" i="7944"/>
  <c r="N357" i="7944" s="1"/>
  <c r="H468" i="7941"/>
  <c r="I738" i="18"/>
  <c r="I934" i="18"/>
  <c r="L18" i="7944"/>
  <c r="L17" i="7944"/>
  <c r="H576" i="7941"/>
  <c r="J260" i="7945"/>
  <c r="J271" i="7945" s="1"/>
  <c r="K271" i="7945" s="1"/>
  <c r="O25" i="7946" s="1"/>
  <c r="H489" i="7941"/>
  <c r="I759" i="18"/>
  <c r="H474" i="7941"/>
  <c r="I744" i="18"/>
  <c r="K46" i="18"/>
  <c r="K72" i="18"/>
  <c r="M383" i="7944"/>
  <c r="N383" i="7944" s="1"/>
  <c r="L94" i="18"/>
  <c r="E361" i="7945"/>
  <c r="J787" i="18"/>
  <c r="J453" i="7941" s="1"/>
  <c r="L448" i="7944"/>
  <c r="M36" i="7944" s="1"/>
  <c r="J400" i="7945"/>
  <c r="J411" i="7945" s="1"/>
  <c r="K411" i="7945" s="1"/>
  <c r="O35" i="7946" s="1"/>
  <c r="L24" i="7944"/>
  <c r="M24" i="7944" s="1"/>
  <c r="N23" i="7946" s="1"/>
  <c r="L26" i="7944"/>
  <c r="M26" i="7944" s="1"/>
  <c r="N25" i="7946" s="1"/>
  <c r="H231" i="7941"/>
  <c r="I37" i="7941"/>
  <c r="J50" i="7945"/>
  <c r="J61" i="7945" s="1"/>
  <c r="K61" i="7945" s="1"/>
  <c r="O10" i="7946" s="1"/>
  <c r="E277" i="7945"/>
  <c r="F277" i="7945" s="1"/>
  <c r="J781" i="18"/>
  <c r="J447" i="7941" s="1"/>
  <c r="I40" i="7941"/>
  <c r="I39" i="7941" s="1"/>
  <c r="I501" i="18"/>
  <c r="D6" i="7948" s="1"/>
  <c r="L22" i="7944"/>
  <c r="M22" i="7944" s="1"/>
  <c r="N21" i="7946" s="1"/>
  <c r="L252" i="1"/>
  <c r="M251" i="1"/>
  <c r="N251" i="1" s="1"/>
  <c r="O251" i="1" s="1"/>
  <c r="P251" i="1" s="1"/>
  <c r="Q251" i="1" s="1"/>
  <c r="M238" i="1"/>
  <c r="M71" i="18" s="1"/>
  <c r="M234" i="1"/>
  <c r="M230" i="1"/>
  <c r="M213" i="1"/>
  <c r="M215" i="1"/>
  <c r="M48" i="18" s="1"/>
  <c r="M217" i="1"/>
  <c r="M219" i="1"/>
  <c r="M52" i="18" s="1"/>
  <c r="M221" i="1"/>
  <c r="M223" i="1"/>
  <c r="M225" i="1"/>
  <c r="M227" i="1"/>
  <c r="M229" i="1"/>
  <c r="M110" i="1"/>
  <c r="M13" i="18" s="1"/>
  <c r="M111" i="1"/>
  <c r="M14" i="18" s="1"/>
  <c r="M114" i="1"/>
  <c r="M17" i="18" s="1"/>
  <c r="M115" i="1"/>
  <c r="M18" i="18" s="1"/>
  <c r="M118" i="1"/>
  <c r="M21" i="18" s="1"/>
  <c r="M119" i="1"/>
  <c r="M22" i="18" s="1"/>
  <c r="M122" i="1"/>
  <c r="M25" i="18" s="1"/>
  <c r="M123" i="1"/>
  <c r="M26" i="18" s="1"/>
  <c r="M126" i="1"/>
  <c r="M29" i="18" s="1"/>
  <c r="M127" i="1"/>
  <c r="M30" i="18" s="1"/>
  <c r="M130" i="1"/>
  <c r="M33" i="18" s="1"/>
  <c r="M131" i="1"/>
  <c r="M34" i="18" s="1"/>
  <c r="M231" i="1"/>
  <c r="M232" i="1"/>
  <c r="M212" i="1"/>
  <c r="M45" i="18" s="1"/>
  <c r="M218" i="1"/>
  <c r="M226" i="1"/>
  <c r="M112" i="1"/>
  <c r="M15" i="18" s="1"/>
  <c r="M117" i="1"/>
  <c r="M20" i="18" s="1"/>
  <c r="M128" i="1"/>
  <c r="M31" i="18" s="1"/>
  <c r="M133" i="1"/>
  <c r="M36" i="18" s="1"/>
  <c r="M136" i="1"/>
  <c r="M39" i="18" s="1"/>
  <c r="M137" i="1"/>
  <c r="M40" i="18" s="1"/>
  <c r="M235" i="1"/>
  <c r="M68" i="18" s="1"/>
  <c r="M240" i="1"/>
  <c r="M73" i="18" s="1"/>
  <c r="M236" i="1"/>
  <c r="M69" i="18" s="1"/>
  <c r="M216" i="1"/>
  <c r="M224" i="1"/>
  <c r="M57" i="18" s="1"/>
  <c r="M116" i="1"/>
  <c r="M19" i="18" s="1"/>
  <c r="M121" i="1"/>
  <c r="M24" i="18" s="1"/>
  <c r="M132" i="1"/>
  <c r="M35" i="18" s="1"/>
  <c r="M237" i="1"/>
  <c r="M70" i="18" s="1"/>
  <c r="N246" i="1"/>
  <c r="M211" i="1"/>
  <c r="M220" i="1"/>
  <c r="M228" i="1"/>
  <c r="M109" i="1"/>
  <c r="M113" i="1"/>
  <c r="M16" i="18" s="1"/>
  <c r="M124" i="1"/>
  <c r="M27" i="18" s="1"/>
  <c r="M129" i="1"/>
  <c r="M32" i="18" s="1"/>
  <c r="M239" i="1"/>
  <c r="M72" i="18" s="1"/>
  <c r="M222" i="1"/>
  <c r="M125" i="1"/>
  <c r="M28" i="18" s="1"/>
  <c r="M138" i="1"/>
  <c r="M41" i="18" s="1"/>
  <c r="M7" i="18"/>
  <c r="M135" i="1"/>
  <c r="M38" i="18" s="1"/>
  <c r="M134" i="1"/>
  <c r="M37" i="18" s="1"/>
  <c r="M214" i="1"/>
  <c r="M233" i="1"/>
  <c r="M66" i="18" s="1"/>
  <c r="M120" i="1"/>
  <c r="M23" i="18" s="1"/>
  <c r="L28" i="18"/>
  <c r="L518" i="18" s="1"/>
  <c r="L56" i="7941" s="1"/>
  <c r="K64" i="18"/>
  <c r="K49" i="18"/>
  <c r="K59" i="18"/>
  <c r="H86" i="7941"/>
  <c r="I484" i="18"/>
  <c r="L32" i="7944"/>
  <c r="L35" i="7944"/>
  <c r="I941" i="18"/>
  <c r="K18" i="18"/>
  <c r="K508" i="18" s="1"/>
  <c r="K46" i="7941" s="1"/>
  <c r="I405" i="7941"/>
  <c r="H567" i="7941"/>
  <c r="J790" i="18"/>
  <c r="J456" i="7941" s="1"/>
  <c r="E403" i="7945"/>
  <c r="H84" i="7941"/>
  <c r="I482" i="18"/>
  <c r="H476" i="7941"/>
  <c r="I746" i="18"/>
  <c r="E333" i="7945"/>
  <c r="F333" i="7945" s="1"/>
  <c r="J785" i="18"/>
  <c r="J451" i="7941" s="1"/>
  <c r="E53" i="7945"/>
  <c r="F53" i="7945" s="1"/>
  <c r="J765" i="18"/>
  <c r="J431" i="7941" s="1"/>
  <c r="J778" i="18"/>
  <c r="J444" i="7941" s="1"/>
  <c r="E263" i="7945"/>
  <c r="F263" i="7945" s="1"/>
  <c r="J780" i="18"/>
  <c r="J446" i="7941" s="1"/>
  <c r="J269" i="7942"/>
  <c r="J140" i="7942"/>
  <c r="K140" i="7942" s="1"/>
  <c r="J124" i="7942"/>
  <c r="J158" i="7942"/>
  <c r="K158" i="7942" s="1"/>
  <c r="J128" i="7942"/>
  <c r="J327" i="7942"/>
  <c r="J132" i="7942"/>
  <c r="J122" i="7942"/>
  <c r="K122" i="7942" s="1"/>
  <c r="J277" i="7942"/>
  <c r="K277" i="7942" s="1"/>
  <c r="J285" i="7942"/>
  <c r="K285" i="7942" s="1"/>
  <c r="J293" i="7942"/>
  <c r="J136" i="7942"/>
  <c r="J120" i="7942"/>
  <c r="K120" i="7942" s="1"/>
  <c r="J297" i="7942"/>
  <c r="J301" i="7942"/>
  <c r="K301" i="7942" s="1"/>
  <c r="J309" i="7942"/>
  <c r="J317" i="7942"/>
  <c r="J142" i="7942"/>
  <c r="K142" i="7942" s="1"/>
  <c r="J130" i="7942"/>
  <c r="J152" i="7942"/>
  <c r="K152" i="7942" s="1"/>
  <c r="J299" i="7942"/>
  <c r="K299" i="7942" s="1"/>
  <c r="J283" i="7942"/>
  <c r="J311" i="7942"/>
  <c r="J156" i="7942"/>
  <c r="K156" i="7942" s="1"/>
  <c r="J287" i="7942"/>
  <c r="J319" i="7942"/>
  <c r="J116" i="7942"/>
  <c r="J323" i="7942"/>
  <c r="K323" i="7942" s="1"/>
  <c r="J315" i="7942"/>
  <c r="J279" i="7942"/>
  <c r="J114" i="7942"/>
  <c r="J291" i="7942"/>
  <c r="K291" i="7942" s="1"/>
  <c r="J307" i="7942"/>
  <c r="J275" i="7942"/>
  <c r="J146" i="7942"/>
  <c r="J295" i="7942"/>
  <c r="J148" i="7942"/>
  <c r="K148" i="7942" s="1"/>
  <c r="J313" i="7942"/>
  <c r="K313" i="7942" s="1"/>
  <c r="J281" i="7942"/>
  <c r="J138" i="7942"/>
  <c r="J166" i="7942"/>
  <c r="J108" i="7942"/>
  <c r="J305" i="7942"/>
  <c r="J154" i="7942"/>
  <c r="J164" i="7942"/>
  <c r="J321" i="7942"/>
  <c r="J150" i="7942"/>
  <c r="J160" i="7942"/>
  <c r="J144" i="7942"/>
  <c r="J289" i="7942"/>
  <c r="K289" i="7942" s="1"/>
  <c r="J303" i="7942"/>
  <c r="K303" i="7942" s="1"/>
  <c r="J162" i="7942"/>
  <c r="K162" i="7942" s="1"/>
  <c r="J271" i="7942"/>
  <c r="K271" i="7942" s="1"/>
  <c r="J126" i="7942"/>
  <c r="K126" i="7942" s="1"/>
  <c r="J134" i="7942"/>
  <c r="J112" i="7942"/>
  <c r="K112" i="7942" s="1"/>
  <c r="J110" i="7942"/>
  <c r="J325" i="7942"/>
  <c r="J273" i="7942"/>
  <c r="K60" i="18"/>
  <c r="K26" i="18"/>
  <c r="K516" i="18" s="1"/>
  <c r="K54" i="7941" s="1"/>
  <c r="K41" i="18"/>
  <c r="K531" i="18" s="1"/>
  <c r="K69" i="7941" s="1"/>
  <c r="K29" i="18"/>
  <c r="K519" i="18" s="1"/>
  <c r="K57" i="7941" s="1"/>
  <c r="J92" i="7945"/>
  <c r="J103" i="7945" s="1"/>
  <c r="K103" i="7945" s="1"/>
  <c r="H482" i="7941"/>
  <c r="I752" i="18"/>
  <c r="L435" i="7944"/>
  <c r="J386" i="7945"/>
  <c r="J397" i="7945" s="1"/>
  <c r="K397" i="7945" s="1"/>
  <c r="O34" i="7946" s="1"/>
  <c r="G201" i="7941"/>
  <c r="K44" i="18"/>
  <c r="I543" i="18"/>
  <c r="E305" i="7945"/>
  <c r="F305" i="7945" s="1"/>
  <c r="J783" i="18"/>
  <c r="J449" i="7941" s="1"/>
  <c r="I725" i="18"/>
  <c r="K47" i="18"/>
  <c r="K30" i="18"/>
  <c r="K520" i="18" s="1"/>
  <c r="K58" i="7941" s="1"/>
  <c r="K57" i="18"/>
  <c r="K32" i="18"/>
  <c r="K522" i="18" s="1"/>
  <c r="K60" i="7941" s="1"/>
  <c r="J428" i="7941"/>
  <c r="H99" i="7941"/>
  <c r="I497" i="18"/>
  <c r="H83" i="7941"/>
  <c r="I481" i="18"/>
  <c r="L28" i="7944"/>
  <c r="M28" i="7944" s="1"/>
  <c r="N27" i="7946" s="1"/>
  <c r="J316" i="7945"/>
  <c r="J327" i="7945" s="1"/>
  <c r="K327" i="7945" s="1"/>
  <c r="O29" i="7946" s="1"/>
  <c r="L27" i="7944"/>
  <c r="M27" i="7944" s="1"/>
  <c r="N26" i="7946" s="1"/>
  <c r="H695" i="18"/>
  <c r="C7" i="7948" s="1"/>
  <c r="H814" i="18"/>
  <c r="H473" i="7941"/>
  <c r="I743" i="18"/>
  <c r="I733" i="18"/>
  <c r="I717" i="18"/>
  <c r="H96" i="7941"/>
  <c r="I494" i="18"/>
  <c r="H483" i="7941"/>
  <c r="I753" i="18"/>
  <c r="K68" i="18"/>
  <c r="K56" i="18"/>
  <c r="H923" i="18"/>
  <c r="L30" i="7944"/>
  <c r="M30" i="7944" s="1"/>
  <c r="N29" i="7946" s="1"/>
  <c r="H471" i="7941"/>
  <c r="I741" i="18"/>
  <c r="I559" i="18"/>
  <c r="L241" i="1" l="1"/>
  <c r="K904" i="18"/>
  <c r="K906" i="18"/>
  <c r="I215" i="7941"/>
  <c r="J483" i="18"/>
  <c r="I477" i="18"/>
  <c r="I703" i="18" s="1"/>
  <c r="I541" i="18" s="1"/>
  <c r="I79" i="7941" s="1"/>
  <c r="I13" i="7941"/>
  <c r="K909" i="18"/>
  <c r="L919" i="18"/>
  <c r="L920" i="18"/>
  <c r="L335" i="18"/>
  <c r="L683" i="18" s="1"/>
  <c r="K915" i="18"/>
  <c r="K902" i="18"/>
  <c r="K677" i="18"/>
  <c r="K683" i="18"/>
  <c r="K684" i="18"/>
  <c r="E376" i="7945"/>
  <c r="I475" i="18"/>
  <c r="I701" i="18" s="1"/>
  <c r="I539" i="18" s="1"/>
  <c r="M32" i="7944"/>
  <c r="M37" i="7944"/>
  <c r="N36" i="7946" s="1"/>
  <c r="K913" i="18"/>
  <c r="L914" i="18"/>
  <c r="K894" i="18"/>
  <c r="M192" i="18"/>
  <c r="M900" i="18" s="1"/>
  <c r="H76" i="7941"/>
  <c r="H206" i="7941" s="1"/>
  <c r="L900" i="18"/>
  <c r="L921" i="18"/>
  <c r="L690" i="18"/>
  <c r="K665" i="18"/>
  <c r="L322" i="18"/>
  <c r="L910" i="18" s="1"/>
  <c r="H563" i="7941"/>
  <c r="L387" i="18"/>
  <c r="L915" i="18" s="1"/>
  <c r="L672" i="18"/>
  <c r="K901" i="18"/>
  <c r="K895" i="18"/>
  <c r="M439" i="18"/>
  <c r="E372" i="7945"/>
  <c r="N37" i="7944"/>
  <c r="O37" i="7944" s="1"/>
  <c r="P37" i="7944" s="1"/>
  <c r="L693" i="18"/>
  <c r="F22" i="7948"/>
  <c r="L361" i="18"/>
  <c r="L918" i="18"/>
  <c r="M17" i="7944"/>
  <c r="N16" i="7946" s="1"/>
  <c r="L231" i="18"/>
  <c r="M231" i="18" s="1"/>
  <c r="N231" i="18" s="1"/>
  <c r="L257" i="18"/>
  <c r="M257" i="18" s="1"/>
  <c r="M677" i="18" s="1"/>
  <c r="L348" i="18"/>
  <c r="L912" i="18" s="1"/>
  <c r="K675" i="18"/>
  <c r="L686" i="18"/>
  <c r="L691" i="18"/>
  <c r="E414" i="7945"/>
  <c r="I406" i="7941"/>
  <c r="K899" i="18"/>
  <c r="L244" i="18"/>
  <c r="M244" i="18" s="1"/>
  <c r="M676" i="18" s="1"/>
  <c r="J25" i="7941"/>
  <c r="E78" i="7945"/>
  <c r="P149" i="7944"/>
  <c r="Q149" i="7944" s="1"/>
  <c r="J758" i="18"/>
  <c r="I219" i="7941"/>
  <c r="K664" i="18"/>
  <c r="L114" i="18"/>
  <c r="L179" i="18"/>
  <c r="E120" i="7945"/>
  <c r="E400" i="7945"/>
  <c r="I461" i="7941"/>
  <c r="J731" i="18"/>
  <c r="J925" i="18" s="1"/>
  <c r="M273" i="18"/>
  <c r="M157" i="18"/>
  <c r="M313" i="18"/>
  <c r="M196" i="18"/>
  <c r="M339" i="18"/>
  <c r="M287" i="18"/>
  <c r="M261" i="18"/>
  <c r="M274" i="18"/>
  <c r="M105" i="18"/>
  <c r="M312" i="18"/>
  <c r="M118" i="18"/>
  <c r="M170" i="18"/>
  <c r="M235" i="18"/>
  <c r="M260" i="18"/>
  <c r="M234" i="18"/>
  <c r="M325" i="18"/>
  <c r="M338" i="18"/>
  <c r="M222" i="18"/>
  <c r="M378" i="18"/>
  <c r="M223" i="18"/>
  <c r="M288" i="18"/>
  <c r="M208" i="18"/>
  <c r="M104" i="18"/>
  <c r="M156" i="18"/>
  <c r="M352" i="18"/>
  <c r="M286" i="18"/>
  <c r="M353" i="18"/>
  <c r="M249" i="18"/>
  <c r="M327" i="18"/>
  <c r="M145" i="18"/>
  <c r="M144" i="18"/>
  <c r="M119" i="18"/>
  <c r="M92" i="18"/>
  <c r="M336" i="18"/>
  <c r="M297" i="18"/>
  <c r="M206" i="18"/>
  <c r="M91" i="18"/>
  <c r="M245" i="18"/>
  <c r="M258" i="18"/>
  <c r="M414" i="18"/>
  <c r="M271" i="18"/>
  <c r="M195" i="18"/>
  <c r="M221" i="18"/>
  <c r="M377" i="18"/>
  <c r="M247" i="18"/>
  <c r="M299" i="18"/>
  <c r="M351" i="18"/>
  <c r="M106" i="18"/>
  <c r="M340" i="18"/>
  <c r="M197" i="18"/>
  <c r="M275" i="18"/>
  <c r="M79" i="18"/>
  <c r="M232" i="18"/>
  <c r="M78" i="18"/>
  <c r="M167" i="18"/>
  <c r="M115" i="18"/>
  <c r="M76" i="18"/>
  <c r="M180" i="18"/>
  <c r="M158" i="18"/>
  <c r="M210" i="18"/>
  <c r="M236" i="18"/>
  <c r="N3" i="18"/>
  <c r="M362" i="18"/>
  <c r="M440" i="18"/>
  <c r="M310" i="18"/>
  <c r="M93" i="18"/>
  <c r="M169" i="18"/>
  <c r="M326" i="18"/>
  <c r="M209" i="18"/>
  <c r="M301" i="18"/>
  <c r="M379" i="18"/>
  <c r="M171" i="18"/>
  <c r="M314" i="18"/>
  <c r="M143" i="18"/>
  <c r="N143" i="18" s="1"/>
  <c r="M80" i="18"/>
  <c r="M427" i="18"/>
  <c r="M89" i="18"/>
  <c r="M284" i="18"/>
  <c r="M453" i="18"/>
  <c r="M102" i="18"/>
  <c r="M117" i="18"/>
  <c r="M248" i="18"/>
  <c r="M300" i="18"/>
  <c r="M262" i="18"/>
  <c r="M375" i="18"/>
  <c r="M193" i="18"/>
  <c r="M323" i="18"/>
  <c r="M401" i="18"/>
  <c r="M349" i="18"/>
  <c r="M219" i="18"/>
  <c r="M128" i="18"/>
  <c r="M388" i="18"/>
  <c r="K919" i="18"/>
  <c r="K691" i="18"/>
  <c r="L101" i="18"/>
  <c r="L893" i="18" s="1"/>
  <c r="L296" i="18"/>
  <c r="L908" i="18" s="1"/>
  <c r="L127" i="18"/>
  <c r="L895" i="18" s="1"/>
  <c r="M263" i="18"/>
  <c r="L218" i="18"/>
  <c r="M218" i="18" s="1"/>
  <c r="N218" i="18" s="1"/>
  <c r="O218" i="18" s="1"/>
  <c r="P218" i="18" s="1"/>
  <c r="M380" i="18"/>
  <c r="M94" i="18"/>
  <c r="L309" i="18"/>
  <c r="L681" i="18" s="1"/>
  <c r="L283" i="18"/>
  <c r="M283" i="18" s="1"/>
  <c r="M907" i="18" s="1"/>
  <c r="L400" i="18"/>
  <c r="E344" i="7945"/>
  <c r="K693" i="18"/>
  <c r="M465" i="18"/>
  <c r="N465" i="18" s="1"/>
  <c r="K921" i="18"/>
  <c r="E316" i="7945"/>
  <c r="K692" i="18"/>
  <c r="M452" i="18"/>
  <c r="N452" i="18" s="1"/>
  <c r="K920" i="18"/>
  <c r="K686" i="18"/>
  <c r="K914" i="18"/>
  <c r="M374" i="18"/>
  <c r="M81" i="18"/>
  <c r="N83" i="18"/>
  <c r="L88" i="18"/>
  <c r="L664" i="18" s="1"/>
  <c r="L270" i="18"/>
  <c r="M270" i="18" s="1"/>
  <c r="M678" i="18" s="1"/>
  <c r="M107" i="18"/>
  <c r="M146" i="18"/>
  <c r="M237" i="18"/>
  <c r="M302" i="18"/>
  <c r="M289" i="18"/>
  <c r="L205" i="18"/>
  <c r="M205" i="18" s="1"/>
  <c r="N205" i="18" s="1"/>
  <c r="O205" i="18" s="1"/>
  <c r="M172" i="18"/>
  <c r="M341" i="18"/>
  <c r="K679" i="18"/>
  <c r="L140" i="18"/>
  <c r="E64" i="7945"/>
  <c r="L413" i="18"/>
  <c r="E358" i="7945"/>
  <c r="E386" i="7945"/>
  <c r="K672" i="18"/>
  <c r="K900" i="18"/>
  <c r="I397" i="7941"/>
  <c r="H559" i="7941"/>
  <c r="J487" i="18"/>
  <c r="J713" i="18" s="1"/>
  <c r="J551" i="18" s="1"/>
  <c r="K918" i="18"/>
  <c r="K690" i="18"/>
  <c r="M426" i="18"/>
  <c r="N426" i="18" s="1"/>
  <c r="N29" i="7944"/>
  <c r="O29" i="7944" s="1"/>
  <c r="P29" i="7944" s="1"/>
  <c r="N23" i="7944"/>
  <c r="O23" i="7944" s="1"/>
  <c r="H78" i="7941"/>
  <c r="I14" i="7941" s="1"/>
  <c r="H663" i="18"/>
  <c r="C8" i="7948" s="1"/>
  <c r="C9" i="7948" s="1"/>
  <c r="E250" i="7945"/>
  <c r="F250" i="7945" s="1"/>
  <c r="L139" i="1"/>
  <c r="K789" i="18"/>
  <c r="K455" i="7941" s="1"/>
  <c r="H466" i="7941"/>
  <c r="H564" i="7941" s="1"/>
  <c r="E110" i="7945"/>
  <c r="F110" i="7945" s="1"/>
  <c r="K898" i="18"/>
  <c r="K670" i="18"/>
  <c r="H891" i="18"/>
  <c r="K779" i="18"/>
  <c r="K445" i="7941" s="1"/>
  <c r="M290" i="18"/>
  <c r="K791" i="18"/>
  <c r="K457" i="7941" s="1"/>
  <c r="L25" i="18"/>
  <c r="L515" i="18" s="1"/>
  <c r="L53" i="7941" s="1"/>
  <c r="K770" i="18"/>
  <c r="K436" i="7941" s="1"/>
  <c r="M225" i="18"/>
  <c r="M147" i="18"/>
  <c r="L23" i="18"/>
  <c r="L513" i="18" s="1"/>
  <c r="L51" i="7941" s="1"/>
  <c r="K787" i="18"/>
  <c r="K453" i="7941" s="1"/>
  <c r="E166" i="7945"/>
  <c r="F166" i="7945" s="1"/>
  <c r="M329" i="18"/>
  <c r="N264" i="18"/>
  <c r="N290" i="18"/>
  <c r="N303" i="18"/>
  <c r="M173" i="18"/>
  <c r="N225" i="18"/>
  <c r="K766" i="18"/>
  <c r="K432" i="7941" s="1"/>
  <c r="M342" i="18"/>
  <c r="N381" i="18"/>
  <c r="L57" i="18"/>
  <c r="E195" i="7945" s="1"/>
  <c r="F195" i="7945" s="1"/>
  <c r="N342" i="18"/>
  <c r="M108" i="18"/>
  <c r="M355" i="18"/>
  <c r="N147" i="18"/>
  <c r="M251" i="18"/>
  <c r="M212" i="18"/>
  <c r="M61" i="18"/>
  <c r="E252" i="7945" s="1"/>
  <c r="F252" i="7945" s="1"/>
  <c r="N304" i="18"/>
  <c r="M51" i="18"/>
  <c r="E112" i="7945" s="1"/>
  <c r="F112" i="7945" s="1"/>
  <c r="N174" i="18"/>
  <c r="E334" i="7945"/>
  <c r="F334" i="7945" s="1"/>
  <c r="M527" i="18"/>
  <c r="M65" i="7941" s="1"/>
  <c r="M518" i="18"/>
  <c r="M56" i="7941" s="1"/>
  <c r="M517" i="18"/>
  <c r="M55" i="7941" s="1"/>
  <c r="M53" i="18"/>
  <c r="M771" i="18" s="1"/>
  <c r="M437" i="7941" s="1"/>
  <c r="N200" i="18"/>
  <c r="M525" i="18"/>
  <c r="M63" i="7941" s="1"/>
  <c r="M49" i="18"/>
  <c r="M767" i="18" s="1"/>
  <c r="M433" i="7941" s="1"/>
  <c r="N148" i="18"/>
  <c r="M530" i="18"/>
  <c r="M68" i="7941" s="1"/>
  <c r="M510" i="18"/>
  <c r="M48" i="7941" s="1"/>
  <c r="M523" i="18"/>
  <c r="M61" i="7941" s="1"/>
  <c r="M515" i="18"/>
  <c r="M53" i="7941" s="1"/>
  <c r="M507" i="18"/>
  <c r="M45" i="7941" s="1"/>
  <c r="M60" i="18"/>
  <c r="E238" i="7945" s="1"/>
  <c r="F238" i="7945" s="1"/>
  <c r="N291" i="18"/>
  <c r="M63" i="18"/>
  <c r="M781" i="18" s="1"/>
  <c r="M447" i="7941" s="1"/>
  <c r="N330" i="18"/>
  <c r="N199" i="18"/>
  <c r="M199" i="18"/>
  <c r="M264" i="18"/>
  <c r="N277" i="18"/>
  <c r="N251" i="18"/>
  <c r="N160" i="18"/>
  <c r="N121" i="18"/>
  <c r="M303" i="18"/>
  <c r="M238" i="18"/>
  <c r="N316" i="18"/>
  <c r="K910" i="18"/>
  <c r="K682" i="18"/>
  <c r="M59" i="18"/>
  <c r="M777" i="18" s="1"/>
  <c r="M443" i="7941" s="1"/>
  <c r="N278" i="18"/>
  <c r="M64" i="18"/>
  <c r="M782" i="18" s="1"/>
  <c r="M448" i="7941" s="1"/>
  <c r="N343" i="18"/>
  <c r="M56" i="18"/>
  <c r="M774" i="18" s="1"/>
  <c r="M440" i="7941" s="1"/>
  <c r="N239" i="18"/>
  <c r="M47" i="18"/>
  <c r="M765" i="18" s="1"/>
  <c r="M431" i="7941" s="1"/>
  <c r="N122" i="18"/>
  <c r="M62" i="18"/>
  <c r="M780" i="18" s="1"/>
  <c r="M446" i="7941" s="1"/>
  <c r="N317" i="18"/>
  <c r="M54" i="18"/>
  <c r="E154" i="7945" s="1"/>
  <c r="F154" i="7945" s="1"/>
  <c r="N213" i="18"/>
  <c r="M46" i="18"/>
  <c r="M764" i="18" s="1"/>
  <c r="M430" i="7941" s="1"/>
  <c r="N109" i="18"/>
  <c r="M513" i="18"/>
  <c r="M51" i="7941" s="1"/>
  <c r="M528" i="18"/>
  <c r="M66" i="7941" s="1"/>
  <c r="M55" i="18"/>
  <c r="E168" i="7945" s="1"/>
  <c r="F168" i="7945" s="1"/>
  <c r="N226" i="18"/>
  <c r="M506" i="18"/>
  <c r="M44" i="7941" s="1"/>
  <c r="M514" i="18"/>
  <c r="M52" i="7941" s="1"/>
  <c r="M529" i="18"/>
  <c r="M67" i="7941" s="1"/>
  <c r="M505" i="18"/>
  <c r="M43" i="7941" s="1"/>
  <c r="M65" i="18"/>
  <c r="E308" i="7945" s="1"/>
  <c r="F308" i="7945" s="1"/>
  <c r="N356" i="18"/>
  <c r="M520" i="18"/>
  <c r="M58" i="7941" s="1"/>
  <c r="M512" i="18"/>
  <c r="M50" i="7941" s="1"/>
  <c r="M504" i="18"/>
  <c r="M42" i="7941" s="1"/>
  <c r="M58" i="18"/>
  <c r="M776" i="18" s="1"/>
  <c r="M442" i="7941" s="1"/>
  <c r="N265" i="18"/>
  <c r="M50" i="18"/>
  <c r="E98" i="7945" s="1"/>
  <c r="F98" i="7945" s="1"/>
  <c r="N161" i="18"/>
  <c r="M67" i="18"/>
  <c r="M785" i="18" s="1"/>
  <c r="M451" i="7941" s="1"/>
  <c r="N382" i="18"/>
  <c r="L153" i="18"/>
  <c r="L897" i="18" s="1"/>
  <c r="N108" i="18"/>
  <c r="N329" i="18"/>
  <c r="N355" i="18"/>
  <c r="M277" i="18"/>
  <c r="M160" i="18"/>
  <c r="M381" i="18"/>
  <c r="M121" i="18"/>
  <c r="N238" i="18"/>
  <c r="N173" i="18"/>
  <c r="N212" i="18"/>
  <c r="M316" i="18"/>
  <c r="I585" i="7941"/>
  <c r="J423" i="7941"/>
  <c r="J585" i="7941" s="1"/>
  <c r="M18" i="7944"/>
  <c r="N17" i="7946" s="1"/>
  <c r="N10" i="7944"/>
  <c r="O10" i="7944" s="1"/>
  <c r="P10" i="7944" s="1"/>
  <c r="Q10" i="7944" s="1"/>
  <c r="R10" i="7944" s="1"/>
  <c r="N20" i="7944"/>
  <c r="O20" i="7944" s="1"/>
  <c r="N12" i="7944"/>
  <c r="O12" i="7944" s="1"/>
  <c r="P12" i="7944" s="1"/>
  <c r="I427" i="7941"/>
  <c r="N26" i="7944"/>
  <c r="O26" i="7944" s="1"/>
  <c r="N11" i="7944"/>
  <c r="O11" i="7944" s="1"/>
  <c r="P11" i="7944" s="1"/>
  <c r="P292" i="7944"/>
  <c r="Q292" i="7944" s="1"/>
  <c r="J9" i="7941"/>
  <c r="I203" i="7941"/>
  <c r="O4" i="7944"/>
  <c r="O108" i="1"/>
  <c r="O4" i="7942"/>
  <c r="O74" i="1"/>
  <c r="P40" i="1"/>
  <c r="O244" i="1"/>
  <c r="O4" i="7941"/>
  <c r="O176" i="1"/>
  <c r="O4" i="18"/>
  <c r="O210" i="1"/>
  <c r="O142" i="1"/>
  <c r="N30" i="7944"/>
  <c r="O30" i="7944" s="1"/>
  <c r="P240" i="7944"/>
  <c r="Q240" i="7944" s="1"/>
  <c r="L166" i="18"/>
  <c r="M154" i="18"/>
  <c r="N154" i="18" s="1"/>
  <c r="K153" i="18"/>
  <c r="M141" i="18"/>
  <c r="N141" i="18" s="1"/>
  <c r="O279" i="7944"/>
  <c r="P279" i="7944" s="1"/>
  <c r="Q279" i="7944" s="1"/>
  <c r="N15" i="7944"/>
  <c r="O15" i="7944" s="1"/>
  <c r="P15" i="7944" s="1"/>
  <c r="Q15" i="7944" s="1"/>
  <c r="R15" i="7944" s="1"/>
  <c r="J897" i="18"/>
  <c r="J891" i="18" s="1"/>
  <c r="J669" i="18"/>
  <c r="J663" i="18" s="1"/>
  <c r="E8" i="7948" s="1"/>
  <c r="J75" i="18"/>
  <c r="I15" i="7941"/>
  <c r="H209" i="7941"/>
  <c r="N84" i="7944"/>
  <c r="O84" i="7944" s="1"/>
  <c r="I409" i="7941"/>
  <c r="H571" i="7941"/>
  <c r="E194" i="7945"/>
  <c r="F194" i="7945" s="1"/>
  <c r="K775" i="18"/>
  <c r="K441" i="7941" s="1"/>
  <c r="M435" i="7944"/>
  <c r="N435" i="7944" s="1"/>
  <c r="H574" i="7941"/>
  <c r="I412" i="7941"/>
  <c r="E28" i="7945"/>
  <c r="F28" i="7945" s="1"/>
  <c r="M763" i="18"/>
  <c r="M429" i="7941" s="1"/>
  <c r="E126" i="7945"/>
  <c r="M770" i="18"/>
  <c r="M436" i="7941" s="1"/>
  <c r="L7" i="7942"/>
  <c r="L323" i="7942" s="1"/>
  <c r="L324" i="7942" s="1"/>
  <c r="M95" i="18"/>
  <c r="K764" i="18"/>
  <c r="K430" i="7941" s="1"/>
  <c r="E40" i="7945"/>
  <c r="F40" i="7945" s="1"/>
  <c r="H587" i="7941"/>
  <c r="I425" i="7941"/>
  <c r="I804" i="18"/>
  <c r="E152" i="7945"/>
  <c r="F152" i="7945" s="1"/>
  <c r="K772" i="18"/>
  <c r="K438" i="7941" s="1"/>
  <c r="N449" i="7944"/>
  <c r="N358" i="7944"/>
  <c r="N410" i="7944"/>
  <c r="N88" i="7944"/>
  <c r="N75" i="7944"/>
  <c r="N202" i="7944"/>
  <c r="N293" i="7944"/>
  <c r="N89" i="7944"/>
  <c r="N74" i="7944"/>
  <c r="N228" i="7944"/>
  <c r="N111" i="7944"/>
  <c r="N397" i="7944"/>
  <c r="N332" i="7944"/>
  <c r="N345" i="7944"/>
  <c r="N92" i="7944"/>
  <c r="N72" i="7944"/>
  <c r="N254" i="7944"/>
  <c r="N163" i="7944"/>
  <c r="N87" i="7944"/>
  <c r="N85" i="7944"/>
  <c r="N280" i="7944"/>
  <c r="N215" i="7944"/>
  <c r="N371" i="7944"/>
  <c r="N423" i="7944"/>
  <c r="N90" i="7944"/>
  <c r="N77" i="7944"/>
  <c r="N150" i="7944"/>
  <c r="N189" i="7944"/>
  <c r="N91" i="7944"/>
  <c r="N76" i="7944"/>
  <c r="N176" i="7944"/>
  <c r="N241" i="7944"/>
  <c r="N78" i="7944"/>
  <c r="O3" i="7944"/>
  <c r="N79" i="7944"/>
  <c r="N98" i="7944"/>
  <c r="N124" i="7944"/>
  <c r="N436" i="7944"/>
  <c r="N267" i="7944"/>
  <c r="N319" i="7944"/>
  <c r="N384" i="7944"/>
  <c r="N306" i="7944"/>
  <c r="N137" i="7944"/>
  <c r="E208" i="7945"/>
  <c r="F208" i="7945" s="1"/>
  <c r="K776" i="18"/>
  <c r="K442" i="7941" s="1"/>
  <c r="L38" i="18"/>
  <c r="L528" i="18" s="1"/>
  <c r="L66" i="7941" s="1"/>
  <c r="L55" i="18"/>
  <c r="K130" i="7942"/>
  <c r="K150" i="7942"/>
  <c r="K305" i="7942"/>
  <c r="H460" i="7941"/>
  <c r="H558" i="7941" s="1"/>
  <c r="H793" i="18"/>
  <c r="E306" i="7945"/>
  <c r="F306" i="7945" s="1"/>
  <c r="K783" i="18"/>
  <c r="K449" i="7941" s="1"/>
  <c r="I36" i="7941"/>
  <c r="H230" i="7941"/>
  <c r="H582" i="7941"/>
  <c r="I420" i="7941"/>
  <c r="L17" i="18"/>
  <c r="L507" i="18" s="1"/>
  <c r="L45" i="7941" s="1"/>
  <c r="H74" i="7941"/>
  <c r="I472" i="18"/>
  <c r="E180" i="7945"/>
  <c r="F180" i="7945" s="1"/>
  <c r="K774" i="18"/>
  <c r="K440" i="7941" s="1"/>
  <c r="H229" i="7941"/>
  <c r="I35" i="7941"/>
  <c r="I563" i="18"/>
  <c r="H208" i="7941"/>
  <c r="I927" i="18"/>
  <c r="I707" i="18"/>
  <c r="E54" i="7945"/>
  <c r="F54" i="7945" s="1"/>
  <c r="K765" i="18"/>
  <c r="K431" i="7941" s="1"/>
  <c r="J268" i="7942"/>
  <c r="I708" i="18"/>
  <c r="Q162" i="7944"/>
  <c r="L71" i="18"/>
  <c r="L18" i="18"/>
  <c r="L508" i="18" s="1"/>
  <c r="L46" i="7941" s="1"/>
  <c r="L16" i="18"/>
  <c r="L506" i="18" s="1"/>
  <c r="L44" i="7941" s="1"/>
  <c r="E406" i="7945"/>
  <c r="M790" i="18"/>
  <c r="M456" i="7941" s="1"/>
  <c r="N237" i="1"/>
  <c r="N70" i="18" s="1"/>
  <c r="N233" i="1"/>
  <c r="N66" i="18" s="1"/>
  <c r="N238" i="1"/>
  <c r="N71" i="18" s="1"/>
  <c r="N234" i="1"/>
  <c r="N230" i="1"/>
  <c r="N211" i="1"/>
  <c r="N214" i="1"/>
  <c r="N216" i="1"/>
  <c r="N218" i="1"/>
  <c r="N220" i="1"/>
  <c r="N222" i="1"/>
  <c r="N224" i="1"/>
  <c r="N226" i="1"/>
  <c r="N228" i="1"/>
  <c r="N109" i="1"/>
  <c r="O246" i="1"/>
  <c r="N212" i="1"/>
  <c r="N45" i="18" s="1"/>
  <c r="N240" i="1"/>
  <c r="N73" i="18" s="1"/>
  <c r="N236" i="1"/>
  <c r="N69" i="18" s="1"/>
  <c r="N215" i="1"/>
  <c r="N48" i="18" s="1"/>
  <c r="N111" i="1"/>
  <c r="N14" i="18" s="1"/>
  <c r="N113" i="1"/>
  <c r="N16" i="18" s="1"/>
  <c r="N117" i="1"/>
  <c r="N20" i="18" s="1"/>
  <c r="N121" i="1"/>
  <c r="N24" i="18" s="1"/>
  <c r="N125" i="1"/>
  <c r="N28" i="18" s="1"/>
  <c r="N129" i="1"/>
  <c r="N32" i="18" s="1"/>
  <c r="N133" i="1"/>
  <c r="N36" i="18" s="1"/>
  <c r="N137" i="1"/>
  <c r="N40" i="18" s="1"/>
  <c r="N231" i="1"/>
  <c r="N213" i="1"/>
  <c r="N219" i="1"/>
  <c r="N52" i="18" s="1"/>
  <c r="N223" i="1"/>
  <c r="N227" i="1"/>
  <c r="N114" i="1"/>
  <c r="N17" i="18" s="1"/>
  <c r="N118" i="1"/>
  <c r="N21" i="18" s="1"/>
  <c r="N122" i="1"/>
  <c r="N25" i="18" s="1"/>
  <c r="N126" i="1"/>
  <c r="N29" i="18" s="1"/>
  <c r="N130" i="1"/>
  <c r="N33" i="18" s="1"/>
  <c r="N134" i="1"/>
  <c r="N37" i="18" s="1"/>
  <c r="N138" i="1"/>
  <c r="N41" i="18" s="1"/>
  <c r="N7" i="18"/>
  <c r="N110" i="1"/>
  <c r="N13" i="18" s="1"/>
  <c r="N119" i="1"/>
  <c r="N22" i="18" s="1"/>
  <c r="N127" i="1"/>
  <c r="N30" i="18" s="1"/>
  <c r="N135" i="1"/>
  <c r="N38" i="18" s="1"/>
  <c r="N528" i="18" s="1"/>
  <c r="N66" i="7941" s="1"/>
  <c r="N235" i="1"/>
  <c r="N68" i="18" s="1"/>
  <c r="N112" i="1"/>
  <c r="N15" i="18" s="1"/>
  <c r="N115" i="1"/>
  <c r="N18" i="18" s="1"/>
  <c r="N123" i="1"/>
  <c r="N26" i="18" s="1"/>
  <c r="N516" i="18" s="1"/>
  <c r="N54" i="7941" s="1"/>
  <c r="N131" i="1"/>
  <c r="N34" i="18" s="1"/>
  <c r="N221" i="1"/>
  <c r="N124" i="1"/>
  <c r="N27" i="18" s="1"/>
  <c r="N239" i="1"/>
  <c r="N72" i="18" s="1"/>
  <c r="N225" i="1"/>
  <c r="N120" i="1"/>
  <c r="N23" i="18" s="1"/>
  <c r="N136" i="1"/>
  <c r="N39" i="18" s="1"/>
  <c r="N217" i="1"/>
  <c r="N128" i="1"/>
  <c r="N31" i="18" s="1"/>
  <c r="N116" i="1"/>
  <c r="N19" i="18" s="1"/>
  <c r="N232" i="1"/>
  <c r="N132" i="1"/>
  <c r="N35" i="18" s="1"/>
  <c r="N525" i="18" s="1"/>
  <c r="N63" i="7941" s="1"/>
  <c r="N229" i="1"/>
  <c r="M509" i="18"/>
  <c r="M47" i="7941" s="1"/>
  <c r="M526" i="18"/>
  <c r="M64" i="7941" s="1"/>
  <c r="M519" i="18"/>
  <c r="M57" i="7941" s="1"/>
  <c r="M503" i="18"/>
  <c r="M41" i="7941" s="1"/>
  <c r="M789" i="18"/>
  <c r="M455" i="7941" s="1"/>
  <c r="E392" i="7945"/>
  <c r="N22" i="7944"/>
  <c r="O22" i="7944" s="1"/>
  <c r="P22" i="7944" s="1"/>
  <c r="Q22" i="7944" s="1"/>
  <c r="I935" i="18"/>
  <c r="I947" i="18"/>
  <c r="H561" i="7941"/>
  <c r="I399" i="7941"/>
  <c r="I937" i="18"/>
  <c r="N27" i="7944"/>
  <c r="O27" i="7944" s="1"/>
  <c r="N28" i="7944"/>
  <c r="O28" i="7944" s="1"/>
  <c r="I19" i="7941"/>
  <c r="H213" i="7941"/>
  <c r="K43" i="18"/>
  <c r="K762" i="18"/>
  <c r="E12" i="7945"/>
  <c r="I946" i="18"/>
  <c r="E236" i="7945"/>
  <c r="F236" i="7945" s="1"/>
  <c r="K778" i="18"/>
  <c r="K444" i="7941" s="1"/>
  <c r="I940" i="18"/>
  <c r="I20" i="7941"/>
  <c r="H214" i="7941"/>
  <c r="N96" i="18"/>
  <c r="I811" i="18"/>
  <c r="I710" i="18"/>
  <c r="E82" i="7945"/>
  <c r="F82" i="7945" s="1"/>
  <c r="K767" i="18"/>
  <c r="K433" i="7941" s="1"/>
  <c r="L44" i="18"/>
  <c r="L67" i="18"/>
  <c r="L36" i="18"/>
  <c r="L526" i="18" s="1"/>
  <c r="L64" i="7941" s="1"/>
  <c r="L60" i="18"/>
  <c r="M531" i="18"/>
  <c r="M69" i="7941" s="1"/>
  <c r="M522" i="18"/>
  <c r="M60" i="7941" s="1"/>
  <c r="E378" i="7945"/>
  <c r="M788" i="18"/>
  <c r="M454" i="7941" s="1"/>
  <c r="E196" i="7945"/>
  <c r="F196" i="7945" s="1"/>
  <c r="M775" i="18"/>
  <c r="M441" i="7941" s="1"/>
  <c r="E350" i="7945"/>
  <c r="M786" i="18"/>
  <c r="M452" i="7941" s="1"/>
  <c r="M521" i="18"/>
  <c r="M59" i="7941" s="1"/>
  <c r="M524" i="18"/>
  <c r="M62" i="7941" s="1"/>
  <c r="M516" i="18"/>
  <c r="M54" i="7941" s="1"/>
  <c r="M508" i="18"/>
  <c r="M46" i="7941" s="1"/>
  <c r="N24" i="7944"/>
  <c r="O24" i="7944" s="1"/>
  <c r="M448" i="7944"/>
  <c r="N448" i="7944" s="1"/>
  <c r="O383" i="7944"/>
  <c r="P383" i="7944" s="1"/>
  <c r="E404" i="7945"/>
  <c r="K790" i="18"/>
  <c r="K456" i="7941" s="1"/>
  <c r="I953" i="18"/>
  <c r="H533" i="18"/>
  <c r="H72" i="7941"/>
  <c r="I470" i="18"/>
  <c r="I11" i="7941"/>
  <c r="H218" i="7941"/>
  <c r="I24" i="7941"/>
  <c r="M188" i="7944"/>
  <c r="N188" i="7944" s="1"/>
  <c r="E320" i="7945"/>
  <c r="K784" i="18"/>
  <c r="K450" i="7941" s="1"/>
  <c r="L47" i="18"/>
  <c r="L54" i="18"/>
  <c r="L40" i="18"/>
  <c r="L530" i="18" s="1"/>
  <c r="L68" i="7941" s="1"/>
  <c r="L34" i="18"/>
  <c r="L524" i="18" s="1"/>
  <c r="L62" i="7941" s="1"/>
  <c r="K110" i="7942"/>
  <c r="K146" i="7942"/>
  <c r="K307" i="7942"/>
  <c r="K295" i="7942"/>
  <c r="K128" i="7942"/>
  <c r="K279" i="7942"/>
  <c r="K164" i="7942"/>
  <c r="K124" i="7942"/>
  <c r="K160" i="7942"/>
  <c r="K287" i="7942"/>
  <c r="K138" i="7942"/>
  <c r="K269" i="7942"/>
  <c r="K297" i="7942"/>
  <c r="K132" i="7942"/>
  <c r="N21" i="7944"/>
  <c r="I699" i="18"/>
  <c r="I812" i="18"/>
  <c r="I799" i="18"/>
  <c r="O344" i="7944"/>
  <c r="P344" i="7944" s="1"/>
  <c r="E278" i="7945"/>
  <c r="F278" i="7945" s="1"/>
  <c r="K781" i="18"/>
  <c r="K447" i="7941" s="1"/>
  <c r="I557" i="18"/>
  <c r="M461" i="7944"/>
  <c r="N461" i="7944" s="1"/>
  <c r="M214" i="7944"/>
  <c r="H573" i="7941"/>
  <c r="I411" i="7941"/>
  <c r="I724" i="18"/>
  <c r="I948" i="18"/>
  <c r="M33" i="7944"/>
  <c r="I400" i="7941"/>
  <c r="H562" i="7941"/>
  <c r="L69" i="18"/>
  <c r="L59" i="18"/>
  <c r="L12" i="18"/>
  <c r="L27" i="18"/>
  <c r="L517" i="18" s="1"/>
  <c r="L55" i="7941" s="1"/>
  <c r="N25" i="7944"/>
  <c r="O25" i="7944" s="1"/>
  <c r="K757" i="18"/>
  <c r="L21" i="18"/>
  <c r="L511" i="18" s="1"/>
  <c r="L49" i="7941" s="1"/>
  <c r="O357" i="7944"/>
  <c r="P357" i="7944" s="1"/>
  <c r="L7" i="7944"/>
  <c r="G19" i="7948" s="1"/>
  <c r="M8" i="7944"/>
  <c r="O331" i="7944"/>
  <c r="P331" i="7944" s="1"/>
  <c r="Q331" i="7944" s="1"/>
  <c r="J952" i="18"/>
  <c r="P305" i="7944"/>
  <c r="Q305" i="7944" s="1"/>
  <c r="L46" i="18"/>
  <c r="L20" i="18"/>
  <c r="L510" i="18" s="1"/>
  <c r="L48" i="7941" s="1"/>
  <c r="I706" i="18"/>
  <c r="N13" i="7944"/>
  <c r="O13" i="7944" s="1"/>
  <c r="P13" i="7944" s="1"/>
  <c r="P266" i="7944"/>
  <c r="Q266" i="7944" s="1"/>
  <c r="I419" i="7941"/>
  <c r="H581" i="7941"/>
  <c r="H580" i="7941"/>
  <c r="I418" i="7941"/>
  <c r="H216" i="7941"/>
  <c r="I22" i="7941"/>
  <c r="E292" i="7945"/>
  <c r="F292" i="7945" s="1"/>
  <c r="K782" i="18"/>
  <c r="K448" i="7941" s="1"/>
  <c r="L29" i="18"/>
  <c r="L519" i="18" s="1"/>
  <c r="L57" i="7941" s="1"/>
  <c r="J40" i="7941"/>
  <c r="J39" i="7941" s="1"/>
  <c r="J501" i="18"/>
  <c r="E6" i="7948" s="1"/>
  <c r="N31" i="7944"/>
  <c r="O31" i="7944" s="1"/>
  <c r="I718" i="18"/>
  <c r="I704" i="18"/>
  <c r="L49" i="18"/>
  <c r="L32" i="18"/>
  <c r="L522" i="18" s="1"/>
  <c r="L60" i="7941" s="1"/>
  <c r="I485" i="7941"/>
  <c r="J755" i="18"/>
  <c r="L30" i="18"/>
  <c r="L520" i="18" s="1"/>
  <c r="L58" i="7941" s="1"/>
  <c r="M82" i="18"/>
  <c r="J711" i="18"/>
  <c r="J424" i="7941"/>
  <c r="I586" i="7941"/>
  <c r="I702" i="18"/>
  <c r="J761" i="18"/>
  <c r="I930" i="18"/>
  <c r="J107" i="7942"/>
  <c r="N95" i="18"/>
  <c r="M35" i="7944"/>
  <c r="L70" i="18"/>
  <c r="L50" i="18"/>
  <c r="L52" i="18"/>
  <c r="L33" i="18"/>
  <c r="L523" i="18" s="1"/>
  <c r="L61" i="7941" s="1"/>
  <c r="M44" i="18"/>
  <c r="M241" i="1"/>
  <c r="E364" i="7945"/>
  <c r="M787" i="18"/>
  <c r="M453" i="7941" s="1"/>
  <c r="I730" i="18"/>
  <c r="I938" i="18"/>
  <c r="I932" i="18"/>
  <c r="I716" i="18"/>
  <c r="L71" i="7944"/>
  <c r="G21" i="7948" s="1"/>
  <c r="M422" i="7944"/>
  <c r="J477" i="18"/>
  <c r="N35" i="7946"/>
  <c r="E138" i="7945"/>
  <c r="F138" i="7945" s="1"/>
  <c r="K771" i="18"/>
  <c r="K437" i="7941" s="1"/>
  <c r="L56" i="18"/>
  <c r="L62" i="18"/>
  <c r="L24" i="18"/>
  <c r="L514" i="18" s="1"/>
  <c r="L52" i="7941" s="1"/>
  <c r="K134" i="7942"/>
  <c r="K325" i="7942"/>
  <c r="K166" i="7942"/>
  <c r="K309" i="7942"/>
  <c r="K154" i="7942"/>
  <c r="K321" i="7942"/>
  <c r="K327" i="7942"/>
  <c r="K275" i="7942"/>
  <c r="K315" i="7942"/>
  <c r="K311" i="7942"/>
  <c r="K108" i="7942"/>
  <c r="K293" i="7942"/>
  <c r="K136" i="7942"/>
  <c r="I715" i="18"/>
  <c r="M409" i="7944"/>
  <c r="N409" i="7944" s="1"/>
  <c r="I801" i="18"/>
  <c r="N370" i="7944"/>
  <c r="H579" i="7941"/>
  <c r="I417" i="7941"/>
  <c r="I30" i="7941"/>
  <c r="H224" i="7941"/>
  <c r="I936" i="18"/>
  <c r="M227" i="7944"/>
  <c r="N227" i="7944" s="1"/>
  <c r="M201" i="7944"/>
  <c r="N201" i="7944" s="1"/>
  <c r="I16" i="7941"/>
  <c r="H210" i="7941"/>
  <c r="E96" i="7945"/>
  <c r="F96" i="7945" s="1"/>
  <c r="K768" i="18"/>
  <c r="K434" i="7941" s="1"/>
  <c r="I943" i="18"/>
  <c r="I714" i="18"/>
  <c r="J471" i="18"/>
  <c r="L45" i="18"/>
  <c r="L35" i="18"/>
  <c r="L525" i="18" s="1"/>
  <c r="L63" i="7941" s="1"/>
  <c r="L48" i="18"/>
  <c r="L13" i="18"/>
  <c r="L503" i="18" s="1"/>
  <c r="L41" i="7941" s="1"/>
  <c r="M9" i="7944"/>
  <c r="L64" i="18"/>
  <c r="L65" i="18"/>
  <c r="M16" i="7944"/>
  <c r="I217" i="7941"/>
  <c r="J23" i="7941"/>
  <c r="N318" i="7944"/>
  <c r="L39" i="18"/>
  <c r="L529" i="18" s="1"/>
  <c r="L67" i="7941" s="1"/>
  <c r="L37" i="18"/>
  <c r="L527" i="18" s="1"/>
  <c r="L65" i="7941" s="1"/>
  <c r="I722" i="18"/>
  <c r="O110" i="7944"/>
  <c r="I407" i="7941"/>
  <c r="H569" i="7941"/>
  <c r="I720" i="18"/>
  <c r="I555" i="18"/>
  <c r="I723" i="18"/>
  <c r="I81" i="7941"/>
  <c r="J479" i="18"/>
  <c r="I700" i="18"/>
  <c r="L61" i="18"/>
  <c r="K281" i="7942"/>
  <c r="I945" i="18"/>
  <c r="K763" i="18"/>
  <c r="K429" i="7941" s="1"/>
  <c r="E26" i="7945"/>
  <c r="F26" i="7945" s="1"/>
  <c r="L26" i="18"/>
  <c r="L516" i="18" s="1"/>
  <c r="L54" i="7941" s="1"/>
  <c r="M919" i="18"/>
  <c r="M691" i="18"/>
  <c r="L68" i="18"/>
  <c r="L63" i="18"/>
  <c r="H212" i="7941"/>
  <c r="I18" i="7941"/>
  <c r="I32" i="7941"/>
  <c r="H226" i="7941"/>
  <c r="H480" i="7941"/>
  <c r="I750" i="18"/>
  <c r="I97" i="7941"/>
  <c r="J495" i="18"/>
  <c r="E348" i="7945"/>
  <c r="K786" i="18"/>
  <c r="K452" i="7941" s="1"/>
  <c r="J427" i="7941"/>
  <c r="N82" i="18"/>
  <c r="E222" i="7945"/>
  <c r="F222" i="7945" s="1"/>
  <c r="K777" i="18"/>
  <c r="K443" i="7941" s="1"/>
  <c r="E322" i="7945"/>
  <c r="M784" i="18"/>
  <c r="M450" i="7941" s="1"/>
  <c r="M12" i="18"/>
  <c r="M139" i="1"/>
  <c r="M791" i="18"/>
  <c r="M457" i="7941" s="1"/>
  <c r="E420" i="7945"/>
  <c r="M511" i="18"/>
  <c r="M49" i="7941" s="1"/>
  <c r="M766" i="18"/>
  <c r="M432" i="7941" s="1"/>
  <c r="E70" i="7945"/>
  <c r="J709" i="18"/>
  <c r="H572" i="7941"/>
  <c r="I410" i="7941"/>
  <c r="H566" i="7941"/>
  <c r="I404" i="7941"/>
  <c r="I712" i="18"/>
  <c r="H222" i="7941"/>
  <c r="I28" i="7941"/>
  <c r="K502" i="18"/>
  <c r="K11" i="18"/>
  <c r="F25" i="7945"/>
  <c r="I803" i="18"/>
  <c r="N14" i="7944"/>
  <c r="L66" i="18"/>
  <c r="L51" i="18"/>
  <c r="L22" i="18"/>
  <c r="L512" i="18" s="1"/>
  <c r="L50" i="7941" s="1"/>
  <c r="L19" i="18"/>
  <c r="L509" i="18" s="1"/>
  <c r="L47" i="7941" s="1"/>
  <c r="K273" i="7942"/>
  <c r="K114" i="7942"/>
  <c r="K317" i="7942"/>
  <c r="K283" i="7942"/>
  <c r="K144" i="7942"/>
  <c r="K319" i="7942"/>
  <c r="K116" i="7942"/>
  <c r="I820" i="18"/>
  <c r="H221" i="7941"/>
  <c r="I27" i="7941"/>
  <c r="M19" i="7944"/>
  <c r="H570" i="7941"/>
  <c r="I408" i="7941"/>
  <c r="I939" i="18"/>
  <c r="Q175" i="7944"/>
  <c r="H577" i="7941"/>
  <c r="I415" i="7941"/>
  <c r="O123" i="7944"/>
  <c r="P123" i="7944" s="1"/>
  <c r="Q123" i="7944" s="1"/>
  <c r="I928" i="18"/>
  <c r="I26" i="7941"/>
  <c r="H220" i="7941"/>
  <c r="E264" i="7945"/>
  <c r="F264" i="7945" s="1"/>
  <c r="K780" i="18"/>
  <c r="K446" i="7941" s="1"/>
  <c r="L58" i="18"/>
  <c r="L41" i="18"/>
  <c r="L531" i="18" s="1"/>
  <c r="L69" i="7941" s="1"/>
  <c r="L72" i="18"/>
  <c r="M34" i="7944"/>
  <c r="H462" i="7941"/>
  <c r="I732" i="18"/>
  <c r="M396" i="7944"/>
  <c r="L73" i="18"/>
  <c r="L15" i="18"/>
  <c r="L505" i="18" s="1"/>
  <c r="L43" i="7941" s="1"/>
  <c r="N36" i="7944"/>
  <c r="N439" i="18"/>
  <c r="M97" i="7944"/>
  <c r="N97" i="7944" s="1"/>
  <c r="L53" i="18"/>
  <c r="L14" i="18"/>
  <c r="L504" i="18" s="1"/>
  <c r="L42" i="7941" s="1"/>
  <c r="L31" i="18"/>
  <c r="L521" i="18" s="1"/>
  <c r="L59" i="7941" s="1"/>
  <c r="I34" i="7941"/>
  <c r="H228" i="7941"/>
  <c r="M904" i="18" l="1"/>
  <c r="L904" i="18"/>
  <c r="L676" i="18"/>
  <c r="L677" i="18"/>
  <c r="L909" i="18"/>
  <c r="M179" i="18"/>
  <c r="M671" i="18" s="1"/>
  <c r="M296" i="18"/>
  <c r="N296" i="18" s="1"/>
  <c r="O296" i="18" s="1"/>
  <c r="I12" i="7941"/>
  <c r="M672" i="18"/>
  <c r="N192" i="18"/>
  <c r="O192" i="18" s="1"/>
  <c r="N17" i="7944"/>
  <c r="O17" i="7944" s="1"/>
  <c r="M335" i="18"/>
  <c r="N335" i="18" s="1"/>
  <c r="N683" i="18" s="1"/>
  <c r="L911" i="18"/>
  <c r="M348" i="18"/>
  <c r="N348" i="18" s="1"/>
  <c r="O348" i="18" s="1"/>
  <c r="L684" i="18"/>
  <c r="M690" i="18"/>
  <c r="M88" i="18"/>
  <c r="N88" i="18" s="1"/>
  <c r="N892" i="18" s="1"/>
  <c r="O426" i="18"/>
  <c r="P426" i="18" s="1"/>
  <c r="Q426" i="18" s="1"/>
  <c r="N31" i="7946"/>
  <c r="N32" i="7944"/>
  <c r="O32" i="7944" s="1"/>
  <c r="P32" i="7944" s="1"/>
  <c r="Q32" i="7944" s="1"/>
  <c r="R32" i="7944" s="1"/>
  <c r="M918" i="18"/>
  <c r="M899" i="18"/>
  <c r="L905" i="18"/>
  <c r="E140" i="7945"/>
  <c r="F140" i="7945" s="1"/>
  <c r="L892" i="18"/>
  <c r="N18" i="7944"/>
  <c r="O18" i="7944" s="1"/>
  <c r="P18" i="7944" s="1"/>
  <c r="Q18" i="7944" s="1"/>
  <c r="R18" i="7944" s="1"/>
  <c r="O452" i="18"/>
  <c r="P452" i="18" s="1"/>
  <c r="P20" i="7944"/>
  <c r="Q20" i="7944" s="1"/>
  <c r="R20" i="7944" s="1"/>
  <c r="M322" i="18"/>
  <c r="N322" i="18" s="1"/>
  <c r="O322" i="18" s="1"/>
  <c r="P322" i="18" s="1"/>
  <c r="L682" i="18"/>
  <c r="L903" i="18"/>
  <c r="M309" i="18"/>
  <c r="N309" i="18" s="1"/>
  <c r="N681" i="18" s="1"/>
  <c r="M387" i="18"/>
  <c r="L687" i="18"/>
  <c r="O465" i="18"/>
  <c r="P465" i="18" s="1"/>
  <c r="O461" i="7944"/>
  <c r="P461" i="7944" s="1"/>
  <c r="Q461" i="7944" s="1"/>
  <c r="M674" i="18"/>
  <c r="M903" i="18"/>
  <c r="M679" i="18"/>
  <c r="Q218" i="18"/>
  <c r="N244" i="18"/>
  <c r="N904" i="18" s="1"/>
  <c r="L678" i="18"/>
  <c r="I559" i="7941"/>
  <c r="L685" i="18"/>
  <c r="L913" i="18"/>
  <c r="L675" i="18"/>
  <c r="L901" i="18"/>
  <c r="M675" i="18"/>
  <c r="N396" i="7944"/>
  <c r="O396" i="7944" s="1"/>
  <c r="P396" i="7944" s="1"/>
  <c r="P23" i="7944"/>
  <c r="Q23" i="7944" s="1"/>
  <c r="R23" i="7944" s="1"/>
  <c r="G22" i="7948"/>
  <c r="N521" i="18"/>
  <c r="N59" i="7941" s="1"/>
  <c r="N524" i="18"/>
  <c r="N62" i="7941" s="1"/>
  <c r="N503" i="18"/>
  <c r="N41" i="7941" s="1"/>
  <c r="N523" i="18"/>
  <c r="N61" i="7941" s="1"/>
  <c r="L665" i="18"/>
  <c r="L680" i="18"/>
  <c r="L673" i="18"/>
  <c r="L899" i="18"/>
  <c r="L671" i="18"/>
  <c r="L894" i="18"/>
  <c r="L666" i="18"/>
  <c r="N690" i="18"/>
  <c r="J397" i="7941"/>
  <c r="O448" i="7944"/>
  <c r="P448" i="7944" s="1"/>
  <c r="M101" i="18"/>
  <c r="N101" i="18" s="1"/>
  <c r="N665" i="18" s="1"/>
  <c r="O231" i="18"/>
  <c r="P231" i="18" s="1"/>
  <c r="Q231" i="18" s="1"/>
  <c r="M127" i="18"/>
  <c r="N127" i="18" s="1"/>
  <c r="N667" i="18" s="1"/>
  <c r="M361" i="18"/>
  <c r="N361" i="18" s="1"/>
  <c r="N685" i="18" s="1"/>
  <c r="M114" i="18"/>
  <c r="M413" i="18"/>
  <c r="L689" i="18"/>
  <c r="L917" i="18"/>
  <c r="N374" i="18"/>
  <c r="O374" i="18" s="1"/>
  <c r="P374" i="18" s="1"/>
  <c r="M693" i="18"/>
  <c r="M692" i="18"/>
  <c r="M920" i="18"/>
  <c r="P205" i="18"/>
  <c r="Q205" i="18" s="1"/>
  <c r="L906" i="18"/>
  <c r="L667" i="18"/>
  <c r="N283" i="18"/>
  <c r="O283" i="18" s="1"/>
  <c r="P283" i="18" s="1"/>
  <c r="Q283" i="18" s="1"/>
  <c r="L679" i="18"/>
  <c r="M914" i="18"/>
  <c r="M140" i="18"/>
  <c r="L668" i="18"/>
  <c r="L896" i="18"/>
  <c r="M902" i="18"/>
  <c r="M673" i="18"/>
  <c r="M901" i="18"/>
  <c r="M921" i="18"/>
  <c r="M686" i="18"/>
  <c r="L674" i="18"/>
  <c r="L902" i="18"/>
  <c r="L907" i="18"/>
  <c r="M400" i="18"/>
  <c r="L688" i="18"/>
  <c r="L916" i="18"/>
  <c r="N119" i="18"/>
  <c r="N262" i="18"/>
  <c r="N210" i="18"/>
  <c r="N327" i="18"/>
  <c r="N379" i="18"/>
  <c r="N287" i="18"/>
  <c r="N158" i="18"/>
  <c r="N106" i="18"/>
  <c r="N247" i="18"/>
  <c r="N273" i="18"/>
  <c r="N169" i="18"/>
  <c r="N196" i="18"/>
  <c r="N156" i="18"/>
  <c r="N248" i="18"/>
  <c r="N274" i="18"/>
  <c r="N378" i="18"/>
  <c r="N353" i="18"/>
  <c r="N236" i="18"/>
  <c r="N250" i="18"/>
  <c r="N159" i="18"/>
  <c r="N328" i="18"/>
  <c r="N341" i="18"/>
  <c r="N380" i="18"/>
  <c r="N302" i="18"/>
  <c r="N388" i="18"/>
  <c r="N323" i="18"/>
  <c r="N232" i="18"/>
  <c r="N375" i="18"/>
  <c r="N206" i="18"/>
  <c r="N245" i="18"/>
  <c r="N180" i="18"/>
  <c r="N102" i="18"/>
  <c r="N271" i="18"/>
  <c r="N249" i="18"/>
  <c r="N340" i="18"/>
  <c r="N117" i="18"/>
  <c r="N260" i="18"/>
  <c r="N325" i="18"/>
  <c r="N105" i="18"/>
  <c r="N339" i="18"/>
  <c r="N326" i="18"/>
  <c r="N222" i="18"/>
  <c r="N171" i="18"/>
  <c r="N223" i="18"/>
  <c r="N198" i="18"/>
  <c r="N224" i="18"/>
  <c r="N145" i="18"/>
  <c r="N146" i="18"/>
  <c r="N79" i="18"/>
  <c r="N91" i="18"/>
  <c r="N219" i="18"/>
  <c r="N128" i="18"/>
  <c r="N297" i="18"/>
  <c r="N89" i="18"/>
  <c r="N440" i="18"/>
  <c r="N78" i="18"/>
  <c r="N193" i="18"/>
  <c r="N310" i="18"/>
  <c r="N313" i="18"/>
  <c r="N351" i="18"/>
  <c r="N104" i="18"/>
  <c r="N377" i="18"/>
  <c r="N234" i="18"/>
  <c r="N252" i="18"/>
  <c r="N170" i="18"/>
  <c r="N235" i="18"/>
  <c r="N299" i="18"/>
  <c r="N157" i="18"/>
  <c r="N352" i="18"/>
  <c r="N301" i="18"/>
  <c r="N286" i="18"/>
  <c r="N211" i="18"/>
  <c r="N172" i="18"/>
  <c r="N354" i="18"/>
  <c r="N276" i="18"/>
  <c r="N289" i="18"/>
  <c r="N263" i="18"/>
  <c r="N94" i="18"/>
  <c r="N92" i="18"/>
  <c r="N115" i="18"/>
  <c r="O3" i="18"/>
  <c r="O84" i="18" s="1"/>
  <c r="N167" i="18"/>
  <c r="N179" i="18" s="1"/>
  <c r="N80" i="18"/>
  <c r="N284" i="18"/>
  <c r="N349" i="18"/>
  <c r="N258" i="18"/>
  <c r="N314" i="18"/>
  <c r="N197" i="18"/>
  <c r="N208" i="18"/>
  <c r="N195" i="18"/>
  <c r="N338" i="18"/>
  <c r="N221" i="18"/>
  <c r="N261" i="18"/>
  <c r="N209" i="18"/>
  <c r="N300" i="18"/>
  <c r="N118" i="18"/>
  <c r="N275" i="18"/>
  <c r="N288" i="18"/>
  <c r="N312" i="18"/>
  <c r="N120" i="18"/>
  <c r="N315" i="18"/>
  <c r="N144" i="18"/>
  <c r="N107" i="18"/>
  <c r="N237" i="18"/>
  <c r="N93" i="18"/>
  <c r="N453" i="18"/>
  <c r="N336" i="18"/>
  <c r="N81" i="18"/>
  <c r="N362" i="18"/>
  <c r="N401" i="18"/>
  <c r="N427" i="18"/>
  <c r="N414" i="18"/>
  <c r="N76" i="18"/>
  <c r="I402" i="7941"/>
  <c r="E210" i="7945"/>
  <c r="F210" i="7945" s="1"/>
  <c r="N921" i="18"/>
  <c r="M768" i="18"/>
  <c r="M434" i="7941" s="1"/>
  <c r="E280" i="7945"/>
  <c r="F280" i="7945" s="1"/>
  <c r="M905" i="18"/>
  <c r="M772" i="18"/>
  <c r="M438" i="7941" s="1"/>
  <c r="N507" i="18"/>
  <c r="N45" i="7941" s="1"/>
  <c r="N522" i="18"/>
  <c r="N60" i="7941" s="1"/>
  <c r="N506" i="18"/>
  <c r="N44" i="7941" s="1"/>
  <c r="N692" i="18"/>
  <c r="E224" i="7945"/>
  <c r="F224" i="7945" s="1"/>
  <c r="E336" i="7945"/>
  <c r="F336" i="7945" s="1"/>
  <c r="E266" i="7945"/>
  <c r="F266" i="7945" s="1"/>
  <c r="E294" i="7945"/>
  <c r="F294" i="7945" s="1"/>
  <c r="N257" i="18"/>
  <c r="M783" i="18"/>
  <c r="M449" i="7941" s="1"/>
  <c r="M908" i="18"/>
  <c r="M778" i="18"/>
  <c r="M444" i="7941" s="1"/>
  <c r="L775" i="18"/>
  <c r="L441" i="7941" s="1"/>
  <c r="E56" i="7945"/>
  <c r="F56" i="7945" s="1"/>
  <c r="M773" i="18"/>
  <c r="M439" i="7941" s="1"/>
  <c r="E42" i="7945"/>
  <c r="F42" i="7945" s="1"/>
  <c r="E182" i="7945"/>
  <c r="F182" i="7945" s="1"/>
  <c r="M779" i="18"/>
  <c r="M445" i="7941" s="1"/>
  <c r="N62" i="18"/>
  <c r="N780" i="18" s="1"/>
  <c r="N446" i="7941" s="1"/>
  <c r="O318" i="18"/>
  <c r="N53" i="18"/>
  <c r="N771" i="18" s="1"/>
  <c r="N437" i="7941" s="1"/>
  <c r="O201" i="18"/>
  <c r="N50" i="18"/>
  <c r="E99" i="7945" s="1"/>
  <c r="F99" i="7945" s="1"/>
  <c r="O162" i="18"/>
  <c r="N60" i="18"/>
  <c r="E239" i="7945" s="1"/>
  <c r="F239" i="7945" s="1"/>
  <c r="O292" i="18"/>
  <c r="N64" i="18"/>
  <c r="N782" i="18" s="1"/>
  <c r="N448" i="7941" s="1"/>
  <c r="O344" i="18"/>
  <c r="N59" i="18"/>
  <c r="N777" i="18" s="1"/>
  <c r="N443" i="7941" s="1"/>
  <c r="O279" i="18"/>
  <c r="N63" i="18"/>
  <c r="E281" i="7945" s="1"/>
  <c r="F281" i="7945" s="1"/>
  <c r="O331" i="18"/>
  <c r="N920" i="18"/>
  <c r="N918" i="18"/>
  <c r="E84" i="7945"/>
  <c r="F84" i="7945" s="1"/>
  <c r="M769" i="18"/>
  <c r="M435" i="7941" s="1"/>
  <c r="N65" i="18"/>
  <c r="E309" i="7945" s="1"/>
  <c r="F309" i="7945" s="1"/>
  <c r="O357" i="18"/>
  <c r="N529" i="18"/>
  <c r="N67" i="7941" s="1"/>
  <c r="N517" i="18"/>
  <c r="N55" i="7941" s="1"/>
  <c r="N508" i="18"/>
  <c r="N46" i="7941" s="1"/>
  <c r="N520" i="18"/>
  <c r="N58" i="7941" s="1"/>
  <c r="N531" i="18"/>
  <c r="N69" i="7941" s="1"/>
  <c r="N515" i="18"/>
  <c r="N53" i="7941" s="1"/>
  <c r="N56" i="18"/>
  <c r="E183" i="7945" s="1"/>
  <c r="F183" i="7945" s="1"/>
  <c r="O240" i="18"/>
  <c r="N530" i="18"/>
  <c r="N68" i="7941" s="1"/>
  <c r="N514" i="18"/>
  <c r="N52" i="7941" s="1"/>
  <c r="N57" i="18"/>
  <c r="E197" i="7945" s="1"/>
  <c r="F197" i="7945" s="1"/>
  <c r="O253" i="18"/>
  <c r="N49" i="18"/>
  <c r="E85" i="7945" s="1"/>
  <c r="F85" i="7945" s="1"/>
  <c r="O149" i="18"/>
  <c r="N67" i="18"/>
  <c r="E337" i="7945" s="1"/>
  <c r="F337" i="7945" s="1"/>
  <c r="O383" i="18"/>
  <c r="K423" i="7941"/>
  <c r="N270" i="18"/>
  <c r="O270" i="18" s="1"/>
  <c r="N58" i="18"/>
  <c r="E211" i="7945" s="1"/>
  <c r="F211" i="7945" s="1"/>
  <c r="O266" i="18"/>
  <c r="N46" i="18"/>
  <c r="N764" i="18" s="1"/>
  <c r="N430" i="7941" s="1"/>
  <c r="O110" i="18"/>
  <c r="N61" i="18"/>
  <c r="E253" i="7945" s="1"/>
  <c r="F253" i="7945" s="1"/>
  <c r="O305" i="18"/>
  <c r="M906" i="18"/>
  <c r="N51" i="18"/>
  <c r="E113" i="7945" s="1"/>
  <c r="F113" i="7945" s="1"/>
  <c r="O175" i="18"/>
  <c r="N509" i="18"/>
  <c r="N47" i="7941" s="1"/>
  <c r="N513" i="18"/>
  <c r="N51" i="7941" s="1"/>
  <c r="N54" i="18"/>
  <c r="E155" i="7945" s="1"/>
  <c r="F155" i="7945" s="1"/>
  <c r="O214" i="18"/>
  <c r="N505" i="18"/>
  <c r="N43" i="7941" s="1"/>
  <c r="N512" i="18"/>
  <c r="N50" i="7941" s="1"/>
  <c r="N527" i="18"/>
  <c r="N65" i="7941" s="1"/>
  <c r="N511" i="18"/>
  <c r="N49" i="7941" s="1"/>
  <c r="N526" i="18"/>
  <c r="N64" i="7941" s="1"/>
  <c r="N510" i="18"/>
  <c r="N48" i="7941" s="1"/>
  <c r="N55" i="18"/>
  <c r="N773" i="18" s="1"/>
  <c r="N439" i="7941" s="1"/>
  <c r="O227" i="18"/>
  <c r="N47" i="18"/>
  <c r="N765" i="18" s="1"/>
  <c r="N431" i="7941" s="1"/>
  <c r="O123" i="18"/>
  <c r="M153" i="18"/>
  <c r="M897" i="18" s="1"/>
  <c r="L669" i="18"/>
  <c r="Q11" i="7944"/>
  <c r="R11" i="7944" s="1"/>
  <c r="P31" i="7944"/>
  <c r="Q31" i="7944" s="1"/>
  <c r="P26" i="7944"/>
  <c r="Q26" i="7944" s="1"/>
  <c r="R26" i="7944" s="1"/>
  <c r="Q29" i="7944"/>
  <c r="R29" i="7944" s="1"/>
  <c r="P142" i="1"/>
  <c r="P4" i="7941"/>
  <c r="Q40" i="1"/>
  <c r="P244" i="1"/>
  <c r="P74" i="1"/>
  <c r="P4" i="7942"/>
  <c r="P210" i="1"/>
  <c r="P108" i="1"/>
  <c r="P4" i="7944"/>
  <c r="P176" i="1"/>
  <c r="P4" i="18"/>
  <c r="P30" i="7944"/>
  <c r="M166" i="18"/>
  <c r="L898" i="18"/>
  <c r="L670" i="18"/>
  <c r="Q344" i="7944"/>
  <c r="K897" i="18"/>
  <c r="K891" i="18" s="1"/>
  <c r="K669" i="18"/>
  <c r="K663" i="18" s="1"/>
  <c r="F8" i="7948" s="1"/>
  <c r="K75" i="18"/>
  <c r="O141" i="18"/>
  <c r="L75" i="18"/>
  <c r="I396" i="7941"/>
  <c r="Q13" i="7944"/>
  <c r="R13" i="7944" s="1"/>
  <c r="I926" i="18"/>
  <c r="I798" i="18"/>
  <c r="I486" i="7941"/>
  <c r="J756" i="18"/>
  <c r="E111" i="7945"/>
  <c r="F111" i="7945" s="1"/>
  <c r="L769" i="18"/>
  <c r="L435" i="7941" s="1"/>
  <c r="J33" i="7941"/>
  <c r="I227" i="7941"/>
  <c r="I815" i="18"/>
  <c r="J705" i="18"/>
  <c r="I552" i="18"/>
  <c r="I808" i="18"/>
  <c r="M762" i="18"/>
  <c r="E14" i="7945"/>
  <c r="F14" i="7945" s="1"/>
  <c r="M43" i="18"/>
  <c r="J421" i="7941"/>
  <c r="I583" i="7941"/>
  <c r="M7" i="7944"/>
  <c r="N7" i="7946"/>
  <c r="N8" i="7944"/>
  <c r="O8" i="7944" s="1"/>
  <c r="P8" i="7944" s="1"/>
  <c r="E223" i="7945"/>
  <c r="F223" i="7945" s="1"/>
  <c r="L777" i="18"/>
  <c r="L443" i="7941" s="1"/>
  <c r="I818" i="18"/>
  <c r="I816" i="18"/>
  <c r="I807" i="18"/>
  <c r="N766" i="18"/>
  <c r="N432" i="7941" s="1"/>
  <c r="E71" i="7945"/>
  <c r="O238" i="1"/>
  <c r="O71" i="18" s="1"/>
  <c r="O234" i="1"/>
  <c r="O230" i="1"/>
  <c r="O213" i="1"/>
  <c r="O215" i="1"/>
  <c r="O48" i="18" s="1"/>
  <c r="O217" i="1"/>
  <c r="O219" i="1"/>
  <c r="O52" i="18" s="1"/>
  <c r="O221" i="1"/>
  <c r="O223" i="1"/>
  <c r="O225" i="1"/>
  <c r="O227" i="1"/>
  <c r="O229" i="1"/>
  <c r="O110" i="1"/>
  <c r="O13" i="18" s="1"/>
  <c r="O111" i="1"/>
  <c r="O14" i="18" s="1"/>
  <c r="O112" i="1"/>
  <c r="O15" i="18" s="1"/>
  <c r="O113" i="1"/>
  <c r="O16" i="18" s="1"/>
  <c r="O114" i="1"/>
  <c r="O17" i="18" s="1"/>
  <c r="O115" i="1"/>
  <c r="O18" i="18" s="1"/>
  <c r="O116" i="1"/>
  <c r="O19" i="18" s="1"/>
  <c r="O117" i="1"/>
  <c r="O20" i="18" s="1"/>
  <c r="O118" i="1"/>
  <c r="O21" i="18" s="1"/>
  <c r="O119" i="1"/>
  <c r="O22" i="18" s="1"/>
  <c r="O120" i="1"/>
  <c r="O23" i="18" s="1"/>
  <c r="O121" i="1"/>
  <c r="O24" i="18" s="1"/>
  <c r="O122" i="1"/>
  <c r="O25" i="18" s="1"/>
  <c r="O123" i="1"/>
  <c r="O26" i="18" s="1"/>
  <c r="O124" i="1"/>
  <c r="O27" i="18" s="1"/>
  <c r="O125" i="1"/>
  <c r="O28" i="18" s="1"/>
  <c r="O126" i="1"/>
  <c r="O29" i="18" s="1"/>
  <c r="O127" i="1"/>
  <c r="O30" i="18" s="1"/>
  <c r="O128" i="1"/>
  <c r="O31" i="18" s="1"/>
  <c r="O129" i="1"/>
  <c r="O32" i="18" s="1"/>
  <c r="O130" i="1"/>
  <c r="O33" i="18" s="1"/>
  <c r="O131" i="1"/>
  <c r="O34" i="18" s="1"/>
  <c r="O132" i="1"/>
  <c r="O35" i="18" s="1"/>
  <c r="O133" i="1"/>
  <c r="O36" i="18" s="1"/>
  <c r="O134" i="1"/>
  <c r="O37" i="18" s="1"/>
  <c r="O135" i="1"/>
  <c r="O38" i="18" s="1"/>
  <c r="O136" i="1"/>
  <c r="O39" i="18" s="1"/>
  <c r="O137" i="1"/>
  <c r="O40" i="18" s="1"/>
  <c r="O138" i="1"/>
  <c r="O41" i="18" s="1"/>
  <c r="O239" i="1"/>
  <c r="O72" i="18" s="1"/>
  <c r="O235" i="1"/>
  <c r="O68" i="18" s="1"/>
  <c r="O231" i="1"/>
  <c r="P246" i="1"/>
  <c r="O212" i="1"/>
  <c r="O45" i="18" s="1"/>
  <c r="O109" i="1"/>
  <c r="O237" i="1"/>
  <c r="O70" i="18" s="1"/>
  <c r="O240" i="1"/>
  <c r="O73" i="18" s="1"/>
  <c r="O233" i="1"/>
  <c r="O66" i="18" s="1"/>
  <c r="O214" i="1"/>
  <c r="O222" i="1"/>
  <c r="O7" i="18"/>
  <c r="O236" i="1"/>
  <c r="O69" i="18" s="1"/>
  <c r="O216" i="1"/>
  <c r="O224" i="1"/>
  <c r="O211" i="1"/>
  <c r="O220" i="1"/>
  <c r="O228" i="1"/>
  <c r="O232" i="1"/>
  <c r="O218" i="1"/>
  <c r="O226" i="1"/>
  <c r="H560" i="7941"/>
  <c r="I398" i="7941"/>
  <c r="I469" i="7941"/>
  <c r="J739" i="18"/>
  <c r="E419" i="7945"/>
  <c r="L791" i="18"/>
  <c r="L457" i="7941" s="1"/>
  <c r="N33" i="7946"/>
  <c r="N34" i="7944"/>
  <c r="O34" i="7944" s="1"/>
  <c r="N18" i="7946"/>
  <c r="N19" i="7944"/>
  <c r="O14" i="7944"/>
  <c r="P14" i="7944" s="1"/>
  <c r="I550" i="18"/>
  <c r="E349" i="7945"/>
  <c r="L786" i="18"/>
  <c r="L452" i="7941" s="1"/>
  <c r="I538" i="18"/>
  <c r="P27" i="7944"/>
  <c r="Q27" i="7944" s="1"/>
  <c r="R27" i="7944" s="1"/>
  <c r="I93" i="7941"/>
  <c r="J491" i="18"/>
  <c r="I558" i="18"/>
  <c r="L766" i="18"/>
  <c r="L432" i="7941" s="1"/>
  <c r="E69" i="7945"/>
  <c r="O227" i="7944"/>
  <c r="P227" i="7944" s="1"/>
  <c r="Q227" i="7944" s="1"/>
  <c r="I806" i="18"/>
  <c r="O97" i="7944"/>
  <c r="P97" i="7944" s="1"/>
  <c r="Q97" i="7944" s="1"/>
  <c r="E405" i="7945"/>
  <c r="L790" i="18"/>
  <c r="L456" i="7941" s="1"/>
  <c r="J795" i="18"/>
  <c r="M11" i="18"/>
  <c r="M502" i="18"/>
  <c r="J721" i="18"/>
  <c r="H578" i="7941"/>
  <c r="I416" i="7941"/>
  <c r="I77" i="7941"/>
  <c r="J475" i="18"/>
  <c r="E251" i="7945"/>
  <c r="F251" i="7945" s="1"/>
  <c r="L779" i="18"/>
  <c r="L445" i="7941" s="1"/>
  <c r="J89" i="7941"/>
  <c r="K487" i="18"/>
  <c r="L783" i="18"/>
  <c r="L449" i="7941" s="1"/>
  <c r="E307" i="7945"/>
  <c r="F307" i="7945" s="1"/>
  <c r="O370" i="7944"/>
  <c r="P370" i="7944" s="1"/>
  <c r="O409" i="7944"/>
  <c r="J15" i="7941"/>
  <c r="I209" i="7941"/>
  <c r="N422" i="7944"/>
  <c r="N34" i="7946"/>
  <c r="N35" i="7944"/>
  <c r="J949" i="18"/>
  <c r="I542" i="18"/>
  <c r="I544" i="18"/>
  <c r="Q383" i="7944"/>
  <c r="P25" i="7944"/>
  <c r="Q25" i="7944" s="1"/>
  <c r="R25" i="7944" s="1"/>
  <c r="L502" i="18"/>
  <c r="L11" i="18"/>
  <c r="I562" i="18"/>
  <c r="N214" i="7944"/>
  <c r="O214" i="7944" s="1"/>
  <c r="I95" i="7941"/>
  <c r="J493" i="18"/>
  <c r="I465" i="7941"/>
  <c r="J735" i="18"/>
  <c r="I478" i="7941"/>
  <c r="J748" i="18"/>
  <c r="I537" i="18"/>
  <c r="O21" i="7944"/>
  <c r="K268" i="7942"/>
  <c r="O188" i="7944"/>
  <c r="P188" i="7944" s="1"/>
  <c r="I696" i="18"/>
  <c r="I469" i="18"/>
  <c r="D5" i="7948" s="1"/>
  <c r="P24" i="7944"/>
  <c r="E13" i="7945"/>
  <c r="F13" i="7945" s="1"/>
  <c r="L762" i="18"/>
  <c r="L43" i="18"/>
  <c r="P28" i="7944"/>
  <c r="Q28" i="7944" s="1"/>
  <c r="R28" i="7944" s="1"/>
  <c r="I817" i="18"/>
  <c r="I805" i="18"/>
  <c r="R22" i="7944"/>
  <c r="E407" i="7945"/>
  <c r="N790" i="18"/>
  <c r="N456" i="7941" s="1"/>
  <c r="N903" i="18"/>
  <c r="N675" i="18"/>
  <c r="N673" i="18"/>
  <c r="N674" i="18"/>
  <c r="N902" i="18"/>
  <c r="N908" i="18"/>
  <c r="N680" i="18"/>
  <c r="N672" i="18"/>
  <c r="N901" i="18"/>
  <c r="N519" i="18"/>
  <c r="N57" i="7941" s="1"/>
  <c r="N518" i="18"/>
  <c r="N56" i="7941" s="1"/>
  <c r="N504" i="18"/>
  <c r="N42" i="7941" s="1"/>
  <c r="N763" i="18"/>
  <c r="N429" i="7941" s="1"/>
  <c r="E29" i="7945"/>
  <c r="F29" i="7945" s="1"/>
  <c r="E379" i="7945"/>
  <c r="N788" i="18"/>
  <c r="N454" i="7941" s="1"/>
  <c r="I545" i="18"/>
  <c r="I101" i="7941"/>
  <c r="J499" i="18"/>
  <c r="N693" i="18"/>
  <c r="O439" i="18"/>
  <c r="M323" i="7942"/>
  <c r="M324" i="7942" s="1"/>
  <c r="I809" i="18"/>
  <c r="K501" i="18"/>
  <c r="F6" i="7948" s="1"/>
  <c r="K40" i="7941"/>
  <c r="K39" i="7941" s="1"/>
  <c r="I540" i="18"/>
  <c r="I548" i="18"/>
  <c r="L789" i="18"/>
  <c r="L455" i="7941" s="1"/>
  <c r="E391" i="7945"/>
  <c r="I797" i="18"/>
  <c r="I698" i="18"/>
  <c r="I470" i="7941"/>
  <c r="J740" i="18"/>
  <c r="Q357" i="7944"/>
  <c r="E139" i="7945"/>
  <c r="F139" i="7945" s="1"/>
  <c r="L771" i="18"/>
  <c r="L437" i="7941" s="1"/>
  <c r="E209" i="7945"/>
  <c r="F209" i="7945" s="1"/>
  <c r="L776" i="18"/>
  <c r="L442" i="7941" s="1"/>
  <c r="E279" i="7945"/>
  <c r="F279" i="7945" s="1"/>
  <c r="L781" i="18"/>
  <c r="L447" i="7941" s="1"/>
  <c r="J17" i="7941"/>
  <c r="I211" i="7941"/>
  <c r="N8" i="7946"/>
  <c r="N9" i="7944"/>
  <c r="O9" i="7944" s="1"/>
  <c r="J697" i="18"/>
  <c r="P110" i="7944"/>
  <c r="Q110" i="7944" s="1"/>
  <c r="O201" i="7944"/>
  <c r="P201" i="7944" s="1"/>
  <c r="O318" i="7944"/>
  <c r="P318" i="7944" s="1"/>
  <c r="Q318" i="7944" s="1"/>
  <c r="I467" i="7941"/>
  <c r="J737" i="18"/>
  <c r="K107" i="7942"/>
  <c r="E265" i="7945"/>
  <c r="F265" i="7945" s="1"/>
  <c r="L780" i="18"/>
  <c r="L446" i="7941" s="1"/>
  <c r="P84" i="7944"/>
  <c r="Q84" i="7944" s="1"/>
  <c r="I554" i="18"/>
  <c r="I802" i="18"/>
  <c r="I729" i="18"/>
  <c r="I924" i="18"/>
  <c r="E97" i="7945"/>
  <c r="F97" i="7945" s="1"/>
  <c r="L768" i="18"/>
  <c r="L434" i="7941" s="1"/>
  <c r="J549" i="18"/>
  <c r="I556" i="18"/>
  <c r="L764" i="18"/>
  <c r="L430" i="7941" s="1"/>
  <c r="E41" i="7945"/>
  <c r="F41" i="7945" s="1"/>
  <c r="J822" i="18"/>
  <c r="E363" i="7945"/>
  <c r="L787" i="18"/>
  <c r="L453" i="7941" s="1"/>
  <c r="N32" i="7946"/>
  <c r="N33" i="7944"/>
  <c r="Q37" i="7944"/>
  <c r="R37" i="7944" s="1"/>
  <c r="E153" i="7945"/>
  <c r="F153" i="7945" s="1"/>
  <c r="L772" i="18"/>
  <c r="L438" i="7941" s="1"/>
  <c r="Q12" i="7944"/>
  <c r="R12" i="7944" s="1"/>
  <c r="I477" i="7941"/>
  <c r="J747" i="18"/>
  <c r="I810" i="18"/>
  <c r="F12" i="7945"/>
  <c r="E127" i="7945"/>
  <c r="N770" i="18"/>
  <c r="N436" i="7941" s="1"/>
  <c r="N787" i="18"/>
  <c r="N453" i="7941" s="1"/>
  <c r="E365" i="7945"/>
  <c r="N139" i="1"/>
  <c r="N12" i="18"/>
  <c r="N789" i="18"/>
  <c r="N455" i="7941" s="1"/>
  <c r="E393" i="7945"/>
  <c r="I10" i="7941"/>
  <c r="H204" i="7941"/>
  <c r="H459" i="7941"/>
  <c r="O423" i="7944"/>
  <c r="O449" i="7944"/>
  <c r="O358" i="7944"/>
  <c r="O89" i="7944"/>
  <c r="O74" i="7944"/>
  <c r="O176" i="7944"/>
  <c r="O241" i="7944"/>
  <c r="O88" i="7944"/>
  <c r="O77" i="7944"/>
  <c r="O72" i="7944"/>
  <c r="O267" i="7944"/>
  <c r="O410" i="7944"/>
  <c r="O397" i="7944"/>
  <c r="O332" i="7944"/>
  <c r="O87" i="7944"/>
  <c r="O163" i="7944"/>
  <c r="O319" i="7944"/>
  <c r="O98" i="7944"/>
  <c r="O93" i="7944"/>
  <c r="O75" i="7944"/>
  <c r="O228" i="7944"/>
  <c r="O202" i="7944"/>
  <c r="O436" i="7944"/>
  <c r="P3" i="7944"/>
  <c r="O371" i="7944"/>
  <c r="O91" i="7944"/>
  <c r="O76" i="7944"/>
  <c r="O293" i="7944"/>
  <c r="O137" i="7944"/>
  <c r="O90" i="7944"/>
  <c r="O78" i="7944"/>
  <c r="O306" i="7944"/>
  <c r="O150" i="7944"/>
  <c r="O111" i="7944"/>
  <c r="O79" i="7944"/>
  <c r="O80" i="7944"/>
  <c r="O345" i="7944"/>
  <c r="O85" i="7944"/>
  <c r="O124" i="7944"/>
  <c r="O92" i="7944"/>
  <c r="O215" i="7944"/>
  <c r="O189" i="7944"/>
  <c r="O384" i="7944"/>
  <c r="O254" i="7944"/>
  <c r="O280" i="7944"/>
  <c r="L132" i="7942"/>
  <c r="M132" i="7942" s="1"/>
  <c r="L116" i="7942"/>
  <c r="L122" i="7942"/>
  <c r="L120" i="7942"/>
  <c r="L309" i="7942"/>
  <c r="L310" i="7942" s="1"/>
  <c r="L142" i="7942"/>
  <c r="L138" i="7942"/>
  <c r="L139" i="7942" s="1"/>
  <c r="L128" i="7942"/>
  <c r="M128" i="7942" s="1"/>
  <c r="L277" i="7942"/>
  <c r="L154" i="7942"/>
  <c r="M154" i="7942" s="1"/>
  <c r="M155" i="7942" s="1"/>
  <c r="L305" i="7942"/>
  <c r="M305" i="7942" s="1"/>
  <c r="L158" i="7942"/>
  <c r="L108" i="7942"/>
  <c r="L109" i="7942" s="1"/>
  <c r="L148" i="7942"/>
  <c r="L297" i="7942"/>
  <c r="L140" i="7942"/>
  <c r="L327" i="7942"/>
  <c r="L283" i="7942"/>
  <c r="L284" i="7942" s="1"/>
  <c r="L317" i="7942"/>
  <c r="L146" i="7942"/>
  <c r="L147" i="7942" s="1"/>
  <c r="L136" i="7942"/>
  <c r="L311" i="7942"/>
  <c r="L315" i="7942"/>
  <c r="L295" i="7942"/>
  <c r="L296" i="7942" s="1"/>
  <c r="L285" i="7942"/>
  <c r="L166" i="7942"/>
  <c r="L287" i="7942"/>
  <c r="L279" i="7942"/>
  <c r="L114" i="7942"/>
  <c r="L289" i="7942"/>
  <c r="L160" i="7942"/>
  <c r="M160" i="7942" s="1"/>
  <c r="L293" i="7942"/>
  <c r="M293" i="7942" s="1"/>
  <c r="L150" i="7942"/>
  <c r="L151" i="7942" s="1"/>
  <c r="L307" i="7942"/>
  <c r="L301" i="7942"/>
  <c r="L144" i="7942"/>
  <c r="L145" i="7942" s="1"/>
  <c r="L275" i="7942"/>
  <c r="L124" i="7942"/>
  <c r="M124" i="7942" s="1"/>
  <c r="L291" i="7942"/>
  <c r="L299" i="7942"/>
  <c r="L162" i="7942"/>
  <c r="L313" i="7942"/>
  <c r="L321" i="7942"/>
  <c r="L322" i="7942" s="1"/>
  <c r="L164" i="7942"/>
  <c r="M164" i="7942" s="1"/>
  <c r="M165" i="7942" s="1"/>
  <c r="L156" i="7942"/>
  <c r="L152" i="7942"/>
  <c r="L303" i="7942"/>
  <c r="L281" i="7942"/>
  <c r="L282" i="7942" s="1"/>
  <c r="L319" i="7942"/>
  <c r="M319" i="7942" s="1"/>
  <c r="L269" i="7942"/>
  <c r="L270" i="7942" s="1"/>
  <c r="L130" i="7942"/>
  <c r="L126" i="7942"/>
  <c r="L271" i="7942"/>
  <c r="L273" i="7942"/>
  <c r="L274" i="7942" s="1"/>
  <c r="L325" i="7942"/>
  <c r="L112" i="7942"/>
  <c r="L134" i="7942"/>
  <c r="L110" i="7942"/>
  <c r="M110" i="7942" s="1"/>
  <c r="L118" i="7942"/>
  <c r="O435" i="7944"/>
  <c r="P435" i="7944" s="1"/>
  <c r="I561" i="18"/>
  <c r="I560" i="18"/>
  <c r="L782" i="18"/>
  <c r="L448" i="7941" s="1"/>
  <c r="E293" i="7945"/>
  <c r="F293" i="7945" s="1"/>
  <c r="E27" i="7945"/>
  <c r="F27" i="7945" s="1"/>
  <c r="L763" i="18"/>
  <c r="L429" i="7941" s="1"/>
  <c r="I813" i="18"/>
  <c r="O422" i="7944"/>
  <c r="P422" i="7944" s="1"/>
  <c r="E125" i="7945"/>
  <c r="L770" i="18"/>
  <c r="L436" i="7941" s="1"/>
  <c r="H71" i="7941"/>
  <c r="I8" i="7941"/>
  <c r="H202" i="7941"/>
  <c r="E237" i="7945"/>
  <c r="F237" i="7945" s="1"/>
  <c r="L778" i="18"/>
  <c r="L444" i="7941" s="1"/>
  <c r="N691" i="18"/>
  <c r="N919" i="18"/>
  <c r="E321" i="7945"/>
  <c r="L784" i="18"/>
  <c r="L450" i="7941" s="1"/>
  <c r="O36" i="7944"/>
  <c r="P36" i="7944" s="1"/>
  <c r="J547" i="18"/>
  <c r="I944" i="18"/>
  <c r="N15" i="7946"/>
  <c r="N16" i="7944"/>
  <c r="I553" i="18"/>
  <c r="E181" i="7945"/>
  <c r="F181" i="7945" s="1"/>
  <c r="L774" i="18"/>
  <c r="L440" i="7941" s="1"/>
  <c r="J703" i="18"/>
  <c r="E377" i="7945"/>
  <c r="L788" i="18"/>
  <c r="L454" i="7941" s="1"/>
  <c r="I800" i="18"/>
  <c r="E83" i="7945"/>
  <c r="F83" i="7945" s="1"/>
  <c r="L767" i="18"/>
  <c r="L433" i="7941" s="1"/>
  <c r="K951" i="18"/>
  <c r="E55" i="7945"/>
  <c r="F55" i="7945" s="1"/>
  <c r="L765" i="18"/>
  <c r="L431" i="7941" s="1"/>
  <c r="I823" i="18"/>
  <c r="E335" i="7945"/>
  <c r="F335" i="7945" s="1"/>
  <c r="L785" i="18"/>
  <c r="L451" i="7941" s="1"/>
  <c r="K761" i="18"/>
  <c r="K428" i="7941"/>
  <c r="K427" i="7941" s="1"/>
  <c r="N786" i="18"/>
  <c r="N452" i="7941" s="1"/>
  <c r="E351" i="7945"/>
  <c r="N791" i="18"/>
  <c r="N457" i="7941" s="1"/>
  <c r="E421" i="7945"/>
  <c r="N44" i="18"/>
  <c r="N241" i="1"/>
  <c r="E323" i="7945"/>
  <c r="N784" i="18"/>
  <c r="N450" i="7941" s="1"/>
  <c r="I546" i="18"/>
  <c r="E167" i="7945"/>
  <c r="F167" i="7945" s="1"/>
  <c r="L773" i="18"/>
  <c r="L439" i="7941" s="1"/>
  <c r="O35" i="7944"/>
  <c r="P35" i="7944" s="1"/>
  <c r="M71" i="7944"/>
  <c r="N909" i="18" l="1"/>
  <c r="N911" i="18"/>
  <c r="P296" i="18"/>
  <c r="Q296" i="18" s="1"/>
  <c r="M680" i="18"/>
  <c r="O244" i="18"/>
  <c r="O676" i="18" s="1"/>
  <c r="Q322" i="18"/>
  <c r="M910" i="18"/>
  <c r="M682" i="18"/>
  <c r="N682" i="18"/>
  <c r="N910" i="18"/>
  <c r="N676" i="18"/>
  <c r="N899" i="18"/>
  <c r="N671" i="18"/>
  <c r="P192" i="18"/>
  <c r="Q192" i="18" s="1"/>
  <c r="O335" i="18"/>
  <c r="P335" i="18" s="1"/>
  <c r="M683" i="18"/>
  <c r="M911" i="18"/>
  <c r="N664" i="18"/>
  <c r="N900" i="18"/>
  <c r="O127" i="18"/>
  <c r="P127" i="18" s="1"/>
  <c r="Q127" i="18" s="1"/>
  <c r="O88" i="18"/>
  <c r="O892" i="18" s="1"/>
  <c r="P17" i="7944"/>
  <c r="Q17" i="7944" s="1"/>
  <c r="R17" i="7944" s="1"/>
  <c r="M892" i="18"/>
  <c r="M912" i="18"/>
  <c r="M664" i="18"/>
  <c r="E225" i="7945"/>
  <c r="F225" i="7945" s="1"/>
  <c r="N912" i="18"/>
  <c r="N684" i="18"/>
  <c r="M684" i="18"/>
  <c r="P348" i="18"/>
  <c r="Q348" i="18" s="1"/>
  <c r="O101" i="18"/>
  <c r="P101" i="18" s="1"/>
  <c r="M893" i="18"/>
  <c r="N914" i="18"/>
  <c r="P270" i="18"/>
  <c r="Q270" i="18" s="1"/>
  <c r="M909" i="18"/>
  <c r="N895" i="18"/>
  <c r="R31" i="7944"/>
  <c r="M681" i="18"/>
  <c r="O309" i="18"/>
  <c r="P309" i="18" s="1"/>
  <c r="N71" i="7944"/>
  <c r="Q448" i="7944"/>
  <c r="O920" i="18"/>
  <c r="Q452" i="18"/>
  <c r="M667" i="18"/>
  <c r="M685" i="18"/>
  <c r="N913" i="18"/>
  <c r="M913" i="18"/>
  <c r="M895" i="18"/>
  <c r="N387" i="18"/>
  <c r="M687" i="18"/>
  <c r="M915" i="18"/>
  <c r="P34" i="7944"/>
  <c r="Q34" i="7944" s="1"/>
  <c r="R34" i="7944" s="1"/>
  <c r="N779" i="18"/>
  <c r="N445" i="7941" s="1"/>
  <c r="P409" i="7944"/>
  <c r="Q409" i="7944" s="1"/>
  <c r="N893" i="18"/>
  <c r="O361" i="18"/>
  <c r="P361" i="18" s="1"/>
  <c r="Q396" i="7944"/>
  <c r="N774" i="18"/>
  <c r="N440" i="7941" s="1"/>
  <c r="N114" i="18"/>
  <c r="M666" i="18"/>
  <c r="M894" i="18"/>
  <c r="M665" i="18"/>
  <c r="M273" i="7942"/>
  <c r="M274" i="7942" s="1"/>
  <c r="N772" i="18"/>
  <c r="N438" i="7941" s="1"/>
  <c r="N686" i="18"/>
  <c r="L891" i="18"/>
  <c r="Q374" i="18"/>
  <c r="M669" i="18"/>
  <c r="N679" i="18"/>
  <c r="N140" i="18"/>
  <c r="M896" i="18"/>
  <c r="M668" i="18"/>
  <c r="M689" i="18"/>
  <c r="M917" i="18"/>
  <c r="N907" i="18"/>
  <c r="O288" i="18"/>
  <c r="O159" i="18"/>
  <c r="O172" i="18"/>
  <c r="O198" i="18"/>
  <c r="O302" i="18"/>
  <c r="O237" i="18"/>
  <c r="O341" i="18"/>
  <c r="O250" i="18"/>
  <c r="O325" i="18"/>
  <c r="O234" i="18"/>
  <c r="O221" i="18"/>
  <c r="O274" i="18"/>
  <c r="O196" i="18"/>
  <c r="O170" i="18"/>
  <c r="O261" i="18"/>
  <c r="O286" i="18"/>
  <c r="O249" i="18"/>
  <c r="O351" i="18"/>
  <c r="O236" i="18"/>
  <c r="O275" i="18"/>
  <c r="O315" i="18"/>
  <c r="O314" i="18"/>
  <c r="O313" i="18"/>
  <c r="O287" i="18"/>
  <c r="O251" i="18"/>
  <c r="O108" i="18"/>
  <c r="O225" i="18"/>
  <c r="O239" i="18"/>
  <c r="O109" i="18"/>
  <c r="O265" i="18"/>
  <c r="O199" i="18"/>
  <c r="O147" i="18"/>
  <c r="O362" i="18"/>
  <c r="O297" i="18"/>
  <c r="O94" i="18"/>
  <c r="O102" i="18"/>
  <c r="O79" i="18"/>
  <c r="O219" i="18"/>
  <c r="O323" i="18"/>
  <c r="O375" i="18"/>
  <c r="O336" i="18"/>
  <c r="O128" i="18"/>
  <c r="O97" i="18"/>
  <c r="O353" i="18"/>
  <c r="O276" i="18"/>
  <c r="O260" i="18"/>
  <c r="O338" i="18"/>
  <c r="O169" i="18"/>
  <c r="O105" i="18"/>
  <c r="O339" i="18"/>
  <c r="O248" i="18"/>
  <c r="O118" i="18"/>
  <c r="O223" i="18"/>
  <c r="O340" i="18"/>
  <c r="O210" i="18"/>
  <c r="O262" i="18"/>
  <c r="O157" i="18"/>
  <c r="O263" i="18"/>
  <c r="O328" i="18"/>
  <c r="O211" i="18"/>
  <c r="O342" i="18"/>
  <c r="O160" i="18"/>
  <c r="O174" i="18"/>
  <c r="O381" i="18"/>
  <c r="O303" i="18"/>
  <c r="O356" i="18"/>
  <c r="O258" i="18"/>
  <c r="O193" i="18"/>
  <c r="O440" i="18"/>
  <c r="O349" i="18"/>
  <c r="O82" i="18"/>
  <c r="O91" i="18"/>
  <c r="O115" i="18"/>
  <c r="O401" i="18"/>
  <c r="O271" i="18"/>
  <c r="O92" i="18"/>
  <c r="O167" i="18"/>
  <c r="O179" i="18" s="1"/>
  <c r="O107" i="18"/>
  <c r="O289" i="18"/>
  <c r="O247" i="18"/>
  <c r="O252" i="18"/>
  <c r="O377" i="18"/>
  <c r="O378" i="18"/>
  <c r="O222" i="18"/>
  <c r="O209" i="18"/>
  <c r="O326" i="18"/>
  <c r="O158" i="18"/>
  <c r="O106" i="18"/>
  <c r="O327" i="18"/>
  <c r="O119" i="18"/>
  <c r="O171" i="18"/>
  <c r="O144" i="18"/>
  <c r="O380" i="18"/>
  <c r="O329" i="18"/>
  <c r="O173" i="18"/>
  <c r="O304" i="18"/>
  <c r="O200" i="18"/>
  <c r="O148" i="18"/>
  <c r="O291" i="18"/>
  <c r="O330" i="18"/>
  <c r="O290" i="18"/>
  <c r="O343" i="18"/>
  <c r="O213" i="18"/>
  <c r="O161" i="18"/>
  <c r="O382" i="18"/>
  <c r="O277" i="18"/>
  <c r="O238" i="18"/>
  <c r="O154" i="18"/>
  <c r="P3" i="18"/>
  <c r="O310" i="18"/>
  <c r="O245" i="18"/>
  <c r="O284" i="18"/>
  <c r="O414" i="18"/>
  <c r="O80" i="18"/>
  <c r="O78" i="18"/>
  <c r="O93" i="18"/>
  <c r="O96" i="18"/>
  <c r="O352" i="18"/>
  <c r="O145" i="18"/>
  <c r="O104" i="18"/>
  <c r="O208" i="18"/>
  <c r="O117" i="18"/>
  <c r="O195" i="18"/>
  <c r="O300" i="18"/>
  <c r="O299" i="18"/>
  <c r="O273" i="18"/>
  <c r="O235" i="18"/>
  <c r="O312" i="18"/>
  <c r="O197" i="18"/>
  <c r="O379" i="18"/>
  <c r="O301" i="18"/>
  <c r="O354" i="18"/>
  <c r="O143" i="18"/>
  <c r="O224" i="18"/>
  <c r="O120" i="18"/>
  <c r="O355" i="18"/>
  <c r="O212" i="18"/>
  <c r="O264" i="18"/>
  <c r="O316" i="18"/>
  <c r="O121" i="18"/>
  <c r="O146" i="18"/>
  <c r="O278" i="18"/>
  <c r="O122" i="18"/>
  <c r="O317" i="18"/>
  <c r="O226" i="18"/>
  <c r="O388" i="18"/>
  <c r="O427" i="18"/>
  <c r="O95" i="18"/>
  <c r="O206" i="18"/>
  <c r="O81" i="18"/>
  <c r="O453" i="18"/>
  <c r="O180" i="18"/>
  <c r="O76" i="18"/>
  <c r="O83" i="18"/>
  <c r="O89" i="18"/>
  <c r="O232" i="18"/>
  <c r="O156" i="18"/>
  <c r="N400" i="18"/>
  <c r="M688" i="18"/>
  <c r="M916" i="18"/>
  <c r="N413" i="18"/>
  <c r="N775" i="18"/>
  <c r="N441" i="7941" s="1"/>
  <c r="N783" i="18"/>
  <c r="N449" i="7941" s="1"/>
  <c r="N767" i="18"/>
  <c r="N433" i="7941" s="1"/>
  <c r="N769" i="18"/>
  <c r="N435" i="7941" s="1"/>
  <c r="N785" i="18"/>
  <c r="N451" i="7941" s="1"/>
  <c r="N781" i="18"/>
  <c r="N447" i="7941" s="1"/>
  <c r="N778" i="18"/>
  <c r="N444" i="7941" s="1"/>
  <c r="E267" i="7945"/>
  <c r="F267" i="7945" s="1"/>
  <c r="N768" i="18"/>
  <c r="N434" i="7941" s="1"/>
  <c r="O257" i="18"/>
  <c r="O677" i="18" s="1"/>
  <c r="N905" i="18"/>
  <c r="N776" i="18"/>
  <c r="N442" i="7941" s="1"/>
  <c r="N677" i="18"/>
  <c r="O921" i="18"/>
  <c r="E43" i="7945"/>
  <c r="F43" i="7945" s="1"/>
  <c r="N153" i="18"/>
  <c r="N669" i="18" s="1"/>
  <c r="O904" i="18"/>
  <c r="E141" i="7945"/>
  <c r="F141" i="7945" s="1"/>
  <c r="E295" i="7945"/>
  <c r="F295" i="7945" s="1"/>
  <c r="N906" i="18"/>
  <c r="N678" i="18"/>
  <c r="E169" i="7945"/>
  <c r="F169" i="7945" s="1"/>
  <c r="E57" i="7945"/>
  <c r="F57" i="7945" s="1"/>
  <c r="O153" i="18"/>
  <c r="P153" i="18" s="1"/>
  <c r="Q153" i="18" s="1"/>
  <c r="L663" i="18"/>
  <c r="G8" i="7948" s="1"/>
  <c r="O53" i="18"/>
  <c r="O771" i="18" s="1"/>
  <c r="O437" i="7941" s="1"/>
  <c r="P202" i="18"/>
  <c r="O51" i="18"/>
  <c r="E114" i="7945" s="1"/>
  <c r="F114" i="7945" s="1"/>
  <c r="P176" i="18"/>
  <c r="O56" i="18"/>
  <c r="O774" i="18" s="1"/>
  <c r="O440" i="7941" s="1"/>
  <c r="O692" i="18"/>
  <c r="M281" i="7942"/>
  <c r="M282" i="7942" s="1"/>
  <c r="O693" i="18"/>
  <c r="O65" i="18"/>
  <c r="O783" i="18" s="1"/>
  <c r="O449" i="7941" s="1"/>
  <c r="O57" i="18"/>
  <c r="E198" i="7945" s="1"/>
  <c r="F198" i="7945" s="1"/>
  <c r="O55" i="18"/>
  <c r="O773" i="18" s="1"/>
  <c r="O439" i="7941" s="1"/>
  <c r="O64" i="18"/>
  <c r="O782" i="18" s="1"/>
  <c r="O448" i="7941" s="1"/>
  <c r="O530" i="18"/>
  <c r="O68" i="7941" s="1"/>
  <c r="O526" i="18"/>
  <c r="O64" i="7941" s="1"/>
  <c r="O522" i="18"/>
  <c r="O60" i="7941" s="1"/>
  <c r="O518" i="18"/>
  <c r="O56" i="7941" s="1"/>
  <c r="O514" i="18"/>
  <c r="O52" i="7941" s="1"/>
  <c r="O510" i="18"/>
  <c r="O48" i="7941" s="1"/>
  <c r="O506" i="18"/>
  <c r="O44" i="7941" s="1"/>
  <c r="O62" i="18"/>
  <c r="O780" i="18" s="1"/>
  <c r="O446" i="7941" s="1"/>
  <c r="O54" i="18"/>
  <c r="O772" i="18" s="1"/>
  <c r="O438" i="7941" s="1"/>
  <c r="O46" i="18"/>
  <c r="O764" i="18" s="1"/>
  <c r="O430" i="7941" s="1"/>
  <c r="P111" i="18"/>
  <c r="O59" i="18"/>
  <c r="E226" i="7945" s="1"/>
  <c r="F226" i="7945" s="1"/>
  <c r="O58" i="18"/>
  <c r="O776" i="18" s="1"/>
  <c r="O442" i="7941" s="1"/>
  <c r="P267" i="18"/>
  <c r="O50" i="18"/>
  <c r="E100" i="7945" s="1"/>
  <c r="F100" i="7945" s="1"/>
  <c r="O67" i="18"/>
  <c r="E338" i="7945" s="1"/>
  <c r="F338" i="7945" s="1"/>
  <c r="N319" i="7942"/>
  <c r="N320" i="7942" s="1"/>
  <c r="O61" i="18"/>
  <c r="E254" i="7945" s="1"/>
  <c r="F254" i="7945" s="1"/>
  <c r="O49" i="18"/>
  <c r="O767" i="18" s="1"/>
  <c r="O433" i="7941" s="1"/>
  <c r="P150" i="18"/>
  <c r="O47" i="18"/>
  <c r="O765" i="18" s="1"/>
  <c r="O431" i="7941" s="1"/>
  <c r="O529" i="18"/>
  <c r="O67" i="7941" s="1"/>
  <c r="O525" i="18"/>
  <c r="O63" i="7941" s="1"/>
  <c r="O521" i="18"/>
  <c r="O59" i="7941" s="1"/>
  <c r="O517" i="18"/>
  <c r="O55" i="7941" s="1"/>
  <c r="O513" i="18"/>
  <c r="O51" i="7941" s="1"/>
  <c r="O60" i="18"/>
  <c r="O778" i="18" s="1"/>
  <c r="O444" i="7941" s="1"/>
  <c r="P293" i="18"/>
  <c r="O63" i="18"/>
  <c r="E282" i="7945" s="1"/>
  <c r="F282" i="7945" s="1"/>
  <c r="P332" i="18"/>
  <c r="Q4" i="7944"/>
  <c r="R4" i="7944" s="1"/>
  <c r="Q4" i="18"/>
  <c r="R4" i="18" s="1"/>
  <c r="Q244" i="1"/>
  <c r="Q74" i="1"/>
  <c r="Q142" i="1"/>
  <c r="Q176" i="1"/>
  <c r="Q210" i="1"/>
  <c r="Q4" i="7941"/>
  <c r="Q4" i="7942"/>
  <c r="Q108" i="1"/>
  <c r="L129" i="7942"/>
  <c r="M898" i="18"/>
  <c r="M670" i="18"/>
  <c r="Q370" i="7944"/>
  <c r="O71" i="7944"/>
  <c r="N166" i="18"/>
  <c r="M75" i="18"/>
  <c r="P9" i="7944"/>
  <c r="Q9" i="7944" s="1"/>
  <c r="R9" i="7944" s="1"/>
  <c r="Q30" i="7944"/>
  <c r="R30" i="7944" s="1"/>
  <c r="Q36" i="7944"/>
  <c r="R36" i="7944" s="1"/>
  <c r="N128" i="7942"/>
  <c r="N129" i="7942" s="1"/>
  <c r="M129" i="7942"/>
  <c r="P214" i="7944"/>
  <c r="Q214" i="7944" s="1"/>
  <c r="Q422" i="7944"/>
  <c r="I84" i="7941"/>
  <c r="J482" i="18"/>
  <c r="I99" i="7941"/>
  <c r="J497" i="18"/>
  <c r="M271" i="7942"/>
  <c r="M272" i="7942" s="1"/>
  <c r="L272" i="7942"/>
  <c r="M162" i="7942"/>
  <c r="L163" i="7942"/>
  <c r="M277" i="7942"/>
  <c r="N277" i="7942" s="1"/>
  <c r="O277" i="7942" s="1"/>
  <c r="L278" i="7942"/>
  <c r="J488" i="7941"/>
  <c r="K758" i="18"/>
  <c r="I463" i="7941"/>
  <c r="J733" i="18"/>
  <c r="O919" i="18"/>
  <c r="O691" i="18"/>
  <c r="J942" i="18"/>
  <c r="M327" i="7942"/>
  <c r="K713" i="18"/>
  <c r="I223" i="7941"/>
  <c r="J29" i="7941"/>
  <c r="J405" i="7941"/>
  <c r="I567" i="7941"/>
  <c r="E380" i="7945"/>
  <c r="O788" i="18"/>
  <c r="O454" i="7941" s="1"/>
  <c r="I473" i="7941"/>
  <c r="J743" i="18"/>
  <c r="N37" i="7946"/>
  <c r="I584" i="7941"/>
  <c r="J422" i="7941"/>
  <c r="Q188" i="7944"/>
  <c r="N160" i="7942"/>
  <c r="N161" i="7942" s="1"/>
  <c r="P439" i="18"/>
  <c r="M287" i="7942"/>
  <c r="N287" i="7942" s="1"/>
  <c r="O16" i="7944"/>
  <c r="K821" i="18"/>
  <c r="I466" i="7941"/>
  <c r="J736" i="18"/>
  <c r="I91" i="7941"/>
  <c r="J489" i="18"/>
  <c r="M138" i="7942"/>
  <c r="N138" i="7942" s="1"/>
  <c r="O138" i="7942" s="1"/>
  <c r="M275" i="7942"/>
  <c r="M276" i="7942" s="1"/>
  <c r="I479" i="7941"/>
  <c r="J749" i="18"/>
  <c r="L155" i="7942"/>
  <c r="M112" i="7942"/>
  <c r="N112" i="7942" s="1"/>
  <c r="L113" i="7942"/>
  <c r="L127" i="7942"/>
  <c r="M126" i="7942"/>
  <c r="L300" i="7942"/>
  <c r="M299" i="7942"/>
  <c r="L280" i="7942"/>
  <c r="M295" i="7942"/>
  <c r="M296" i="7942" s="1"/>
  <c r="M140" i="7942"/>
  <c r="N140" i="7942" s="1"/>
  <c r="N141" i="7942" s="1"/>
  <c r="L141" i="7942"/>
  <c r="L159" i="7942"/>
  <c r="M158" i="7942"/>
  <c r="N158" i="7942" s="1"/>
  <c r="O158" i="7942" s="1"/>
  <c r="L121" i="7942"/>
  <c r="M120" i="7942"/>
  <c r="M121" i="7942" s="1"/>
  <c r="N293" i="7942"/>
  <c r="N294" i="7942" s="1"/>
  <c r="L111" i="7942"/>
  <c r="L288" i="7942"/>
  <c r="O33" i="7944"/>
  <c r="I468" i="7941"/>
  <c r="J738" i="18"/>
  <c r="I565" i="7941"/>
  <c r="J403" i="7941"/>
  <c r="I86" i="7941"/>
  <c r="J484" i="18"/>
  <c r="M311" i="7942"/>
  <c r="N311" i="7942" s="1"/>
  <c r="N323" i="7942"/>
  <c r="N324" i="7942" s="1"/>
  <c r="I231" i="7941"/>
  <c r="J37" i="7941"/>
  <c r="Q35" i="7944"/>
  <c r="R35" i="7944" s="1"/>
  <c r="I471" i="7941"/>
  <c r="J741" i="18"/>
  <c r="L428" i="7941"/>
  <c r="L427" i="7941" s="1"/>
  <c r="L761" i="18"/>
  <c r="I75" i="7941"/>
  <c r="J473" i="18"/>
  <c r="J414" i="7941"/>
  <c r="I576" i="7941"/>
  <c r="J719" i="18"/>
  <c r="L40" i="7941"/>
  <c r="L39" i="7941" s="1"/>
  <c r="L501" i="18"/>
  <c r="G6" i="7948" s="1"/>
  <c r="H557" i="7941"/>
  <c r="M315" i="7942"/>
  <c r="K25" i="7941"/>
  <c r="J219" i="7941"/>
  <c r="M40" i="7941"/>
  <c r="M39" i="7941" s="1"/>
  <c r="M501" i="18"/>
  <c r="J461" i="7941"/>
  <c r="K731" i="18"/>
  <c r="O664" i="18"/>
  <c r="I96" i="7941"/>
  <c r="J494" i="18"/>
  <c r="I88" i="7941"/>
  <c r="J486" i="18"/>
  <c r="Q14" i="7944"/>
  <c r="R14" i="7944" s="1"/>
  <c r="M294" i="7942"/>
  <c r="O139" i="1"/>
  <c r="O12" i="18"/>
  <c r="O786" i="18"/>
  <c r="O452" i="7941" s="1"/>
  <c r="E352" i="7945"/>
  <c r="O509" i="18"/>
  <c r="O47" i="7941" s="1"/>
  <c r="O505" i="18"/>
  <c r="O43" i="7941" s="1"/>
  <c r="O770" i="18"/>
  <c r="O436" i="7941" s="1"/>
  <c r="E128" i="7945"/>
  <c r="I484" i="7941"/>
  <c r="J754" i="18"/>
  <c r="Q8" i="7944"/>
  <c r="R8" i="7944" s="1"/>
  <c r="I474" i="7941"/>
  <c r="J744" i="18"/>
  <c r="I90" i="7941"/>
  <c r="J488" i="18"/>
  <c r="I796" i="18"/>
  <c r="M279" i="7942"/>
  <c r="N279" i="7942" s="1"/>
  <c r="P88" i="18"/>
  <c r="Q88" i="18" s="1"/>
  <c r="M136" i="7942"/>
  <c r="M137" i="7942" s="1"/>
  <c r="L107" i="7942"/>
  <c r="L168" i="7942" s="1"/>
  <c r="G11" i="7948" s="1"/>
  <c r="M108" i="7942"/>
  <c r="M109" i="7942" s="1"/>
  <c r="N132" i="7942"/>
  <c r="O132" i="7942" s="1"/>
  <c r="O133" i="7942" s="1"/>
  <c r="M133" i="7942"/>
  <c r="L133" i="7942"/>
  <c r="J413" i="7941"/>
  <c r="I575" i="7941"/>
  <c r="M309" i="7942"/>
  <c r="M310" i="7942" s="1"/>
  <c r="I475" i="7941"/>
  <c r="J745" i="18"/>
  <c r="N762" i="18"/>
  <c r="N43" i="18"/>
  <c r="E15" i="7945"/>
  <c r="J541" i="18"/>
  <c r="I814" i="18"/>
  <c r="J85" i="7941"/>
  <c r="K483" i="18"/>
  <c r="H201" i="7941"/>
  <c r="M118" i="7942"/>
  <c r="M119" i="7942" s="1"/>
  <c r="L119" i="7942"/>
  <c r="M325" i="7942"/>
  <c r="N325" i="7942" s="1"/>
  <c r="M130" i="7942"/>
  <c r="N130" i="7942" s="1"/>
  <c r="L131" i="7942"/>
  <c r="L304" i="7942"/>
  <c r="M303" i="7942"/>
  <c r="L292" i="7942"/>
  <c r="M291" i="7942"/>
  <c r="M292" i="7942" s="1"/>
  <c r="L302" i="7942"/>
  <c r="M301" i="7942"/>
  <c r="N301" i="7942" s="1"/>
  <c r="M161" i="7942"/>
  <c r="L318" i="7942"/>
  <c r="M317" i="7942"/>
  <c r="L298" i="7942"/>
  <c r="L306" i="7942"/>
  <c r="M306" i="7942"/>
  <c r="N305" i="7942"/>
  <c r="N306" i="7942" s="1"/>
  <c r="M122" i="7942"/>
  <c r="L123" i="7942"/>
  <c r="I92" i="7941"/>
  <c r="J490" i="18"/>
  <c r="L115" i="7942"/>
  <c r="J934" i="18"/>
  <c r="L165" i="7942"/>
  <c r="L320" i="7942"/>
  <c r="M321" i="7942"/>
  <c r="N321" i="7942" s="1"/>
  <c r="O321" i="7942" s="1"/>
  <c r="I83" i="7941"/>
  <c r="J481" i="18"/>
  <c r="M146" i="7942"/>
  <c r="N146" i="7942" s="1"/>
  <c r="I695" i="18"/>
  <c r="D7" i="7948" s="1"/>
  <c r="D9" i="7948" s="1"/>
  <c r="I534" i="18"/>
  <c r="J929" i="18"/>
  <c r="J31" i="7941"/>
  <c r="I225" i="7941"/>
  <c r="I82" i="7941"/>
  <c r="J480" i="18"/>
  <c r="I80" i="7941"/>
  <c r="J478" i="18"/>
  <c r="L137" i="7942"/>
  <c r="J701" i="18"/>
  <c r="M114" i="7942"/>
  <c r="I472" i="7941"/>
  <c r="J742" i="18"/>
  <c r="O19" i="7944"/>
  <c r="I395" i="7941"/>
  <c r="M307" i="7942"/>
  <c r="M308" i="7942" s="1"/>
  <c r="E366" i="7945"/>
  <c r="O787" i="18"/>
  <c r="O453" i="7941" s="1"/>
  <c r="O784" i="18"/>
  <c r="O450" i="7941" s="1"/>
  <c r="E324" i="7945"/>
  <c r="E30" i="7945"/>
  <c r="O763" i="18"/>
  <c r="O429" i="7941" s="1"/>
  <c r="E408" i="7945"/>
  <c r="O790" i="18"/>
  <c r="O456" i="7941" s="1"/>
  <c r="O528" i="18"/>
  <c r="O66" i="7941" s="1"/>
  <c r="O524" i="18"/>
  <c r="O62" i="7941" s="1"/>
  <c r="O520" i="18"/>
  <c r="O58" i="7941" s="1"/>
  <c r="O516" i="18"/>
  <c r="O54" i="7941" s="1"/>
  <c r="O512" i="18"/>
  <c r="O50" i="7941" s="1"/>
  <c r="O508" i="18"/>
  <c r="O46" i="7941" s="1"/>
  <c r="O504" i="18"/>
  <c r="O42" i="7941" s="1"/>
  <c r="Q435" i="7944"/>
  <c r="Q24" i="7944"/>
  <c r="R24" i="7944" s="1"/>
  <c r="L326" i="7942"/>
  <c r="I489" i="7941"/>
  <c r="J759" i="18"/>
  <c r="M134" i="7942"/>
  <c r="L135" i="7942"/>
  <c r="M156" i="7942"/>
  <c r="M157" i="7942" s="1"/>
  <c r="L157" i="7942"/>
  <c r="L286" i="7942"/>
  <c r="M285" i="7942"/>
  <c r="M286" i="7942" s="1"/>
  <c r="I923" i="18"/>
  <c r="I794" i="18"/>
  <c r="J931" i="18"/>
  <c r="I78" i="7941"/>
  <c r="J476" i="18"/>
  <c r="J725" i="18"/>
  <c r="M150" i="7942"/>
  <c r="M151" i="7942" s="1"/>
  <c r="M320" i="7942"/>
  <c r="I7" i="7941"/>
  <c r="I98" i="7941"/>
  <c r="J496" i="18"/>
  <c r="N110" i="7942"/>
  <c r="N111" i="7942" s="1"/>
  <c r="M111" i="7942"/>
  <c r="L268" i="7942"/>
  <c r="M269" i="7942"/>
  <c r="M152" i="7942"/>
  <c r="N152" i="7942" s="1"/>
  <c r="L153" i="7942"/>
  <c r="L314" i="7942"/>
  <c r="M313" i="7942"/>
  <c r="N313" i="7942" s="1"/>
  <c r="L125" i="7942"/>
  <c r="N124" i="7942"/>
  <c r="O124" i="7942" s="1"/>
  <c r="O125" i="7942" s="1"/>
  <c r="M125" i="7942"/>
  <c r="L290" i="7942"/>
  <c r="M289" i="7942"/>
  <c r="M290" i="7942" s="1"/>
  <c r="M166" i="7942"/>
  <c r="L167" i="7942"/>
  <c r="M283" i="7942"/>
  <c r="L149" i="7942"/>
  <c r="M148" i="7942"/>
  <c r="M149" i="7942" s="1"/>
  <c r="N154" i="7942"/>
  <c r="O154" i="7942" s="1"/>
  <c r="P154" i="7942" s="1"/>
  <c r="L143" i="7942"/>
  <c r="M142" i="7942"/>
  <c r="M116" i="7942"/>
  <c r="N116" i="7942" s="1"/>
  <c r="P449" i="7944"/>
  <c r="P358" i="7944"/>
  <c r="P345" i="7944"/>
  <c r="P90" i="7944"/>
  <c r="P78" i="7944"/>
  <c r="P150" i="7944"/>
  <c r="P202" i="7944"/>
  <c r="P92" i="7944"/>
  <c r="P80" i="7944"/>
  <c r="P280" i="7944"/>
  <c r="P98" i="7944"/>
  <c r="P72" i="7944"/>
  <c r="P397" i="7944"/>
  <c r="P436" i="7944"/>
  <c r="P332" i="7944"/>
  <c r="P88" i="7944"/>
  <c r="P77" i="7944"/>
  <c r="P228" i="7944"/>
  <c r="P176" i="7944"/>
  <c r="P91" i="7944"/>
  <c r="P79" i="7944"/>
  <c r="P124" i="7944"/>
  <c r="P267" i="7944"/>
  <c r="P241" i="7944"/>
  <c r="P371" i="7944"/>
  <c r="P410" i="7944"/>
  <c r="P93" i="7944"/>
  <c r="P81" i="7944"/>
  <c r="P306" i="7944"/>
  <c r="P319" i="7944"/>
  <c r="P215" i="7944"/>
  <c r="P87" i="7944"/>
  <c r="P74" i="7944"/>
  <c r="P111" i="7944"/>
  <c r="P293" i="7944"/>
  <c r="P423" i="7944"/>
  <c r="P163" i="7944"/>
  <c r="P85" i="7944"/>
  <c r="Q3" i="7944"/>
  <c r="P189" i="7944"/>
  <c r="P254" i="7944"/>
  <c r="P384" i="7944"/>
  <c r="P75" i="7944"/>
  <c r="P76" i="7944"/>
  <c r="P137" i="7944"/>
  <c r="P94" i="7944"/>
  <c r="P89" i="7944"/>
  <c r="Q465" i="18"/>
  <c r="N11" i="18"/>
  <c r="N502" i="18"/>
  <c r="I476" i="7941"/>
  <c r="J746" i="18"/>
  <c r="J941" i="18"/>
  <c r="I94" i="7941"/>
  <c r="J492" i="18"/>
  <c r="J87" i="7941"/>
  <c r="K485" i="18"/>
  <c r="J535" i="18"/>
  <c r="M144" i="7942"/>
  <c r="N144" i="7942" s="1"/>
  <c r="L276" i="7942"/>
  <c r="I568" i="7941"/>
  <c r="J406" i="7941"/>
  <c r="I536" i="18"/>
  <c r="M297" i="7942"/>
  <c r="I483" i="7941"/>
  <c r="J753" i="18"/>
  <c r="P21" i="7944"/>
  <c r="Q21" i="7944" s="1"/>
  <c r="J401" i="7941"/>
  <c r="I563" i="7941"/>
  <c r="I100" i="7941"/>
  <c r="J498" i="18"/>
  <c r="N164" i="7942"/>
  <c r="J819" i="18"/>
  <c r="L294" i="7942"/>
  <c r="L316" i="7942"/>
  <c r="Q201" i="7944"/>
  <c r="L161" i="7942"/>
  <c r="L117" i="7942"/>
  <c r="L312" i="7942"/>
  <c r="I207" i="7941"/>
  <c r="J13" i="7941"/>
  <c r="J559" i="18"/>
  <c r="J717" i="18"/>
  <c r="I76" i="7941"/>
  <c r="J474" i="18"/>
  <c r="L308" i="7942"/>
  <c r="J933" i="18"/>
  <c r="O241" i="1"/>
  <c r="O44" i="18"/>
  <c r="O910" i="18"/>
  <c r="O675" i="18"/>
  <c r="O678" i="18"/>
  <c r="O680" i="18"/>
  <c r="O912" i="18"/>
  <c r="O682" i="18"/>
  <c r="O903" i="18"/>
  <c r="O911" i="18"/>
  <c r="O908" i="18"/>
  <c r="O906" i="18"/>
  <c r="O684" i="18"/>
  <c r="O683" i="18"/>
  <c r="O690" i="18"/>
  <c r="O686" i="18"/>
  <c r="O673" i="18"/>
  <c r="O918" i="18"/>
  <c r="O914" i="18"/>
  <c r="O901" i="18"/>
  <c r="O672" i="18"/>
  <c r="O674" i="18"/>
  <c r="O902" i="18"/>
  <c r="O907" i="18"/>
  <c r="O900" i="18"/>
  <c r="O909" i="18"/>
  <c r="O679" i="18"/>
  <c r="O791" i="18"/>
  <c r="O457" i="7941" s="1"/>
  <c r="E422" i="7945"/>
  <c r="P239" i="1"/>
  <c r="P72" i="18" s="1"/>
  <c r="P235" i="1"/>
  <c r="P68" i="18" s="1"/>
  <c r="P231" i="1"/>
  <c r="P236" i="1"/>
  <c r="P69" i="18" s="1"/>
  <c r="P232" i="1"/>
  <c r="P7" i="18"/>
  <c r="P693" i="18" s="1"/>
  <c r="P240" i="1"/>
  <c r="P73" i="18" s="1"/>
  <c r="P237" i="1"/>
  <c r="P70" i="18" s="1"/>
  <c r="P230" i="1"/>
  <c r="P213" i="1"/>
  <c r="P216" i="1"/>
  <c r="P221" i="1"/>
  <c r="P224" i="1"/>
  <c r="P229" i="1"/>
  <c r="P112" i="1"/>
  <c r="P15" i="18" s="1"/>
  <c r="P116" i="1"/>
  <c r="P19" i="18" s="1"/>
  <c r="P120" i="1"/>
  <c r="P23" i="18" s="1"/>
  <c r="P124" i="1"/>
  <c r="P27" i="18" s="1"/>
  <c r="P517" i="18" s="1"/>
  <c r="P55" i="7941" s="1"/>
  <c r="P128" i="1"/>
  <c r="P31" i="18" s="1"/>
  <c r="P132" i="1"/>
  <c r="P35" i="18" s="1"/>
  <c r="P136" i="1"/>
  <c r="P39" i="18" s="1"/>
  <c r="Q246" i="1"/>
  <c r="P238" i="1"/>
  <c r="P71" i="18" s="1"/>
  <c r="P211" i="1"/>
  <c r="P217" i="1"/>
  <c r="P220" i="1"/>
  <c r="P225" i="1"/>
  <c r="P228" i="1"/>
  <c r="P110" i="1"/>
  <c r="P13" i="18" s="1"/>
  <c r="P114" i="1"/>
  <c r="P17" i="18" s="1"/>
  <c r="P507" i="18" s="1"/>
  <c r="P45" i="7941" s="1"/>
  <c r="P118" i="1"/>
  <c r="P21" i="18" s="1"/>
  <c r="P122" i="1"/>
  <c r="P25" i="18" s="1"/>
  <c r="P126" i="1"/>
  <c r="P29" i="18" s="1"/>
  <c r="P130" i="1"/>
  <c r="P33" i="18" s="1"/>
  <c r="P523" i="18" s="1"/>
  <c r="P61" i="7941" s="1"/>
  <c r="P134" i="1"/>
  <c r="P37" i="18" s="1"/>
  <c r="P138" i="1"/>
  <c r="P41" i="18" s="1"/>
  <c r="P222" i="1"/>
  <c r="P227" i="1"/>
  <c r="P111" i="1"/>
  <c r="P14" i="18" s="1"/>
  <c r="P119" i="1"/>
  <c r="P22" i="18" s="1"/>
  <c r="P127" i="1"/>
  <c r="P30" i="18" s="1"/>
  <c r="P135" i="1"/>
  <c r="P38" i="18" s="1"/>
  <c r="P528" i="18" s="1"/>
  <c r="P66" i="7941" s="1"/>
  <c r="P212" i="1"/>
  <c r="P45" i="18" s="1"/>
  <c r="P218" i="1"/>
  <c r="P223" i="1"/>
  <c r="P117" i="1"/>
  <c r="P20" i="18" s="1"/>
  <c r="P510" i="18" s="1"/>
  <c r="P48" i="7941" s="1"/>
  <c r="P125" i="1"/>
  <c r="P28" i="18" s="1"/>
  <c r="P133" i="1"/>
  <c r="P36" i="18" s="1"/>
  <c r="P233" i="1"/>
  <c r="P66" i="18" s="1"/>
  <c r="P215" i="1"/>
  <c r="P48" i="18" s="1"/>
  <c r="P226" i="1"/>
  <c r="P113" i="1"/>
  <c r="P16" i="18" s="1"/>
  <c r="P121" i="1"/>
  <c r="P24" i="18" s="1"/>
  <c r="P129" i="1"/>
  <c r="P32" i="18" s="1"/>
  <c r="P522" i="18" s="1"/>
  <c r="P60" i="7941" s="1"/>
  <c r="P137" i="1"/>
  <c r="P40" i="18" s="1"/>
  <c r="P234" i="1"/>
  <c r="P109" i="1"/>
  <c r="P131" i="1"/>
  <c r="P34" i="18" s="1"/>
  <c r="P524" i="18" s="1"/>
  <c r="P62" i="7941" s="1"/>
  <c r="P214" i="1"/>
  <c r="P123" i="1"/>
  <c r="P26" i="18" s="1"/>
  <c r="P219" i="1"/>
  <c r="P52" i="18" s="1"/>
  <c r="P115" i="1"/>
  <c r="P18" i="18" s="1"/>
  <c r="P508" i="18" s="1"/>
  <c r="P46" i="7941" s="1"/>
  <c r="O531" i="18"/>
  <c r="O69" i="7941" s="1"/>
  <c r="O527" i="18"/>
  <c r="O65" i="7941" s="1"/>
  <c r="O523" i="18"/>
  <c r="O61" i="7941" s="1"/>
  <c r="O519" i="18"/>
  <c r="O57" i="7941" s="1"/>
  <c r="O515" i="18"/>
  <c r="O53" i="7941" s="1"/>
  <c r="O511" i="18"/>
  <c r="O49" i="7941" s="1"/>
  <c r="O507" i="18"/>
  <c r="O45" i="7941" s="1"/>
  <c r="O503" i="18"/>
  <c r="O41" i="7941" s="1"/>
  <c r="E72" i="7945"/>
  <c r="O766" i="18"/>
  <c r="O432" i="7941" s="1"/>
  <c r="O789" i="18"/>
  <c r="O455" i="7941" s="1"/>
  <c r="E394" i="7945"/>
  <c r="I482" i="7941"/>
  <c r="J752" i="18"/>
  <c r="N7" i="7944"/>
  <c r="M428" i="7941"/>
  <c r="M427" i="7941" s="1"/>
  <c r="M761" i="18"/>
  <c r="J543" i="18"/>
  <c r="I481" i="7941"/>
  <c r="J751" i="18"/>
  <c r="J950" i="18"/>
  <c r="I464" i="7941"/>
  <c r="J734" i="18"/>
  <c r="L328" i="7942"/>
  <c r="O895" i="18" l="1"/>
  <c r="P244" i="18"/>
  <c r="Q244" i="18" s="1"/>
  <c r="O667" i="18"/>
  <c r="O899" i="18"/>
  <c r="O671" i="18"/>
  <c r="O685" i="18"/>
  <c r="Q335" i="18"/>
  <c r="O893" i="18"/>
  <c r="Q101" i="18"/>
  <c r="O681" i="18"/>
  <c r="Q309" i="18"/>
  <c r="O665" i="18"/>
  <c r="M891" i="18"/>
  <c r="O387" i="18"/>
  <c r="P387" i="18" s="1"/>
  <c r="Q387" i="18" s="1"/>
  <c r="N687" i="18"/>
  <c r="N915" i="18"/>
  <c r="N273" i="7942"/>
  <c r="O273" i="7942" s="1"/>
  <c r="O913" i="18"/>
  <c r="O114" i="18"/>
  <c r="N666" i="18"/>
  <c r="N894" i="18"/>
  <c r="P71" i="7944"/>
  <c r="Q361" i="18"/>
  <c r="E156" i="7945"/>
  <c r="F156" i="7945" s="1"/>
  <c r="O413" i="18"/>
  <c r="N917" i="18"/>
  <c r="N689" i="18"/>
  <c r="P174" i="18"/>
  <c r="P212" i="18"/>
  <c r="P144" i="18"/>
  <c r="P252" i="18"/>
  <c r="P169" i="18"/>
  <c r="P338" i="18"/>
  <c r="P299" i="18"/>
  <c r="P326" i="18"/>
  <c r="P339" i="18"/>
  <c r="P261" i="18"/>
  <c r="P222" i="18"/>
  <c r="P197" i="18"/>
  <c r="P301" i="18"/>
  <c r="P171" i="18"/>
  <c r="P211" i="18"/>
  <c r="P224" i="18"/>
  <c r="P159" i="18"/>
  <c r="P172" i="18"/>
  <c r="P109" i="18"/>
  <c r="P303" i="18"/>
  <c r="P122" i="18"/>
  <c r="P225" i="18"/>
  <c r="P161" i="18"/>
  <c r="P289" i="18"/>
  <c r="P381" i="18"/>
  <c r="P342" i="18"/>
  <c r="P121" i="18"/>
  <c r="P287" i="18"/>
  <c r="P286" i="18"/>
  <c r="P147" i="18"/>
  <c r="P279" i="18"/>
  <c r="P331" i="18"/>
  <c r="P357" i="18"/>
  <c r="P253" i="18"/>
  <c r="P227" i="18"/>
  <c r="P123" i="18"/>
  <c r="P453" i="18"/>
  <c r="P336" i="18"/>
  <c r="P95" i="18"/>
  <c r="P440" i="18"/>
  <c r="P91" i="18"/>
  <c r="P414" i="18"/>
  <c r="P79" i="18"/>
  <c r="P310" i="18"/>
  <c r="P92" i="18"/>
  <c r="P167" i="18"/>
  <c r="P179" i="18" s="1"/>
  <c r="P375" i="18"/>
  <c r="P98" i="18"/>
  <c r="P213" i="18"/>
  <c r="P146" i="18"/>
  <c r="P352" i="18"/>
  <c r="P377" i="18"/>
  <c r="P247" i="18"/>
  <c r="P208" i="18"/>
  <c r="P248" i="18"/>
  <c r="P235" i="18"/>
  <c r="P209" i="18"/>
  <c r="P273" i="18"/>
  <c r="P156" i="18"/>
  <c r="P236" i="18"/>
  <c r="P223" i="18"/>
  <c r="P379" i="18"/>
  <c r="P276" i="18"/>
  <c r="P158" i="18"/>
  <c r="P380" i="18"/>
  <c r="P250" i="18"/>
  <c r="P317" i="18"/>
  <c r="P143" i="18"/>
  <c r="P278" i="18"/>
  <c r="P265" i="18"/>
  <c r="P238" i="18"/>
  <c r="P382" i="18"/>
  <c r="P330" i="18"/>
  <c r="P329" i="18"/>
  <c r="P313" i="18"/>
  <c r="P353" i="18"/>
  <c r="P318" i="18"/>
  <c r="P344" i="18"/>
  <c r="P240" i="18"/>
  <c r="P383" i="18"/>
  <c r="P110" i="18"/>
  <c r="P323" i="18"/>
  <c r="P232" i="18"/>
  <c r="P82" i="18"/>
  <c r="P284" i="18"/>
  <c r="P388" i="18"/>
  <c r="P258" i="18"/>
  <c r="P427" i="18"/>
  <c r="P180" i="18"/>
  <c r="P362" i="18"/>
  <c r="P81" i="18"/>
  <c r="P83" i="18"/>
  <c r="P89" i="18"/>
  <c r="P160" i="18"/>
  <c r="P304" i="18"/>
  <c r="P251" i="18"/>
  <c r="P260" i="18"/>
  <c r="P325" i="18"/>
  <c r="P104" i="18"/>
  <c r="P105" i="18"/>
  <c r="P196" i="18"/>
  <c r="P170" i="18"/>
  <c r="P117" i="18"/>
  <c r="P275" i="18"/>
  <c r="P106" i="18"/>
  <c r="P249" i="18"/>
  <c r="P119" i="18"/>
  <c r="P237" i="18"/>
  <c r="P328" i="18"/>
  <c r="P341" i="18"/>
  <c r="P302" i="18"/>
  <c r="P239" i="18"/>
  <c r="P312" i="18"/>
  <c r="Q312" i="18" s="1"/>
  <c r="P291" i="18"/>
  <c r="P290" i="18"/>
  <c r="P343" i="18"/>
  <c r="P173" i="18"/>
  <c r="P356" i="18"/>
  <c r="P148" i="18"/>
  <c r="P199" i="18"/>
  <c r="P314" i="18"/>
  <c r="P288" i="18"/>
  <c r="P292" i="18"/>
  <c r="P266" i="18"/>
  <c r="P305" i="18"/>
  <c r="P175" i="18"/>
  <c r="P219" i="18"/>
  <c r="P128" i="18"/>
  <c r="P401" i="18"/>
  <c r="P154" i="18"/>
  <c r="P349" i="18"/>
  <c r="P102" i="18"/>
  <c r="P271" i="18"/>
  <c r="P76" i="18"/>
  <c r="P94" i="18"/>
  <c r="P84" i="18"/>
  <c r="P206" i="18"/>
  <c r="P264" i="18"/>
  <c r="P315" i="18"/>
  <c r="Q315" i="18" s="1"/>
  <c r="P355" i="18"/>
  <c r="P234" i="18"/>
  <c r="P221" i="18"/>
  <c r="P195" i="18"/>
  <c r="P300" i="18"/>
  <c r="P378" i="18"/>
  <c r="P274" i="18"/>
  <c r="P118" i="18"/>
  <c r="P340" i="18"/>
  <c r="P210" i="18"/>
  <c r="P327" i="18"/>
  <c r="P262" i="18"/>
  <c r="P107" i="18"/>
  <c r="P198" i="18"/>
  <c r="P263" i="18"/>
  <c r="P120" i="18"/>
  <c r="P145" i="18"/>
  <c r="P354" i="18"/>
  <c r="Q354" i="18" s="1"/>
  <c r="P316" i="18"/>
  <c r="P108" i="18"/>
  <c r="P200" i="18"/>
  <c r="P157" i="18"/>
  <c r="Q157" i="18" s="1"/>
  <c r="P226" i="18"/>
  <c r="P277" i="18"/>
  <c r="P351" i="18"/>
  <c r="P201" i="18"/>
  <c r="P162" i="18"/>
  <c r="P149" i="18"/>
  <c r="P214" i="18"/>
  <c r="P115" i="18"/>
  <c r="P78" i="18"/>
  <c r="P245" i="18"/>
  <c r="Q3" i="18"/>
  <c r="P193" i="18"/>
  <c r="P93" i="18"/>
  <c r="P141" i="18"/>
  <c r="P80" i="18"/>
  <c r="P96" i="18"/>
  <c r="P97" i="18"/>
  <c r="P297" i="18"/>
  <c r="P85" i="18"/>
  <c r="P306" i="18"/>
  <c r="P280" i="18"/>
  <c r="P319" i="18"/>
  <c r="P254" i="18"/>
  <c r="P358" i="18"/>
  <c r="M663" i="18"/>
  <c r="P124" i="18"/>
  <c r="P384" i="18"/>
  <c r="P163" i="18"/>
  <c r="P215" i="18"/>
  <c r="P345" i="18"/>
  <c r="P228" i="18"/>
  <c r="P241" i="18"/>
  <c r="O400" i="18"/>
  <c r="N916" i="18"/>
  <c r="N688" i="18"/>
  <c r="N896" i="18"/>
  <c r="O140" i="18"/>
  <c r="P140" i="18" s="1"/>
  <c r="N668" i="18"/>
  <c r="O897" i="18"/>
  <c r="E44" i="7945"/>
  <c r="F44" i="7945" s="1"/>
  <c r="E310" i="7945"/>
  <c r="F310" i="7945" s="1"/>
  <c r="N897" i="18"/>
  <c r="M117" i="7942"/>
  <c r="O905" i="18"/>
  <c r="O319" i="7942"/>
  <c r="O320" i="7942" s="1"/>
  <c r="P530" i="18"/>
  <c r="P68" i="7941" s="1"/>
  <c r="P518" i="18"/>
  <c r="P56" i="7941" s="1"/>
  <c r="P504" i="18"/>
  <c r="P42" i="7941" s="1"/>
  <c r="P527" i="18"/>
  <c r="P65" i="7941" s="1"/>
  <c r="P511" i="18"/>
  <c r="P49" i="7941" s="1"/>
  <c r="P521" i="18"/>
  <c r="P59" i="7941" s="1"/>
  <c r="P505" i="18"/>
  <c r="P43" i="7941" s="1"/>
  <c r="O769" i="18"/>
  <c r="O435" i="7941" s="1"/>
  <c r="P257" i="18"/>
  <c r="Q257" i="18" s="1"/>
  <c r="N295" i="7942"/>
  <c r="N296" i="7942" s="1"/>
  <c r="O775" i="18"/>
  <c r="O441" i="7941" s="1"/>
  <c r="P514" i="18"/>
  <c r="P52" i="7941" s="1"/>
  <c r="P520" i="18"/>
  <c r="P58" i="7941" s="1"/>
  <c r="P519" i="18"/>
  <c r="P57" i="7941" s="1"/>
  <c r="P503" i="18"/>
  <c r="P41" i="7941" s="1"/>
  <c r="P529" i="18"/>
  <c r="P67" i="7941" s="1"/>
  <c r="P513" i="18"/>
  <c r="P51" i="7941" s="1"/>
  <c r="E212" i="7945"/>
  <c r="F212" i="7945" s="1"/>
  <c r="E86" i="7945"/>
  <c r="F86" i="7945" s="1"/>
  <c r="E268" i="7945"/>
  <c r="F268" i="7945" s="1"/>
  <c r="O777" i="18"/>
  <c r="O443" i="7941" s="1"/>
  <c r="O779" i="18"/>
  <c r="O445" i="7941" s="1"/>
  <c r="O669" i="18"/>
  <c r="O781" i="18"/>
  <c r="O447" i="7941" s="1"/>
  <c r="E142" i="7945"/>
  <c r="F142" i="7945" s="1"/>
  <c r="E170" i="7945"/>
  <c r="F170" i="7945" s="1"/>
  <c r="N271" i="7942"/>
  <c r="O271" i="7942" s="1"/>
  <c r="E240" i="7945"/>
  <c r="F240" i="7945" s="1"/>
  <c r="E58" i="7945"/>
  <c r="F58" i="7945" s="1"/>
  <c r="O768" i="18"/>
  <c r="O434" i="7941" s="1"/>
  <c r="N285" i="7942"/>
  <c r="N286" i="7942" s="1"/>
  <c r="N291" i="7942"/>
  <c r="N292" i="7942" s="1"/>
  <c r="P57" i="18"/>
  <c r="P775" i="18" s="1"/>
  <c r="P441" i="7941" s="1"/>
  <c r="Q255" i="18"/>
  <c r="P67" i="18"/>
  <c r="P785" i="18" s="1"/>
  <c r="P451" i="7941" s="1"/>
  <c r="Q385" i="18"/>
  <c r="P54" i="18"/>
  <c r="E157" i="7945" s="1"/>
  <c r="F157" i="7945" s="1"/>
  <c r="Q216" i="18"/>
  <c r="N281" i="7942"/>
  <c r="N282" i="7942" s="1"/>
  <c r="E296" i="7945"/>
  <c r="F296" i="7945" s="1"/>
  <c r="P59" i="18"/>
  <c r="E227" i="7945" s="1"/>
  <c r="F227" i="7945" s="1"/>
  <c r="Q281" i="18"/>
  <c r="P58" i="18"/>
  <c r="E213" i="7945" s="1"/>
  <c r="F213" i="7945" s="1"/>
  <c r="Q268" i="18"/>
  <c r="P49" i="18"/>
  <c r="P767" i="18" s="1"/>
  <c r="P433" i="7941" s="1"/>
  <c r="Q151" i="18"/>
  <c r="P64" i="18"/>
  <c r="E297" i="7945" s="1"/>
  <c r="F297" i="7945" s="1"/>
  <c r="Q346" i="18"/>
  <c r="M314" i="7942"/>
  <c r="O785" i="18"/>
  <c r="O451" i="7941" s="1"/>
  <c r="N326" i="7942"/>
  <c r="P56" i="18"/>
  <c r="P774" i="18" s="1"/>
  <c r="P440" i="7941" s="1"/>
  <c r="Q242" i="18"/>
  <c r="P55" i="18"/>
  <c r="E171" i="7945" s="1"/>
  <c r="F171" i="7945" s="1"/>
  <c r="Q229" i="18"/>
  <c r="P50" i="18"/>
  <c r="E101" i="7945" s="1"/>
  <c r="F101" i="7945" s="1"/>
  <c r="Q164" i="18"/>
  <c r="P63" i="18"/>
  <c r="E283" i="7945" s="1"/>
  <c r="F283" i="7945" s="1"/>
  <c r="Q333" i="18"/>
  <c r="P65" i="18"/>
  <c r="E311" i="7945" s="1"/>
  <c r="F311" i="7945" s="1"/>
  <c r="Q359" i="18"/>
  <c r="N302" i="7942"/>
  <c r="E184" i="7945"/>
  <c r="F184" i="7945" s="1"/>
  <c r="P51" i="18"/>
  <c r="P769" i="18" s="1"/>
  <c r="P435" i="7941" s="1"/>
  <c r="Q177" i="18"/>
  <c r="P61" i="18"/>
  <c r="E255" i="7945" s="1"/>
  <c r="F255" i="7945" s="1"/>
  <c r="Q307" i="18"/>
  <c r="P47" i="18"/>
  <c r="E59" i="7945" s="1"/>
  <c r="F59" i="7945" s="1"/>
  <c r="Q125" i="18"/>
  <c r="P60" i="18"/>
  <c r="E241" i="7945" s="1"/>
  <c r="F241" i="7945" s="1"/>
  <c r="Q294" i="18"/>
  <c r="P53" i="18"/>
  <c r="P771" i="18" s="1"/>
  <c r="P437" i="7941" s="1"/>
  <c r="Q203" i="18"/>
  <c r="P62" i="18"/>
  <c r="P780" i="18" s="1"/>
  <c r="P446" i="7941" s="1"/>
  <c r="Q320" i="18"/>
  <c r="P46" i="18"/>
  <c r="P764" i="18" s="1"/>
  <c r="P430" i="7941" s="1"/>
  <c r="Q112" i="18"/>
  <c r="O285" i="7942"/>
  <c r="P285" i="7942" s="1"/>
  <c r="Q285" i="7942" s="1"/>
  <c r="P321" i="7942"/>
  <c r="Q321" i="7942" s="1"/>
  <c r="Q322" i="7942" s="1"/>
  <c r="Q356" i="7941" s="1"/>
  <c r="M302" i="7942"/>
  <c r="N133" i="7942"/>
  <c r="P158" i="7942"/>
  <c r="P159" i="7942" s="1"/>
  <c r="O7" i="7944"/>
  <c r="N136" i="7942"/>
  <c r="N137" i="7942" s="1"/>
  <c r="N118" i="7942"/>
  <c r="O118" i="7942" s="1"/>
  <c r="P118" i="7942" s="1"/>
  <c r="N120" i="7942"/>
  <c r="N121" i="7942" s="1"/>
  <c r="O128" i="7942"/>
  <c r="O129" i="7942" s="1"/>
  <c r="M113" i="7942"/>
  <c r="O116" i="7942"/>
  <c r="O117" i="7942" s="1"/>
  <c r="P132" i="7942"/>
  <c r="P133" i="7942" s="1"/>
  <c r="N75" i="18"/>
  <c r="N670" i="18"/>
  <c r="N898" i="18"/>
  <c r="M131" i="7942"/>
  <c r="M141" i="7942"/>
  <c r="O112" i="7942"/>
  <c r="P112" i="7942" s="1"/>
  <c r="Q112" i="7942" s="1"/>
  <c r="N278" i="7942"/>
  <c r="Q71" i="7944"/>
  <c r="O166" i="18"/>
  <c r="M278" i="7942"/>
  <c r="N148" i="7942"/>
  <c r="O311" i="7942"/>
  <c r="P311" i="7942" s="1"/>
  <c r="Q311" i="7942" s="1"/>
  <c r="N289" i="7942"/>
  <c r="O289" i="7942" s="1"/>
  <c r="O290" i="7942" s="1"/>
  <c r="P124" i="7942"/>
  <c r="P125" i="7942" s="1"/>
  <c r="N307" i="7942"/>
  <c r="O307" i="7942" s="1"/>
  <c r="Q154" i="7942"/>
  <c r="Q155" i="7942" s="1"/>
  <c r="P277" i="7942"/>
  <c r="O278" i="7942"/>
  <c r="O139" i="7942"/>
  <c r="N131" i="7942"/>
  <c r="I74" i="7941"/>
  <c r="J472" i="18"/>
  <c r="J811" i="18"/>
  <c r="P155" i="7942"/>
  <c r="N283" i="7942"/>
  <c r="O283" i="7942" s="1"/>
  <c r="O284" i="7942" s="1"/>
  <c r="L329" i="7942"/>
  <c r="G13" i="7948" s="1"/>
  <c r="J563" i="18"/>
  <c r="J953" i="18"/>
  <c r="O155" i="7942"/>
  <c r="N145" i="7942"/>
  <c r="N317" i="7942"/>
  <c r="N318" i="7942" s="1"/>
  <c r="J410" i="7941"/>
  <c r="I572" i="7941"/>
  <c r="K397" i="7941"/>
  <c r="J559" i="7941"/>
  <c r="J557" i="18"/>
  <c r="J11" i="7941"/>
  <c r="I205" i="7941"/>
  <c r="J407" i="7941"/>
  <c r="I569" i="7941"/>
  <c r="N159" i="7942"/>
  <c r="J943" i="18"/>
  <c r="M284" i="7942"/>
  <c r="O293" i="7942"/>
  <c r="O294" i="7942" s="1"/>
  <c r="J812" i="18"/>
  <c r="P665" i="18"/>
  <c r="I214" i="7941"/>
  <c r="J20" i="7941"/>
  <c r="P16" i="7944"/>
  <c r="M115" i="7942"/>
  <c r="J400" i="7941"/>
  <c r="I562" i="7941"/>
  <c r="J945" i="18"/>
  <c r="P516" i="18"/>
  <c r="P54" i="7941" s="1"/>
  <c r="E339" i="7945"/>
  <c r="F339" i="7945" s="1"/>
  <c r="P506" i="18"/>
  <c r="P44" i="7941" s="1"/>
  <c r="P526" i="18"/>
  <c r="P64" i="7941" s="1"/>
  <c r="P512" i="18"/>
  <c r="P50" i="7941" s="1"/>
  <c r="P531" i="18"/>
  <c r="P69" i="7941" s="1"/>
  <c r="P515" i="18"/>
  <c r="P53" i="7941" s="1"/>
  <c r="P44" i="18"/>
  <c r="P241" i="1"/>
  <c r="P525" i="18"/>
  <c r="P63" i="7941" s="1"/>
  <c r="P509" i="18"/>
  <c r="P47" i="7941" s="1"/>
  <c r="P788" i="18"/>
  <c r="P454" i="7941" s="1"/>
  <c r="E381" i="7945"/>
  <c r="E367" i="7945"/>
  <c r="P787" i="18"/>
  <c r="P453" i="7941" s="1"/>
  <c r="J724" i="18"/>
  <c r="I224" i="7941"/>
  <c r="J30" i="7941"/>
  <c r="N314" i="7942"/>
  <c r="O152" i="7942"/>
  <c r="O153" i="7942" s="1"/>
  <c r="M153" i="7942"/>
  <c r="J702" i="18"/>
  <c r="J801" i="18"/>
  <c r="N134" i="7942"/>
  <c r="J425" i="7941"/>
  <c r="I587" i="7941"/>
  <c r="F30" i="7945"/>
  <c r="J936" i="18"/>
  <c r="M318" i="7942"/>
  <c r="I212" i="7941"/>
  <c r="J18" i="7941"/>
  <c r="N147" i="7942"/>
  <c r="J28" i="7941"/>
  <c r="I222" i="7941"/>
  <c r="N122" i="7942"/>
  <c r="P138" i="7942"/>
  <c r="P139" i="7942" s="1"/>
  <c r="N303" i="7942"/>
  <c r="N304" i="7942" s="1"/>
  <c r="O130" i="7942"/>
  <c r="I480" i="7941"/>
  <c r="J750" i="18"/>
  <c r="N761" i="18"/>
  <c r="N428" i="7941"/>
  <c r="N427" i="7941" s="1"/>
  <c r="N150" i="7942"/>
  <c r="N151" i="7942" s="1"/>
  <c r="N108" i="7942"/>
  <c r="P664" i="18"/>
  <c r="P892" i="18"/>
  <c r="J714" i="18"/>
  <c r="J720" i="18"/>
  <c r="O323" i="7942"/>
  <c r="O324" i="7942" s="1"/>
  <c r="N312" i="7942"/>
  <c r="M312" i="7942"/>
  <c r="N165" i="7942"/>
  <c r="Q99" i="18"/>
  <c r="O159" i="7942"/>
  <c r="M147" i="7942"/>
  <c r="M280" i="7942"/>
  <c r="N280" i="7942"/>
  <c r="N299" i="7942"/>
  <c r="N300" i="7942" s="1"/>
  <c r="N126" i="7942"/>
  <c r="N127" i="7942" s="1"/>
  <c r="M127" i="7942"/>
  <c r="J415" i="7941"/>
  <c r="I577" i="7941"/>
  <c r="P685" i="18"/>
  <c r="P921" i="18"/>
  <c r="M288" i="7942"/>
  <c r="O287" i="7942"/>
  <c r="O288" i="7942" s="1"/>
  <c r="J937" i="18"/>
  <c r="N114" i="7942"/>
  <c r="P893" i="18"/>
  <c r="M163" i="7942"/>
  <c r="J723" i="18"/>
  <c r="J81" i="7941"/>
  <c r="K479" i="18"/>
  <c r="P12" i="18"/>
  <c r="P139" i="1"/>
  <c r="P790" i="18"/>
  <c r="P456" i="7941" s="1"/>
  <c r="E409" i="7945"/>
  <c r="J12" i="7941"/>
  <c r="I206" i="7941"/>
  <c r="J97" i="7941"/>
  <c r="K495" i="18"/>
  <c r="M145" i="7942"/>
  <c r="J718" i="18"/>
  <c r="N40" i="7941"/>
  <c r="N39" i="7941" s="1"/>
  <c r="N501" i="18"/>
  <c r="N166" i="7942"/>
  <c r="O166" i="7942" s="1"/>
  <c r="O325" i="7942"/>
  <c r="O326" i="7942" s="1"/>
  <c r="I462" i="7941"/>
  <c r="J732" i="18"/>
  <c r="I218" i="7941"/>
  <c r="J24" i="7941"/>
  <c r="J417" i="7941"/>
  <c r="I579" i="7941"/>
  <c r="E31" i="7945"/>
  <c r="F31" i="7945" s="1"/>
  <c r="P763" i="18"/>
  <c r="P429" i="7941" s="1"/>
  <c r="E395" i="7945"/>
  <c r="P789" i="18"/>
  <c r="P455" i="7941" s="1"/>
  <c r="E423" i="7945"/>
  <c r="P791" i="18"/>
  <c r="P457" i="7941" s="1"/>
  <c r="J485" i="7941"/>
  <c r="K755" i="18"/>
  <c r="I230" i="7941"/>
  <c r="J36" i="7941"/>
  <c r="R21" i="7944"/>
  <c r="J947" i="18"/>
  <c r="N297" i="7942"/>
  <c r="N298" i="7942" s="1"/>
  <c r="J73" i="7941"/>
  <c r="K471" i="18"/>
  <c r="K711" i="18"/>
  <c r="J940" i="18"/>
  <c r="Q423" i="7944"/>
  <c r="Q345" i="7944"/>
  <c r="Q358" i="7944"/>
  <c r="Q89" i="7944"/>
  <c r="Q79" i="7944"/>
  <c r="Q267" i="7944"/>
  <c r="Q410" i="7944"/>
  <c r="Q319" i="7944"/>
  <c r="Q332" i="7944"/>
  <c r="Q87" i="7944"/>
  <c r="Q76" i="7944"/>
  <c r="Q228" i="7944"/>
  <c r="Q90" i="7944"/>
  <c r="Q78" i="7944"/>
  <c r="Q202" i="7944"/>
  <c r="Q436" i="7944"/>
  <c r="Q371" i="7944"/>
  <c r="Q397" i="7944"/>
  <c r="Q91" i="7944"/>
  <c r="Q80" i="7944"/>
  <c r="Q98" i="7944"/>
  <c r="Q94" i="7944"/>
  <c r="Q95" i="7944"/>
  <c r="Q75" i="7944"/>
  <c r="Q85" i="7944"/>
  <c r="Q254" i="7944"/>
  <c r="Q176" i="7944"/>
  <c r="Q189" i="7944"/>
  <c r="Q82" i="7944"/>
  <c r="Q88" i="7944"/>
  <c r="Q72" i="7944"/>
  <c r="Q293" i="7944"/>
  <c r="Q137" i="7944"/>
  <c r="Q384" i="7944"/>
  <c r="Q74" i="7944"/>
  <c r="Q81" i="7944"/>
  <c r="R3" i="7944"/>
  <c r="Q150" i="7944"/>
  <c r="Q306" i="7944"/>
  <c r="Q92" i="7944"/>
  <c r="Q93" i="7944"/>
  <c r="Q215" i="7944"/>
  <c r="Q124" i="7944"/>
  <c r="Q280" i="7944"/>
  <c r="Q111" i="7944"/>
  <c r="Q77" i="7944"/>
  <c r="Q163" i="7944"/>
  <c r="Q449" i="7944"/>
  <c r="Q241" i="7944"/>
  <c r="N117" i="7942"/>
  <c r="M143" i="7942"/>
  <c r="N155" i="7942"/>
  <c r="O313" i="7942"/>
  <c r="O314" i="7942" s="1"/>
  <c r="J722" i="18"/>
  <c r="J14" i="7941"/>
  <c r="I208" i="7941"/>
  <c r="I570" i="7941"/>
  <c r="J408" i="7941"/>
  <c r="J704" i="18"/>
  <c r="I72" i="7941"/>
  <c r="I533" i="18"/>
  <c r="J470" i="18"/>
  <c r="J707" i="18"/>
  <c r="M322" i="7942"/>
  <c r="J804" i="18"/>
  <c r="N327" i="7942"/>
  <c r="M328" i="7942"/>
  <c r="N139" i="7942"/>
  <c r="O305" i="7942"/>
  <c r="N315" i="7942"/>
  <c r="O301" i="7942"/>
  <c r="O302" i="7942" s="1"/>
  <c r="N322" i="7942"/>
  <c r="K709" i="18"/>
  <c r="J939" i="18"/>
  <c r="I220" i="7941"/>
  <c r="J26" i="7941"/>
  <c r="J948" i="18"/>
  <c r="O502" i="18"/>
  <c r="O11" i="18"/>
  <c r="J32" i="7941"/>
  <c r="I226" i="7941"/>
  <c r="O110" i="7942"/>
  <c r="O111" i="7942" s="1"/>
  <c r="J710" i="18"/>
  <c r="Q86" i="18"/>
  <c r="J932" i="18"/>
  <c r="M159" i="7942"/>
  <c r="O279" i="7942"/>
  <c r="O280" i="7942" s="1"/>
  <c r="O164" i="7942"/>
  <c r="N113" i="7942"/>
  <c r="N275" i="7942"/>
  <c r="M139" i="7942"/>
  <c r="J715" i="18"/>
  <c r="J930" i="18"/>
  <c r="P913" i="18"/>
  <c r="P919" i="18"/>
  <c r="P691" i="18"/>
  <c r="Q439" i="18"/>
  <c r="J409" i="7941"/>
  <c r="I571" i="7941"/>
  <c r="J927" i="18"/>
  <c r="K952" i="18"/>
  <c r="N162" i="7942"/>
  <c r="J35" i="7941"/>
  <c r="I229" i="7941"/>
  <c r="P33" i="7944"/>
  <c r="M316" i="7942"/>
  <c r="J928" i="18"/>
  <c r="J820" i="18"/>
  <c r="I580" i="7941"/>
  <c r="J418" i="7941"/>
  <c r="P770" i="18"/>
  <c r="P436" i="7941" s="1"/>
  <c r="E129" i="7945"/>
  <c r="P784" i="18"/>
  <c r="P450" i="7941" s="1"/>
  <c r="E325" i="7945"/>
  <c r="J803" i="18"/>
  <c r="M268" i="7942"/>
  <c r="J539" i="18"/>
  <c r="J706" i="18"/>
  <c r="J716" i="18"/>
  <c r="M304" i="7942"/>
  <c r="J946" i="18"/>
  <c r="P766" i="18"/>
  <c r="P432" i="7941" s="1"/>
  <c r="E73" i="7945"/>
  <c r="Q237" i="1"/>
  <c r="Q70" i="18" s="1"/>
  <c r="Q233" i="1"/>
  <c r="Q66" i="18" s="1"/>
  <c r="Q240" i="1"/>
  <c r="Q73" i="18" s="1"/>
  <c r="Q236" i="1"/>
  <c r="Q69" i="18" s="1"/>
  <c r="Q232" i="1"/>
  <c r="Q65" i="18" s="1"/>
  <c r="Q7" i="18"/>
  <c r="Q921" i="18" s="1"/>
  <c r="Q213" i="1"/>
  <c r="Q46" i="18" s="1"/>
  <c r="Q215" i="1"/>
  <c r="Q48" i="18" s="1"/>
  <c r="Q217" i="1"/>
  <c r="Q50" i="18" s="1"/>
  <c r="Q219" i="1"/>
  <c r="Q52" i="18" s="1"/>
  <c r="Q221" i="1"/>
  <c r="Q54" i="18" s="1"/>
  <c r="Q223" i="1"/>
  <c r="Q56" i="18" s="1"/>
  <c r="Q225" i="1"/>
  <c r="Q58" i="18" s="1"/>
  <c r="Q227" i="1"/>
  <c r="Q60" i="18" s="1"/>
  <c r="Q229" i="1"/>
  <c r="Q62" i="18" s="1"/>
  <c r="Q238" i="1"/>
  <c r="Q71" i="18" s="1"/>
  <c r="Q211" i="1"/>
  <c r="Q214" i="1"/>
  <c r="Q47" i="18" s="1"/>
  <c r="Q222" i="1"/>
  <c r="Q55" i="18" s="1"/>
  <c r="Q109" i="1"/>
  <c r="Q111" i="1"/>
  <c r="Q14" i="18" s="1"/>
  <c r="Q115" i="1"/>
  <c r="Q18" i="18" s="1"/>
  <c r="Q508" i="18" s="1"/>
  <c r="Q46" i="7941" s="1"/>
  <c r="Q119" i="1"/>
  <c r="Q22" i="18" s="1"/>
  <c r="Q123" i="1"/>
  <c r="Q26" i="18" s="1"/>
  <c r="Q127" i="1"/>
  <c r="Q30" i="18" s="1"/>
  <c r="Q131" i="1"/>
  <c r="Q34" i="18" s="1"/>
  <c r="Q524" i="18" s="1"/>
  <c r="Q62" i="7941" s="1"/>
  <c r="Q135" i="1"/>
  <c r="Q38" i="18" s="1"/>
  <c r="Q234" i="1"/>
  <c r="Q67" i="18" s="1"/>
  <c r="Q212" i="1"/>
  <c r="Q45" i="18" s="1"/>
  <c r="Q226" i="1"/>
  <c r="Q59" i="18" s="1"/>
  <c r="Q113" i="1"/>
  <c r="Q16" i="18" s="1"/>
  <c r="Q120" i="1"/>
  <c r="Q23" i="18" s="1"/>
  <c r="Q122" i="1"/>
  <c r="Q25" i="18" s="1"/>
  <c r="Q129" i="1"/>
  <c r="Q32" i="18" s="1"/>
  <c r="Q522" i="18" s="1"/>
  <c r="Q60" i="7941" s="1"/>
  <c r="Q136" i="1"/>
  <c r="Q39" i="18" s="1"/>
  <c r="Q138" i="1"/>
  <c r="Q41" i="18" s="1"/>
  <c r="Q235" i="1"/>
  <c r="Q68" i="18" s="1"/>
  <c r="Q216" i="1"/>
  <c r="Q49" i="18" s="1"/>
  <c r="Q220" i="1"/>
  <c r="Q53" i="18" s="1"/>
  <c r="Q110" i="1"/>
  <c r="Q13" i="18" s="1"/>
  <c r="Q117" i="1"/>
  <c r="Q20" i="18" s="1"/>
  <c r="Q124" i="1"/>
  <c r="Q27" i="18" s="1"/>
  <c r="Q517" i="18" s="1"/>
  <c r="Q55" i="7941" s="1"/>
  <c r="Q126" i="1"/>
  <c r="Q29" i="18" s="1"/>
  <c r="Q133" i="1"/>
  <c r="Q36" i="18" s="1"/>
  <c r="Q239" i="1"/>
  <c r="Q72" i="18" s="1"/>
  <c r="Q231" i="1"/>
  <c r="Q64" i="18" s="1"/>
  <c r="Q218" i="1"/>
  <c r="Q51" i="18" s="1"/>
  <c r="Q116" i="1"/>
  <c r="Q19" i="18" s="1"/>
  <c r="Q118" i="1"/>
  <c r="Q21" i="18" s="1"/>
  <c r="Q125" i="1"/>
  <c r="Q28" i="18" s="1"/>
  <c r="Q518" i="18" s="1"/>
  <c r="Q56" i="7941" s="1"/>
  <c r="Q132" i="1"/>
  <c r="Q35" i="18" s="1"/>
  <c r="Q134" i="1"/>
  <c r="Q37" i="18" s="1"/>
  <c r="Q112" i="1"/>
  <c r="Q15" i="18" s="1"/>
  <c r="Q230" i="1"/>
  <c r="Q63" i="18" s="1"/>
  <c r="Q224" i="1"/>
  <c r="Q57" i="18" s="1"/>
  <c r="Q114" i="1"/>
  <c r="Q17" i="18" s="1"/>
  <c r="Q121" i="1"/>
  <c r="Q24" i="18" s="1"/>
  <c r="Q128" i="1"/>
  <c r="Q31" i="18" s="1"/>
  <c r="Q521" i="18" s="1"/>
  <c r="Q59" i="7941" s="1"/>
  <c r="Q130" i="1"/>
  <c r="Q33" i="18" s="1"/>
  <c r="Q228" i="1"/>
  <c r="Q61" i="18" s="1"/>
  <c r="Q137" i="1"/>
  <c r="Q40" i="18" s="1"/>
  <c r="P911" i="18"/>
  <c r="P897" i="18"/>
  <c r="P683" i="18"/>
  <c r="P903" i="18"/>
  <c r="P669" i="18"/>
  <c r="P675" i="18"/>
  <c r="P918" i="18"/>
  <c r="P686" i="18"/>
  <c r="P912" i="18"/>
  <c r="P682" i="18"/>
  <c r="P681" i="18"/>
  <c r="P906" i="18"/>
  <c r="P690" i="18"/>
  <c r="P674" i="18"/>
  <c r="P914" i="18"/>
  <c r="P684" i="18"/>
  <c r="P678" i="18"/>
  <c r="P910" i="18"/>
  <c r="P907" i="18"/>
  <c r="P679" i="18"/>
  <c r="P908" i="18"/>
  <c r="P909" i="18"/>
  <c r="P680" i="18"/>
  <c r="P902" i="18"/>
  <c r="P672" i="18"/>
  <c r="P901" i="18"/>
  <c r="P920" i="18"/>
  <c r="P673" i="18"/>
  <c r="P895" i="18"/>
  <c r="P692" i="18"/>
  <c r="P900" i="18"/>
  <c r="P667" i="18"/>
  <c r="P786" i="18"/>
  <c r="P452" i="7941" s="1"/>
  <c r="E353" i="7945"/>
  <c r="E16" i="7945"/>
  <c r="F16" i="7945" s="1"/>
  <c r="O43" i="18"/>
  <c r="O762" i="18"/>
  <c r="J700" i="18"/>
  <c r="J555" i="18"/>
  <c r="J419" i="7941"/>
  <c r="I581" i="7941"/>
  <c r="K23" i="7941"/>
  <c r="J217" i="7941"/>
  <c r="J412" i="7941"/>
  <c r="I574" i="7941"/>
  <c r="M298" i="7942"/>
  <c r="N142" i="7942"/>
  <c r="N125" i="7942"/>
  <c r="N153" i="7942"/>
  <c r="N269" i="7942"/>
  <c r="M270" i="7942"/>
  <c r="I228" i="7941"/>
  <c r="J34" i="7941"/>
  <c r="I460" i="7941"/>
  <c r="I793" i="18"/>
  <c r="J730" i="18"/>
  <c r="N156" i="7942"/>
  <c r="M135" i="7942"/>
  <c r="P19" i="7944"/>
  <c r="Q19" i="7944" s="1"/>
  <c r="R19" i="7944" s="1"/>
  <c r="J16" i="7941"/>
  <c r="I210" i="7941"/>
  <c r="J799" i="18"/>
  <c r="J19" i="7941"/>
  <c r="I213" i="7941"/>
  <c r="M167" i="7942"/>
  <c r="M123" i="7942"/>
  <c r="O160" i="7942"/>
  <c r="P160" i="7942" s="1"/>
  <c r="O322" i="7942"/>
  <c r="M326" i="7942"/>
  <c r="K21" i="7941"/>
  <c r="J215" i="7941"/>
  <c r="J79" i="7941"/>
  <c r="K477" i="18"/>
  <c r="F15" i="7945"/>
  <c r="J411" i="7941"/>
  <c r="I573" i="7941"/>
  <c r="M107" i="7942"/>
  <c r="J938" i="18"/>
  <c r="J420" i="7941"/>
  <c r="I582" i="7941"/>
  <c r="J712" i="18"/>
  <c r="K925" i="18"/>
  <c r="J699" i="18"/>
  <c r="J935" i="18"/>
  <c r="N309" i="7942"/>
  <c r="J22" i="7941"/>
  <c r="I216" i="7941"/>
  <c r="J404" i="7941"/>
  <c r="I566" i="7941"/>
  <c r="O140" i="7942"/>
  <c r="O146" i="7942"/>
  <c r="O147" i="7942" s="1"/>
  <c r="O144" i="7942"/>
  <c r="O145" i="7942" s="1"/>
  <c r="M300" i="7942"/>
  <c r="I221" i="7941"/>
  <c r="J27" i="7941"/>
  <c r="J402" i="7941"/>
  <c r="I564" i="7941"/>
  <c r="K487" i="7941"/>
  <c r="L757" i="18"/>
  <c r="K551" i="18"/>
  <c r="J399" i="7941"/>
  <c r="I561" i="7941"/>
  <c r="K424" i="7941"/>
  <c r="J586" i="7941"/>
  <c r="J708" i="18"/>
  <c r="N288" i="7942"/>
  <c r="P904" i="18" l="1"/>
  <c r="P676" i="18"/>
  <c r="P671" i="18"/>
  <c r="P899" i="18"/>
  <c r="P273" i="7942"/>
  <c r="Q273" i="7942" s="1"/>
  <c r="O312" i="7942"/>
  <c r="O272" i="7942"/>
  <c r="O295" i="7942"/>
  <c r="P295" i="7942" s="1"/>
  <c r="P777" i="18"/>
  <c r="P443" i="7941" s="1"/>
  <c r="Q132" i="7942"/>
  <c r="Q133" i="7942" s="1"/>
  <c r="Q278" i="7941" s="1"/>
  <c r="O915" i="18"/>
  <c r="O687" i="18"/>
  <c r="P915" i="18"/>
  <c r="N274" i="7942"/>
  <c r="P687" i="18"/>
  <c r="E199" i="7945"/>
  <c r="F199" i="7945" s="1"/>
  <c r="O274" i="7942"/>
  <c r="O291" i="7942"/>
  <c r="P291" i="7942" s="1"/>
  <c r="P322" i="7942"/>
  <c r="P325" i="7942"/>
  <c r="P326" i="7942" s="1"/>
  <c r="Q33" i="7944"/>
  <c r="R33" i="7944" s="1"/>
  <c r="P114" i="18"/>
  <c r="Q114" i="18" s="1"/>
  <c r="O666" i="18"/>
  <c r="O894" i="18"/>
  <c r="N663" i="18"/>
  <c r="O286" i="7942"/>
  <c r="P319" i="7942"/>
  <c r="P320" i="7942" s="1"/>
  <c r="Q140" i="18"/>
  <c r="Q668" i="18" s="1"/>
  <c r="P668" i="18"/>
  <c r="P896" i="18"/>
  <c r="Q290" i="18"/>
  <c r="Q201" i="18"/>
  <c r="Q123" i="18"/>
  <c r="Q214" i="18"/>
  <c r="Q240" i="18"/>
  <c r="Q110" i="18"/>
  <c r="Q305" i="18"/>
  <c r="Q175" i="18"/>
  <c r="Q252" i="18"/>
  <c r="Q195" i="18"/>
  <c r="Q221" i="18"/>
  <c r="Q260" i="18"/>
  <c r="Q300" i="18"/>
  <c r="Q274" i="18"/>
  <c r="Q339" i="18"/>
  <c r="Q118" i="18"/>
  <c r="Q340" i="18"/>
  <c r="Q262" i="18"/>
  <c r="Q210" i="18"/>
  <c r="Q276" i="18"/>
  <c r="Q120" i="18"/>
  <c r="Q211" i="18"/>
  <c r="Q237" i="18"/>
  <c r="Q329" i="18"/>
  <c r="Q314" i="18"/>
  <c r="Q278" i="18"/>
  <c r="Q108" i="18"/>
  <c r="Q317" i="18"/>
  <c r="Q174" i="18"/>
  <c r="Q226" i="18"/>
  <c r="Q356" i="18"/>
  <c r="Q161" i="18"/>
  <c r="Q331" i="18"/>
  <c r="Q318" i="18"/>
  <c r="Q287" i="18"/>
  <c r="Q149" i="18"/>
  <c r="Q316" i="18"/>
  <c r="Q158" i="18"/>
  <c r="Q111" i="18"/>
  <c r="Q150" i="18"/>
  <c r="Q293" i="18"/>
  <c r="Q362" i="18"/>
  <c r="Q349" i="18"/>
  <c r="Q83" i="18"/>
  <c r="Q284" i="18"/>
  <c r="Q115" i="18"/>
  <c r="Q310" i="18"/>
  <c r="Q167" i="18"/>
  <c r="Q179" i="18" s="1"/>
  <c r="Q98" i="18"/>
  <c r="Q92" i="18"/>
  <c r="Q82" i="18"/>
  <c r="Q79" i="18"/>
  <c r="Q102" i="18"/>
  <c r="Q208" i="18"/>
  <c r="Q169" i="18"/>
  <c r="Q299" i="18"/>
  <c r="Q273" i="18"/>
  <c r="Q248" i="18"/>
  <c r="Q326" i="18"/>
  <c r="Q209" i="18"/>
  <c r="Q236" i="18"/>
  <c r="Q379" i="18"/>
  <c r="Q119" i="18"/>
  <c r="Q275" i="18"/>
  <c r="Q198" i="18"/>
  <c r="Q250" i="18"/>
  <c r="Q263" i="18"/>
  <c r="Q380" i="18"/>
  <c r="Q109" i="18"/>
  <c r="Q251" i="18"/>
  <c r="Q239" i="18"/>
  <c r="Q159" i="18"/>
  <c r="Q213" i="18"/>
  <c r="Q200" i="18"/>
  <c r="Q342" i="18"/>
  <c r="Q264" i="18"/>
  <c r="Q382" i="18"/>
  <c r="Q279" i="18"/>
  <c r="Q355" i="18"/>
  <c r="Q289" i="18"/>
  <c r="Q253" i="18"/>
  <c r="Q148" i="18"/>
  <c r="Q156" i="18"/>
  <c r="Q241" i="18"/>
  <c r="Q254" i="18"/>
  <c r="Q228" i="18"/>
  <c r="Q319" i="18"/>
  <c r="Q215" i="18"/>
  <c r="Q163" i="18"/>
  <c r="Q306" i="18"/>
  <c r="Q258" i="18"/>
  <c r="Q245" i="18"/>
  <c r="Q95" i="18"/>
  <c r="Q128" i="18"/>
  <c r="Q84" i="18"/>
  <c r="Q180" i="18"/>
  <c r="Q94" i="18"/>
  <c r="Q336" i="18"/>
  <c r="Q206" i="18"/>
  <c r="Q414" i="18"/>
  <c r="Q85" i="18"/>
  <c r="Q96" i="18"/>
  <c r="Q104" i="18"/>
  <c r="Q247" i="18"/>
  <c r="Q234" i="18"/>
  <c r="Q105" i="18"/>
  <c r="Q235" i="18"/>
  <c r="Q170" i="18"/>
  <c r="Q117" i="18"/>
  <c r="Q223" i="18"/>
  <c r="Q249" i="18"/>
  <c r="Q197" i="18"/>
  <c r="Q301" i="18"/>
  <c r="Q224" i="18"/>
  <c r="Q302" i="18"/>
  <c r="Q172" i="18"/>
  <c r="Q121" i="18"/>
  <c r="Q265" i="18"/>
  <c r="Q144" i="18"/>
  <c r="Q160" i="18"/>
  <c r="Q381" i="18"/>
  <c r="Q277" i="18"/>
  <c r="Q212" i="18"/>
  <c r="Q303" i="18"/>
  <c r="Q291" i="18"/>
  <c r="Q227" i="18"/>
  <c r="Q344" i="18"/>
  <c r="Q266" i="18"/>
  <c r="Q357" i="18"/>
  <c r="Q353" i="18"/>
  <c r="Q352" i="18"/>
  <c r="Q202" i="18"/>
  <c r="Q176" i="18"/>
  <c r="Q267" i="18"/>
  <c r="Q332" i="18"/>
  <c r="Q154" i="18"/>
  <c r="Q141" i="18"/>
  <c r="R3" i="18"/>
  <c r="Q427" i="18"/>
  <c r="Q93" i="18"/>
  <c r="Q453" i="18"/>
  <c r="Q78" i="18"/>
  <c r="Q89" i="18"/>
  <c r="Q323" i="18"/>
  <c r="Q219" i="18"/>
  <c r="Q401" i="18"/>
  <c r="Q338" i="18"/>
  <c r="Q377" i="18"/>
  <c r="Q325" i="18"/>
  <c r="Q261" i="18"/>
  <c r="Q196" i="18"/>
  <c r="Q378" i="18"/>
  <c r="Q222" i="18"/>
  <c r="Q327" i="18"/>
  <c r="Q171" i="18"/>
  <c r="Q106" i="18"/>
  <c r="Q107" i="18"/>
  <c r="Q328" i="18"/>
  <c r="Q341" i="18"/>
  <c r="Q351" i="18"/>
  <c r="Q238" i="18"/>
  <c r="Q143" i="18"/>
  <c r="Q225" i="18"/>
  <c r="Q199" i="18"/>
  <c r="Q173" i="18"/>
  <c r="Q304" i="18"/>
  <c r="Q343" i="18"/>
  <c r="Q330" i="18"/>
  <c r="Q122" i="18"/>
  <c r="Q146" i="18"/>
  <c r="Q292" i="18"/>
  <c r="Q286" i="18"/>
  <c r="Q383" i="18"/>
  <c r="Q162" i="18"/>
  <c r="Q313" i="18"/>
  <c r="Q358" i="18"/>
  <c r="Q345" i="18"/>
  <c r="Q280" i="18"/>
  <c r="Q384" i="18"/>
  <c r="Q124" i="18"/>
  <c r="Q388" i="18"/>
  <c r="Q76" i="18"/>
  <c r="Q80" i="18"/>
  <c r="Q440" i="18"/>
  <c r="Q271" i="18"/>
  <c r="Q375" i="18"/>
  <c r="Q297" i="18"/>
  <c r="Q97" i="18"/>
  <c r="Q193" i="18"/>
  <c r="Q91" i="18"/>
  <c r="Q232" i="18"/>
  <c r="Q81" i="18"/>
  <c r="Q145" i="18"/>
  <c r="O896" i="18"/>
  <c r="O668" i="18"/>
  <c r="P400" i="18"/>
  <c r="O916" i="18"/>
  <c r="O688" i="18"/>
  <c r="Q288" i="18"/>
  <c r="Q147" i="18"/>
  <c r="P413" i="18"/>
  <c r="O917" i="18"/>
  <c r="O689" i="18"/>
  <c r="P905" i="18"/>
  <c r="P677" i="18"/>
  <c r="N891" i="18"/>
  <c r="N290" i="7942"/>
  <c r="O317" i="7942"/>
  <c r="O318" i="7942" s="1"/>
  <c r="E45" i="7945"/>
  <c r="F45" i="7945" s="1"/>
  <c r="O136" i="7942"/>
  <c r="P136" i="7942" s="1"/>
  <c r="P137" i="7942" s="1"/>
  <c r="P772" i="18"/>
  <c r="P438" i="7941" s="1"/>
  <c r="P313" i="7942"/>
  <c r="P314" i="7942" s="1"/>
  <c r="E115" i="7945"/>
  <c r="F115" i="7945" s="1"/>
  <c r="Q913" i="18"/>
  <c r="P274" i="7942"/>
  <c r="Q523" i="18"/>
  <c r="Q61" i="7941" s="1"/>
  <c r="Q525" i="18"/>
  <c r="Q63" i="7941" s="1"/>
  <c r="Q519" i="18"/>
  <c r="Q57" i="7941" s="1"/>
  <c r="Q529" i="18"/>
  <c r="Q67" i="7941" s="1"/>
  <c r="Q506" i="18"/>
  <c r="Q44" i="7941" s="1"/>
  <c r="Q528" i="18"/>
  <c r="Q66" i="7941" s="1"/>
  <c r="Q512" i="18"/>
  <c r="Q50" i="7941" s="1"/>
  <c r="E143" i="7945"/>
  <c r="F143" i="7945" s="1"/>
  <c r="P307" i="7942"/>
  <c r="P308" i="7942" s="1"/>
  <c r="E185" i="7945"/>
  <c r="F185" i="7945" s="1"/>
  <c r="P783" i="18"/>
  <c r="P449" i="7941" s="1"/>
  <c r="P768" i="18"/>
  <c r="P434" i="7941" s="1"/>
  <c r="P293" i="7942"/>
  <c r="Q293" i="7942" s="1"/>
  <c r="P765" i="18"/>
  <c r="P431" i="7941" s="1"/>
  <c r="O281" i="7942"/>
  <c r="P281" i="7942" s="1"/>
  <c r="P282" i="7942" s="1"/>
  <c r="N167" i="7942"/>
  <c r="O297" i="7942"/>
  <c r="O298" i="7942" s="1"/>
  <c r="O303" i="7942"/>
  <c r="P303" i="7942" s="1"/>
  <c r="E87" i="7945"/>
  <c r="F87" i="7945" s="1"/>
  <c r="Q124" i="7942"/>
  <c r="Q125" i="7942" s="1"/>
  <c r="Q274" i="7941" s="1"/>
  <c r="P271" i="7942"/>
  <c r="P272" i="7942" s="1"/>
  <c r="O150" i="7942"/>
  <c r="O151" i="7942" s="1"/>
  <c r="N272" i="7942"/>
  <c r="E269" i="7945"/>
  <c r="F269" i="7945" s="1"/>
  <c r="P781" i="18"/>
  <c r="P447" i="7941" s="1"/>
  <c r="P166" i="7942"/>
  <c r="P167" i="7942" s="1"/>
  <c r="O167" i="7942"/>
  <c r="P778" i="18"/>
  <c r="P444" i="7941" s="1"/>
  <c r="Q892" i="18"/>
  <c r="P782" i="18"/>
  <c r="P448" i="7941" s="1"/>
  <c r="P776" i="18"/>
  <c r="P442" i="7941" s="1"/>
  <c r="P773" i="18"/>
  <c r="P439" i="7941" s="1"/>
  <c r="P323" i="7942"/>
  <c r="P324" i="7942" s="1"/>
  <c r="P779" i="18"/>
  <c r="P445" i="7941" s="1"/>
  <c r="Q158" i="7942"/>
  <c r="Q159" i="7942" s="1"/>
  <c r="P128" i="7942"/>
  <c r="Q128" i="7942" s="1"/>
  <c r="Q129" i="7942" s="1"/>
  <c r="Q276" i="7941" s="1"/>
  <c r="Q138" i="7942"/>
  <c r="Q139" i="7942" s="1"/>
  <c r="Q637" i="7941" s="1"/>
  <c r="O126" i="7942"/>
  <c r="P126" i="7942" s="1"/>
  <c r="O113" i="7942"/>
  <c r="N115" i="7942"/>
  <c r="N119" i="7942"/>
  <c r="Q634" i="7941"/>
  <c r="O120" i="7942"/>
  <c r="O119" i="7942"/>
  <c r="O114" i="7942"/>
  <c r="O308" i="7942"/>
  <c r="P119" i="7942"/>
  <c r="P289" i="7942"/>
  <c r="Q289" i="7942" s="1"/>
  <c r="Q290" i="7942" s="1"/>
  <c r="Q340" i="7941" s="1"/>
  <c r="O148" i="7942"/>
  <c r="O149" i="7942" s="1"/>
  <c r="O75" i="18"/>
  <c r="O898" i="18"/>
  <c r="O670" i="18"/>
  <c r="Q294" i="7942"/>
  <c r="Q342" i="7941" s="1"/>
  <c r="P144" i="7942"/>
  <c r="P145" i="7942" s="1"/>
  <c r="P283" i="7942"/>
  <c r="Q283" i="7942" s="1"/>
  <c r="Q284" i="7942" s="1"/>
  <c r="Q337" i="7941" s="1"/>
  <c r="Q118" i="7942"/>
  <c r="Q119" i="7942" s="1"/>
  <c r="N308" i="7942"/>
  <c r="N149" i="7942"/>
  <c r="P166" i="18"/>
  <c r="Q166" i="18" s="1"/>
  <c r="O299" i="7942"/>
  <c r="P287" i="7942"/>
  <c r="Q287" i="7942" s="1"/>
  <c r="Q277" i="7942"/>
  <c r="Q278" i="7942" s="1"/>
  <c r="Q334" i="7941" s="1"/>
  <c r="P116" i="7942"/>
  <c r="O141" i="7942"/>
  <c r="M168" i="7942"/>
  <c r="I459" i="7941"/>
  <c r="I558" i="7941"/>
  <c r="J396" i="7941"/>
  <c r="E144" i="7945"/>
  <c r="Q771" i="18"/>
  <c r="Q437" i="7941" s="1"/>
  <c r="Q772" i="18"/>
  <c r="Q438" i="7941" s="1"/>
  <c r="E158" i="7945"/>
  <c r="E46" i="7945"/>
  <c r="Q764" i="18"/>
  <c r="Q430" i="7941" s="1"/>
  <c r="J486" i="7941"/>
  <c r="K756" i="18"/>
  <c r="J800" i="18"/>
  <c r="J818" i="18"/>
  <c r="J542" i="18"/>
  <c r="P161" i="7942"/>
  <c r="J95" i="7941"/>
  <c r="K493" i="18"/>
  <c r="J805" i="18"/>
  <c r="E88" i="7945"/>
  <c r="Q767" i="18"/>
  <c r="Q433" i="7941" s="1"/>
  <c r="K89" i="7941"/>
  <c r="L487" i="18"/>
  <c r="N268" i="7942"/>
  <c r="N329" i="7942" s="1"/>
  <c r="J538" i="18"/>
  <c r="Q530" i="18"/>
  <c r="Q68" i="7941" s="1"/>
  <c r="Q505" i="18"/>
  <c r="Q43" i="7941" s="1"/>
  <c r="Q511" i="18"/>
  <c r="Q49" i="7941" s="1"/>
  <c r="Q510" i="18"/>
  <c r="Q48" i="7941" s="1"/>
  <c r="Q515" i="18"/>
  <c r="Q53" i="7941" s="1"/>
  <c r="Q763" i="18"/>
  <c r="Q429" i="7941" s="1"/>
  <c r="E32" i="7945"/>
  <c r="Q504" i="18"/>
  <c r="Q42" i="7941" s="1"/>
  <c r="Q44" i="18"/>
  <c r="Q241" i="1"/>
  <c r="R242" i="1" s="1"/>
  <c r="Q776" i="18"/>
  <c r="Q442" i="7941" s="1"/>
  <c r="E214" i="7945"/>
  <c r="E312" i="7945"/>
  <c r="Q783" i="18"/>
  <c r="Q449" i="7941" s="1"/>
  <c r="E382" i="7945"/>
  <c r="E383" i="7945" s="1"/>
  <c r="F383" i="7945" s="1"/>
  <c r="L33" i="7946" s="1"/>
  <c r="Q788" i="18"/>
  <c r="Q454" i="7941" s="1"/>
  <c r="J544" i="18"/>
  <c r="N163" i="7942"/>
  <c r="P140" i="7942"/>
  <c r="Q140" i="7942" s="1"/>
  <c r="Q141" i="7942" s="1"/>
  <c r="O269" i="7942"/>
  <c r="P269" i="7942" s="1"/>
  <c r="E256" i="7945"/>
  <c r="Q779" i="18"/>
  <c r="Q445" i="7941" s="1"/>
  <c r="Q507" i="18"/>
  <c r="Q45" i="7941" s="1"/>
  <c r="Q527" i="18"/>
  <c r="Q65" i="7941" s="1"/>
  <c r="Q509" i="18"/>
  <c r="Q47" i="7941" s="1"/>
  <c r="Q526" i="18"/>
  <c r="Q64" i="7941" s="1"/>
  <c r="Q503" i="18"/>
  <c r="Q41" i="7941" s="1"/>
  <c r="Q531" i="18"/>
  <c r="Q69" i="7941" s="1"/>
  <c r="Q513" i="18"/>
  <c r="Q51" i="7941" s="1"/>
  <c r="E340" i="7945"/>
  <c r="Q785" i="18"/>
  <c r="Q451" i="7941" s="1"/>
  <c r="Q516" i="18"/>
  <c r="Q54" i="7941" s="1"/>
  <c r="Q139" i="1"/>
  <c r="R140" i="1" s="1"/>
  <c r="Q12" i="18"/>
  <c r="E396" i="7945"/>
  <c r="E397" i="7945" s="1"/>
  <c r="F397" i="7945" s="1"/>
  <c r="L34" i="7946" s="1"/>
  <c r="Q789" i="18"/>
  <c r="Q455" i="7941" s="1"/>
  <c r="E186" i="7945"/>
  <c r="Q774" i="18"/>
  <c r="Q440" i="7941" s="1"/>
  <c r="E74" i="7945"/>
  <c r="E75" i="7945" s="1"/>
  <c r="F75" i="7945" s="1"/>
  <c r="L11" i="7946" s="1"/>
  <c r="Q766" i="18"/>
  <c r="Q432" i="7941" s="1"/>
  <c r="E368" i="7945"/>
  <c r="E369" i="7945" s="1"/>
  <c r="F369" i="7945" s="1"/>
  <c r="L32" i="7946" s="1"/>
  <c r="Q787" i="18"/>
  <c r="Q453" i="7941" s="1"/>
  <c r="J816" i="18"/>
  <c r="J554" i="18"/>
  <c r="J469" i="7941"/>
  <c r="K739" i="18"/>
  <c r="J798" i="18"/>
  <c r="J553" i="18"/>
  <c r="O275" i="7942"/>
  <c r="O276" i="7942" s="1"/>
  <c r="N276" i="7942"/>
  <c r="P279" i="7942"/>
  <c r="Q279" i="7942" s="1"/>
  <c r="Q160" i="7942"/>
  <c r="Q161" i="7942" s="1"/>
  <c r="P305" i="7942"/>
  <c r="P306" i="7942" s="1"/>
  <c r="O306" i="7942"/>
  <c r="J696" i="18"/>
  <c r="J469" i="18"/>
  <c r="E5" i="7948" s="1"/>
  <c r="K549" i="18"/>
  <c r="K421" i="7941"/>
  <c r="J583" i="7941"/>
  <c r="K33" i="7941"/>
  <c r="J227" i="7941"/>
  <c r="N328" i="7942"/>
  <c r="J558" i="18"/>
  <c r="P301" i="7942"/>
  <c r="P146" i="7942"/>
  <c r="Q286" i="7942"/>
  <c r="Q338" i="7941" s="1"/>
  <c r="J540" i="18"/>
  <c r="P110" i="7942"/>
  <c r="P152" i="7942"/>
  <c r="Q152" i="7942" s="1"/>
  <c r="N284" i="7942"/>
  <c r="N143" i="7942"/>
  <c r="P43" i="18"/>
  <c r="E17" i="7945"/>
  <c r="F17" i="7945" s="1"/>
  <c r="P762" i="18"/>
  <c r="Q16" i="7944"/>
  <c r="P7" i="7944"/>
  <c r="J478" i="7941"/>
  <c r="K748" i="18"/>
  <c r="J823" i="18"/>
  <c r="J10" i="7941"/>
  <c r="I204" i="7941"/>
  <c r="P130" i="7942"/>
  <c r="P131" i="7942" s="1"/>
  <c r="O161" i="7942"/>
  <c r="P278" i="7942"/>
  <c r="O309" i="7942"/>
  <c r="O310" i="7942" s="1"/>
  <c r="P312" i="7942"/>
  <c r="L951" i="18"/>
  <c r="J93" i="7941"/>
  <c r="K491" i="18"/>
  <c r="E200" i="7945"/>
  <c r="Q775" i="18"/>
  <c r="Q441" i="7941" s="1"/>
  <c r="E116" i="7945"/>
  <c r="Q769" i="18"/>
  <c r="Q435" i="7941" s="1"/>
  <c r="E270" i="7945"/>
  <c r="Q780" i="18"/>
  <c r="Q446" i="7941" s="1"/>
  <c r="E424" i="7945"/>
  <c r="E425" i="7945" s="1"/>
  <c r="F425" i="7945" s="1"/>
  <c r="L36" i="7946" s="1"/>
  <c r="Q791" i="18"/>
  <c r="Q457" i="7941" s="1"/>
  <c r="J77" i="7941"/>
  <c r="K475" i="18"/>
  <c r="J556" i="18"/>
  <c r="J537" i="18"/>
  <c r="K703" i="18"/>
  <c r="N157" i="7942"/>
  <c r="E284" i="7945"/>
  <c r="Q781" i="18"/>
  <c r="Q447" i="7941" s="1"/>
  <c r="E298" i="7945"/>
  <c r="Q782" i="18"/>
  <c r="Q448" i="7941" s="1"/>
  <c r="E228" i="7945"/>
  <c r="Q777" i="18"/>
  <c r="Q443" i="7941" s="1"/>
  <c r="E60" i="7945"/>
  <c r="Q765" i="18"/>
  <c r="Q431" i="7941" s="1"/>
  <c r="E242" i="7945"/>
  <c r="Q778" i="18"/>
  <c r="Q444" i="7941" s="1"/>
  <c r="Q770" i="18"/>
  <c r="Q436" i="7941" s="1"/>
  <c r="E130" i="7945"/>
  <c r="E131" i="7945" s="1"/>
  <c r="F131" i="7945" s="1"/>
  <c r="L15" i="7946" s="1"/>
  <c r="Q907" i="18"/>
  <c r="Q902" i="18"/>
  <c r="Q669" i="18"/>
  <c r="Q911" i="18"/>
  <c r="Q909" i="18"/>
  <c r="Q674" i="18"/>
  <c r="Q683" i="18"/>
  <c r="Q915" i="18"/>
  <c r="Q675" i="18"/>
  <c r="Q908" i="18"/>
  <c r="Q687" i="18"/>
  <c r="Q679" i="18"/>
  <c r="Q897" i="18"/>
  <c r="Q680" i="18"/>
  <c r="Q903" i="18"/>
  <c r="Q678" i="18"/>
  <c r="Q906" i="18"/>
  <c r="Q681" i="18"/>
  <c r="Q667" i="18"/>
  <c r="Q690" i="18"/>
  <c r="Q684" i="18"/>
  <c r="Q686" i="18"/>
  <c r="Q895" i="18"/>
  <c r="Q682" i="18"/>
  <c r="Q918" i="18"/>
  <c r="Q912" i="18"/>
  <c r="Q914" i="18"/>
  <c r="Q673" i="18"/>
  <c r="Q910" i="18"/>
  <c r="Q901" i="18"/>
  <c r="Q692" i="18"/>
  <c r="Q676" i="18"/>
  <c r="Q677" i="18"/>
  <c r="Q920" i="18"/>
  <c r="Q905" i="18"/>
  <c r="Q672" i="18"/>
  <c r="Q904" i="18"/>
  <c r="Q900" i="18"/>
  <c r="E326" i="7945"/>
  <c r="E327" i="7945" s="1"/>
  <c r="F327" i="7945" s="1"/>
  <c r="L29" i="7946" s="1"/>
  <c r="Q784" i="18"/>
  <c r="Q450" i="7941" s="1"/>
  <c r="K822" i="18"/>
  <c r="J802" i="18"/>
  <c r="O40" i="7941"/>
  <c r="O39" i="7941" s="1"/>
  <c r="O501" i="18"/>
  <c r="O315" i="7942"/>
  <c r="P315" i="7942" s="1"/>
  <c r="N316" i="7942"/>
  <c r="I71" i="7941"/>
  <c r="I202" i="7941"/>
  <c r="J8" i="7941"/>
  <c r="Q664" i="18"/>
  <c r="K697" i="18"/>
  <c r="J926" i="18"/>
  <c r="K705" i="18"/>
  <c r="O162" i="7942"/>
  <c r="P162" i="7942" s="1"/>
  <c r="J807" i="18"/>
  <c r="Q295" i="7942"/>
  <c r="Q296" i="7942" s="1"/>
  <c r="Q343" i="7941" s="1"/>
  <c r="N107" i="7942"/>
  <c r="O108" i="7942"/>
  <c r="O109" i="7942" s="1"/>
  <c r="N109" i="7942"/>
  <c r="J944" i="18"/>
  <c r="O316" i="7942"/>
  <c r="J806" i="18"/>
  <c r="Q893" i="18"/>
  <c r="N135" i="7942"/>
  <c r="O134" i="7942"/>
  <c r="P286" i="7942"/>
  <c r="J467" i="7941"/>
  <c r="K737" i="18"/>
  <c r="Q645" i="7941"/>
  <c r="Q289" i="7941"/>
  <c r="J562" i="18"/>
  <c r="Q685" i="18"/>
  <c r="J813" i="18"/>
  <c r="J101" i="7941"/>
  <c r="K499" i="18"/>
  <c r="M329" i="7942"/>
  <c r="J477" i="7941"/>
  <c r="K747" i="18"/>
  <c r="O165" i="7942"/>
  <c r="O327" i="7942"/>
  <c r="P327" i="7942" s="1"/>
  <c r="P113" i="7942"/>
  <c r="O131" i="7942"/>
  <c r="Q113" i="7942"/>
  <c r="J546" i="18"/>
  <c r="J550" i="18"/>
  <c r="J465" i="7941"/>
  <c r="K735" i="18"/>
  <c r="O761" i="18"/>
  <c r="O428" i="7941"/>
  <c r="O427" i="7941" s="1"/>
  <c r="E172" i="7945"/>
  <c r="Q773" i="18"/>
  <c r="Q439" i="7941" s="1"/>
  <c r="J797" i="18"/>
  <c r="K547" i="18"/>
  <c r="J545" i="18"/>
  <c r="J560" i="18"/>
  <c r="P502" i="18"/>
  <c r="P11" i="18"/>
  <c r="L423" i="7941"/>
  <c r="K585" i="7941"/>
  <c r="K795" i="18"/>
  <c r="J808" i="18"/>
  <c r="K15" i="7941"/>
  <c r="J209" i="7941"/>
  <c r="J924" i="18"/>
  <c r="J729" i="18"/>
  <c r="Q514" i="18"/>
  <c r="Q52" i="7941" s="1"/>
  <c r="E410" i="7945"/>
  <c r="E411" i="7945" s="1"/>
  <c r="F411" i="7945" s="1"/>
  <c r="L35" i="7946" s="1"/>
  <c r="Q790" i="18"/>
  <c r="Q456" i="7941" s="1"/>
  <c r="E354" i="7945"/>
  <c r="E355" i="7945" s="1"/>
  <c r="F355" i="7945" s="1"/>
  <c r="L31" i="7946" s="1"/>
  <c r="Q786" i="18"/>
  <c r="Q452" i="7941" s="1"/>
  <c r="Q520" i="18"/>
  <c r="Q58" i="7941" s="1"/>
  <c r="E102" i="7945"/>
  <c r="Q768" i="18"/>
  <c r="Q434" i="7941" s="1"/>
  <c r="Q919" i="18"/>
  <c r="Q691" i="18"/>
  <c r="J548" i="18"/>
  <c r="J809" i="18"/>
  <c r="N123" i="7942"/>
  <c r="J470" i="7941"/>
  <c r="K740" i="18"/>
  <c r="O142" i="7942"/>
  <c r="P142" i="7942" s="1"/>
  <c r="J810" i="18"/>
  <c r="J203" i="7941"/>
  <c r="K9" i="7941"/>
  <c r="J817" i="18"/>
  <c r="K949" i="18"/>
  <c r="J398" i="7941"/>
  <c r="I560" i="7941"/>
  <c r="K721" i="18"/>
  <c r="K17" i="7941"/>
  <c r="J211" i="7941"/>
  <c r="J561" i="18"/>
  <c r="N310" i="7942"/>
  <c r="J552" i="18"/>
  <c r="I578" i="7941"/>
  <c r="J416" i="7941"/>
  <c r="O122" i="7942"/>
  <c r="O123" i="7942" s="1"/>
  <c r="Q665" i="18"/>
  <c r="O156" i="7942"/>
  <c r="N270" i="7942"/>
  <c r="Q312" i="7942"/>
  <c r="Q351" i="7941" s="1"/>
  <c r="P164" i="7942"/>
  <c r="J815" i="18"/>
  <c r="Q693" i="18"/>
  <c r="J698" i="18"/>
  <c r="P296" i="7942" l="1"/>
  <c r="Q899" i="18"/>
  <c r="Q671" i="18"/>
  <c r="Q274" i="7942"/>
  <c r="Q332" i="7941" s="1"/>
  <c r="Q896" i="18"/>
  <c r="O296" i="7942"/>
  <c r="Q666" i="18"/>
  <c r="Q894" i="18"/>
  <c r="Q136" i="7942"/>
  <c r="Q137" i="7942" s="1"/>
  <c r="Q280" i="7941" s="1"/>
  <c r="Q291" i="7942"/>
  <c r="Q292" i="7942" s="1"/>
  <c r="Q341" i="7941" s="1"/>
  <c r="O292" i="7942"/>
  <c r="P292" i="7942"/>
  <c r="O663" i="18"/>
  <c r="Q319" i="7942"/>
  <c r="Q320" i="7942" s="1"/>
  <c r="Q355" i="7941" s="1"/>
  <c r="P666" i="18"/>
  <c r="P894" i="18"/>
  <c r="Q325" i="7942"/>
  <c r="Q326" i="7942" s="1"/>
  <c r="Q358" i="7941" s="1"/>
  <c r="P689" i="18"/>
  <c r="P917" i="18"/>
  <c r="Q413" i="18"/>
  <c r="Q400" i="18"/>
  <c r="P916" i="18"/>
  <c r="P688" i="18"/>
  <c r="O891" i="18"/>
  <c r="Q307" i="7942"/>
  <c r="Q308" i="7942" s="1"/>
  <c r="Q349" i="7941" s="1"/>
  <c r="P294" i="7942"/>
  <c r="P297" i="7942"/>
  <c r="Q297" i="7942" s="1"/>
  <c r="Q298" i="7942" s="1"/>
  <c r="Q344" i="7941" s="1"/>
  <c r="P317" i="7942"/>
  <c r="P318" i="7942" s="1"/>
  <c r="Q313" i="7942"/>
  <c r="Q314" i="7942" s="1"/>
  <c r="Q352" i="7941" s="1"/>
  <c r="O137" i="7942"/>
  <c r="P304" i="7942"/>
  <c r="O304" i="7942"/>
  <c r="Q281" i="7942"/>
  <c r="Q282" i="7942" s="1"/>
  <c r="Q336" i="7941" s="1"/>
  <c r="O282" i="7942"/>
  <c r="P127" i="7942"/>
  <c r="P150" i="7942"/>
  <c r="P151" i="7942" s="1"/>
  <c r="Q166" i="7942"/>
  <c r="Q167" i="7942" s="1"/>
  <c r="Q295" i="7941" s="1"/>
  <c r="Q630" i="7941"/>
  <c r="Q144" i="7942"/>
  <c r="Q145" i="7942" s="1"/>
  <c r="Q284" i="7941" s="1"/>
  <c r="Q632" i="7941"/>
  <c r="Q303" i="7942"/>
  <c r="Q304" i="7942" s="1"/>
  <c r="Q347" i="7941" s="1"/>
  <c r="Q271" i="7942"/>
  <c r="Q272" i="7942" s="1"/>
  <c r="Q331" i="7941" s="1"/>
  <c r="P153" i="7942"/>
  <c r="Q291" i="7941"/>
  <c r="Q647" i="7941"/>
  <c r="O270" i="7942"/>
  <c r="O328" i="7942"/>
  <c r="P290" i="7942"/>
  <c r="P284" i="7942"/>
  <c r="Q323" i="7942"/>
  <c r="Q324" i="7942" s="1"/>
  <c r="Q357" i="7941" s="1"/>
  <c r="Q898" i="18"/>
  <c r="Q126" i="7942"/>
  <c r="Q127" i="7942" s="1"/>
  <c r="Q631" i="7941" s="1"/>
  <c r="Q281" i="7941"/>
  <c r="P129" i="7942"/>
  <c r="O127" i="7942"/>
  <c r="Q627" i="7941"/>
  <c r="Q271" i="7941"/>
  <c r="O115" i="7942"/>
  <c r="P114" i="7942"/>
  <c r="Q114" i="7942" s="1"/>
  <c r="Q115" i="7942" s="1"/>
  <c r="O121" i="7942"/>
  <c r="P120" i="7942"/>
  <c r="Q120" i="7942" s="1"/>
  <c r="P122" i="7942"/>
  <c r="Q122" i="7942" s="1"/>
  <c r="Q123" i="7942" s="1"/>
  <c r="Q629" i="7941" s="1"/>
  <c r="P108" i="7942"/>
  <c r="Q288" i="7942"/>
  <c r="Q339" i="7941" s="1"/>
  <c r="P299" i="7942"/>
  <c r="O300" i="7942"/>
  <c r="P288" i="7942"/>
  <c r="Q670" i="18"/>
  <c r="Q116" i="7942"/>
  <c r="Q117" i="7942" s="1"/>
  <c r="P117" i="7942"/>
  <c r="P75" i="18"/>
  <c r="P898" i="18"/>
  <c r="P670" i="18"/>
  <c r="O143" i="7942"/>
  <c r="P141" i="7942"/>
  <c r="P148" i="7942"/>
  <c r="Q148" i="7942" s="1"/>
  <c r="E341" i="7945"/>
  <c r="F340" i="7945"/>
  <c r="E103" i="7945"/>
  <c r="F103" i="7945" s="1"/>
  <c r="F102" i="7945"/>
  <c r="E243" i="7945"/>
  <c r="F242" i="7945"/>
  <c r="E229" i="7945"/>
  <c r="F228" i="7945"/>
  <c r="E285" i="7945"/>
  <c r="F284" i="7945"/>
  <c r="E271" i="7945"/>
  <c r="F270" i="7945"/>
  <c r="E201" i="7945"/>
  <c r="F200" i="7945"/>
  <c r="E313" i="7945"/>
  <c r="F312" i="7945"/>
  <c r="E47" i="7945"/>
  <c r="F46" i="7945"/>
  <c r="E145" i="7945"/>
  <c r="F144" i="7945"/>
  <c r="E187" i="7945"/>
  <c r="F186" i="7945"/>
  <c r="E257" i="7945"/>
  <c r="F256" i="7945"/>
  <c r="E215" i="7945"/>
  <c r="F214" i="7945"/>
  <c r="E159" i="7945"/>
  <c r="F158" i="7945"/>
  <c r="E61" i="7945"/>
  <c r="F60" i="7945"/>
  <c r="E299" i="7945"/>
  <c r="F298" i="7945"/>
  <c r="E117" i="7945"/>
  <c r="F116" i="7945"/>
  <c r="E173" i="7945"/>
  <c r="F172" i="7945"/>
  <c r="E89" i="7945"/>
  <c r="F89" i="7945" s="1"/>
  <c r="F88" i="7945"/>
  <c r="P328" i="7942"/>
  <c r="Q327" i="7942"/>
  <c r="Q328" i="7942" s="1"/>
  <c r="Q359" i="7941" s="1"/>
  <c r="Q142" i="7942"/>
  <c r="Q143" i="7942" s="1"/>
  <c r="P143" i="7942"/>
  <c r="Q162" i="7942"/>
  <c r="Q163" i="7942" s="1"/>
  <c r="P163" i="7942"/>
  <c r="Q282" i="7941"/>
  <c r="Q638" i="7941"/>
  <c r="J568" i="7941"/>
  <c r="K406" i="7941"/>
  <c r="J231" i="7941"/>
  <c r="K37" i="7941"/>
  <c r="J814" i="18"/>
  <c r="K535" i="18"/>
  <c r="I201" i="7941"/>
  <c r="K942" i="18"/>
  <c r="P147" i="7942"/>
  <c r="Q11" i="18"/>
  <c r="Q502" i="18"/>
  <c r="Q269" i="7942"/>
  <c r="I557" i="7941"/>
  <c r="J536" i="18"/>
  <c r="J99" i="7941"/>
  <c r="K497" i="18"/>
  <c r="K559" i="18"/>
  <c r="J483" i="7941"/>
  <c r="K753" i="18"/>
  <c r="J476" i="7941"/>
  <c r="K746" i="18"/>
  <c r="J923" i="18"/>
  <c r="J794" i="18"/>
  <c r="K929" i="18"/>
  <c r="O157" i="7942"/>
  <c r="J90" i="7941"/>
  <c r="K488" i="18"/>
  <c r="J563" i="7941"/>
  <c r="K401" i="7941"/>
  <c r="Q624" i="7941"/>
  <c r="Q268" i="7941"/>
  <c r="J796" i="18"/>
  <c r="K488" i="7941"/>
  <c r="L758" i="18"/>
  <c r="J481" i="7941"/>
  <c r="K751" i="18"/>
  <c r="K819" i="18"/>
  <c r="K934" i="18"/>
  <c r="J475" i="7941"/>
  <c r="K745" i="18"/>
  <c r="J86" i="7941"/>
  <c r="K484" i="18"/>
  <c r="J474" i="7941"/>
  <c r="K744" i="18"/>
  <c r="M423" i="7941"/>
  <c r="N423" i="7941" s="1"/>
  <c r="O423" i="7941" s="1"/>
  <c r="K85" i="7941"/>
  <c r="L483" i="18"/>
  <c r="K941" i="18"/>
  <c r="K725" i="18"/>
  <c r="J100" i="7941"/>
  <c r="K498" i="18"/>
  <c r="P270" i="7942"/>
  <c r="P134" i="7942"/>
  <c r="O135" i="7942"/>
  <c r="J7" i="7941"/>
  <c r="Q315" i="7942"/>
  <c r="Q316" i="7942" s="1"/>
  <c r="Q353" i="7941" s="1"/>
  <c r="P316" i="7942"/>
  <c r="J468" i="7941"/>
  <c r="K738" i="18"/>
  <c r="O163" i="7942"/>
  <c r="P156" i="7942"/>
  <c r="P157" i="7942" s="1"/>
  <c r="K717" i="18"/>
  <c r="J489" i="7941"/>
  <c r="K759" i="18"/>
  <c r="R16" i="7944"/>
  <c r="R7" i="7944" s="1"/>
  <c r="Q7" i="7944"/>
  <c r="Q110" i="7942"/>
  <c r="Q111" i="7942" s="1"/>
  <c r="P111" i="7942"/>
  <c r="P280" i="7942"/>
  <c r="Q280" i="7942"/>
  <c r="Q335" i="7941" s="1"/>
  <c r="J91" i="7941"/>
  <c r="K489" i="18"/>
  <c r="J567" i="7941"/>
  <c r="K405" i="7941"/>
  <c r="J482" i="7941"/>
  <c r="K752" i="18"/>
  <c r="P309" i="7942"/>
  <c r="Q309" i="7942" s="1"/>
  <c r="Q310" i="7942" s="1"/>
  <c r="Q350" i="7941" s="1"/>
  <c r="J395" i="7941"/>
  <c r="N168" i="7942"/>
  <c r="P165" i="7942"/>
  <c r="J88" i="7941"/>
  <c r="K486" i="18"/>
  <c r="J575" i="7941"/>
  <c r="K413" i="7941"/>
  <c r="J479" i="7941"/>
  <c r="K749" i="18"/>
  <c r="K931" i="18"/>
  <c r="J472" i="7941"/>
  <c r="K742" i="18"/>
  <c r="J223" i="7941"/>
  <c r="K29" i="7941"/>
  <c r="P428" i="7941"/>
  <c r="P427" i="7941" s="1"/>
  <c r="P761" i="18"/>
  <c r="Q636" i="7941"/>
  <c r="Q43" i="18"/>
  <c r="E18" i="7945"/>
  <c r="Q762" i="18"/>
  <c r="J484" i="7941"/>
  <c r="K754" i="18"/>
  <c r="K461" i="7941"/>
  <c r="L731" i="18"/>
  <c r="J83" i="7941"/>
  <c r="K481" i="18"/>
  <c r="Q317" i="7942"/>
  <c r="Q318" i="7942" s="1"/>
  <c r="Q354" i="7941" s="1"/>
  <c r="J565" i="7941"/>
  <c r="K403" i="7941"/>
  <c r="O107" i="7942"/>
  <c r="O168" i="7942" s="1"/>
  <c r="J473" i="7941"/>
  <c r="K743" i="18"/>
  <c r="K543" i="18"/>
  <c r="J94" i="7941"/>
  <c r="K492" i="18"/>
  <c r="K701" i="18"/>
  <c r="L821" i="18"/>
  <c r="M951" i="18"/>
  <c r="M821" i="18" s="1"/>
  <c r="M487" i="7941" s="1"/>
  <c r="K414" i="7941"/>
  <c r="J576" i="7941"/>
  <c r="J78" i="7941"/>
  <c r="K476" i="18"/>
  <c r="K87" i="7941"/>
  <c r="L485" i="18"/>
  <c r="Q648" i="7941"/>
  <c r="Q292" i="7941"/>
  <c r="Q164" i="7942"/>
  <c r="Q165" i="7942" s="1"/>
  <c r="P275" i="7942"/>
  <c r="P276" i="7942" s="1"/>
  <c r="J464" i="7941"/>
  <c r="K734" i="18"/>
  <c r="J92" i="7941"/>
  <c r="K490" i="18"/>
  <c r="O268" i="7942"/>
  <c r="O329" i="7942" s="1"/>
  <c r="L713" i="18"/>
  <c r="K719" i="18"/>
  <c r="K950" i="18"/>
  <c r="Q130" i="7942"/>
  <c r="Q131" i="7942" s="1"/>
  <c r="Q305" i="7942"/>
  <c r="Q306" i="7942" s="1"/>
  <c r="Q348" i="7941" s="1"/>
  <c r="J82" i="7941"/>
  <c r="K480" i="18"/>
  <c r="P501" i="18"/>
  <c r="P40" i="7941"/>
  <c r="P39" i="7941" s="1"/>
  <c r="J98" i="7941"/>
  <c r="K496" i="18"/>
  <c r="J463" i="7941"/>
  <c r="K733" i="18"/>
  <c r="J84" i="7941"/>
  <c r="K482" i="18"/>
  <c r="K541" i="18"/>
  <c r="J75" i="7941"/>
  <c r="K473" i="18"/>
  <c r="J207" i="7941"/>
  <c r="K13" i="7941"/>
  <c r="Q153" i="7942"/>
  <c r="P302" i="7942"/>
  <c r="Q301" i="7942"/>
  <c r="Q302" i="7942" s="1"/>
  <c r="Q346" i="7941" s="1"/>
  <c r="J96" i="7941"/>
  <c r="K494" i="18"/>
  <c r="J695" i="18"/>
  <c r="E7" i="7948" s="1"/>
  <c r="E9" i="7948" s="1"/>
  <c r="J534" i="18"/>
  <c r="Q146" i="7942"/>
  <c r="Q147" i="7942" s="1"/>
  <c r="K933" i="18"/>
  <c r="F32" i="7945"/>
  <c r="E33" i="7945"/>
  <c r="J76" i="7941"/>
  <c r="K474" i="18"/>
  <c r="K219" i="7941"/>
  <c r="L25" i="7941"/>
  <c r="J471" i="7941"/>
  <c r="K741" i="18"/>
  <c r="J225" i="7941"/>
  <c r="K31" i="7941"/>
  <c r="J80" i="7941"/>
  <c r="K478" i="18"/>
  <c r="J466" i="7941"/>
  <c r="K736" i="18"/>
  <c r="J584" i="7941"/>
  <c r="K422" i="7941"/>
  <c r="Q651" i="7941" l="1"/>
  <c r="P298" i="7942"/>
  <c r="P891" i="18"/>
  <c r="Q916" i="18"/>
  <c r="Q688" i="18"/>
  <c r="Q689" i="18"/>
  <c r="Q917" i="18"/>
  <c r="Q75" i="18"/>
  <c r="P663" i="18"/>
  <c r="Q640" i="7941"/>
  <c r="Q150" i="7942"/>
  <c r="Q151" i="7942" s="1"/>
  <c r="Q643" i="7941" s="1"/>
  <c r="Q275" i="7941"/>
  <c r="Q149" i="7942"/>
  <c r="Q286" i="7941" s="1"/>
  <c r="N951" i="18"/>
  <c r="N821" i="18" s="1"/>
  <c r="N487" i="7941" s="1"/>
  <c r="P310" i="7942"/>
  <c r="P115" i="7942"/>
  <c r="F299" i="7945"/>
  <c r="L27" i="7946" s="1"/>
  <c r="F257" i="7945"/>
  <c r="L24" i="7946" s="1"/>
  <c r="F271" i="7945"/>
  <c r="L25" i="7946" s="1"/>
  <c r="F243" i="7945"/>
  <c r="L23" i="7946" s="1"/>
  <c r="F341" i="7945"/>
  <c r="L30" i="7946" s="1"/>
  <c r="P107" i="7942"/>
  <c r="P168" i="7942" s="1"/>
  <c r="P121" i="7942"/>
  <c r="P149" i="7942"/>
  <c r="Q121" i="7942"/>
  <c r="Q628" i="7941" s="1"/>
  <c r="Q273" i="7941"/>
  <c r="Q269" i="7941"/>
  <c r="Q625" i="7941"/>
  <c r="F187" i="7945"/>
  <c r="L19" i="7946" s="1"/>
  <c r="F285" i="7945"/>
  <c r="L26" i="7946" s="1"/>
  <c r="F215" i="7945"/>
  <c r="L21" i="7946" s="1"/>
  <c r="F201" i="7945"/>
  <c r="L20" i="7946" s="1"/>
  <c r="F33" i="7945"/>
  <c r="L8" i="7946" s="1"/>
  <c r="P109" i="7942"/>
  <c r="Q108" i="7942"/>
  <c r="Q109" i="7942" s="1"/>
  <c r="F173" i="7945"/>
  <c r="L18" i="7946" s="1"/>
  <c r="F159" i="7945"/>
  <c r="L17" i="7946" s="1"/>
  <c r="F145" i="7945"/>
  <c r="L16" i="7946" s="1"/>
  <c r="F313" i="7945"/>
  <c r="L28" i="7946" s="1"/>
  <c r="F229" i="7945"/>
  <c r="L22" i="7946" s="1"/>
  <c r="Q626" i="7941"/>
  <c r="Q270" i="7941"/>
  <c r="Q299" i="7942"/>
  <c r="Q300" i="7942" s="1"/>
  <c r="Q345" i="7941" s="1"/>
  <c r="P300" i="7942"/>
  <c r="P123" i="7942"/>
  <c r="F117" i="7945"/>
  <c r="L14" i="7946" s="1"/>
  <c r="F61" i="7945"/>
  <c r="L10" i="7946" s="1"/>
  <c r="F47" i="7945"/>
  <c r="L9" i="7946" s="1"/>
  <c r="Q641" i="7941"/>
  <c r="Q285" i="7941"/>
  <c r="Q650" i="7941"/>
  <c r="Q294" i="7941"/>
  <c r="P423" i="7941"/>
  <c r="Q423" i="7941" s="1"/>
  <c r="J533" i="18"/>
  <c r="J72" i="7941"/>
  <c r="K470" i="18"/>
  <c r="L551" i="18"/>
  <c r="M713" i="18"/>
  <c r="M551" i="18" s="1"/>
  <c r="M89" i="7941" s="1"/>
  <c r="J222" i="7941"/>
  <c r="K28" i="7941"/>
  <c r="L711" i="18"/>
  <c r="L487" i="7941"/>
  <c r="L585" i="7941" s="1"/>
  <c r="M757" i="18"/>
  <c r="K718" i="18"/>
  <c r="K81" i="7941"/>
  <c r="L479" i="18"/>
  <c r="K19" i="7941"/>
  <c r="J213" i="7941"/>
  <c r="K415" i="7941"/>
  <c r="J577" i="7941"/>
  <c r="K24" i="7941"/>
  <c r="J218" i="7941"/>
  <c r="K555" i="18"/>
  <c r="K404" i="7941"/>
  <c r="J566" i="7941"/>
  <c r="K938" i="18"/>
  <c r="K22" i="7941"/>
  <c r="J216" i="7941"/>
  <c r="K485" i="7941"/>
  <c r="L755" i="18"/>
  <c r="K723" i="18"/>
  <c r="Q501" i="18"/>
  <c r="Q40" i="7941"/>
  <c r="Q39" i="7941" s="1"/>
  <c r="K704" i="18"/>
  <c r="J210" i="7941"/>
  <c r="K16" i="7941"/>
  <c r="J569" i="7941"/>
  <c r="K407" i="7941"/>
  <c r="K700" i="18"/>
  <c r="K720" i="18"/>
  <c r="K699" i="18"/>
  <c r="K20" i="7941"/>
  <c r="J214" i="7941"/>
  <c r="K18" i="7941"/>
  <c r="J212" i="7941"/>
  <c r="J562" i="7941"/>
  <c r="K400" i="7941"/>
  <c r="K930" i="18"/>
  <c r="M25" i="7941"/>
  <c r="J206" i="7941"/>
  <c r="K12" i="7941"/>
  <c r="K803" i="18"/>
  <c r="K32" i="7941"/>
  <c r="J226" i="7941"/>
  <c r="J205" i="7941"/>
  <c r="K11" i="7941"/>
  <c r="K927" i="18"/>
  <c r="K820" i="18"/>
  <c r="K716" i="18"/>
  <c r="Q275" i="7942"/>
  <c r="Q276" i="7942" s="1"/>
  <c r="Q333" i="7941" s="1"/>
  <c r="K702" i="18"/>
  <c r="K707" i="18"/>
  <c r="F18" i="7945"/>
  <c r="E19" i="7945"/>
  <c r="K408" i="7941"/>
  <c r="J570" i="7941"/>
  <c r="K943" i="18"/>
  <c r="K712" i="18"/>
  <c r="J580" i="7941"/>
  <c r="K418" i="7941"/>
  <c r="K27" i="7941"/>
  <c r="J221" i="7941"/>
  <c r="K932" i="18"/>
  <c r="K563" i="18"/>
  <c r="K811" i="18"/>
  <c r="K710" i="18"/>
  <c r="K945" i="18"/>
  <c r="K26" i="7941"/>
  <c r="J220" i="7941"/>
  <c r="K940" i="18"/>
  <c r="K97" i="7941"/>
  <c r="L495" i="18"/>
  <c r="J74" i="7941"/>
  <c r="K472" i="18"/>
  <c r="P268" i="7942"/>
  <c r="P329" i="7942" s="1"/>
  <c r="K73" i="7941"/>
  <c r="L471" i="18"/>
  <c r="K402" i="7941"/>
  <c r="J564" i="7941"/>
  <c r="J561" i="7941"/>
  <c r="K399" i="7941"/>
  <c r="Q277" i="7941"/>
  <c r="Q633" i="7941"/>
  <c r="K14" i="7941"/>
  <c r="J208" i="7941"/>
  <c r="J574" i="7941"/>
  <c r="K412" i="7941"/>
  <c r="K935" i="18"/>
  <c r="K79" i="7941"/>
  <c r="L477" i="18"/>
  <c r="K708" i="18"/>
  <c r="K722" i="18"/>
  <c r="K706" i="18"/>
  <c r="K928" i="18"/>
  <c r="K217" i="7941"/>
  <c r="L23" i="7941"/>
  <c r="J224" i="7941"/>
  <c r="K30" i="7941"/>
  <c r="K937" i="18"/>
  <c r="L925" i="18"/>
  <c r="K420" i="7941"/>
  <c r="J582" i="7941"/>
  <c r="K953" i="18"/>
  <c r="K36" i="7941"/>
  <c r="J230" i="7941"/>
  <c r="K215" i="7941"/>
  <c r="L21" i="7941"/>
  <c r="K410" i="7941"/>
  <c r="J572" i="7941"/>
  <c r="K939" i="18"/>
  <c r="K804" i="18"/>
  <c r="L952" i="18"/>
  <c r="K799" i="18"/>
  <c r="K947" i="18"/>
  <c r="K35" i="7941"/>
  <c r="J229" i="7941"/>
  <c r="J480" i="7941"/>
  <c r="K750" i="18"/>
  <c r="Q649" i="7941"/>
  <c r="Q293" i="7941"/>
  <c r="K948" i="18"/>
  <c r="K724" i="18"/>
  <c r="L709" i="18"/>
  <c r="J579" i="7941"/>
  <c r="K417" i="7941"/>
  <c r="J793" i="18"/>
  <c r="J460" i="7941"/>
  <c r="K730" i="18"/>
  <c r="Q644" i="7941"/>
  <c r="Q288" i="7941"/>
  <c r="J228" i="7941"/>
  <c r="K34" i="7941"/>
  <c r="K557" i="18"/>
  <c r="K539" i="18"/>
  <c r="J571" i="7941"/>
  <c r="K409" i="7941"/>
  <c r="L397" i="7941"/>
  <c r="K559" i="7941"/>
  <c r="Q761" i="18"/>
  <c r="Q428" i="7941"/>
  <c r="Q427" i="7941" s="1"/>
  <c r="K936" i="18"/>
  <c r="K801" i="18"/>
  <c r="K946" i="18"/>
  <c r="K715" i="18"/>
  <c r="Q267" i="7941"/>
  <c r="Q623" i="7941"/>
  <c r="K425" i="7941"/>
  <c r="J587" i="7941"/>
  <c r="P135" i="7942"/>
  <c r="Q134" i="7942"/>
  <c r="Q135" i="7942" s="1"/>
  <c r="J573" i="7941"/>
  <c r="K411" i="7941"/>
  <c r="L424" i="7941"/>
  <c r="K586" i="7941"/>
  <c r="J462" i="7941"/>
  <c r="K732" i="18"/>
  <c r="K714" i="18"/>
  <c r="Q156" i="7942"/>
  <c r="Q157" i="7942" s="1"/>
  <c r="K419" i="7941"/>
  <c r="J581" i="7941"/>
  <c r="Q270" i="7942"/>
  <c r="Q330" i="7941" s="1"/>
  <c r="K812" i="18"/>
  <c r="Q283" i="7941"/>
  <c r="Q639" i="7941"/>
  <c r="Q891" i="18" l="1"/>
  <c r="Q642" i="7941"/>
  <c r="Q663" i="18"/>
  <c r="Q287" i="7941"/>
  <c r="O951" i="18"/>
  <c r="P951" i="18" s="1"/>
  <c r="P821" i="18" s="1"/>
  <c r="P487" i="7941" s="1"/>
  <c r="Q268" i="7942"/>
  <c r="Q329" i="7942" s="1"/>
  <c r="Q272" i="7941"/>
  <c r="F19" i="7945"/>
  <c r="L7" i="7946" s="1"/>
  <c r="Q266" i="7941"/>
  <c r="Q622" i="7941"/>
  <c r="Q329" i="7941"/>
  <c r="N713" i="18"/>
  <c r="N551" i="18" s="1"/>
  <c r="N89" i="7941" s="1"/>
  <c r="K816" i="18"/>
  <c r="K95" i="7941"/>
  <c r="L493" i="18"/>
  <c r="K944" i="18"/>
  <c r="K465" i="7941"/>
  <c r="L735" i="18"/>
  <c r="K823" i="18"/>
  <c r="L15" i="7941"/>
  <c r="K209" i="7941"/>
  <c r="K10" i="7941"/>
  <c r="J204" i="7941"/>
  <c r="K486" i="7941"/>
  <c r="L756" i="18"/>
  <c r="K542" i="18"/>
  <c r="L949" i="18"/>
  <c r="K552" i="18"/>
  <c r="J578" i="7941"/>
  <c r="K416" i="7941"/>
  <c r="K470" i="7941"/>
  <c r="L740" i="18"/>
  <c r="L795" i="18"/>
  <c r="M925" i="18"/>
  <c r="M795" i="18" s="1"/>
  <c r="M461" i="7941" s="1"/>
  <c r="M23" i="7941"/>
  <c r="N23" i="7941" s="1"/>
  <c r="K546" i="18"/>
  <c r="K203" i="7941"/>
  <c r="L9" i="7941"/>
  <c r="L721" i="18"/>
  <c r="K810" i="18"/>
  <c r="K815" i="18"/>
  <c r="K548" i="18"/>
  <c r="K101" i="7941"/>
  <c r="L499" i="18"/>
  <c r="K813" i="18"/>
  <c r="K545" i="18"/>
  <c r="K469" i="7941"/>
  <c r="L739" i="18"/>
  <c r="N25" i="7941"/>
  <c r="K561" i="18"/>
  <c r="K583" i="7941"/>
  <c r="L421" i="7941"/>
  <c r="L705" i="18"/>
  <c r="K556" i="18"/>
  <c r="J560" i="7941"/>
  <c r="K398" i="7941"/>
  <c r="K818" i="18"/>
  <c r="K809" i="18"/>
  <c r="K805" i="18"/>
  <c r="K802" i="18"/>
  <c r="Q279" i="7941"/>
  <c r="Q635" i="7941"/>
  <c r="K553" i="18"/>
  <c r="K478" i="7941"/>
  <c r="L748" i="18"/>
  <c r="M424" i="7941"/>
  <c r="N424" i="7941" s="1"/>
  <c r="O424" i="7941" s="1"/>
  <c r="P424" i="7941" s="1"/>
  <c r="Q424" i="7941" s="1"/>
  <c r="K806" i="18"/>
  <c r="L547" i="18"/>
  <c r="M709" i="18"/>
  <c r="M547" i="18" s="1"/>
  <c r="M85" i="7941" s="1"/>
  <c r="K562" i="18"/>
  <c r="K817" i="18"/>
  <c r="K560" i="18"/>
  <c r="L33" i="7941"/>
  <c r="K227" i="7941"/>
  <c r="K550" i="18"/>
  <c r="K540" i="18"/>
  <c r="K554" i="18"/>
  <c r="K797" i="18"/>
  <c r="K800" i="18"/>
  <c r="K558" i="18"/>
  <c r="K538" i="18"/>
  <c r="K808" i="18"/>
  <c r="K93" i="7941"/>
  <c r="L491" i="18"/>
  <c r="L17" i="7941"/>
  <c r="K211" i="7941"/>
  <c r="N757" i="18"/>
  <c r="O757" i="18" s="1"/>
  <c r="P757" i="18" s="1"/>
  <c r="Q757" i="18" s="1"/>
  <c r="R757" i="18" s="1"/>
  <c r="L549" i="18"/>
  <c r="M711" i="18"/>
  <c r="M549" i="18" s="1"/>
  <c r="M87" i="7941" s="1"/>
  <c r="L89" i="7941"/>
  <c r="L219" i="7941" s="1"/>
  <c r="M487" i="18"/>
  <c r="K469" i="18"/>
  <c r="F5" i="7948" s="1"/>
  <c r="K696" i="18"/>
  <c r="J459" i="7941"/>
  <c r="J558" i="7941"/>
  <c r="K396" i="7941"/>
  <c r="K798" i="18"/>
  <c r="L697" i="18"/>
  <c r="Q290" i="7941"/>
  <c r="Q646" i="7941"/>
  <c r="K926" i="18"/>
  <c r="K467" i="7941"/>
  <c r="L737" i="18"/>
  <c r="M397" i="7941"/>
  <c r="N397" i="7941" s="1"/>
  <c r="O397" i="7941" s="1"/>
  <c r="P397" i="7941" s="1"/>
  <c r="K77" i="7941"/>
  <c r="L475" i="18"/>
  <c r="K729" i="18"/>
  <c r="K924" i="18"/>
  <c r="L822" i="18"/>
  <c r="M952" i="18"/>
  <c r="M822" i="18" s="1"/>
  <c r="M488" i="7941" s="1"/>
  <c r="M21" i="7941"/>
  <c r="N21" i="7941" s="1"/>
  <c r="K807" i="18"/>
  <c r="O821" i="18"/>
  <c r="O487" i="7941" s="1"/>
  <c r="K544" i="18"/>
  <c r="L703" i="18"/>
  <c r="K698" i="18"/>
  <c r="Q107" i="7942"/>
  <c r="Q168" i="7942" s="1"/>
  <c r="K477" i="7941"/>
  <c r="L747" i="18"/>
  <c r="K537" i="18"/>
  <c r="M585" i="7941"/>
  <c r="N585" i="7941" s="1"/>
  <c r="O585" i="7941" s="1"/>
  <c r="P585" i="7941" s="1"/>
  <c r="Q585" i="7941" s="1"/>
  <c r="J71" i="7941"/>
  <c r="J202" i="7941"/>
  <c r="K8" i="7941"/>
  <c r="Q265" i="7941" l="1"/>
  <c r="Q621" i="7941"/>
  <c r="N952" i="18"/>
  <c r="O713" i="18"/>
  <c r="O551" i="18" s="1"/>
  <c r="O89" i="7941" s="1"/>
  <c r="N711" i="18"/>
  <c r="N549" i="18" s="1"/>
  <c r="N87" i="7941" s="1"/>
  <c r="O25" i="7941"/>
  <c r="P25" i="7941" s="1"/>
  <c r="Q25" i="7941" s="1"/>
  <c r="O21" i="7941"/>
  <c r="P21" i="7941" s="1"/>
  <c r="Q21" i="7941" s="1"/>
  <c r="Q397" i="7941"/>
  <c r="O23" i="7941"/>
  <c r="P23" i="7941" s="1"/>
  <c r="Q23" i="7941" s="1"/>
  <c r="K473" i="7941"/>
  <c r="L743" i="18"/>
  <c r="L488" i="7941"/>
  <c r="L586" i="7941" s="1"/>
  <c r="M758" i="18"/>
  <c r="L535" i="18"/>
  <c r="M697" i="18"/>
  <c r="M535" i="18" s="1"/>
  <c r="M73" i="7941" s="1"/>
  <c r="M219" i="7941"/>
  <c r="N219" i="7941" s="1"/>
  <c r="O219" i="7941" s="1"/>
  <c r="P219" i="7941" s="1"/>
  <c r="Q219" i="7941" s="1"/>
  <c r="K483" i="7941"/>
  <c r="L753" i="18"/>
  <c r="L414" i="7941"/>
  <c r="K576" i="7941"/>
  <c r="K468" i="7941"/>
  <c r="L738" i="18"/>
  <c r="M9" i="7941"/>
  <c r="N9" i="7941" s="1"/>
  <c r="L406" i="7941"/>
  <c r="K568" i="7941"/>
  <c r="K90" i="7941"/>
  <c r="L488" i="18"/>
  <c r="K489" i="7941"/>
  <c r="L759" i="18"/>
  <c r="L31" i="7941"/>
  <c r="K225" i="7941"/>
  <c r="K7" i="7941"/>
  <c r="L541" i="18"/>
  <c r="Q951" i="18"/>
  <c r="Q821" i="18" s="1"/>
  <c r="Q487" i="7941" s="1"/>
  <c r="K923" i="18"/>
  <c r="K794" i="18"/>
  <c r="K464" i="7941"/>
  <c r="L734" i="18"/>
  <c r="K695" i="18"/>
  <c r="F7" i="7948" s="1"/>
  <c r="F9" i="7948" s="1"/>
  <c r="K534" i="18"/>
  <c r="K474" i="7941"/>
  <c r="L744" i="18"/>
  <c r="K76" i="7941"/>
  <c r="L474" i="18"/>
  <c r="K463" i="7941"/>
  <c r="L733" i="18"/>
  <c r="K78" i="7941"/>
  <c r="L476" i="18"/>
  <c r="L85" i="7941"/>
  <c r="L215" i="7941" s="1"/>
  <c r="M483" i="18"/>
  <c r="K472" i="7941"/>
  <c r="L742" i="18"/>
  <c r="K471" i="7941"/>
  <c r="L741" i="18"/>
  <c r="K484" i="7941"/>
  <c r="L754" i="18"/>
  <c r="K567" i="7941"/>
  <c r="L405" i="7941"/>
  <c r="K83" i="7941"/>
  <c r="L481" i="18"/>
  <c r="L725" i="18"/>
  <c r="K84" i="7941"/>
  <c r="L482" i="18"/>
  <c r="K575" i="7941"/>
  <c r="L413" i="7941"/>
  <c r="L13" i="7941"/>
  <c r="K207" i="7941"/>
  <c r="K88" i="7941"/>
  <c r="L486" i="18"/>
  <c r="L933" i="18"/>
  <c r="K86" i="7941"/>
  <c r="L484" i="18"/>
  <c r="K476" i="7941"/>
  <c r="L746" i="18"/>
  <c r="K80" i="7941"/>
  <c r="L478" i="18"/>
  <c r="K75" i="7941"/>
  <c r="L473" i="18"/>
  <c r="K796" i="18"/>
  <c r="K395" i="7941"/>
  <c r="M17" i="7941"/>
  <c r="N17" i="7941" s="1"/>
  <c r="L717" i="18"/>
  <c r="K466" i="7941"/>
  <c r="L736" i="18"/>
  <c r="M33" i="7941"/>
  <c r="K91" i="7941"/>
  <c r="L489" i="18"/>
  <c r="L543" i="18"/>
  <c r="M705" i="18"/>
  <c r="M543" i="18" s="1"/>
  <c r="M81" i="7941" s="1"/>
  <c r="K231" i="7941"/>
  <c r="L37" i="7941"/>
  <c r="K481" i="7941"/>
  <c r="L751" i="18"/>
  <c r="N925" i="18"/>
  <c r="L819" i="18"/>
  <c r="M949" i="18"/>
  <c r="L929" i="18"/>
  <c r="K814" i="18"/>
  <c r="K482" i="7941"/>
  <c r="L752" i="18"/>
  <c r="K82" i="7941"/>
  <c r="L480" i="18"/>
  <c r="K565" i="7941"/>
  <c r="L403" i="7941"/>
  <c r="M421" i="7941"/>
  <c r="N421" i="7941" s="1"/>
  <c r="K584" i="7941"/>
  <c r="L422" i="7941"/>
  <c r="J201" i="7941"/>
  <c r="L941" i="18"/>
  <c r="K536" i="18"/>
  <c r="L701" i="18"/>
  <c r="L931" i="18"/>
  <c r="J557" i="7941"/>
  <c r="N487" i="18"/>
  <c r="L87" i="7941"/>
  <c r="L217" i="7941" s="1"/>
  <c r="M485" i="18"/>
  <c r="L29" i="7941"/>
  <c r="K223" i="7941"/>
  <c r="K96" i="7941"/>
  <c r="L494" i="18"/>
  <c r="K92" i="7941"/>
  <c r="L490" i="18"/>
  <c r="K98" i="7941"/>
  <c r="L496" i="18"/>
  <c r="K100" i="7941"/>
  <c r="L498" i="18"/>
  <c r="N709" i="18"/>
  <c r="L942" i="18"/>
  <c r="K475" i="7941"/>
  <c r="L745" i="18"/>
  <c r="K94" i="7941"/>
  <c r="L492" i="18"/>
  <c r="K99" i="7941"/>
  <c r="L497" i="18"/>
  <c r="K479" i="7941"/>
  <c r="L749" i="18"/>
  <c r="L559" i="18"/>
  <c r="M721" i="18"/>
  <c r="M559" i="18" s="1"/>
  <c r="M97" i="7941" s="1"/>
  <c r="L461" i="7941"/>
  <c r="L559" i="7941" s="1"/>
  <c r="M731" i="18"/>
  <c r="L934" i="18"/>
  <c r="L950" i="18"/>
  <c r="L401" i="7941"/>
  <c r="K563" i="7941"/>
  <c r="L719" i="18"/>
  <c r="N721" i="18" l="1"/>
  <c r="N559" i="18" s="1"/>
  <c r="N97" i="7941" s="1"/>
  <c r="N822" i="18"/>
  <c r="N488" i="7941" s="1"/>
  <c r="O952" i="18"/>
  <c r="P713" i="18"/>
  <c r="P551" i="18" s="1"/>
  <c r="P89" i="7941" s="1"/>
  <c r="O487" i="18"/>
  <c r="P487" i="18" s="1"/>
  <c r="Q487" i="18" s="1"/>
  <c r="R487" i="18" s="1"/>
  <c r="O711" i="18"/>
  <c r="O9" i="7941"/>
  <c r="P9" i="7941" s="1"/>
  <c r="Q9" i="7941" s="1"/>
  <c r="O17" i="7941"/>
  <c r="P17" i="7941" s="1"/>
  <c r="Q17" i="7941" s="1"/>
  <c r="K577" i="7941"/>
  <c r="L415" i="7941"/>
  <c r="L720" i="18"/>
  <c r="L946" i="18"/>
  <c r="M819" i="18"/>
  <c r="M485" i="7941" s="1"/>
  <c r="N949" i="18"/>
  <c r="L945" i="18"/>
  <c r="K206" i="7941"/>
  <c r="L12" i="7941"/>
  <c r="L937" i="18"/>
  <c r="M401" i="7941"/>
  <c r="N401" i="7941" s="1"/>
  <c r="O401" i="7941" s="1"/>
  <c r="P401" i="7941" s="1"/>
  <c r="Q401" i="7941" s="1"/>
  <c r="L723" i="18"/>
  <c r="K573" i="7941"/>
  <c r="L411" i="7941"/>
  <c r="N547" i="18"/>
  <c r="N85" i="7941" s="1"/>
  <c r="O709" i="18"/>
  <c r="K228" i="7941"/>
  <c r="L34" i="7941"/>
  <c r="K226" i="7941"/>
  <c r="L32" i="7941"/>
  <c r="M217" i="7941"/>
  <c r="N217" i="7941" s="1"/>
  <c r="O217" i="7941" s="1"/>
  <c r="P217" i="7941" s="1"/>
  <c r="Q217" i="7941" s="1"/>
  <c r="K74" i="7941"/>
  <c r="L472" i="18"/>
  <c r="K580" i="7941"/>
  <c r="L418" i="7941"/>
  <c r="L485" i="7941"/>
  <c r="L583" i="7941" s="1"/>
  <c r="M755" i="18"/>
  <c r="N755" i="18" s="1"/>
  <c r="O755" i="18" s="1"/>
  <c r="P755" i="18" s="1"/>
  <c r="Q755" i="18" s="1"/>
  <c r="R755" i="18" s="1"/>
  <c r="K579" i="7941"/>
  <c r="L417" i="7941"/>
  <c r="L81" i="7941"/>
  <c r="L211" i="7941" s="1"/>
  <c r="M479" i="18"/>
  <c r="N33" i="7941"/>
  <c r="O33" i="7941" s="1"/>
  <c r="P33" i="7941" s="1"/>
  <c r="Q33" i="7941" s="1"/>
  <c r="L11" i="7941"/>
  <c r="K205" i="7941"/>
  <c r="L412" i="7941"/>
  <c r="K574" i="7941"/>
  <c r="K213" i="7941"/>
  <c r="L19" i="7941"/>
  <c r="L407" i="7941"/>
  <c r="K569" i="7941"/>
  <c r="M215" i="7941"/>
  <c r="N215" i="7941" s="1"/>
  <c r="O215" i="7941" s="1"/>
  <c r="P215" i="7941" s="1"/>
  <c r="Q215" i="7941" s="1"/>
  <c r="L927" i="18"/>
  <c r="L938" i="18"/>
  <c r="K72" i="7941"/>
  <c r="K533" i="18"/>
  <c r="L470" i="18"/>
  <c r="L953" i="18"/>
  <c r="L932" i="18"/>
  <c r="L947" i="18"/>
  <c r="L73" i="7941"/>
  <c r="L203" i="7941" s="1"/>
  <c r="M471" i="18"/>
  <c r="K571" i="7941"/>
  <c r="L409" i="7941"/>
  <c r="L939" i="18"/>
  <c r="N485" i="18"/>
  <c r="O485" i="18" s="1"/>
  <c r="P485" i="18" s="1"/>
  <c r="Q485" i="18" s="1"/>
  <c r="R485" i="18" s="1"/>
  <c r="L940" i="18"/>
  <c r="L24" i="7941"/>
  <c r="K218" i="7941"/>
  <c r="L707" i="18"/>
  <c r="N483" i="18"/>
  <c r="O483" i="18" s="1"/>
  <c r="P483" i="18" s="1"/>
  <c r="Q483" i="18" s="1"/>
  <c r="R483" i="18" s="1"/>
  <c r="K208" i="7941"/>
  <c r="L14" i="7941"/>
  <c r="L400" i="7941"/>
  <c r="K562" i="7941"/>
  <c r="K220" i="7941"/>
  <c r="L26" i="7941"/>
  <c r="M414" i="7941"/>
  <c r="N414" i="7941" s="1"/>
  <c r="O414" i="7941" s="1"/>
  <c r="P414" i="7941" s="1"/>
  <c r="Q414" i="7941" s="1"/>
  <c r="L804" i="18"/>
  <c r="M934" i="18"/>
  <c r="M804" i="18" s="1"/>
  <c r="M470" i="7941" s="1"/>
  <c r="L97" i="7941"/>
  <c r="L227" i="7941" s="1"/>
  <c r="M495" i="18"/>
  <c r="K229" i="7941"/>
  <c r="L35" i="7941"/>
  <c r="L724" i="18"/>
  <c r="L716" i="18"/>
  <c r="L539" i="18"/>
  <c r="M701" i="18"/>
  <c r="M539" i="18" s="1"/>
  <c r="M77" i="7941" s="1"/>
  <c r="O421" i="7941"/>
  <c r="P421" i="7941" s="1"/>
  <c r="Q421" i="7941" s="1"/>
  <c r="L706" i="18"/>
  <c r="L799" i="18"/>
  <c r="M929" i="18"/>
  <c r="M799" i="18" s="1"/>
  <c r="M465" i="7941" s="1"/>
  <c r="M37" i="7941"/>
  <c r="N37" i="7941" s="1"/>
  <c r="L715" i="18"/>
  <c r="L930" i="18"/>
  <c r="L555" i="18"/>
  <c r="M717" i="18"/>
  <c r="M555" i="18" s="1"/>
  <c r="M93" i="7941" s="1"/>
  <c r="L704" i="18"/>
  <c r="L710" i="18"/>
  <c r="L803" i="18"/>
  <c r="M933" i="18"/>
  <c r="M803" i="18" s="1"/>
  <c r="M469" i="7941" s="1"/>
  <c r="M13" i="7941"/>
  <c r="N13" i="7941" s="1"/>
  <c r="L708" i="18"/>
  <c r="M405" i="7941"/>
  <c r="N405" i="7941" s="1"/>
  <c r="O405" i="7941" s="1"/>
  <c r="P405" i="7941" s="1"/>
  <c r="Q405" i="7941" s="1"/>
  <c r="L948" i="18"/>
  <c r="L936" i="18"/>
  <c r="L399" i="7941"/>
  <c r="K561" i="7941"/>
  <c r="L410" i="7941"/>
  <c r="K572" i="7941"/>
  <c r="K793" i="18"/>
  <c r="K460" i="7941"/>
  <c r="L730" i="18"/>
  <c r="L79" i="7941"/>
  <c r="M477" i="18"/>
  <c r="M703" i="18" s="1"/>
  <c r="M541" i="18" s="1"/>
  <c r="M79" i="7941" s="1"/>
  <c r="L425" i="7941"/>
  <c r="K587" i="7941"/>
  <c r="M406" i="7941"/>
  <c r="N406" i="7941" s="1"/>
  <c r="O406" i="7941" s="1"/>
  <c r="P406" i="7941" s="1"/>
  <c r="Q406" i="7941" s="1"/>
  <c r="L404" i="7941"/>
  <c r="K566" i="7941"/>
  <c r="L419" i="7941"/>
  <c r="K581" i="7941"/>
  <c r="N758" i="18"/>
  <c r="O758" i="18" s="1"/>
  <c r="P758" i="18" s="1"/>
  <c r="Q758" i="18" s="1"/>
  <c r="R758" i="18" s="1"/>
  <c r="M559" i="7941"/>
  <c r="N559" i="7941" s="1"/>
  <c r="O559" i="7941" s="1"/>
  <c r="P559" i="7941" s="1"/>
  <c r="Q559" i="7941" s="1"/>
  <c r="K224" i="7941"/>
  <c r="L30" i="7941"/>
  <c r="L722" i="18"/>
  <c r="L811" i="18"/>
  <c r="M941" i="18"/>
  <c r="M811" i="18" s="1"/>
  <c r="M477" i="7941" s="1"/>
  <c r="L699" i="18"/>
  <c r="L935" i="18"/>
  <c r="M31" i="7941"/>
  <c r="N31" i="7941" s="1"/>
  <c r="O31" i="7941" s="1"/>
  <c r="P31" i="7941" s="1"/>
  <c r="Q31" i="7941" s="1"/>
  <c r="L557" i="18"/>
  <c r="M719" i="18"/>
  <c r="M557" i="18" s="1"/>
  <c r="M95" i="7941" s="1"/>
  <c r="L820" i="18"/>
  <c r="M950" i="18"/>
  <c r="M820" i="18" s="1"/>
  <c r="M486" i="7941" s="1"/>
  <c r="N731" i="18"/>
  <c r="O731" i="18" s="1"/>
  <c r="P731" i="18" s="1"/>
  <c r="Q731" i="18" s="1"/>
  <c r="R731" i="18" s="1"/>
  <c r="L943" i="18"/>
  <c r="L718" i="18"/>
  <c r="L812" i="18"/>
  <c r="M942" i="18"/>
  <c r="M812" i="18" s="1"/>
  <c r="M478" i="7941" s="1"/>
  <c r="L36" i="7941"/>
  <c r="K230" i="7941"/>
  <c r="K222" i="7941"/>
  <c r="L28" i="7941"/>
  <c r="M29" i="7941"/>
  <c r="L801" i="18"/>
  <c r="M422" i="7941"/>
  <c r="N422" i="7941" s="1"/>
  <c r="O422" i="7941" s="1"/>
  <c r="L18" i="7941"/>
  <c r="K212" i="7941"/>
  <c r="K480" i="7941"/>
  <c r="L750" i="18"/>
  <c r="N795" i="18"/>
  <c r="N461" i="7941" s="1"/>
  <c r="O925" i="18"/>
  <c r="N705" i="18"/>
  <c r="K221" i="7941"/>
  <c r="L27" i="7941"/>
  <c r="K564" i="7941"/>
  <c r="L402" i="7941"/>
  <c r="K462" i="7941"/>
  <c r="L732" i="18"/>
  <c r="K210" i="7941"/>
  <c r="L16" i="7941"/>
  <c r="L22" i="7941"/>
  <c r="K216" i="7941"/>
  <c r="L712" i="18"/>
  <c r="M413" i="7941"/>
  <c r="N413" i="7941" s="1"/>
  <c r="O413" i="7941" s="1"/>
  <c r="P413" i="7941" s="1"/>
  <c r="Q413" i="7941" s="1"/>
  <c r="K214" i="7941"/>
  <c r="L20" i="7941"/>
  <c r="L563" i="18"/>
  <c r="M725" i="18"/>
  <c r="M563" i="18" s="1"/>
  <c r="M101" i="7941" s="1"/>
  <c r="L420" i="7941"/>
  <c r="K582" i="7941"/>
  <c r="L408" i="7941"/>
  <c r="K570" i="7941"/>
  <c r="L702" i="18"/>
  <c r="L700" i="18"/>
  <c r="L928" i="18"/>
  <c r="L714" i="18"/>
  <c r="N697" i="18"/>
  <c r="M586" i="7941"/>
  <c r="N586" i="7941" s="1"/>
  <c r="O586" i="7941" s="1"/>
  <c r="P586" i="7941" s="1"/>
  <c r="Q586" i="7941" s="1"/>
  <c r="L209" i="7941" l="1"/>
  <c r="M209" i="7941" s="1"/>
  <c r="M15" i="7941"/>
  <c r="O721" i="18"/>
  <c r="O822" i="18"/>
  <c r="O488" i="7941" s="1"/>
  <c r="P952" i="18"/>
  <c r="P822" i="18" s="1"/>
  <c r="P488" i="7941" s="1"/>
  <c r="Q713" i="18"/>
  <c r="Q551" i="18" s="1"/>
  <c r="Q89" i="7941" s="1"/>
  <c r="N725" i="18"/>
  <c r="N29" i="7941"/>
  <c r="N942" i="18"/>
  <c r="N812" i="18" s="1"/>
  <c r="N478" i="7941" s="1"/>
  <c r="N717" i="18"/>
  <c r="N555" i="18" s="1"/>
  <c r="N93" i="7941" s="1"/>
  <c r="O549" i="18"/>
  <c r="O87" i="7941" s="1"/>
  <c r="P711" i="18"/>
  <c r="P549" i="18" s="1"/>
  <c r="P87" i="7941" s="1"/>
  <c r="M402" i="7941"/>
  <c r="N402" i="7941" s="1"/>
  <c r="O402" i="7941" s="1"/>
  <c r="P402" i="7941" s="1"/>
  <c r="Q402" i="7941" s="1"/>
  <c r="L944" i="18"/>
  <c r="P422" i="7941"/>
  <c r="Q422" i="7941" s="1"/>
  <c r="M28" i="7941"/>
  <c r="N28" i="7941" s="1"/>
  <c r="O28" i="7941" s="1"/>
  <c r="P28" i="7941" s="1"/>
  <c r="Q28" i="7941" s="1"/>
  <c r="M425" i="7941"/>
  <c r="N425" i="7941" s="1"/>
  <c r="M410" i="7941"/>
  <c r="N410" i="7941" s="1"/>
  <c r="O410" i="7941" s="1"/>
  <c r="P410" i="7941" s="1"/>
  <c r="Q410" i="7941" s="1"/>
  <c r="L554" i="18"/>
  <c r="M716" i="18"/>
  <c r="M554" i="18" s="1"/>
  <c r="M92" i="7941" s="1"/>
  <c r="M35" i="7941"/>
  <c r="N35" i="7941" s="1"/>
  <c r="O35" i="7941" s="1"/>
  <c r="P35" i="7941" s="1"/>
  <c r="Q35" i="7941" s="1"/>
  <c r="M26" i="7941"/>
  <c r="N26" i="7941" s="1"/>
  <c r="O26" i="7941" s="1"/>
  <c r="P26" i="7941" s="1"/>
  <c r="Q26" i="7941" s="1"/>
  <c r="L545" i="18"/>
  <c r="M707" i="18"/>
  <c r="M545" i="18" s="1"/>
  <c r="M83" i="7941" s="1"/>
  <c r="M408" i="7941"/>
  <c r="N408" i="7941" s="1"/>
  <c r="O408" i="7941" s="1"/>
  <c r="P408" i="7941" s="1"/>
  <c r="Q408" i="7941" s="1"/>
  <c r="K578" i="7941"/>
  <c r="L416" i="7941"/>
  <c r="L540" i="18"/>
  <c r="M702" i="18"/>
  <c r="M540" i="18" s="1"/>
  <c r="M78" i="7941" s="1"/>
  <c r="L926" i="18"/>
  <c r="M27" i="7941"/>
  <c r="N27" i="7941" s="1"/>
  <c r="O27" i="7941" s="1"/>
  <c r="P27" i="7941" s="1"/>
  <c r="Q27" i="7941" s="1"/>
  <c r="L813" i="18"/>
  <c r="M943" i="18"/>
  <c r="M813" i="18" s="1"/>
  <c r="M479" i="7941" s="1"/>
  <c r="N950" i="18"/>
  <c r="N719" i="18"/>
  <c r="L93" i="7941"/>
  <c r="L223" i="7941" s="1"/>
  <c r="M491" i="18"/>
  <c r="O37" i="7941"/>
  <c r="N495" i="18"/>
  <c r="O495" i="18" s="1"/>
  <c r="P495" i="18" s="1"/>
  <c r="Q495" i="18" s="1"/>
  <c r="R495" i="18" s="1"/>
  <c r="L538" i="18"/>
  <c r="M700" i="18"/>
  <c r="M538" i="18" s="1"/>
  <c r="M76" i="7941" s="1"/>
  <c r="M420" i="7941"/>
  <c r="N420" i="7941" s="1"/>
  <c r="O420" i="7941" s="1"/>
  <c r="P420" i="7941" s="1"/>
  <c r="Q420" i="7941" s="1"/>
  <c r="M20" i="7941"/>
  <c r="N20" i="7941" s="1"/>
  <c r="O20" i="7941" s="1"/>
  <c r="P20" i="7941" s="1"/>
  <c r="Q20" i="7941" s="1"/>
  <c r="M22" i="7941"/>
  <c r="N22" i="7941" s="1"/>
  <c r="O22" i="7941" s="1"/>
  <c r="P22" i="7941" s="1"/>
  <c r="Q22" i="7941" s="1"/>
  <c r="K560" i="7941"/>
  <c r="L398" i="7941"/>
  <c r="M18" i="7941"/>
  <c r="N18" i="7941" s="1"/>
  <c r="O18" i="7941" s="1"/>
  <c r="P18" i="7941" s="1"/>
  <c r="Q18" i="7941" s="1"/>
  <c r="M36" i="7941"/>
  <c r="N36" i="7941" s="1"/>
  <c r="O36" i="7941" s="1"/>
  <c r="P36" i="7941" s="1"/>
  <c r="Q36" i="7941" s="1"/>
  <c r="L556" i="18"/>
  <c r="M718" i="18"/>
  <c r="M556" i="18" s="1"/>
  <c r="M94" i="7941" s="1"/>
  <c r="N941" i="18"/>
  <c r="L477" i="7941"/>
  <c r="L575" i="7941" s="1"/>
  <c r="M747" i="18"/>
  <c r="M30" i="7941"/>
  <c r="N30" i="7941" s="1"/>
  <c r="O30" i="7941" s="1"/>
  <c r="P30" i="7941" s="1"/>
  <c r="Q30" i="7941" s="1"/>
  <c r="M404" i="7941"/>
  <c r="N404" i="7941" s="1"/>
  <c r="O404" i="7941" s="1"/>
  <c r="P404" i="7941" s="1"/>
  <c r="Q404" i="7941" s="1"/>
  <c r="L542" i="18"/>
  <c r="M704" i="18"/>
  <c r="M542" i="18" s="1"/>
  <c r="M80" i="7941" s="1"/>
  <c r="N929" i="18"/>
  <c r="N701" i="18"/>
  <c r="L562" i="18"/>
  <c r="M724" i="18"/>
  <c r="M562" i="18" s="1"/>
  <c r="M100" i="7941" s="1"/>
  <c r="M227" i="7941"/>
  <c r="N227" i="7941" s="1"/>
  <c r="M400" i="7941"/>
  <c r="N400" i="7941" s="1"/>
  <c r="O400" i="7941" s="1"/>
  <c r="P400" i="7941" s="1"/>
  <c r="Q400" i="7941" s="1"/>
  <c r="M24" i="7941"/>
  <c r="N24" i="7941" s="1"/>
  <c r="M409" i="7941"/>
  <c r="N409" i="7941" s="1"/>
  <c r="O409" i="7941" s="1"/>
  <c r="P409" i="7941" s="1"/>
  <c r="Q409" i="7941" s="1"/>
  <c r="L802" i="18"/>
  <c r="M932" i="18"/>
  <c r="M802" i="18" s="1"/>
  <c r="M468" i="7941" s="1"/>
  <c r="L823" i="18"/>
  <c r="M953" i="18"/>
  <c r="M823" i="18" s="1"/>
  <c r="M489" i="7941" s="1"/>
  <c r="K71" i="7941"/>
  <c r="K202" i="7941"/>
  <c r="L8" i="7941"/>
  <c r="M11" i="7941"/>
  <c r="N11" i="7941" s="1"/>
  <c r="O11" i="7941" s="1"/>
  <c r="P11" i="7941" s="1"/>
  <c r="Q11" i="7941" s="1"/>
  <c r="M417" i="7941"/>
  <c r="N417" i="7941" s="1"/>
  <c r="O417" i="7941" s="1"/>
  <c r="P417" i="7941" s="1"/>
  <c r="Q417" i="7941" s="1"/>
  <c r="M418" i="7941"/>
  <c r="N418" i="7941" s="1"/>
  <c r="O418" i="7941" s="1"/>
  <c r="P418" i="7941" s="1"/>
  <c r="Q418" i="7941" s="1"/>
  <c r="M32" i="7941"/>
  <c r="O547" i="18"/>
  <c r="O85" i="7941" s="1"/>
  <c r="P709" i="18"/>
  <c r="N819" i="18"/>
  <c r="N485" i="7941" s="1"/>
  <c r="O949" i="18"/>
  <c r="L816" i="18"/>
  <c r="M946" i="18"/>
  <c r="M816" i="18" s="1"/>
  <c r="M482" i="7941" s="1"/>
  <c r="L558" i="18"/>
  <c r="M720" i="18"/>
  <c r="M558" i="18" s="1"/>
  <c r="M96" i="7941" s="1"/>
  <c r="N543" i="18"/>
  <c r="N81" i="7941" s="1"/>
  <c r="O705" i="18"/>
  <c r="L537" i="18"/>
  <c r="M699" i="18"/>
  <c r="M537" i="18" s="1"/>
  <c r="M75" i="7941" s="1"/>
  <c r="L818" i="18"/>
  <c r="M948" i="18"/>
  <c r="M818" i="18" s="1"/>
  <c r="M484" i="7941" s="1"/>
  <c r="L546" i="18"/>
  <c r="M708" i="18"/>
  <c r="M546" i="18" s="1"/>
  <c r="M84" i="7941" s="1"/>
  <c r="L548" i="18"/>
  <c r="M710" i="18"/>
  <c r="M548" i="18" s="1"/>
  <c r="M86" i="7941" s="1"/>
  <c r="L544" i="18"/>
  <c r="M706" i="18"/>
  <c r="M544" i="18" s="1"/>
  <c r="M82" i="7941" s="1"/>
  <c r="M14" i="7941"/>
  <c r="N14" i="7941" s="1"/>
  <c r="O14" i="7941" s="1"/>
  <c r="P14" i="7941" s="1"/>
  <c r="Q14" i="7941" s="1"/>
  <c r="L817" i="18"/>
  <c r="M947" i="18"/>
  <c r="M817" i="18" s="1"/>
  <c r="M483" i="7941" s="1"/>
  <c r="M407" i="7941"/>
  <c r="N407" i="7941" s="1"/>
  <c r="O407" i="7941" s="1"/>
  <c r="P407" i="7941" s="1"/>
  <c r="Q407" i="7941" s="1"/>
  <c r="L698" i="18"/>
  <c r="N535" i="18"/>
  <c r="N73" i="7941" s="1"/>
  <c r="O697" i="18"/>
  <c r="L552" i="18"/>
  <c r="M714" i="18"/>
  <c r="M552" i="18" s="1"/>
  <c r="M90" i="7941" s="1"/>
  <c r="L798" i="18"/>
  <c r="M928" i="18"/>
  <c r="M798" i="18" s="1"/>
  <c r="M464" i="7941" s="1"/>
  <c r="L550" i="18"/>
  <c r="M712" i="18"/>
  <c r="M550" i="18" s="1"/>
  <c r="M88" i="7941" s="1"/>
  <c r="L805" i="18"/>
  <c r="M935" i="18"/>
  <c r="M805" i="18" s="1"/>
  <c r="M471" i="7941" s="1"/>
  <c r="M419" i="7941"/>
  <c r="N419" i="7941" s="1"/>
  <c r="N477" i="18"/>
  <c r="K459" i="7941"/>
  <c r="L396" i="7941"/>
  <c r="K558" i="7941"/>
  <c r="L806" i="18"/>
  <c r="M936" i="18"/>
  <c r="M806" i="18" s="1"/>
  <c r="M472" i="7941" s="1"/>
  <c r="O13" i="7941"/>
  <c r="P13" i="7941" s="1"/>
  <c r="Q13" i="7941" s="1"/>
  <c r="N933" i="18"/>
  <c r="L469" i="7941"/>
  <c r="L567" i="7941" s="1"/>
  <c r="M739" i="18"/>
  <c r="L800" i="18"/>
  <c r="M930" i="18"/>
  <c r="M800" i="18" s="1"/>
  <c r="M466" i="7941" s="1"/>
  <c r="L553" i="18"/>
  <c r="M715" i="18"/>
  <c r="M553" i="18" s="1"/>
  <c r="M91" i="7941" s="1"/>
  <c r="N934" i="18"/>
  <c r="L470" i="7941"/>
  <c r="L568" i="7941" s="1"/>
  <c r="M740" i="18"/>
  <c r="L810" i="18"/>
  <c r="M940" i="18"/>
  <c r="M810" i="18" s="1"/>
  <c r="M476" i="7941" s="1"/>
  <c r="N471" i="18"/>
  <c r="O471" i="18" s="1"/>
  <c r="P471" i="18" s="1"/>
  <c r="Q471" i="18" s="1"/>
  <c r="R471" i="18" s="1"/>
  <c r="L469" i="18"/>
  <c r="G5" i="7948" s="1"/>
  <c r="L696" i="18"/>
  <c r="L797" i="18"/>
  <c r="M927" i="18"/>
  <c r="M797" i="18" s="1"/>
  <c r="M463" i="7941" s="1"/>
  <c r="M19" i="7941"/>
  <c r="N19" i="7941" s="1"/>
  <c r="O19" i="7941" s="1"/>
  <c r="P19" i="7941" s="1"/>
  <c r="Q19" i="7941" s="1"/>
  <c r="M412" i="7941"/>
  <c r="N412" i="7941" s="1"/>
  <c r="O412" i="7941" s="1"/>
  <c r="P412" i="7941" s="1"/>
  <c r="Q412" i="7941" s="1"/>
  <c r="N479" i="18"/>
  <c r="O479" i="18" s="1"/>
  <c r="P479" i="18" s="1"/>
  <c r="Q479" i="18" s="1"/>
  <c r="R479" i="18" s="1"/>
  <c r="L10" i="7941"/>
  <c r="K204" i="7941"/>
  <c r="M34" i="7941"/>
  <c r="N34" i="7941" s="1"/>
  <c r="O34" i="7941" s="1"/>
  <c r="P34" i="7941" s="1"/>
  <c r="Q34" i="7941" s="1"/>
  <c r="M411" i="7941"/>
  <c r="N411" i="7941" s="1"/>
  <c r="O411" i="7941" s="1"/>
  <c r="P411" i="7941" s="1"/>
  <c r="Q411" i="7941" s="1"/>
  <c r="L561" i="18"/>
  <c r="M723" i="18"/>
  <c r="M561" i="18" s="1"/>
  <c r="M99" i="7941" s="1"/>
  <c r="M16" i="7941"/>
  <c r="N16" i="7941" s="1"/>
  <c r="O16" i="7941" s="1"/>
  <c r="P16" i="7941" s="1"/>
  <c r="Q16" i="7941" s="1"/>
  <c r="L95" i="7941"/>
  <c r="L225" i="7941" s="1"/>
  <c r="M493" i="18"/>
  <c r="L924" i="18"/>
  <c r="L729" i="18"/>
  <c r="L77" i="7941"/>
  <c r="L207" i="7941" s="1"/>
  <c r="M475" i="18"/>
  <c r="M12" i="7941"/>
  <c r="N12" i="7941" s="1"/>
  <c r="O12" i="7941" s="1"/>
  <c r="P12" i="7941" s="1"/>
  <c r="Q12" i="7941" s="1"/>
  <c r="M415" i="7941"/>
  <c r="N415" i="7941" s="1"/>
  <c r="O415" i="7941" s="1"/>
  <c r="P415" i="7941" s="1"/>
  <c r="Q415" i="7941" s="1"/>
  <c r="L467" i="7941"/>
  <c r="M737" i="18"/>
  <c r="L478" i="7941"/>
  <c r="L576" i="7941" s="1"/>
  <c r="M748" i="18"/>
  <c r="L101" i="7941"/>
  <c r="L231" i="7941" s="1"/>
  <c r="M499" i="18"/>
  <c r="O795" i="18"/>
  <c r="O461" i="7941" s="1"/>
  <c r="P925" i="18"/>
  <c r="L486" i="7941"/>
  <c r="L584" i="7941" s="1"/>
  <c r="M756" i="18"/>
  <c r="N756" i="18" s="1"/>
  <c r="O756" i="18" s="1"/>
  <c r="P756" i="18" s="1"/>
  <c r="Q756" i="18" s="1"/>
  <c r="R756" i="18" s="1"/>
  <c r="L560" i="18"/>
  <c r="M722" i="18"/>
  <c r="M560" i="18" s="1"/>
  <c r="M98" i="7941" s="1"/>
  <c r="M399" i="7941"/>
  <c r="N399" i="7941" s="1"/>
  <c r="O399" i="7941" s="1"/>
  <c r="P399" i="7941" s="1"/>
  <c r="Q399" i="7941" s="1"/>
  <c r="L465" i="7941"/>
  <c r="L563" i="7941" s="1"/>
  <c r="M735" i="18"/>
  <c r="L809" i="18"/>
  <c r="M939" i="18"/>
  <c r="M809" i="18" s="1"/>
  <c r="M475" i="7941" s="1"/>
  <c r="M203" i="7941"/>
  <c r="L808" i="18"/>
  <c r="M938" i="18"/>
  <c r="M808" i="18" s="1"/>
  <c r="M474" i="7941" s="1"/>
  <c r="M211" i="7941"/>
  <c r="N211" i="7941" s="1"/>
  <c r="O211" i="7941" s="1"/>
  <c r="P211" i="7941" s="1"/>
  <c r="Q211" i="7941" s="1"/>
  <c r="M583" i="7941"/>
  <c r="N583" i="7941" s="1"/>
  <c r="O583" i="7941" s="1"/>
  <c r="P583" i="7941" s="1"/>
  <c r="Q583" i="7941" s="1"/>
  <c r="O559" i="18"/>
  <c r="O97" i="7941" s="1"/>
  <c r="P721" i="18"/>
  <c r="L807" i="18"/>
  <c r="M937" i="18"/>
  <c r="M807" i="18" s="1"/>
  <c r="M473" i="7941" s="1"/>
  <c r="L815" i="18"/>
  <c r="M945" i="18"/>
  <c r="M815" i="18" s="1"/>
  <c r="M481" i="7941" s="1"/>
  <c r="L565" i="7941" l="1"/>
  <c r="M403" i="7941"/>
  <c r="M931" i="18"/>
  <c r="N15" i="7941"/>
  <c r="N703" i="18"/>
  <c r="O717" i="18"/>
  <c r="P717" i="18" s="1"/>
  <c r="Q711" i="18"/>
  <c r="Q549" i="18" s="1"/>
  <c r="Q87" i="7941" s="1"/>
  <c r="N723" i="18"/>
  <c r="N561" i="18" s="1"/>
  <c r="N99" i="7941" s="1"/>
  <c r="N948" i="18"/>
  <c r="N818" i="18" s="1"/>
  <c r="N484" i="7941" s="1"/>
  <c r="N720" i="18"/>
  <c r="N558" i="18" s="1"/>
  <c r="N96" i="7941" s="1"/>
  <c r="O942" i="18"/>
  <c r="P942" i="18" s="1"/>
  <c r="N722" i="18"/>
  <c r="N560" i="18" s="1"/>
  <c r="N98" i="7941" s="1"/>
  <c r="O227" i="7941"/>
  <c r="P227" i="7941" s="1"/>
  <c r="Q227" i="7941" s="1"/>
  <c r="Q952" i="18"/>
  <c r="Q822" i="18" s="1"/>
  <c r="Q488" i="7941" s="1"/>
  <c r="N563" i="18"/>
  <c r="N101" i="7941" s="1"/>
  <c r="O725" i="18"/>
  <c r="O419" i="7941"/>
  <c r="P419" i="7941" s="1"/>
  <c r="Q419" i="7941" s="1"/>
  <c r="N930" i="18"/>
  <c r="N800" i="18" s="1"/>
  <c r="N466" i="7941" s="1"/>
  <c r="N710" i="18"/>
  <c r="N548" i="18" s="1"/>
  <c r="N86" i="7941" s="1"/>
  <c r="N943" i="18"/>
  <c r="N813" i="18" s="1"/>
  <c r="N479" i="7941" s="1"/>
  <c r="O29" i="7941"/>
  <c r="P29" i="7941" s="1"/>
  <c r="N945" i="18"/>
  <c r="N937" i="18"/>
  <c r="N807" i="18" s="1"/>
  <c r="N473" i="7941" s="1"/>
  <c r="N715" i="18"/>
  <c r="N553" i="18" s="1"/>
  <c r="N91" i="7941" s="1"/>
  <c r="O24" i="7941"/>
  <c r="P24" i="7941" s="1"/>
  <c r="Q24" i="7941" s="1"/>
  <c r="N700" i="18"/>
  <c r="N538" i="18" s="1"/>
  <c r="N76" i="7941" s="1"/>
  <c r="N707" i="18"/>
  <c r="N545" i="18" s="1"/>
  <c r="N83" i="7941" s="1"/>
  <c r="N927" i="18"/>
  <c r="N797" i="18" s="1"/>
  <c r="N463" i="7941" s="1"/>
  <c r="N936" i="18"/>
  <c r="N806" i="18" s="1"/>
  <c r="N472" i="7941" s="1"/>
  <c r="L475" i="7941"/>
  <c r="L573" i="7941" s="1"/>
  <c r="M745" i="18"/>
  <c r="N745" i="18" s="1"/>
  <c r="O745" i="18" s="1"/>
  <c r="P745" i="18" s="1"/>
  <c r="Q745" i="18" s="1"/>
  <c r="R745" i="18" s="1"/>
  <c r="M576" i="7941"/>
  <c r="N576" i="7941" s="1"/>
  <c r="N740" i="18"/>
  <c r="O740" i="18" s="1"/>
  <c r="P740" i="18" s="1"/>
  <c r="Q740" i="18" s="1"/>
  <c r="R740" i="18" s="1"/>
  <c r="L482" i="7941"/>
  <c r="L580" i="7941" s="1"/>
  <c r="M752" i="18"/>
  <c r="N752" i="18" s="1"/>
  <c r="O752" i="18" s="1"/>
  <c r="P752" i="18" s="1"/>
  <c r="Q752" i="18" s="1"/>
  <c r="R752" i="18" s="1"/>
  <c r="N811" i="18"/>
  <c r="N477" i="7941" s="1"/>
  <c r="O941" i="18"/>
  <c r="L474" i="7941"/>
  <c r="L572" i="7941" s="1"/>
  <c r="M744" i="18"/>
  <c r="N744" i="18" s="1"/>
  <c r="O744" i="18" s="1"/>
  <c r="P744" i="18" s="1"/>
  <c r="Q744" i="18" s="1"/>
  <c r="R744" i="18" s="1"/>
  <c r="P795" i="18"/>
  <c r="P461" i="7941" s="1"/>
  <c r="Q925" i="18"/>
  <c r="Q795" i="18" s="1"/>
  <c r="Q461" i="7941" s="1"/>
  <c r="L476" i="7941"/>
  <c r="L574" i="7941" s="1"/>
  <c r="M746" i="18"/>
  <c r="N746" i="18" s="1"/>
  <c r="O746" i="18" s="1"/>
  <c r="P746" i="18" s="1"/>
  <c r="Q746" i="18" s="1"/>
  <c r="R746" i="18" s="1"/>
  <c r="L91" i="7941"/>
  <c r="L221" i="7941" s="1"/>
  <c r="M489" i="18"/>
  <c r="N489" i="18" s="1"/>
  <c r="O489" i="18" s="1"/>
  <c r="P489" i="18" s="1"/>
  <c r="Q489" i="18" s="1"/>
  <c r="R489" i="18" s="1"/>
  <c r="M567" i="7941"/>
  <c r="N567" i="7941" s="1"/>
  <c r="O567" i="7941" s="1"/>
  <c r="P567" i="7941" s="1"/>
  <c r="Q567" i="7941" s="1"/>
  <c r="N938" i="18"/>
  <c r="N203" i="7941"/>
  <c r="M584" i="7941"/>
  <c r="N584" i="7941" s="1"/>
  <c r="O584" i="7941" s="1"/>
  <c r="P584" i="7941" s="1"/>
  <c r="Q584" i="7941" s="1"/>
  <c r="N493" i="18"/>
  <c r="O493" i="18" s="1"/>
  <c r="P493" i="18" s="1"/>
  <c r="Q493" i="18" s="1"/>
  <c r="R493" i="18" s="1"/>
  <c r="L463" i="7941"/>
  <c r="L561" i="7941" s="1"/>
  <c r="M733" i="18"/>
  <c r="N733" i="18" s="1"/>
  <c r="O733" i="18" s="1"/>
  <c r="P733" i="18" s="1"/>
  <c r="Q733" i="18" s="1"/>
  <c r="R733" i="18" s="1"/>
  <c r="N708" i="18"/>
  <c r="N699" i="18"/>
  <c r="L473" i="7941"/>
  <c r="L571" i="7941" s="1"/>
  <c r="M743" i="18"/>
  <c r="N743" i="18" s="1"/>
  <c r="O743" i="18" s="1"/>
  <c r="P743" i="18" s="1"/>
  <c r="Q743" i="18" s="1"/>
  <c r="R743" i="18" s="1"/>
  <c r="N939" i="18"/>
  <c r="M563" i="7941"/>
  <c r="N563" i="7941" s="1"/>
  <c r="O563" i="7941" s="1"/>
  <c r="P563" i="7941" s="1"/>
  <c r="Q563" i="7941" s="1"/>
  <c r="N748" i="18"/>
  <c r="O748" i="18" s="1"/>
  <c r="P748" i="18" s="1"/>
  <c r="Q748" i="18" s="1"/>
  <c r="R748" i="18" s="1"/>
  <c r="N475" i="18"/>
  <c r="O475" i="18" s="1"/>
  <c r="P475" i="18" s="1"/>
  <c r="Q475" i="18" s="1"/>
  <c r="R475" i="18" s="1"/>
  <c r="L923" i="18"/>
  <c r="L794" i="18"/>
  <c r="M924" i="18"/>
  <c r="N924" i="18" s="1"/>
  <c r="M225" i="7941"/>
  <c r="N225" i="7941" s="1"/>
  <c r="O225" i="7941" s="1"/>
  <c r="P225" i="7941" s="1"/>
  <c r="Q225" i="7941" s="1"/>
  <c r="M10" i="7941"/>
  <c r="N10" i="7941" s="1"/>
  <c r="O10" i="7941" s="1"/>
  <c r="P10" i="7941" s="1"/>
  <c r="Q10" i="7941" s="1"/>
  <c r="L466" i="7941"/>
  <c r="L564" i="7941" s="1"/>
  <c r="M736" i="18"/>
  <c r="N736" i="18" s="1"/>
  <c r="O736" i="18" s="1"/>
  <c r="P736" i="18" s="1"/>
  <c r="Q736" i="18" s="1"/>
  <c r="R736" i="18" s="1"/>
  <c r="K557" i="7941"/>
  <c r="N935" i="18"/>
  <c r="N712" i="18"/>
  <c r="N928" i="18"/>
  <c r="L464" i="7941"/>
  <c r="L562" i="7941" s="1"/>
  <c r="M734" i="18"/>
  <c r="N734" i="18" s="1"/>
  <c r="O734" i="18" s="1"/>
  <c r="P734" i="18" s="1"/>
  <c r="Q734" i="18" s="1"/>
  <c r="R734" i="18" s="1"/>
  <c r="N714" i="18"/>
  <c r="N947" i="18"/>
  <c r="L483" i="7941"/>
  <c r="L581" i="7941" s="1"/>
  <c r="M753" i="18"/>
  <c r="N753" i="18" s="1"/>
  <c r="O753" i="18" s="1"/>
  <c r="P753" i="18" s="1"/>
  <c r="Q753" i="18" s="1"/>
  <c r="R753" i="18" s="1"/>
  <c r="L82" i="7941"/>
  <c r="L212" i="7941" s="1"/>
  <c r="M480" i="18"/>
  <c r="N480" i="18" s="1"/>
  <c r="O480" i="18" s="1"/>
  <c r="P480" i="18" s="1"/>
  <c r="Q480" i="18" s="1"/>
  <c r="R480" i="18" s="1"/>
  <c r="L84" i="7941"/>
  <c r="L214" i="7941" s="1"/>
  <c r="M482" i="18"/>
  <c r="N482" i="18" s="1"/>
  <c r="O482" i="18" s="1"/>
  <c r="P482" i="18" s="1"/>
  <c r="Q482" i="18" s="1"/>
  <c r="R482" i="18" s="1"/>
  <c r="L75" i="7941"/>
  <c r="L205" i="7941" s="1"/>
  <c r="M473" i="18"/>
  <c r="N473" i="18" s="1"/>
  <c r="O473" i="18" s="1"/>
  <c r="P473" i="18" s="1"/>
  <c r="Q473" i="18" s="1"/>
  <c r="R473" i="18" s="1"/>
  <c r="N946" i="18"/>
  <c r="P547" i="18"/>
  <c r="P85" i="7941" s="1"/>
  <c r="Q709" i="18"/>
  <c r="Q547" i="18" s="1"/>
  <c r="Q85" i="7941" s="1"/>
  <c r="N32" i="7941"/>
  <c r="O32" i="7941" s="1"/>
  <c r="P32" i="7941" s="1"/>
  <c r="Q32" i="7941" s="1"/>
  <c r="K201" i="7941"/>
  <c r="N932" i="18"/>
  <c r="N799" i="18"/>
  <c r="N465" i="7941" s="1"/>
  <c r="O929" i="18"/>
  <c r="M575" i="7941"/>
  <c r="N575" i="7941" s="1"/>
  <c r="O575" i="7941" s="1"/>
  <c r="P575" i="7941" s="1"/>
  <c r="Q575" i="7941" s="1"/>
  <c r="M223" i="7941"/>
  <c r="N223" i="7941" s="1"/>
  <c r="O223" i="7941" s="1"/>
  <c r="P223" i="7941" s="1"/>
  <c r="Q223" i="7941" s="1"/>
  <c r="N820" i="18"/>
  <c r="N486" i="7941" s="1"/>
  <c r="O950" i="18"/>
  <c r="L796" i="18"/>
  <c r="M926" i="18"/>
  <c r="M796" i="18" s="1"/>
  <c r="M462" i="7941" s="1"/>
  <c r="N702" i="18"/>
  <c r="N716" i="18"/>
  <c r="O425" i="7941"/>
  <c r="P425" i="7941" s="1"/>
  <c r="Q425" i="7941" s="1"/>
  <c r="L814" i="18"/>
  <c r="M944" i="18"/>
  <c r="M814" i="18" s="1"/>
  <c r="M480" i="7941" s="1"/>
  <c r="P559" i="18"/>
  <c r="P97" i="7941" s="1"/>
  <c r="Q721" i="18"/>
  <c r="Q559" i="18" s="1"/>
  <c r="Q97" i="7941" s="1"/>
  <c r="L98" i="7941"/>
  <c r="L228" i="7941" s="1"/>
  <c r="M496" i="18"/>
  <c r="N496" i="18" s="1"/>
  <c r="O496" i="18" s="1"/>
  <c r="P496" i="18" s="1"/>
  <c r="Q496" i="18" s="1"/>
  <c r="R496" i="18" s="1"/>
  <c r="N499" i="18"/>
  <c r="O499" i="18" s="1"/>
  <c r="P499" i="18" s="1"/>
  <c r="Q499" i="18" s="1"/>
  <c r="R499" i="18" s="1"/>
  <c r="M207" i="7941"/>
  <c r="N207" i="7941" s="1"/>
  <c r="O207" i="7941" s="1"/>
  <c r="P207" i="7941" s="1"/>
  <c r="Q207" i="7941" s="1"/>
  <c r="L695" i="18"/>
  <c r="G7" i="7948" s="1"/>
  <c r="G14" i="7948" s="1"/>
  <c r="L534" i="18"/>
  <c r="M696" i="18"/>
  <c r="L99" i="7941"/>
  <c r="L229" i="7941" s="1"/>
  <c r="M497" i="18"/>
  <c r="N497" i="18" s="1"/>
  <c r="O497" i="18" s="1"/>
  <c r="P497" i="18" s="1"/>
  <c r="Q497" i="18" s="1"/>
  <c r="R497" i="18" s="1"/>
  <c r="L88" i="7941"/>
  <c r="L218" i="7941" s="1"/>
  <c r="M486" i="18"/>
  <c r="N486" i="18" s="1"/>
  <c r="O486" i="18" s="1"/>
  <c r="P486" i="18" s="1"/>
  <c r="Q486" i="18" s="1"/>
  <c r="R486" i="18" s="1"/>
  <c r="L90" i="7941"/>
  <c r="L220" i="7941" s="1"/>
  <c r="M488" i="18"/>
  <c r="N488" i="18" s="1"/>
  <c r="O488" i="18" s="1"/>
  <c r="P488" i="18" s="1"/>
  <c r="Q488" i="18" s="1"/>
  <c r="R488" i="18" s="1"/>
  <c r="L536" i="18"/>
  <c r="M698" i="18"/>
  <c r="M536" i="18" s="1"/>
  <c r="M74" i="7941" s="1"/>
  <c r="L86" i="7941"/>
  <c r="L216" i="7941" s="1"/>
  <c r="M484" i="18"/>
  <c r="N484" i="18" s="1"/>
  <c r="O484" i="18" s="1"/>
  <c r="P484" i="18" s="1"/>
  <c r="Q484" i="18" s="1"/>
  <c r="R484" i="18" s="1"/>
  <c r="L484" i="7941"/>
  <c r="L582" i="7941" s="1"/>
  <c r="M754" i="18"/>
  <c r="N754" i="18" s="1"/>
  <c r="O754" i="18" s="1"/>
  <c r="P754" i="18" s="1"/>
  <c r="Q754" i="18" s="1"/>
  <c r="R754" i="18" s="1"/>
  <c r="O543" i="18"/>
  <c r="O81" i="7941" s="1"/>
  <c r="P705" i="18"/>
  <c r="O819" i="18"/>
  <c r="O485" i="7941" s="1"/>
  <c r="P949" i="18"/>
  <c r="N953" i="18"/>
  <c r="L100" i="7941"/>
  <c r="L230" i="7941" s="1"/>
  <c r="M498" i="18"/>
  <c r="N498" i="18" s="1"/>
  <c r="O498" i="18" s="1"/>
  <c r="P498" i="18" s="1"/>
  <c r="Q498" i="18" s="1"/>
  <c r="R498" i="18" s="1"/>
  <c r="L479" i="7941"/>
  <c r="L577" i="7941" s="1"/>
  <c r="M749" i="18"/>
  <c r="N749" i="18" s="1"/>
  <c r="O749" i="18" s="1"/>
  <c r="P749" i="18" s="1"/>
  <c r="Q749" i="18" s="1"/>
  <c r="R749" i="18" s="1"/>
  <c r="L78" i="7941"/>
  <c r="L208" i="7941" s="1"/>
  <c r="M476" i="18"/>
  <c r="N476" i="18" s="1"/>
  <c r="O476" i="18" s="1"/>
  <c r="P476" i="18" s="1"/>
  <c r="Q476" i="18" s="1"/>
  <c r="R476" i="18" s="1"/>
  <c r="N739" i="18"/>
  <c r="O739" i="18" s="1"/>
  <c r="P739" i="18" s="1"/>
  <c r="Q739" i="18" s="1"/>
  <c r="R739" i="18" s="1"/>
  <c r="L395" i="7941"/>
  <c r="M396" i="7941"/>
  <c r="L468" i="7941"/>
  <c r="L566" i="7941" s="1"/>
  <c r="M738" i="18"/>
  <c r="N738" i="18" s="1"/>
  <c r="O738" i="18" s="1"/>
  <c r="P738" i="18" s="1"/>
  <c r="Q738" i="18" s="1"/>
  <c r="R738" i="18" s="1"/>
  <c r="O555" i="18"/>
  <c r="O93" i="7941" s="1"/>
  <c r="M398" i="7941"/>
  <c r="N398" i="7941" s="1"/>
  <c r="O398" i="7941" s="1"/>
  <c r="P398" i="7941" s="1"/>
  <c r="Q398" i="7941" s="1"/>
  <c r="L92" i="7941"/>
  <c r="L222" i="7941" s="1"/>
  <c r="M490" i="18"/>
  <c r="N490" i="18" s="1"/>
  <c r="O490" i="18" s="1"/>
  <c r="P490" i="18" s="1"/>
  <c r="Q490" i="18" s="1"/>
  <c r="R490" i="18" s="1"/>
  <c r="L481" i="7941"/>
  <c r="L579" i="7941" s="1"/>
  <c r="M751" i="18"/>
  <c r="N751" i="18" s="1"/>
  <c r="O751" i="18" s="1"/>
  <c r="P751" i="18" s="1"/>
  <c r="Q751" i="18" s="1"/>
  <c r="R751" i="18" s="1"/>
  <c r="M231" i="7941"/>
  <c r="N231" i="7941" s="1"/>
  <c r="O231" i="7941" s="1"/>
  <c r="P231" i="7941" s="1"/>
  <c r="Q231" i="7941" s="1"/>
  <c r="M568" i="7941"/>
  <c r="N568" i="7941" s="1"/>
  <c r="O568" i="7941" s="1"/>
  <c r="P568" i="7941" s="1"/>
  <c r="Q568" i="7941" s="1"/>
  <c r="L472" i="7941"/>
  <c r="L570" i="7941" s="1"/>
  <c r="M742" i="18"/>
  <c r="N742" i="18" s="1"/>
  <c r="O742" i="18" s="1"/>
  <c r="P742" i="18" s="1"/>
  <c r="Q742" i="18" s="1"/>
  <c r="R742" i="18" s="1"/>
  <c r="N735" i="18"/>
  <c r="O735" i="18" s="1"/>
  <c r="P735" i="18" s="1"/>
  <c r="Q735" i="18" s="1"/>
  <c r="R735" i="18" s="1"/>
  <c r="N940" i="18"/>
  <c r="N804" i="18"/>
  <c r="N470" i="7941" s="1"/>
  <c r="O934" i="18"/>
  <c r="N803" i="18"/>
  <c r="N469" i="7941" s="1"/>
  <c r="O933" i="18"/>
  <c r="L471" i="7941"/>
  <c r="L569" i="7941" s="1"/>
  <c r="M741" i="18"/>
  <c r="N741" i="18" s="1"/>
  <c r="O741" i="18" s="1"/>
  <c r="P741" i="18" s="1"/>
  <c r="Q741" i="18" s="1"/>
  <c r="R741" i="18" s="1"/>
  <c r="O535" i="18"/>
  <c r="O73" i="7941" s="1"/>
  <c r="P697" i="18"/>
  <c r="N706" i="18"/>
  <c r="L96" i="7941"/>
  <c r="L226" i="7941" s="1"/>
  <c r="M494" i="18"/>
  <c r="N494" i="18" s="1"/>
  <c r="O494" i="18" s="1"/>
  <c r="P494" i="18" s="1"/>
  <c r="Q494" i="18" s="1"/>
  <c r="R494" i="18" s="1"/>
  <c r="L7" i="7941"/>
  <c r="M8" i="7941"/>
  <c r="L489" i="7941"/>
  <c r="L587" i="7941" s="1"/>
  <c r="M759" i="18"/>
  <c r="N759" i="18" s="1"/>
  <c r="O759" i="18" s="1"/>
  <c r="P759" i="18" s="1"/>
  <c r="Q759" i="18" s="1"/>
  <c r="R759" i="18" s="1"/>
  <c r="N724" i="18"/>
  <c r="N539" i="18"/>
  <c r="N77" i="7941" s="1"/>
  <c r="O701" i="18"/>
  <c r="N704" i="18"/>
  <c r="L80" i="7941"/>
  <c r="L210" i="7941" s="1"/>
  <c r="M478" i="18"/>
  <c r="N478" i="18" s="1"/>
  <c r="O478" i="18" s="1"/>
  <c r="P478" i="18" s="1"/>
  <c r="Q478" i="18" s="1"/>
  <c r="R478" i="18" s="1"/>
  <c r="N747" i="18"/>
  <c r="O747" i="18" s="1"/>
  <c r="P747" i="18" s="1"/>
  <c r="Q747" i="18" s="1"/>
  <c r="R747" i="18" s="1"/>
  <c r="N718" i="18"/>
  <c r="L94" i="7941"/>
  <c r="L224" i="7941" s="1"/>
  <c r="M492" i="18"/>
  <c r="N492" i="18" s="1"/>
  <c r="O492" i="18" s="1"/>
  <c r="P492" i="18" s="1"/>
  <c r="Q492" i="18" s="1"/>
  <c r="R492" i="18" s="1"/>
  <c r="L76" i="7941"/>
  <c r="L206" i="7941" s="1"/>
  <c r="M474" i="18"/>
  <c r="N474" i="18" s="1"/>
  <c r="O474" i="18" s="1"/>
  <c r="P474" i="18" s="1"/>
  <c r="Q474" i="18" s="1"/>
  <c r="R474" i="18" s="1"/>
  <c r="N491" i="18"/>
  <c r="O491" i="18" s="1"/>
  <c r="N557" i="18"/>
  <c r="N95" i="7941" s="1"/>
  <c r="O719" i="18"/>
  <c r="M416" i="7941"/>
  <c r="N416" i="7941" s="1"/>
  <c r="O416" i="7941" s="1"/>
  <c r="P416" i="7941" s="1"/>
  <c r="Q416" i="7941" s="1"/>
  <c r="L83" i="7941"/>
  <c r="L213" i="7941" s="1"/>
  <c r="M481" i="18"/>
  <c r="N481" i="18" s="1"/>
  <c r="O481" i="18" s="1"/>
  <c r="P481" i="18" s="1"/>
  <c r="Q481" i="18" s="1"/>
  <c r="R481" i="18" s="1"/>
  <c r="P37" i="7941"/>
  <c r="Q37" i="7941" s="1"/>
  <c r="M801" i="18" l="1"/>
  <c r="N541" i="18"/>
  <c r="G9" i="7948"/>
  <c r="O812" i="18"/>
  <c r="O478" i="7941" s="1"/>
  <c r="O722" i="18"/>
  <c r="O560" i="18" s="1"/>
  <c r="O98" i="7941" s="1"/>
  <c r="O948" i="18"/>
  <c r="O818" i="18" s="1"/>
  <c r="O484" i="7941" s="1"/>
  <c r="O723" i="18"/>
  <c r="O561" i="18" s="1"/>
  <c r="O99" i="7941" s="1"/>
  <c r="O720" i="18"/>
  <c r="O558" i="18" s="1"/>
  <c r="O96" i="7941" s="1"/>
  <c r="O927" i="18"/>
  <c r="O797" i="18" s="1"/>
  <c r="O463" i="7941" s="1"/>
  <c r="O936" i="18"/>
  <c r="O806" i="18" s="1"/>
  <c r="O472" i="7941" s="1"/>
  <c r="O563" i="18"/>
  <c r="O101" i="7941" s="1"/>
  <c r="P725" i="18"/>
  <c r="N926" i="18"/>
  <c r="N796" i="18" s="1"/>
  <c r="N462" i="7941" s="1"/>
  <c r="O700" i="18"/>
  <c r="P700" i="18" s="1"/>
  <c r="O937" i="18"/>
  <c r="O807" i="18" s="1"/>
  <c r="O473" i="7941" s="1"/>
  <c r="O930" i="18"/>
  <c r="P930" i="18" s="1"/>
  <c r="O710" i="18"/>
  <c r="P710" i="18" s="1"/>
  <c r="M7" i="7941"/>
  <c r="N8" i="7941"/>
  <c r="O8" i="7941" s="1"/>
  <c r="P491" i="18"/>
  <c r="Q491" i="18" s="1"/>
  <c r="R491" i="18" s="1"/>
  <c r="O707" i="18"/>
  <c r="P707" i="18" s="1"/>
  <c r="O715" i="18"/>
  <c r="O553" i="18" s="1"/>
  <c r="O91" i="7941" s="1"/>
  <c r="O943" i="18"/>
  <c r="O813" i="18" s="1"/>
  <c r="O479" i="7941" s="1"/>
  <c r="Q29" i="7941"/>
  <c r="O576" i="7941"/>
  <c r="P576" i="7941" s="1"/>
  <c r="Q576" i="7941" s="1"/>
  <c r="M395" i="7941"/>
  <c r="N815" i="18"/>
  <c r="N481" i="7941" s="1"/>
  <c r="O945" i="18"/>
  <c r="N794" i="18"/>
  <c r="O924" i="18"/>
  <c r="M213" i="7941"/>
  <c r="N213" i="7941" s="1"/>
  <c r="O213" i="7941" s="1"/>
  <c r="P213" i="7941" s="1"/>
  <c r="Q213" i="7941" s="1"/>
  <c r="M577" i="7941"/>
  <c r="N577" i="7941" s="1"/>
  <c r="O577" i="7941" s="1"/>
  <c r="P577" i="7941" s="1"/>
  <c r="Q577" i="7941" s="1"/>
  <c r="M695" i="18"/>
  <c r="M534" i="18"/>
  <c r="N540" i="18"/>
  <c r="N78" i="7941" s="1"/>
  <c r="O702" i="18"/>
  <c r="M214" i="7941"/>
  <c r="N214" i="7941" s="1"/>
  <c r="O214" i="7941" s="1"/>
  <c r="P214" i="7941" s="1"/>
  <c r="Q214" i="7941" s="1"/>
  <c r="M581" i="7941"/>
  <c r="N581" i="7941" s="1"/>
  <c r="O581" i="7941" s="1"/>
  <c r="P581" i="7941" s="1"/>
  <c r="Q581" i="7941" s="1"/>
  <c r="M562" i="7941"/>
  <c r="N562" i="7941" s="1"/>
  <c r="M564" i="7941"/>
  <c r="N564" i="7941" s="1"/>
  <c r="O564" i="7941" s="1"/>
  <c r="P564" i="7941" s="1"/>
  <c r="Q564" i="7941" s="1"/>
  <c r="N808" i="18"/>
  <c r="N474" i="7941" s="1"/>
  <c r="O938" i="18"/>
  <c r="M221" i="7941"/>
  <c r="N221" i="7941" s="1"/>
  <c r="O221" i="7941" s="1"/>
  <c r="P221" i="7941" s="1"/>
  <c r="Q221" i="7941" s="1"/>
  <c r="M580" i="7941"/>
  <c r="N580" i="7941" s="1"/>
  <c r="O580" i="7941" s="1"/>
  <c r="P580" i="7941" s="1"/>
  <c r="Q580" i="7941" s="1"/>
  <c r="N542" i="18"/>
  <c r="N80" i="7941" s="1"/>
  <c r="O704" i="18"/>
  <c r="P535" i="18"/>
  <c r="P73" i="7941" s="1"/>
  <c r="Q697" i="18"/>
  <c r="Q535" i="18" s="1"/>
  <c r="Q73" i="7941" s="1"/>
  <c r="O803" i="18"/>
  <c r="O469" i="7941" s="1"/>
  <c r="P933" i="18"/>
  <c r="N810" i="18"/>
  <c r="N476" i="7941" s="1"/>
  <c r="O940" i="18"/>
  <c r="M570" i="7941"/>
  <c r="N570" i="7941" s="1"/>
  <c r="O570" i="7941" s="1"/>
  <c r="P570" i="7941" s="1"/>
  <c r="Q570" i="7941" s="1"/>
  <c r="M579" i="7941"/>
  <c r="N579" i="7941" s="1"/>
  <c r="O579" i="7941" s="1"/>
  <c r="P579" i="7941" s="1"/>
  <c r="Q579" i="7941" s="1"/>
  <c r="M566" i="7941"/>
  <c r="N566" i="7941" s="1"/>
  <c r="O566" i="7941" s="1"/>
  <c r="P566" i="7941" s="1"/>
  <c r="Q566" i="7941" s="1"/>
  <c r="N396" i="7941"/>
  <c r="M230" i="7941"/>
  <c r="N230" i="7941" s="1"/>
  <c r="O230" i="7941" s="1"/>
  <c r="P230" i="7941" s="1"/>
  <c r="Q230" i="7941" s="1"/>
  <c r="M582" i="7941"/>
  <c r="N582" i="7941" s="1"/>
  <c r="O582" i="7941" s="1"/>
  <c r="P582" i="7941" s="1"/>
  <c r="Q582" i="7941" s="1"/>
  <c r="L74" i="7941"/>
  <c r="L204" i="7941" s="1"/>
  <c r="M472" i="18"/>
  <c r="N472" i="18" s="1"/>
  <c r="O472" i="18" s="1"/>
  <c r="P472" i="18" s="1"/>
  <c r="Q472" i="18" s="1"/>
  <c r="R472" i="18" s="1"/>
  <c r="M218" i="7941"/>
  <c r="N218" i="7941" s="1"/>
  <c r="O218" i="7941" s="1"/>
  <c r="P218" i="7941" s="1"/>
  <c r="Q218" i="7941" s="1"/>
  <c r="L72" i="7941"/>
  <c r="L533" i="18"/>
  <c r="M470" i="18"/>
  <c r="N944" i="18"/>
  <c r="N554" i="18"/>
  <c r="N92" i="7941" s="1"/>
  <c r="O716" i="18"/>
  <c r="N802" i="18"/>
  <c r="N468" i="7941" s="1"/>
  <c r="O932" i="18"/>
  <c r="N817" i="18"/>
  <c r="N483" i="7941" s="1"/>
  <c r="O947" i="18"/>
  <c r="N798" i="18"/>
  <c r="N464" i="7941" s="1"/>
  <c r="O928" i="18"/>
  <c r="M571" i="7941"/>
  <c r="N571" i="7941" s="1"/>
  <c r="M561" i="7941"/>
  <c r="N561" i="7941" s="1"/>
  <c r="O811" i="18"/>
  <c r="O477" i="7941" s="1"/>
  <c r="P941" i="18"/>
  <c r="P812" i="18"/>
  <c r="P478" i="7941" s="1"/>
  <c r="Q942" i="18"/>
  <c r="Q812" i="18" s="1"/>
  <c r="Q478" i="7941" s="1"/>
  <c r="M573" i="7941"/>
  <c r="N573" i="7941" s="1"/>
  <c r="O573" i="7941" s="1"/>
  <c r="P573" i="7941" s="1"/>
  <c r="Q573" i="7941" s="1"/>
  <c r="M210" i="7941"/>
  <c r="N210" i="7941" s="1"/>
  <c r="O210" i="7941" s="1"/>
  <c r="P210" i="7941" s="1"/>
  <c r="Q210" i="7941" s="1"/>
  <c r="M569" i="7941"/>
  <c r="N569" i="7941" s="1"/>
  <c r="O569" i="7941" s="1"/>
  <c r="P569" i="7941" s="1"/>
  <c r="Q569" i="7941" s="1"/>
  <c r="P819" i="18"/>
  <c r="P485" i="7941" s="1"/>
  <c r="Q949" i="18"/>
  <c r="Q819" i="18" s="1"/>
  <c r="Q485" i="7941" s="1"/>
  <c r="O539" i="18"/>
  <c r="O77" i="7941" s="1"/>
  <c r="P701" i="18"/>
  <c r="M587" i="7941"/>
  <c r="P555" i="18"/>
  <c r="P93" i="7941" s="1"/>
  <c r="Q717" i="18"/>
  <c r="Q555" i="18" s="1"/>
  <c r="Q93" i="7941" s="1"/>
  <c r="M208" i="7941"/>
  <c r="N208" i="7941" s="1"/>
  <c r="O208" i="7941" s="1"/>
  <c r="P208" i="7941" s="1"/>
  <c r="Q208" i="7941" s="1"/>
  <c r="N823" i="18"/>
  <c r="N489" i="7941" s="1"/>
  <c r="O953" i="18"/>
  <c r="P543" i="18"/>
  <c r="P81" i="7941" s="1"/>
  <c r="Q705" i="18"/>
  <c r="Q543" i="18" s="1"/>
  <c r="Q81" i="7941" s="1"/>
  <c r="N696" i="18"/>
  <c r="M228" i="7941"/>
  <c r="N228" i="7941" s="1"/>
  <c r="O228" i="7941" s="1"/>
  <c r="P228" i="7941" s="1"/>
  <c r="Q228" i="7941" s="1"/>
  <c r="L480" i="7941"/>
  <c r="L578" i="7941" s="1"/>
  <c r="M750" i="18"/>
  <c r="N750" i="18" s="1"/>
  <c r="O750" i="18" s="1"/>
  <c r="P750" i="18" s="1"/>
  <c r="Q750" i="18" s="1"/>
  <c r="R750" i="18" s="1"/>
  <c r="L462" i="7941"/>
  <c r="L560" i="7941" s="1"/>
  <c r="M732" i="18"/>
  <c r="N732" i="18" s="1"/>
  <c r="O732" i="18" s="1"/>
  <c r="P732" i="18" s="1"/>
  <c r="Q732" i="18" s="1"/>
  <c r="R732" i="18" s="1"/>
  <c r="M205" i="7941"/>
  <c r="N205" i="7941" s="1"/>
  <c r="O205" i="7941" s="1"/>
  <c r="P205" i="7941" s="1"/>
  <c r="Q205" i="7941" s="1"/>
  <c r="M212" i="7941"/>
  <c r="N212" i="7941" s="1"/>
  <c r="O212" i="7941" s="1"/>
  <c r="P212" i="7941" s="1"/>
  <c r="Q212" i="7941" s="1"/>
  <c r="N552" i="18"/>
  <c r="N90" i="7941" s="1"/>
  <c r="O714" i="18"/>
  <c r="N550" i="18"/>
  <c r="N88" i="7941" s="1"/>
  <c r="O712" i="18"/>
  <c r="L793" i="18"/>
  <c r="L460" i="7941"/>
  <c r="M730" i="18"/>
  <c r="N537" i="18"/>
  <c r="N75" i="7941" s="1"/>
  <c r="O699" i="18"/>
  <c r="M574" i="7941"/>
  <c r="N574" i="7941" s="1"/>
  <c r="N556" i="18"/>
  <c r="N94" i="7941" s="1"/>
  <c r="O718" i="18"/>
  <c r="N562" i="18"/>
  <c r="N100" i="7941" s="1"/>
  <c r="O724" i="18"/>
  <c r="N544" i="18"/>
  <c r="N82" i="7941" s="1"/>
  <c r="O706" i="18"/>
  <c r="O557" i="18"/>
  <c r="O95" i="7941" s="1"/>
  <c r="P719" i="18"/>
  <c r="M206" i="7941"/>
  <c r="N206" i="7941" s="1"/>
  <c r="O206" i="7941" s="1"/>
  <c r="P206" i="7941" s="1"/>
  <c r="Q206" i="7941" s="1"/>
  <c r="M224" i="7941"/>
  <c r="N224" i="7941" s="1"/>
  <c r="O224" i="7941" s="1"/>
  <c r="P224" i="7941" s="1"/>
  <c r="Q224" i="7941" s="1"/>
  <c r="M226" i="7941"/>
  <c r="N226" i="7941" s="1"/>
  <c r="O226" i="7941" s="1"/>
  <c r="P226" i="7941" s="1"/>
  <c r="Q226" i="7941" s="1"/>
  <c r="O804" i="18"/>
  <c r="O470" i="7941" s="1"/>
  <c r="P934" i="18"/>
  <c r="M222" i="7941"/>
  <c r="N222" i="7941" s="1"/>
  <c r="O222" i="7941" s="1"/>
  <c r="P222" i="7941" s="1"/>
  <c r="Q222" i="7941" s="1"/>
  <c r="M216" i="7941"/>
  <c r="N216" i="7941" s="1"/>
  <c r="O216" i="7941" s="1"/>
  <c r="P216" i="7941" s="1"/>
  <c r="Q216" i="7941" s="1"/>
  <c r="N698" i="18"/>
  <c r="M220" i="7941"/>
  <c r="N220" i="7941" s="1"/>
  <c r="O220" i="7941" s="1"/>
  <c r="P220" i="7941" s="1"/>
  <c r="Q220" i="7941" s="1"/>
  <c r="M229" i="7941"/>
  <c r="N229" i="7941" s="1"/>
  <c r="O229" i="7941" s="1"/>
  <c r="P229" i="7941" s="1"/>
  <c r="Q229" i="7941" s="1"/>
  <c r="O820" i="18"/>
  <c r="O486" i="7941" s="1"/>
  <c r="P950" i="18"/>
  <c r="O799" i="18"/>
  <c r="O465" i="7941" s="1"/>
  <c r="P929" i="18"/>
  <c r="N816" i="18"/>
  <c r="N482" i="7941" s="1"/>
  <c r="O946" i="18"/>
  <c r="N805" i="18"/>
  <c r="N471" i="7941" s="1"/>
  <c r="O935" i="18"/>
  <c r="M923" i="18"/>
  <c r="M794" i="18"/>
  <c r="N809" i="18"/>
  <c r="N475" i="7941" s="1"/>
  <c r="O939" i="18"/>
  <c r="N546" i="18"/>
  <c r="N84" i="7941" s="1"/>
  <c r="O708" i="18"/>
  <c r="O203" i="7941"/>
  <c r="P203" i="7941" s="1"/>
  <c r="Q203" i="7941" s="1"/>
  <c r="M572" i="7941"/>
  <c r="N572" i="7941" s="1"/>
  <c r="O572" i="7941" s="1"/>
  <c r="P572" i="7941" s="1"/>
  <c r="Q572" i="7941" s="1"/>
  <c r="N79" i="7941" l="1"/>
  <c r="O477" i="18"/>
  <c r="M467" i="7941"/>
  <c r="N737" i="18"/>
  <c r="O800" i="18"/>
  <c r="O466" i="7941" s="1"/>
  <c r="P722" i="18"/>
  <c r="P560" i="18" s="1"/>
  <c r="P98" i="7941" s="1"/>
  <c r="O545" i="18"/>
  <c r="O83" i="7941" s="1"/>
  <c r="P948" i="18"/>
  <c r="P818" i="18" s="1"/>
  <c r="P484" i="7941" s="1"/>
  <c r="P927" i="18"/>
  <c r="P797" i="18" s="1"/>
  <c r="P463" i="7941" s="1"/>
  <c r="P720" i="18"/>
  <c r="P558" i="18" s="1"/>
  <c r="P96" i="7941" s="1"/>
  <c r="P723" i="18"/>
  <c r="O548" i="18"/>
  <c r="O86" i="7941" s="1"/>
  <c r="P936" i="18"/>
  <c r="P806" i="18" s="1"/>
  <c r="P472" i="7941" s="1"/>
  <c r="N587" i="7941"/>
  <c r="O587" i="7941" s="1"/>
  <c r="P587" i="7941" s="1"/>
  <c r="Q587" i="7941" s="1"/>
  <c r="O926" i="18"/>
  <c r="O796" i="18" s="1"/>
  <c r="O462" i="7941" s="1"/>
  <c r="O538" i="18"/>
  <c r="O76" i="7941" s="1"/>
  <c r="Q725" i="18"/>
  <c r="Q563" i="18" s="1"/>
  <c r="Q101" i="7941" s="1"/>
  <c r="P563" i="18"/>
  <c r="P101" i="7941" s="1"/>
  <c r="P715" i="18"/>
  <c r="P553" i="18" s="1"/>
  <c r="P91" i="7941" s="1"/>
  <c r="P8" i="7941"/>
  <c r="Q8" i="7941" s="1"/>
  <c r="P937" i="18"/>
  <c r="P807" i="18" s="1"/>
  <c r="P473" i="7941" s="1"/>
  <c r="O571" i="7941"/>
  <c r="P571" i="7941" s="1"/>
  <c r="Q571" i="7941" s="1"/>
  <c r="N7" i="7941"/>
  <c r="O562" i="7941"/>
  <c r="P562" i="7941" s="1"/>
  <c r="Q562" i="7941" s="1"/>
  <c r="P943" i="18"/>
  <c r="P813" i="18" s="1"/>
  <c r="P479" i="7941" s="1"/>
  <c r="O574" i="7941"/>
  <c r="P574" i="7941" s="1"/>
  <c r="Q574" i="7941" s="1"/>
  <c r="O561" i="7941"/>
  <c r="P561" i="7941" s="1"/>
  <c r="Q561" i="7941" s="1"/>
  <c r="O815" i="18"/>
  <c r="O481" i="7941" s="1"/>
  <c r="P945" i="18"/>
  <c r="N695" i="18"/>
  <c r="N534" i="18"/>
  <c r="O696" i="18"/>
  <c r="P800" i="18"/>
  <c r="P466" i="7941" s="1"/>
  <c r="Q930" i="18"/>
  <c r="Q800" i="18" s="1"/>
  <c r="Q466" i="7941" s="1"/>
  <c r="O554" i="18"/>
  <c r="O92" i="7941" s="1"/>
  <c r="P716" i="18"/>
  <c r="N460" i="7941"/>
  <c r="O546" i="18"/>
  <c r="O84" i="7941" s="1"/>
  <c r="P708" i="18"/>
  <c r="P820" i="18"/>
  <c r="P486" i="7941" s="1"/>
  <c r="Q950" i="18"/>
  <c r="Q820" i="18" s="1"/>
  <c r="Q486" i="7941" s="1"/>
  <c r="P557" i="18"/>
  <c r="P95" i="7941" s="1"/>
  <c r="Q719" i="18"/>
  <c r="Q557" i="18" s="1"/>
  <c r="Q95" i="7941" s="1"/>
  <c r="O562" i="18"/>
  <c r="O100" i="7941" s="1"/>
  <c r="P724" i="18"/>
  <c r="O552" i="18"/>
  <c r="O90" i="7941" s="1"/>
  <c r="P714" i="18"/>
  <c r="P538" i="18"/>
  <c r="P76" i="7941" s="1"/>
  <c r="Q700" i="18"/>
  <c r="Q538" i="18" s="1"/>
  <c r="Q76" i="7941" s="1"/>
  <c r="L71" i="7941"/>
  <c r="L202" i="7941"/>
  <c r="P803" i="18"/>
  <c r="P469" i="7941" s="1"/>
  <c r="Q933" i="18"/>
  <c r="Q803" i="18" s="1"/>
  <c r="Q469" i="7941" s="1"/>
  <c r="O542" i="18"/>
  <c r="O80" i="7941" s="1"/>
  <c r="P704" i="18"/>
  <c r="M533" i="18"/>
  <c r="M72" i="7941"/>
  <c r="M71" i="7941" s="1"/>
  <c r="P548" i="18"/>
  <c r="P86" i="7941" s="1"/>
  <c r="Q710" i="18"/>
  <c r="Q548" i="18" s="1"/>
  <c r="Q86" i="7941" s="1"/>
  <c r="O537" i="18"/>
  <c r="O75" i="7941" s="1"/>
  <c r="P699" i="18"/>
  <c r="M793" i="18"/>
  <c r="M460" i="7941"/>
  <c r="M459" i="7941" s="1"/>
  <c r="N536" i="18"/>
  <c r="N74" i="7941" s="1"/>
  <c r="O698" i="18"/>
  <c r="M729" i="18"/>
  <c r="N730" i="18"/>
  <c r="M560" i="7941"/>
  <c r="N560" i="7941" s="1"/>
  <c r="O560" i="7941" s="1"/>
  <c r="P560" i="7941" s="1"/>
  <c r="Q560" i="7941" s="1"/>
  <c r="M578" i="7941"/>
  <c r="N578" i="7941" s="1"/>
  <c r="O578" i="7941" s="1"/>
  <c r="P578" i="7941" s="1"/>
  <c r="Q578" i="7941" s="1"/>
  <c r="P811" i="18"/>
  <c r="P477" i="7941" s="1"/>
  <c r="Q941" i="18"/>
  <c r="Q811" i="18" s="1"/>
  <c r="Q477" i="7941" s="1"/>
  <c r="O798" i="18"/>
  <c r="O464" i="7941" s="1"/>
  <c r="P928" i="18"/>
  <c r="O802" i="18"/>
  <c r="O468" i="7941" s="1"/>
  <c r="P932" i="18"/>
  <c r="N814" i="18"/>
  <c r="N480" i="7941" s="1"/>
  <c r="O944" i="18"/>
  <c r="O817" i="18"/>
  <c r="O483" i="7941" s="1"/>
  <c r="P947" i="18"/>
  <c r="M204" i="7941"/>
  <c r="N204" i="7941" s="1"/>
  <c r="O204" i="7941" s="1"/>
  <c r="P204" i="7941" s="1"/>
  <c r="Q204" i="7941" s="1"/>
  <c r="O816" i="18"/>
  <c r="O482" i="7941" s="1"/>
  <c r="P946" i="18"/>
  <c r="O809" i="18"/>
  <c r="O475" i="7941" s="1"/>
  <c r="P939" i="18"/>
  <c r="O805" i="18"/>
  <c r="O471" i="7941" s="1"/>
  <c r="P935" i="18"/>
  <c r="P799" i="18"/>
  <c r="P465" i="7941" s="1"/>
  <c r="Q929" i="18"/>
  <c r="Q799" i="18" s="1"/>
  <c r="Q465" i="7941" s="1"/>
  <c r="P804" i="18"/>
  <c r="P470" i="7941" s="1"/>
  <c r="Q934" i="18"/>
  <c r="Q804" i="18" s="1"/>
  <c r="Q470" i="7941" s="1"/>
  <c r="O544" i="18"/>
  <c r="O82" i="7941" s="1"/>
  <c r="P706" i="18"/>
  <c r="O556" i="18"/>
  <c r="O94" i="7941" s="1"/>
  <c r="P718" i="18"/>
  <c r="L459" i="7941"/>
  <c r="L558" i="7941"/>
  <c r="O550" i="18"/>
  <c r="O88" i="7941" s="1"/>
  <c r="P712" i="18"/>
  <c r="P545" i="18"/>
  <c r="P83" i="7941" s="1"/>
  <c r="Q707" i="18"/>
  <c r="Q545" i="18" s="1"/>
  <c r="Q83" i="7941" s="1"/>
  <c r="O823" i="18"/>
  <c r="O489" i="7941" s="1"/>
  <c r="P953" i="18"/>
  <c r="P539" i="18"/>
  <c r="P77" i="7941" s="1"/>
  <c r="Q701" i="18"/>
  <c r="Q539" i="18" s="1"/>
  <c r="Q77" i="7941" s="1"/>
  <c r="M469" i="18"/>
  <c r="N470" i="18"/>
  <c r="O396" i="7941"/>
  <c r="O810" i="18"/>
  <c r="O476" i="7941" s="1"/>
  <c r="P940" i="18"/>
  <c r="O808" i="18"/>
  <c r="O474" i="7941" s="1"/>
  <c r="P938" i="18"/>
  <c r="O540" i="18"/>
  <c r="O78" i="7941" s="1"/>
  <c r="P702" i="18"/>
  <c r="O794" i="18"/>
  <c r="P924" i="18"/>
  <c r="M565" i="7941" l="1"/>
  <c r="N403" i="7941"/>
  <c r="N209" i="7941"/>
  <c r="O15" i="7941"/>
  <c r="N931" i="18"/>
  <c r="O703" i="18"/>
  <c r="O695" i="18" s="1"/>
  <c r="Q722" i="18"/>
  <c r="Q560" i="18" s="1"/>
  <c r="Q98" i="7941" s="1"/>
  <c r="Q927" i="18"/>
  <c r="Q797" i="18" s="1"/>
  <c r="Q463" i="7941" s="1"/>
  <c r="Q720" i="18"/>
  <c r="Q558" i="18" s="1"/>
  <c r="Q96" i="7941" s="1"/>
  <c r="Q948" i="18"/>
  <c r="Q818" i="18" s="1"/>
  <c r="Q484" i="7941" s="1"/>
  <c r="P926" i="18"/>
  <c r="P796" i="18" s="1"/>
  <c r="P462" i="7941" s="1"/>
  <c r="Q715" i="18"/>
  <c r="Q553" i="18" s="1"/>
  <c r="Q91" i="7941" s="1"/>
  <c r="Q936" i="18"/>
  <c r="Q806" i="18" s="1"/>
  <c r="Q472" i="7941" s="1"/>
  <c r="Q723" i="18"/>
  <c r="Q561" i="18" s="1"/>
  <c r="Q99" i="7941" s="1"/>
  <c r="P561" i="18"/>
  <c r="P99" i="7941" s="1"/>
  <c r="Q937" i="18"/>
  <c r="Q807" i="18" s="1"/>
  <c r="Q473" i="7941" s="1"/>
  <c r="Q943" i="18"/>
  <c r="Q813" i="18" s="1"/>
  <c r="Q479" i="7941" s="1"/>
  <c r="P815" i="18"/>
  <c r="P481" i="7941" s="1"/>
  <c r="Q945" i="18"/>
  <c r="Q815" i="18" s="1"/>
  <c r="Q481" i="7941" s="1"/>
  <c r="P794" i="18"/>
  <c r="Q924" i="18"/>
  <c r="O536" i="18"/>
  <c r="O74" i="7941" s="1"/>
  <c r="P698" i="18"/>
  <c r="P542" i="18"/>
  <c r="P80" i="7941" s="1"/>
  <c r="Q704" i="18"/>
  <c r="Q542" i="18" s="1"/>
  <c r="Q80" i="7941" s="1"/>
  <c r="L201" i="7941"/>
  <c r="M202" i="7941"/>
  <c r="M201" i="7941" s="1"/>
  <c r="P562" i="18"/>
  <c r="P100" i="7941" s="1"/>
  <c r="Q724" i="18"/>
  <c r="Q562" i="18" s="1"/>
  <c r="Q100" i="7941" s="1"/>
  <c r="O460" i="7941"/>
  <c r="L557" i="7941"/>
  <c r="M558" i="7941"/>
  <c r="P809" i="18"/>
  <c r="P475" i="7941" s="1"/>
  <c r="Q939" i="18"/>
  <c r="Q809" i="18" s="1"/>
  <c r="Q475" i="7941" s="1"/>
  <c r="P817" i="18"/>
  <c r="P483" i="7941" s="1"/>
  <c r="Q947" i="18"/>
  <c r="Q817" i="18" s="1"/>
  <c r="Q483" i="7941" s="1"/>
  <c r="O814" i="18"/>
  <c r="O480" i="7941" s="1"/>
  <c r="P944" i="18"/>
  <c r="P798" i="18"/>
  <c r="P464" i="7941" s="1"/>
  <c r="Q928" i="18"/>
  <c r="Q798" i="18" s="1"/>
  <c r="Q464" i="7941" s="1"/>
  <c r="P537" i="18"/>
  <c r="P75" i="7941" s="1"/>
  <c r="Q699" i="18"/>
  <c r="Q537" i="18" s="1"/>
  <c r="Q75" i="7941" s="1"/>
  <c r="P554" i="18"/>
  <c r="P92" i="7941" s="1"/>
  <c r="Q716" i="18"/>
  <c r="Q554" i="18" s="1"/>
  <c r="Q92" i="7941" s="1"/>
  <c r="O534" i="18"/>
  <c r="P696" i="18"/>
  <c r="P540" i="18"/>
  <c r="P78" i="7941" s="1"/>
  <c r="Q702" i="18"/>
  <c r="Q540" i="18" s="1"/>
  <c r="Q78" i="7941" s="1"/>
  <c r="P810" i="18"/>
  <c r="P476" i="7941" s="1"/>
  <c r="Q940" i="18"/>
  <c r="Q810" i="18" s="1"/>
  <c r="Q476" i="7941" s="1"/>
  <c r="N469" i="18"/>
  <c r="O470" i="18"/>
  <c r="P823" i="18"/>
  <c r="P489" i="7941" s="1"/>
  <c r="Q953" i="18"/>
  <c r="Q823" i="18" s="1"/>
  <c r="Q489" i="7941" s="1"/>
  <c r="P550" i="18"/>
  <c r="P88" i="7941" s="1"/>
  <c r="Q712" i="18"/>
  <c r="Q550" i="18" s="1"/>
  <c r="Q88" i="7941" s="1"/>
  <c r="P544" i="18"/>
  <c r="P82" i="7941" s="1"/>
  <c r="Q706" i="18"/>
  <c r="Q544" i="18" s="1"/>
  <c r="Q82" i="7941" s="1"/>
  <c r="P805" i="18"/>
  <c r="P471" i="7941" s="1"/>
  <c r="Q935" i="18"/>
  <c r="Q805" i="18" s="1"/>
  <c r="Q471" i="7941" s="1"/>
  <c r="P816" i="18"/>
  <c r="P482" i="7941" s="1"/>
  <c r="Q946" i="18"/>
  <c r="Q816" i="18" s="1"/>
  <c r="Q482" i="7941" s="1"/>
  <c r="N72" i="7941"/>
  <c r="N71" i="7941" s="1"/>
  <c r="N533" i="18"/>
  <c r="N729" i="18"/>
  <c r="O730" i="18"/>
  <c r="P552" i="18"/>
  <c r="P90" i="7941" s="1"/>
  <c r="Q714" i="18"/>
  <c r="Q552" i="18" s="1"/>
  <c r="Q90" i="7941" s="1"/>
  <c r="P556" i="18"/>
  <c r="P94" i="7941" s="1"/>
  <c r="Q718" i="18"/>
  <c r="Q556" i="18" s="1"/>
  <c r="Q94" i="7941" s="1"/>
  <c r="P802" i="18"/>
  <c r="P468" i="7941" s="1"/>
  <c r="Q932" i="18"/>
  <c r="Q802" i="18" s="1"/>
  <c r="Q468" i="7941" s="1"/>
  <c r="P808" i="18"/>
  <c r="P474" i="7941" s="1"/>
  <c r="Q938" i="18"/>
  <c r="Q808" i="18" s="1"/>
  <c r="Q474" i="7941" s="1"/>
  <c r="P396" i="7941"/>
  <c r="P546" i="18"/>
  <c r="P84" i="7941" s="1"/>
  <c r="Q708" i="18"/>
  <c r="Q546" i="18" s="1"/>
  <c r="Q84" i="7941" s="1"/>
  <c r="M557" i="7941" l="1"/>
  <c r="L612" i="7941" s="1"/>
  <c r="O541" i="18"/>
  <c r="O533" i="18" s="1"/>
  <c r="N801" i="18"/>
  <c r="N923" i="18"/>
  <c r="O7" i="7941"/>
  <c r="N395" i="7941"/>
  <c r="Q926" i="18"/>
  <c r="Q796" i="18" s="1"/>
  <c r="Q462" i="7941" s="1"/>
  <c r="N558" i="7941"/>
  <c r="L295" i="7941"/>
  <c r="L293" i="7941"/>
  <c r="L294" i="7941"/>
  <c r="L339" i="7941"/>
  <c r="L337" i="7941"/>
  <c r="L335" i="7941"/>
  <c r="L333" i="7941"/>
  <c r="L331" i="7941"/>
  <c r="M298" i="7941"/>
  <c r="M300" i="7941"/>
  <c r="M302" i="7941"/>
  <c r="M304" i="7941"/>
  <c r="M306" i="7941"/>
  <c r="M308" i="7941"/>
  <c r="M310" i="7941"/>
  <c r="M312" i="7941"/>
  <c r="M314" i="7941"/>
  <c r="M316" i="7941"/>
  <c r="M318" i="7941"/>
  <c r="M320" i="7941"/>
  <c r="M322" i="7941"/>
  <c r="M324" i="7941"/>
  <c r="M326" i="7941"/>
  <c r="L358" i="7941"/>
  <c r="L354" i="7941"/>
  <c r="L287" i="7941"/>
  <c r="L346" i="7941"/>
  <c r="L279" i="7941"/>
  <c r="L359" i="7941"/>
  <c r="L290" i="7941"/>
  <c r="L349" i="7941"/>
  <c r="L282" i="7941"/>
  <c r="L278" i="7941"/>
  <c r="L336" i="7941"/>
  <c r="L269" i="7941"/>
  <c r="L341" i="7941"/>
  <c r="L272" i="7941"/>
  <c r="M235" i="7941"/>
  <c r="M301" i="7941"/>
  <c r="M240" i="7941"/>
  <c r="M243" i="7941"/>
  <c r="M309" i="7941"/>
  <c r="M248" i="7941"/>
  <c r="M251" i="7941"/>
  <c r="M317" i="7941"/>
  <c r="M256" i="7941"/>
  <c r="M259" i="7941"/>
  <c r="M325" i="7941"/>
  <c r="L342" i="7941"/>
  <c r="L353" i="7941"/>
  <c r="L340" i="7941"/>
  <c r="M239" i="7941"/>
  <c r="M252" i="7941"/>
  <c r="M263" i="7941"/>
  <c r="L356" i="7941"/>
  <c r="L289" i="7941"/>
  <c r="L348" i="7941"/>
  <c r="L281" i="7941"/>
  <c r="L292" i="7941"/>
  <c r="L351" i="7941"/>
  <c r="L284" i="7941"/>
  <c r="L338" i="7941"/>
  <c r="L271" i="7941"/>
  <c r="L330" i="7941"/>
  <c r="L274" i="7941"/>
  <c r="L266" i="7941"/>
  <c r="M299" i="7941"/>
  <c r="M238" i="7941"/>
  <c r="M241" i="7941"/>
  <c r="M307" i="7941"/>
  <c r="M246" i="7941"/>
  <c r="M249" i="7941"/>
  <c r="M315" i="7941"/>
  <c r="M254" i="7941"/>
  <c r="M257" i="7941"/>
  <c r="M323" i="7941"/>
  <c r="M262" i="7941"/>
  <c r="L283" i="7941"/>
  <c r="L286" i="7941"/>
  <c r="L345" i="7941"/>
  <c r="L273" i="7941"/>
  <c r="L280" i="7941"/>
  <c r="L276" i="7941"/>
  <c r="M247" i="7941"/>
  <c r="M321" i="7941"/>
  <c r="L352" i="7941"/>
  <c r="L285" i="7941"/>
  <c r="L344" i="7941"/>
  <c r="L277" i="7941"/>
  <c r="L357" i="7941"/>
  <c r="L355" i="7941"/>
  <c r="L288" i="7941"/>
  <c r="L347" i="7941"/>
  <c r="L343" i="7941"/>
  <c r="L275" i="7941"/>
  <c r="L334" i="7941"/>
  <c r="L267" i="7941"/>
  <c r="L270" i="7941"/>
  <c r="M234" i="7941"/>
  <c r="M237" i="7941"/>
  <c r="M303" i="7941"/>
  <c r="M242" i="7941"/>
  <c r="M245" i="7941"/>
  <c r="M311" i="7941"/>
  <c r="M250" i="7941"/>
  <c r="M253" i="7941"/>
  <c r="M319" i="7941"/>
  <c r="M258" i="7941"/>
  <c r="M261" i="7941"/>
  <c r="M327" i="7941"/>
  <c r="L291" i="7941"/>
  <c r="L350" i="7941"/>
  <c r="L332" i="7941"/>
  <c r="L268" i="7941"/>
  <c r="M236" i="7941"/>
  <c r="M305" i="7941"/>
  <c r="M244" i="7941"/>
  <c r="M313" i="7941"/>
  <c r="M255" i="7941"/>
  <c r="M260" i="7941"/>
  <c r="P460" i="7941"/>
  <c r="O72" i="7941"/>
  <c r="P814" i="18"/>
  <c r="P480" i="7941" s="1"/>
  <c r="Q944" i="18"/>
  <c r="Q814" i="18" s="1"/>
  <c r="Q480" i="7941" s="1"/>
  <c r="P536" i="18"/>
  <c r="P74" i="7941" s="1"/>
  <c r="Q698" i="18"/>
  <c r="Q536" i="18" s="1"/>
  <c r="Q74" i="7941" s="1"/>
  <c r="Q396" i="7941"/>
  <c r="P730" i="18"/>
  <c r="O469" i="18"/>
  <c r="P470" i="18"/>
  <c r="N202" i="7941"/>
  <c r="L325" i="7941"/>
  <c r="L321" i="7941"/>
  <c r="L317" i="7941"/>
  <c r="L313" i="7941"/>
  <c r="L309" i="7941"/>
  <c r="L324" i="7941"/>
  <c r="L320" i="7941"/>
  <c r="L316" i="7941"/>
  <c r="L312" i="7941"/>
  <c r="L242" i="7941"/>
  <c r="L238" i="7941"/>
  <c r="L247" i="7941"/>
  <c r="L306" i="7941"/>
  <c r="L302" i="7941"/>
  <c r="L299" i="7941"/>
  <c r="L323" i="7941"/>
  <c r="L254" i="7941"/>
  <c r="L248" i="7941"/>
  <c r="L326" i="7941"/>
  <c r="L257" i="7941"/>
  <c r="L251" i="7941"/>
  <c r="L244" i="7941"/>
  <c r="L303" i="7941"/>
  <c r="L310" i="7941"/>
  <c r="L304" i="7941"/>
  <c r="L235" i="7941"/>
  <c r="L315" i="7941"/>
  <c r="L318" i="7941"/>
  <c r="L305" i="7941"/>
  <c r="L327" i="7941"/>
  <c r="L258" i="7941"/>
  <c r="L252" i="7941"/>
  <c r="L311" i="7941"/>
  <c r="L261" i="7941"/>
  <c r="L255" i="7941"/>
  <c r="L314" i="7941"/>
  <c r="L307" i="7941"/>
  <c r="L301" i="7941"/>
  <c r="L308" i="7941"/>
  <c r="L239" i="7941"/>
  <c r="L298" i="7941"/>
  <c r="L256" i="7941"/>
  <c r="L259" i="7941"/>
  <c r="L236" i="7941"/>
  <c r="L237" i="7941"/>
  <c r="L260" i="7941"/>
  <c r="L319" i="7941"/>
  <c r="L250" i="7941"/>
  <c r="L263" i="7941"/>
  <c r="L322" i="7941"/>
  <c r="L253" i="7941"/>
  <c r="L245" i="7941"/>
  <c r="L240" i="7941"/>
  <c r="L234" i="7941"/>
  <c r="L241" i="7941"/>
  <c r="L300" i="7941"/>
  <c r="L262" i="7941"/>
  <c r="L246" i="7941"/>
  <c r="L249" i="7941"/>
  <c r="L243" i="7941"/>
  <c r="P534" i="18"/>
  <c r="Q696" i="18"/>
  <c r="Q794" i="18"/>
  <c r="L637" i="7941" l="1"/>
  <c r="L616" i="7941"/>
  <c r="L640" i="7941"/>
  <c r="L646" i="7941"/>
  <c r="L638" i="7941"/>
  <c r="L647" i="7941"/>
  <c r="M600" i="7941"/>
  <c r="M614" i="7941"/>
  <c r="M612" i="7941"/>
  <c r="M597" i="7941"/>
  <c r="L605" i="7941"/>
  <c r="L603" i="7941"/>
  <c r="M610" i="7941"/>
  <c r="M592" i="7941"/>
  <c r="M599" i="7941"/>
  <c r="M591" i="7941"/>
  <c r="M613" i="7941"/>
  <c r="L626" i="7941"/>
  <c r="L596" i="7941"/>
  <c r="L595" i="7941"/>
  <c r="L606" i="7941"/>
  <c r="L670" i="7941" s="1"/>
  <c r="K23" i="7946" s="1"/>
  <c r="L601" i="7941"/>
  <c r="M594" i="7941"/>
  <c r="M611" i="7941"/>
  <c r="M590" i="7941"/>
  <c r="L644" i="7941"/>
  <c r="L676" i="7941" s="1"/>
  <c r="K29" i="7946" s="1"/>
  <c r="L636" i="7941"/>
  <c r="M603" i="7941"/>
  <c r="L631" i="7941"/>
  <c r="L649" i="7941"/>
  <c r="L645" i="7941"/>
  <c r="M602" i="7941"/>
  <c r="L635" i="7941"/>
  <c r="L651" i="7941"/>
  <c r="M605" i="7941"/>
  <c r="L625" i="7941"/>
  <c r="L642" i="7941"/>
  <c r="L613" i="7941"/>
  <c r="L590" i="7941"/>
  <c r="L610" i="7941"/>
  <c r="L598" i="7941"/>
  <c r="L608" i="7941"/>
  <c r="L611" i="7941"/>
  <c r="L602" i="7941"/>
  <c r="L617" i="7941"/>
  <c r="M604" i="7941"/>
  <c r="L629" i="7941"/>
  <c r="M616" i="7941"/>
  <c r="M606" i="7941"/>
  <c r="M595" i="7941"/>
  <c r="L627" i="7941"/>
  <c r="L632" i="7941"/>
  <c r="L643" i="7941"/>
  <c r="L622" i="7941"/>
  <c r="M619" i="7941"/>
  <c r="M608" i="7941"/>
  <c r="M598" i="7941"/>
  <c r="L624" i="7941"/>
  <c r="L628" i="7941"/>
  <c r="L660" i="7941" s="1"/>
  <c r="K13" i="7946" s="1"/>
  <c r="L648" i="7941"/>
  <c r="M615" i="7941"/>
  <c r="L639" i="7941"/>
  <c r="M618" i="7941"/>
  <c r="M607" i="7941"/>
  <c r="M596" i="7941"/>
  <c r="L623" i="7941"/>
  <c r="L630" i="7941"/>
  <c r="L641" i="7941"/>
  <c r="M617" i="7941"/>
  <c r="M609" i="7941"/>
  <c r="M601" i="7941"/>
  <c r="M593" i="7941"/>
  <c r="L633" i="7941"/>
  <c r="L634" i="7941"/>
  <c r="L650" i="7941"/>
  <c r="L618" i="7941"/>
  <c r="L600" i="7941"/>
  <c r="L592" i="7941"/>
  <c r="L619" i="7941"/>
  <c r="L604" i="7941"/>
  <c r="L614" i="7941"/>
  <c r="L591" i="7941"/>
  <c r="L655" i="7941" s="1"/>
  <c r="K8" i="7946" s="1"/>
  <c r="L607" i="7941"/>
  <c r="L599" i="7941"/>
  <c r="L597" i="7941"/>
  <c r="L615" i="7941"/>
  <c r="L679" i="7941" s="1"/>
  <c r="K32" i="7946" s="1"/>
  <c r="L594" i="7941"/>
  <c r="L593" i="7941"/>
  <c r="L657" i="7941" s="1"/>
  <c r="K10" i="7946" s="1"/>
  <c r="L609" i="7941"/>
  <c r="N467" i="7941"/>
  <c r="N793" i="18"/>
  <c r="O737" i="18"/>
  <c r="O79" i="7941"/>
  <c r="P477" i="18"/>
  <c r="O558" i="7941"/>
  <c r="P558" i="7941" s="1"/>
  <c r="L381" i="7941"/>
  <c r="J26" i="7946" s="1"/>
  <c r="L388" i="7941"/>
  <c r="J33" i="7946" s="1"/>
  <c r="L656" i="7941"/>
  <c r="K9" i="7946" s="1"/>
  <c r="L389" i="7941"/>
  <c r="J34" i="7946" s="1"/>
  <c r="L366" i="7941"/>
  <c r="J11" i="7946" s="1"/>
  <c r="L377" i="7941"/>
  <c r="J22" i="7946" s="1"/>
  <c r="L369" i="7941"/>
  <c r="J14" i="7946" s="1"/>
  <c r="L387" i="7941"/>
  <c r="J32" i="7946" s="1"/>
  <c r="L374" i="7941"/>
  <c r="J19" i="7946" s="1"/>
  <c r="L384" i="7941"/>
  <c r="J29" i="7946" s="1"/>
  <c r="L371" i="7941"/>
  <c r="J16" i="7946" s="1"/>
  <c r="L373" i="7941"/>
  <c r="J18" i="7946" s="1"/>
  <c r="L378" i="7941"/>
  <c r="J23" i="7946" s="1"/>
  <c r="L367" i="7941"/>
  <c r="J12" i="7946" s="1"/>
  <c r="L380" i="7941"/>
  <c r="J25" i="7946" s="1"/>
  <c r="L386" i="7941"/>
  <c r="J31" i="7946" s="1"/>
  <c r="L363" i="7941"/>
  <c r="J8" i="7946" s="1"/>
  <c r="L390" i="7941"/>
  <c r="J35" i="7946" s="1"/>
  <c r="L368" i="7941"/>
  <c r="J13" i="7946" s="1"/>
  <c r="L391" i="7941"/>
  <c r="J36" i="7946" s="1"/>
  <c r="L379" i="7941"/>
  <c r="J24" i="7946" s="1"/>
  <c r="L382" i="7941"/>
  <c r="J27" i="7946" s="1"/>
  <c r="L383" i="7941"/>
  <c r="J28" i="7946" s="1"/>
  <c r="L233" i="7941"/>
  <c r="L372" i="7941"/>
  <c r="J17" i="7946" s="1"/>
  <c r="L376" i="7941"/>
  <c r="J21" i="7946" s="1"/>
  <c r="L370" i="7941"/>
  <c r="J15" i="7946" s="1"/>
  <c r="L385" i="7941"/>
  <c r="J30" i="7946" s="1"/>
  <c r="L364" i="7941"/>
  <c r="J9" i="7946" s="1"/>
  <c r="L375" i="7941"/>
  <c r="J20" i="7946" s="1"/>
  <c r="L365" i="7941"/>
  <c r="J10" i="7946" s="1"/>
  <c r="P72" i="7941"/>
  <c r="N201" i="7941"/>
  <c r="O202" i="7941"/>
  <c r="Q460" i="7941"/>
  <c r="Q534" i="18"/>
  <c r="Q730" i="18"/>
  <c r="M297" i="7941"/>
  <c r="L297" i="7941"/>
  <c r="P469" i="18"/>
  <c r="Q470" i="18"/>
  <c r="L362" i="7941"/>
  <c r="M233" i="7941"/>
  <c r="L265" i="7941"/>
  <c r="L329" i="7941"/>
  <c r="L680" i="7941" l="1"/>
  <c r="K33" i="7946" s="1"/>
  <c r="L658" i="7941"/>
  <c r="K11" i="7946" s="1"/>
  <c r="L665" i="7941"/>
  <c r="K18" i="7946" s="1"/>
  <c r="L662" i="7941"/>
  <c r="K15" i="7946" s="1"/>
  <c r="L669" i="7941"/>
  <c r="K22" i="7946" s="1"/>
  <c r="L659" i="7941"/>
  <c r="K12" i="7946" s="1"/>
  <c r="L661" i="7941"/>
  <c r="K14" i="7946" s="1"/>
  <c r="L678" i="7941"/>
  <c r="K31" i="7946" s="1"/>
  <c r="L667" i="7941"/>
  <c r="K20" i="7946" s="1"/>
  <c r="L672" i="7941"/>
  <c r="K25" i="7946" s="1"/>
  <c r="L675" i="7941"/>
  <c r="K28" i="7946" s="1"/>
  <c r="L681" i="7941"/>
  <c r="K34" i="7946" s="1"/>
  <c r="L668" i="7941"/>
  <c r="K21" i="7946" s="1"/>
  <c r="L666" i="7941"/>
  <c r="K19" i="7946" s="1"/>
  <c r="L683" i="7941"/>
  <c r="K36" i="7946" s="1"/>
  <c r="L673" i="7941"/>
  <c r="K26" i="7946" s="1"/>
  <c r="L671" i="7941"/>
  <c r="K24" i="7946" s="1"/>
  <c r="L664" i="7941"/>
  <c r="K17" i="7946" s="1"/>
  <c r="L682" i="7941"/>
  <c r="K35" i="7946" s="1"/>
  <c r="L654" i="7941"/>
  <c r="K7" i="7946" s="1"/>
  <c r="L674" i="7941"/>
  <c r="K27" i="7946" s="1"/>
  <c r="L677" i="7941"/>
  <c r="K30" i="7946" s="1"/>
  <c r="L663" i="7941"/>
  <c r="K16" i="7946" s="1"/>
  <c r="L589" i="7941"/>
  <c r="M589" i="7941"/>
  <c r="L621" i="7941"/>
  <c r="P703" i="18"/>
  <c r="O931" i="18"/>
  <c r="O729" i="18"/>
  <c r="N459" i="7941"/>
  <c r="N565" i="7941"/>
  <c r="O403" i="7941"/>
  <c r="O209" i="7941"/>
  <c r="O201" i="7941" s="1"/>
  <c r="P15" i="7941"/>
  <c r="O71" i="7941"/>
  <c r="R470" i="18"/>
  <c r="P202" i="7941"/>
  <c r="J7" i="7946"/>
  <c r="J37" i="7946" s="1"/>
  <c r="L361" i="7941"/>
  <c r="R730" i="18"/>
  <c r="M267" i="7941"/>
  <c r="M269" i="7941"/>
  <c r="M271" i="7941"/>
  <c r="M273" i="7941"/>
  <c r="M275" i="7941"/>
  <c r="M277" i="7941"/>
  <c r="M279" i="7941"/>
  <c r="M281" i="7941"/>
  <c r="M283" i="7941"/>
  <c r="M285" i="7941"/>
  <c r="M287" i="7941"/>
  <c r="M289" i="7941"/>
  <c r="M291" i="7941"/>
  <c r="M293" i="7941"/>
  <c r="M295" i="7941"/>
  <c r="M332" i="7941"/>
  <c r="M336" i="7941"/>
  <c r="M340" i="7941"/>
  <c r="M344" i="7941"/>
  <c r="M348" i="7941"/>
  <c r="M352" i="7941"/>
  <c r="M356" i="7941"/>
  <c r="N234" i="7941"/>
  <c r="N236" i="7941"/>
  <c r="N238" i="7941"/>
  <c r="N240" i="7941"/>
  <c r="N242" i="7941"/>
  <c r="N244" i="7941"/>
  <c r="N246" i="7941"/>
  <c r="N248" i="7941"/>
  <c r="N250" i="7941"/>
  <c r="N252" i="7941"/>
  <c r="N254" i="7941"/>
  <c r="N256" i="7941"/>
  <c r="N258" i="7941"/>
  <c r="N260" i="7941"/>
  <c r="N262" i="7941"/>
  <c r="M266" i="7941"/>
  <c r="M272" i="7941"/>
  <c r="M280" i="7941"/>
  <c r="M330" i="7941"/>
  <c r="M335" i="7941"/>
  <c r="M341" i="7941"/>
  <c r="M346" i="7941"/>
  <c r="M351" i="7941"/>
  <c r="M357" i="7941"/>
  <c r="M389" i="7941" s="1"/>
  <c r="N235" i="7941"/>
  <c r="N301" i="7941"/>
  <c r="N304" i="7941"/>
  <c r="N243" i="7941"/>
  <c r="N309" i="7941"/>
  <c r="N312" i="7941"/>
  <c r="N251" i="7941"/>
  <c r="N259" i="7941"/>
  <c r="M276" i="7941"/>
  <c r="M343" i="7941"/>
  <c r="N300" i="7941"/>
  <c r="N308" i="7941"/>
  <c r="N316" i="7941"/>
  <c r="N263" i="7941"/>
  <c r="M270" i="7941"/>
  <c r="M278" i="7941"/>
  <c r="M286" i="7941"/>
  <c r="M294" i="7941"/>
  <c r="M331" i="7941"/>
  <c r="M337" i="7941"/>
  <c r="M342" i="7941"/>
  <c r="M347" i="7941"/>
  <c r="M353" i="7941"/>
  <c r="M358" i="7941"/>
  <c r="N299" i="7941"/>
  <c r="N302" i="7941"/>
  <c r="N241" i="7941"/>
  <c r="N307" i="7941"/>
  <c r="N310" i="7941"/>
  <c r="N249" i="7941"/>
  <c r="N315" i="7941"/>
  <c r="N318" i="7941"/>
  <c r="N257" i="7941"/>
  <c r="N323" i="7941"/>
  <c r="N326" i="7941"/>
  <c r="M292" i="7941"/>
  <c r="M338" i="7941"/>
  <c r="M354" i="7941"/>
  <c r="N239" i="7941"/>
  <c r="N247" i="7941"/>
  <c r="N255" i="7941"/>
  <c r="M274" i="7941"/>
  <c r="M282" i="7941"/>
  <c r="M290" i="7941"/>
  <c r="M334" i="7941"/>
  <c r="M339" i="7941"/>
  <c r="M345" i="7941"/>
  <c r="M350" i="7941"/>
  <c r="M355" i="7941"/>
  <c r="N298" i="7941"/>
  <c r="N237" i="7941"/>
  <c r="N303" i="7941"/>
  <c r="N306" i="7941"/>
  <c r="N245" i="7941"/>
  <c r="N311" i="7941"/>
  <c r="N314" i="7941"/>
  <c r="N253" i="7941"/>
  <c r="N319" i="7941"/>
  <c r="N322" i="7941"/>
  <c r="N261" i="7941"/>
  <c r="N327" i="7941"/>
  <c r="M288" i="7941"/>
  <c r="N317" i="7941"/>
  <c r="N320" i="7941"/>
  <c r="N325" i="7941"/>
  <c r="M268" i="7941"/>
  <c r="M284" i="7941"/>
  <c r="M333" i="7941"/>
  <c r="M349" i="7941"/>
  <c r="M359" i="7941"/>
  <c r="N305" i="7941"/>
  <c r="N313" i="7941"/>
  <c r="N321" i="7941"/>
  <c r="N324" i="7941"/>
  <c r="Q72" i="7941"/>
  <c r="Q558" i="7941"/>
  <c r="M364" i="7941" l="1"/>
  <c r="L653" i="7941"/>
  <c r="K37" i="7946"/>
  <c r="P7" i="7941"/>
  <c r="O395" i="7941"/>
  <c r="O801" i="18"/>
  <c r="O923" i="18"/>
  <c r="P541" i="18"/>
  <c r="P695" i="18"/>
  <c r="N557" i="7941"/>
  <c r="M370" i="7941"/>
  <c r="M376" i="7941"/>
  <c r="M381" i="7941"/>
  <c r="M369" i="7941"/>
  <c r="M372" i="7941"/>
  <c r="M383" i="7941"/>
  <c r="M375" i="7941"/>
  <c r="M380" i="7941"/>
  <c r="M377" i="7941"/>
  <c r="M368" i="7941"/>
  <c r="M391" i="7941"/>
  <c r="M386" i="7941"/>
  <c r="M385" i="7941"/>
  <c r="M374" i="7941"/>
  <c r="M367" i="7941"/>
  <c r="M362" i="7941"/>
  <c r="M384" i="7941"/>
  <c r="M371" i="7941"/>
  <c r="M365" i="7941"/>
  <c r="M366" i="7941"/>
  <c r="M388" i="7941"/>
  <c r="M373" i="7941"/>
  <c r="M390" i="7941"/>
  <c r="M382" i="7941"/>
  <c r="M378" i="7941"/>
  <c r="M387" i="7941"/>
  <c r="M379" i="7941"/>
  <c r="M363" i="7941"/>
  <c r="M265" i="7941"/>
  <c r="Q202" i="7941"/>
  <c r="N297" i="7941"/>
  <c r="M329" i="7941"/>
  <c r="N267" i="7941"/>
  <c r="N269" i="7941"/>
  <c r="N271" i="7941"/>
  <c r="N273" i="7941"/>
  <c r="N275" i="7941"/>
  <c r="N277" i="7941"/>
  <c r="N279" i="7941"/>
  <c r="N281" i="7941"/>
  <c r="N283" i="7941"/>
  <c r="N285" i="7941"/>
  <c r="N287" i="7941"/>
  <c r="N289" i="7941"/>
  <c r="N291" i="7941"/>
  <c r="N293" i="7941"/>
  <c r="N295" i="7941"/>
  <c r="N274" i="7941"/>
  <c r="N341" i="7941"/>
  <c r="N353" i="7941"/>
  <c r="O298" i="7941"/>
  <c r="O304" i="7941"/>
  <c r="O310" i="7941"/>
  <c r="O316" i="7941"/>
  <c r="O322" i="7941"/>
  <c r="N331" i="7941"/>
  <c r="N347" i="7941"/>
  <c r="N379" i="7941" s="1"/>
  <c r="N359" i="7941"/>
  <c r="O305" i="7941"/>
  <c r="O315" i="7941"/>
  <c r="O323" i="7941"/>
  <c r="N266" i="7941"/>
  <c r="N272" i="7941"/>
  <c r="N280" i="7941"/>
  <c r="N288" i="7941"/>
  <c r="N330" i="7941"/>
  <c r="N334" i="7941"/>
  <c r="N338" i="7941"/>
  <c r="N370" i="7941" s="1"/>
  <c r="N342" i="7941"/>
  <c r="N346" i="7941"/>
  <c r="N350" i="7941"/>
  <c r="N354" i="7941"/>
  <c r="N358" i="7941"/>
  <c r="O235" i="7941"/>
  <c r="O237" i="7941"/>
  <c r="O239" i="7941"/>
  <c r="O241" i="7941"/>
  <c r="O243" i="7941"/>
  <c r="O245" i="7941"/>
  <c r="O247" i="7941"/>
  <c r="O249" i="7941"/>
  <c r="O251" i="7941"/>
  <c r="O253" i="7941"/>
  <c r="O255" i="7941"/>
  <c r="O257" i="7941"/>
  <c r="O259" i="7941"/>
  <c r="O261" i="7941"/>
  <c r="O263" i="7941"/>
  <c r="N335" i="7941"/>
  <c r="N351" i="7941"/>
  <c r="O299" i="7941"/>
  <c r="O307" i="7941"/>
  <c r="O311" i="7941"/>
  <c r="O319" i="7941"/>
  <c r="O327" i="7941"/>
  <c r="N268" i="7941"/>
  <c r="N276" i="7941"/>
  <c r="N284" i="7941"/>
  <c r="N292" i="7941"/>
  <c r="N332" i="7941"/>
  <c r="N336" i="7941"/>
  <c r="N340" i="7941"/>
  <c r="N344" i="7941"/>
  <c r="N348" i="7941"/>
  <c r="N352" i="7941"/>
  <c r="N356" i="7941"/>
  <c r="O234" i="7941"/>
  <c r="O236" i="7941"/>
  <c r="O238" i="7941"/>
  <c r="O240" i="7941"/>
  <c r="O242" i="7941"/>
  <c r="O244" i="7941"/>
  <c r="O246" i="7941"/>
  <c r="O248" i="7941"/>
  <c r="O250" i="7941"/>
  <c r="O252" i="7941"/>
  <c r="O254" i="7941"/>
  <c r="O256" i="7941"/>
  <c r="O258" i="7941"/>
  <c r="O260" i="7941"/>
  <c r="O262" i="7941"/>
  <c r="N282" i="7941"/>
  <c r="N290" i="7941"/>
  <c r="N333" i="7941"/>
  <c r="N337" i="7941"/>
  <c r="N345" i="7941"/>
  <c r="N349" i="7941"/>
  <c r="N357" i="7941"/>
  <c r="O300" i="7941"/>
  <c r="O302" i="7941"/>
  <c r="O306" i="7941"/>
  <c r="O308" i="7941"/>
  <c r="O312" i="7941"/>
  <c r="O314" i="7941"/>
  <c r="O318" i="7941"/>
  <c r="O320" i="7941"/>
  <c r="O324" i="7941"/>
  <c r="O326" i="7941"/>
  <c r="N270" i="7941"/>
  <c r="N278" i="7941"/>
  <c r="N286" i="7941"/>
  <c r="N294" i="7941"/>
  <c r="N339" i="7941"/>
  <c r="N343" i="7941"/>
  <c r="N355" i="7941"/>
  <c r="N387" i="7941" s="1"/>
  <c r="O301" i="7941"/>
  <c r="O303" i="7941"/>
  <c r="O309" i="7941"/>
  <c r="O313" i="7941"/>
  <c r="O317" i="7941"/>
  <c r="O321" i="7941"/>
  <c r="O325" i="7941"/>
  <c r="N233" i="7941"/>
  <c r="N591" i="7941" l="1"/>
  <c r="N593" i="7941"/>
  <c r="M643" i="7941"/>
  <c r="M675" i="7941" s="1"/>
  <c r="M642" i="7941"/>
  <c r="M674" i="7941" s="1"/>
  <c r="N595" i="7941"/>
  <c r="N618" i="7941"/>
  <c r="M649" i="7941"/>
  <c r="M681" i="7941" s="1"/>
  <c r="M622" i="7941"/>
  <c r="M654" i="7941" s="1"/>
  <c r="N598" i="7941"/>
  <c r="M625" i="7941"/>
  <c r="M657" i="7941" s="1"/>
  <c r="M632" i="7941"/>
  <c r="M664" i="7941" s="1"/>
  <c r="M647" i="7941"/>
  <c r="M679" i="7941" s="1"/>
  <c r="M648" i="7941"/>
  <c r="M680" i="7941" s="1"/>
  <c r="M627" i="7941"/>
  <c r="M659" i="7941" s="1"/>
  <c r="M633" i="7941"/>
  <c r="M665" i="7941" s="1"/>
  <c r="M634" i="7941"/>
  <c r="M666" i="7941" s="1"/>
  <c r="N611" i="7941"/>
  <c r="M635" i="7941"/>
  <c r="M667" i="7941" s="1"/>
  <c r="N616" i="7941"/>
  <c r="M638" i="7941"/>
  <c r="M670" i="7941" s="1"/>
  <c r="N613" i="7941"/>
  <c r="M637" i="7941"/>
  <c r="M669" i="7941" s="1"/>
  <c r="N617" i="7941"/>
  <c r="N615" i="7941"/>
  <c r="N612" i="7941"/>
  <c r="N605" i="7941"/>
  <c r="M630" i="7941"/>
  <c r="M662" i="7941" s="1"/>
  <c r="N602" i="7941"/>
  <c r="M629" i="7941"/>
  <c r="M661" i="7941" s="1"/>
  <c r="N590" i="7941"/>
  <c r="N607" i="7941"/>
  <c r="M644" i="7941"/>
  <c r="M676" i="7941" s="1"/>
  <c r="N600" i="7941"/>
  <c r="N606" i="7941"/>
  <c r="M628" i="7941"/>
  <c r="M660" i="7941" s="1"/>
  <c r="M626" i="7941"/>
  <c r="M658" i="7941" s="1"/>
  <c r="M641" i="7941"/>
  <c r="M673" i="7941" s="1"/>
  <c r="M631" i="7941"/>
  <c r="M663" i="7941" s="1"/>
  <c r="M650" i="7941"/>
  <c r="M682" i="7941" s="1"/>
  <c r="N603" i="7941"/>
  <c r="N597" i="7941"/>
  <c r="N619" i="7941"/>
  <c r="N610" i="7941"/>
  <c r="N608" i="7941"/>
  <c r="N601" i="7941"/>
  <c r="N609" i="7941"/>
  <c r="N596" i="7941"/>
  <c r="N594" i="7941"/>
  <c r="N614" i="7941"/>
  <c r="N592" i="7941"/>
  <c r="N604" i="7941"/>
  <c r="M639" i="7941"/>
  <c r="M671" i="7941" s="1"/>
  <c r="N599" i="7941"/>
  <c r="M651" i="7941"/>
  <c r="M683" i="7941" s="1"/>
  <c r="M636" i="7941"/>
  <c r="M668" i="7941" s="1"/>
  <c r="M646" i="7941"/>
  <c r="M678" i="7941" s="1"/>
  <c r="M624" i="7941"/>
  <c r="M656" i="7941" s="1"/>
  <c r="M645" i="7941"/>
  <c r="M677" i="7941" s="1"/>
  <c r="M640" i="7941"/>
  <c r="M672" i="7941" s="1"/>
  <c r="M623" i="7941"/>
  <c r="M655" i="7941" s="1"/>
  <c r="P79" i="7941"/>
  <c r="P533" i="18"/>
  <c r="Q477" i="18"/>
  <c r="O467" i="7941"/>
  <c r="O793" i="18"/>
  <c r="P737" i="18"/>
  <c r="N368" i="7941"/>
  <c r="N383" i="7941"/>
  <c r="M361" i="7941"/>
  <c r="N371" i="7941"/>
  <c r="N376" i="7941"/>
  <c r="N363" i="7941"/>
  <c r="N385" i="7941"/>
  <c r="N381" i="7941"/>
  <c r="N390" i="7941"/>
  <c r="N377" i="7941"/>
  <c r="N374" i="7941"/>
  <c r="N391" i="7941"/>
  <c r="N367" i="7941"/>
  <c r="N380" i="7941"/>
  <c r="N382" i="7941"/>
  <c r="N366" i="7941"/>
  <c r="N378" i="7941"/>
  <c r="N375" i="7941"/>
  <c r="N369" i="7941"/>
  <c r="N372" i="7941"/>
  <c r="N364" i="7941"/>
  <c r="N384" i="7941"/>
  <c r="N389" i="7941"/>
  <c r="N373" i="7941"/>
  <c r="N365" i="7941"/>
  <c r="N388" i="7941"/>
  <c r="N386" i="7941"/>
  <c r="N329" i="7941"/>
  <c r="N362" i="7941"/>
  <c r="O297" i="7941"/>
  <c r="O233" i="7941"/>
  <c r="N265" i="7941"/>
  <c r="M653" i="7941" l="1"/>
  <c r="N589" i="7941"/>
  <c r="M621" i="7941"/>
  <c r="Q469" i="18"/>
  <c r="Q703" i="18"/>
  <c r="P71" i="7941"/>
  <c r="P209" i="7941"/>
  <c r="Q15" i="7941"/>
  <c r="Q7" i="7941" s="1"/>
  <c r="P729" i="18"/>
  <c r="P931" i="18"/>
  <c r="O459" i="7941"/>
  <c r="P403" i="7941"/>
  <c r="O565" i="7941"/>
  <c r="N361" i="7941"/>
  <c r="O557" i="7941" l="1"/>
  <c r="P395" i="7941"/>
  <c r="P801" i="18"/>
  <c r="P923" i="18"/>
  <c r="P201" i="7941"/>
  <c r="Q541" i="18"/>
  <c r="Q695" i="18"/>
  <c r="Q79" i="7941" l="1"/>
  <c r="Q533" i="18"/>
  <c r="R477" i="18"/>
  <c r="R469" i="18" s="1"/>
  <c r="N641" i="7941"/>
  <c r="N673" i="7941" s="1"/>
  <c r="O604" i="7941"/>
  <c r="O590" i="7941"/>
  <c r="O611" i="7941"/>
  <c r="N637" i="7941"/>
  <c r="N669" i="7941" s="1"/>
  <c r="N648" i="7941"/>
  <c r="N680" i="7941" s="1"/>
  <c r="N647" i="7941"/>
  <c r="N679" i="7941" s="1"/>
  <c r="O608" i="7941"/>
  <c r="O595" i="7941"/>
  <c r="O598" i="7941"/>
  <c r="N650" i="7941"/>
  <c r="N682" i="7941" s="1"/>
  <c r="N629" i="7941"/>
  <c r="N661" i="7941" s="1"/>
  <c r="O609" i="7941"/>
  <c r="O594" i="7941"/>
  <c r="N645" i="7941"/>
  <c r="N677" i="7941" s="1"/>
  <c r="O591" i="7941"/>
  <c r="O593" i="7941"/>
  <c r="N627" i="7941"/>
  <c r="N659" i="7941" s="1"/>
  <c r="N636" i="7941"/>
  <c r="N668" i="7941" s="1"/>
  <c r="N639" i="7941"/>
  <c r="N671" i="7941" s="1"/>
  <c r="O603" i="7941"/>
  <c r="N628" i="7941"/>
  <c r="N660" i="7941" s="1"/>
  <c r="N638" i="7941"/>
  <c r="N670" i="7941" s="1"/>
  <c r="N623" i="7941"/>
  <c r="N655" i="7941" s="1"/>
  <c r="N624" i="7941"/>
  <c r="N656" i="7941" s="1"/>
  <c r="N643" i="7941"/>
  <c r="N675" i="7941" s="1"/>
  <c r="O615" i="7941"/>
  <c r="O618" i="7941"/>
  <c r="O613" i="7941"/>
  <c r="N646" i="7941"/>
  <c r="N678" i="7941" s="1"/>
  <c r="N649" i="7941"/>
  <c r="N681" i="7941" s="1"/>
  <c r="N640" i="7941"/>
  <c r="N672" i="7941" s="1"/>
  <c r="O605" i="7941"/>
  <c r="N630" i="7941"/>
  <c r="N662" i="7941" s="1"/>
  <c r="O607" i="7941"/>
  <c r="O610" i="7941"/>
  <c r="O614" i="7941"/>
  <c r="N633" i="7941"/>
  <c r="N665" i="7941" s="1"/>
  <c r="O617" i="7941"/>
  <c r="N635" i="7941"/>
  <c r="N667" i="7941" s="1"/>
  <c r="N651" i="7941"/>
  <c r="N683" i="7941" s="1"/>
  <c r="N622" i="7941"/>
  <c r="N654" i="7941" s="1"/>
  <c r="N632" i="7941"/>
  <c r="N664" i="7941" s="1"/>
  <c r="O612" i="7941"/>
  <c r="O619" i="7941"/>
  <c r="N634" i="7941"/>
  <c r="N666" i="7941" s="1"/>
  <c r="N626" i="7941"/>
  <c r="N658" i="7941" s="1"/>
  <c r="O602" i="7941"/>
  <c r="O600" i="7941"/>
  <c r="N625" i="7941"/>
  <c r="N657" i="7941" s="1"/>
  <c r="O606" i="7941"/>
  <c r="O601" i="7941"/>
  <c r="O592" i="7941"/>
  <c r="N644" i="7941"/>
  <c r="N676" i="7941" s="1"/>
  <c r="O596" i="7941"/>
  <c r="N631" i="7941"/>
  <c r="N663" i="7941" s="1"/>
  <c r="O599" i="7941"/>
  <c r="N642" i="7941"/>
  <c r="N674" i="7941" s="1"/>
  <c r="O597" i="7941"/>
  <c r="O616" i="7941"/>
  <c r="P307" i="7941"/>
  <c r="P317" i="7941"/>
  <c r="P327" i="7941"/>
  <c r="O357" i="7941"/>
  <c r="P298" i="7941"/>
  <c r="P310" i="7941"/>
  <c r="P326" i="7941"/>
  <c r="O351" i="7941"/>
  <c r="O270" i="7941"/>
  <c r="O274" i="7941"/>
  <c r="O278" i="7941"/>
  <c r="O282" i="7941"/>
  <c r="O286" i="7941"/>
  <c r="O290" i="7941"/>
  <c r="O294" i="7941"/>
  <c r="P236" i="7941"/>
  <c r="P240" i="7941"/>
  <c r="P244" i="7941"/>
  <c r="P248" i="7941"/>
  <c r="P252" i="7941"/>
  <c r="P256" i="7941"/>
  <c r="P260" i="7941"/>
  <c r="O330" i="7941"/>
  <c r="O338" i="7941"/>
  <c r="O346" i="7941"/>
  <c r="O354" i="7941"/>
  <c r="O386" i="7941" s="1"/>
  <c r="P302" i="7941"/>
  <c r="P314" i="7941"/>
  <c r="O331" i="7941"/>
  <c r="O355" i="7941"/>
  <c r="O269" i="7941"/>
  <c r="O273" i="7941"/>
  <c r="O277" i="7941"/>
  <c r="O281" i="7941"/>
  <c r="O285" i="7941"/>
  <c r="O289" i="7941"/>
  <c r="O293" i="7941"/>
  <c r="P235" i="7941"/>
  <c r="P239" i="7941"/>
  <c r="P243" i="7941"/>
  <c r="P247" i="7941"/>
  <c r="P251" i="7941"/>
  <c r="P255" i="7941"/>
  <c r="P259" i="7941"/>
  <c r="O345" i="7941"/>
  <c r="P308" i="7941"/>
  <c r="O352" i="7941"/>
  <c r="O335" i="7941"/>
  <c r="P301" i="7941"/>
  <c r="P323" i="7941"/>
  <c r="O266" i="7941"/>
  <c r="O362" i="7941" s="1"/>
  <c r="P318" i="7941"/>
  <c r="O268" i="7941"/>
  <c r="O276" i="7941"/>
  <c r="O284" i="7941"/>
  <c r="O292" i="7941"/>
  <c r="P238" i="7941"/>
  <c r="P246" i="7941"/>
  <c r="P254" i="7941"/>
  <c r="P262" i="7941"/>
  <c r="O342" i="7941"/>
  <c r="O358" i="7941"/>
  <c r="P322" i="7941"/>
  <c r="O267" i="7941"/>
  <c r="O275" i="7941"/>
  <c r="O283" i="7941"/>
  <c r="O291" i="7941"/>
  <c r="P237" i="7941"/>
  <c r="P245" i="7941"/>
  <c r="P253" i="7941"/>
  <c r="P261" i="7941"/>
  <c r="O332" i="7941"/>
  <c r="O340" i="7941"/>
  <c r="O348" i="7941"/>
  <c r="O356" i="7941"/>
  <c r="P303" i="7941"/>
  <c r="P309" i="7941"/>
  <c r="P315" i="7941"/>
  <c r="P321" i="7941"/>
  <c r="O333" i="7941"/>
  <c r="O341" i="7941"/>
  <c r="O353" i="7941"/>
  <c r="P306" i="7941"/>
  <c r="P316" i="7941"/>
  <c r="P324" i="7941"/>
  <c r="O347" i="7941"/>
  <c r="P313" i="7941"/>
  <c r="P304" i="7941"/>
  <c r="O343" i="7941"/>
  <c r="O272" i="7941"/>
  <c r="O280" i="7941"/>
  <c r="O288" i="7941"/>
  <c r="P234" i="7941"/>
  <c r="P242" i="7941"/>
  <c r="P250" i="7941"/>
  <c r="P258" i="7941"/>
  <c r="O334" i="7941"/>
  <c r="O366" i="7941" s="1"/>
  <c r="O350" i="7941"/>
  <c r="O339" i="7941"/>
  <c r="O271" i="7941"/>
  <c r="O367" i="7941" s="1"/>
  <c r="O279" i="7941"/>
  <c r="O287" i="7941"/>
  <c r="O295" i="7941"/>
  <c r="P241" i="7941"/>
  <c r="P249" i="7941"/>
  <c r="P257" i="7941"/>
  <c r="P263" i="7941"/>
  <c r="O336" i="7941"/>
  <c r="O344" i="7941"/>
  <c r="P299" i="7941"/>
  <c r="P305" i="7941"/>
  <c r="P311" i="7941"/>
  <c r="P319" i="7941"/>
  <c r="P325" i="7941"/>
  <c r="O337" i="7941"/>
  <c r="O349" i="7941"/>
  <c r="P300" i="7941"/>
  <c r="P312" i="7941"/>
  <c r="P320" i="7941"/>
  <c r="O359" i="7941"/>
  <c r="O375" i="7941"/>
  <c r="P467" i="7941"/>
  <c r="P793" i="18"/>
  <c r="Q737" i="18"/>
  <c r="O368" i="7941" l="1"/>
  <c r="O370" i="7941"/>
  <c r="O383" i="7941"/>
  <c r="O374" i="7941"/>
  <c r="O369" i="7941"/>
  <c r="O363" i="7941"/>
  <c r="O373" i="7941"/>
  <c r="O371" i="7941"/>
  <c r="O381" i="7941"/>
  <c r="O382" i="7941"/>
  <c r="O365" i="7941"/>
  <c r="O364" i="7941"/>
  <c r="O390" i="7941"/>
  <c r="O377" i="7941"/>
  <c r="O387" i="7941"/>
  <c r="O389" i="7941"/>
  <c r="O379" i="7941"/>
  <c r="O385" i="7941"/>
  <c r="O391" i="7941"/>
  <c r="O376" i="7941"/>
  <c r="O388" i="7941"/>
  <c r="O372" i="7941"/>
  <c r="O380" i="7941"/>
  <c r="O384" i="7941"/>
  <c r="O378" i="7941"/>
  <c r="N653" i="7941"/>
  <c r="O589" i="7941"/>
  <c r="P233" i="7941"/>
  <c r="O265" i="7941"/>
  <c r="O329" i="7941"/>
  <c r="P297" i="7941"/>
  <c r="N621" i="7941"/>
  <c r="Q729" i="18"/>
  <c r="Q931" i="18"/>
  <c r="P459" i="7941"/>
  <c r="P565" i="7941"/>
  <c r="Q403" i="7941"/>
  <c r="Q395" i="7941" s="1"/>
  <c r="Q71" i="7941"/>
  <c r="Q209" i="7941"/>
  <c r="O361" i="7941" l="1"/>
  <c r="Q801" i="18"/>
  <c r="Q923" i="18"/>
  <c r="Q201" i="7941"/>
  <c r="P557" i="7941"/>
  <c r="Q316" i="7941" l="1"/>
  <c r="Q257" i="7941"/>
  <c r="Q318" i="7941"/>
  <c r="P279" i="7941"/>
  <c r="Q247" i="7941"/>
  <c r="Q235" i="7941"/>
  <c r="P266" i="7941"/>
  <c r="P274" i="7941"/>
  <c r="P290" i="7941"/>
  <c r="Q308" i="7941"/>
  <c r="P350" i="7941"/>
  <c r="Q253" i="7941"/>
  <c r="P273" i="7941"/>
  <c r="P295" i="7941"/>
  <c r="P332" i="7941"/>
  <c r="Q258" i="7941"/>
  <c r="Q304" i="7941"/>
  <c r="P330" i="7941"/>
  <c r="P346" i="7941"/>
  <c r="Q238" i="7941"/>
  <c r="Q246" i="7941"/>
  <c r="Q241" i="7941"/>
  <c r="P339" i="7941"/>
  <c r="Q313" i="7941"/>
  <c r="P267" i="7941"/>
  <c r="P275" i="7941"/>
  <c r="P291" i="7941"/>
  <c r="Q310" i="7941"/>
  <c r="P336" i="7941"/>
  <c r="Q249" i="7941"/>
  <c r="P335" i="7941"/>
  <c r="P359" i="7941"/>
  <c r="Q252" i="7941"/>
  <c r="P269" i="7941"/>
  <c r="P287" i="7941"/>
  <c r="Q322" i="7941"/>
  <c r="P352" i="7941"/>
  <c r="Q299" i="7941"/>
  <c r="Q243" i="7941"/>
  <c r="Q251" i="7941"/>
  <c r="Q259" i="7941"/>
  <c r="P333" i="7941"/>
  <c r="P341" i="7941"/>
  <c r="P349" i="7941"/>
  <c r="P357" i="7941"/>
  <c r="Q301" i="7941"/>
  <c r="Q309" i="7941"/>
  <c r="Q317" i="7941"/>
  <c r="Q325" i="7941"/>
  <c r="P268" i="7941"/>
  <c r="P272" i="7941"/>
  <c r="P276" i="7941"/>
  <c r="P280" i="7941"/>
  <c r="P284" i="7941"/>
  <c r="P288" i="7941"/>
  <c r="P292" i="7941"/>
  <c r="Q300" i="7941"/>
  <c r="Q312" i="7941"/>
  <c r="Q324" i="7941"/>
  <c r="P342" i="7941"/>
  <c r="P354" i="7941"/>
  <c r="P386" i="7941" s="1"/>
  <c r="Q323" i="7941"/>
  <c r="Q245" i="7941"/>
  <c r="P331" i="7941"/>
  <c r="P351" i="7941"/>
  <c r="Q305" i="7941"/>
  <c r="P277" i="7941"/>
  <c r="P285" i="7941"/>
  <c r="P293" i="7941"/>
  <c r="Q302" i="7941"/>
  <c r="Q326" i="7941"/>
  <c r="P344" i="7941"/>
  <c r="Q298" i="7941"/>
  <c r="Q311" i="7941"/>
  <c r="Q319" i="7941"/>
  <c r="Q327" i="7941"/>
  <c r="P338" i="7941"/>
  <c r="P358" i="7941"/>
  <c r="Q307" i="7941"/>
  <c r="Q315" i="7941"/>
  <c r="P355" i="7941"/>
  <c r="Q321" i="7941"/>
  <c r="P271" i="7941"/>
  <c r="P283" i="7941"/>
  <c r="Q234" i="7941"/>
  <c r="P356" i="7941"/>
  <c r="Q261" i="7941"/>
  <c r="P347" i="7941"/>
  <c r="Q244" i="7941"/>
  <c r="Q260" i="7941"/>
  <c r="Q306" i="7941"/>
  <c r="P340" i="7941"/>
  <c r="Q303" i="7941"/>
  <c r="Q239" i="7941"/>
  <c r="Q255" i="7941"/>
  <c r="Q383" i="7941" s="1"/>
  <c r="Q263" i="7941"/>
  <c r="Q391" i="7941" s="1"/>
  <c r="P337" i="7941"/>
  <c r="P345" i="7941"/>
  <c r="P353" i="7941"/>
  <c r="Q240" i="7941"/>
  <c r="Q248" i="7941"/>
  <c r="Q256" i="7941"/>
  <c r="P270" i="7941"/>
  <c r="P278" i="7941"/>
  <c r="P282" i="7941"/>
  <c r="P286" i="7941"/>
  <c r="P294" i="7941"/>
  <c r="Q320" i="7941"/>
  <c r="P334" i="7941"/>
  <c r="Q254" i="7941"/>
  <c r="Q262" i="7941"/>
  <c r="Q390" i="7941" s="1"/>
  <c r="Q237" i="7941"/>
  <c r="P343" i="7941"/>
  <c r="Q236" i="7941"/>
  <c r="P281" i="7941"/>
  <c r="P289" i="7941"/>
  <c r="Q314" i="7941"/>
  <c r="P348" i="7941"/>
  <c r="Q242" i="7941"/>
  <c r="Q370" i="7941" s="1"/>
  <c r="Q250" i="7941"/>
  <c r="Q467" i="7941"/>
  <c r="Q793" i="18"/>
  <c r="R737" i="18"/>
  <c r="R729" i="18" s="1"/>
  <c r="P596" i="7941"/>
  <c r="O622" i="7941"/>
  <c r="P590" i="7941"/>
  <c r="P593" i="7941"/>
  <c r="P601" i="7941"/>
  <c r="P609" i="7941"/>
  <c r="P617" i="7941"/>
  <c r="O625" i="7941"/>
  <c r="O657" i="7941" s="1"/>
  <c r="O629" i="7941"/>
  <c r="O661" i="7941" s="1"/>
  <c r="O633" i="7941"/>
  <c r="O665" i="7941" s="1"/>
  <c r="O637" i="7941"/>
  <c r="O669" i="7941" s="1"/>
  <c r="O641" i="7941"/>
  <c r="O673" i="7941" s="1"/>
  <c r="O645" i="7941"/>
  <c r="O677" i="7941" s="1"/>
  <c r="P594" i="7941"/>
  <c r="P618" i="7941"/>
  <c r="P595" i="7941"/>
  <c r="P603" i="7941"/>
  <c r="P611" i="7941"/>
  <c r="P619" i="7941"/>
  <c r="O626" i="7941"/>
  <c r="O658" i="7941" s="1"/>
  <c r="O630" i="7941"/>
  <c r="O634" i="7941"/>
  <c r="O666" i="7941" s="1"/>
  <c r="O638" i="7941"/>
  <c r="O670" i="7941" s="1"/>
  <c r="O642" i="7941"/>
  <c r="O674" i="7941" s="1"/>
  <c r="O646" i="7941"/>
  <c r="O678" i="7941" s="1"/>
  <c r="O650" i="7941"/>
  <c r="O682" i="7941" s="1"/>
  <c r="P600" i="7941"/>
  <c r="P612" i="7941"/>
  <c r="O649" i="7941"/>
  <c r="O681" i="7941" s="1"/>
  <c r="P602" i="7941"/>
  <c r="P608" i="7941"/>
  <c r="O647" i="7941"/>
  <c r="O679" i="7941" s="1"/>
  <c r="P610" i="7941"/>
  <c r="P597" i="7941"/>
  <c r="P605" i="7941"/>
  <c r="P613" i="7941"/>
  <c r="O623" i="7941"/>
  <c r="O655" i="7941" s="1"/>
  <c r="O627" i="7941"/>
  <c r="O659" i="7941" s="1"/>
  <c r="O631" i="7941"/>
  <c r="O663" i="7941" s="1"/>
  <c r="O635" i="7941"/>
  <c r="O667" i="7941" s="1"/>
  <c r="O639" i="7941"/>
  <c r="O671" i="7941" s="1"/>
  <c r="O643" i="7941"/>
  <c r="O675" i="7941" s="1"/>
  <c r="O651" i="7941"/>
  <c r="O683" i="7941" s="1"/>
  <c r="P606" i="7941"/>
  <c r="P591" i="7941"/>
  <c r="P599" i="7941"/>
  <c r="P607" i="7941"/>
  <c r="P615" i="7941"/>
  <c r="O624" i="7941"/>
  <c r="O656" i="7941" s="1"/>
  <c r="O628" i="7941"/>
  <c r="O660" i="7941" s="1"/>
  <c r="O632" i="7941"/>
  <c r="O664" i="7941" s="1"/>
  <c r="O636" i="7941"/>
  <c r="O668" i="7941" s="1"/>
  <c r="O640" i="7941"/>
  <c r="O672" i="7941" s="1"/>
  <c r="O644" i="7941"/>
  <c r="O676" i="7941" s="1"/>
  <c r="O648" i="7941"/>
  <c r="O680" i="7941" s="1"/>
  <c r="P592" i="7941"/>
  <c r="P604" i="7941"/>
  <c r="P616" i="7941"/>
  <c r="P598" i="7941"/>
  <c r="P614" i="7941"/>
  <c r="O662" i="7941"/>
  <c r="Q380" i="7941" l="1"/>
  <c r="Q368" i="7941"/>
  <c r="P376" i="7941"/>
  <c r="P363" i="7941"/>
  <c r="P391" i="7941"/>
  <c r="Q376" i="7941"/>
  <c r="Q372" i="7941"/>
  <c r="Q382" i="7941"/>
  <c r="Q388" i="7941"/>
  <c r="P370" i="7941"/>
  <c r="P368" i="7941"/>
  <c r="Q364" i="7941"/>
  <c r="P384" i="7941"/>
  <c r="Q377" i="7941"/>
  <c r="P365" i="7941"/>
  <c r="P379" i="7941"/>
  <c r="P389" i="7941"/>
  <c r="P383" i="7941"/>
  <c r="P378" i="7941"/>
  <c r="P369" i="7941"/>
  <c r="P367" i="7941"/>
  <c r="P387" i="7941"/>
  <c r="P385" i="7941"/>
  <c r="P373" i="7941"/>
  <c r="P374" i="7941"/>
  <c r="P364" i="7941"/>
  <c r="P371" i="7941"/>
  <c r="P362" i="7941"/>
  <c r="P375" i="7941"/>
  <c r="P366" i="7941"/>
  <c r="P380" i="7941"/>
  <c r="Q365" i="7941"/>
  <c r="P372" i="7941"/>
  <c r="P388" i="7941"/>
  <c r="Q378" i="7941"/>
  <c r="P377" i="7941"/>
  <c r="P381" i="7941"/>
  <c r="Q367" i="7941"/>
  <c r="P390" i="7941"/>
  <c r="Q387" i="7941"/>
  <c r="Q371" i="7941"/>
  <c r="Q374" i="7941"/>
  <c r="Q297" i="7941"/>
  <c r="P329" i="7941"/>
  <c r="P589" i="7941"/>
  <c r="P382" i="7941"/>
  <c r="P265" i="7941"/>
  <c r="O654" i="7941"/>
  <c r="O653" i="7941" s="1"/>
  <c r="O621" i="7941"/>
  <c r="Q459" i="7941"/>
  <c r="Q565" i="7941"/>
  <c r="Q557" i="7941" s="1"/>
  <c r="Q389" i="7941"/>
  <c r="Q233" i="7941"/>
  <c r="Q362" i="7941"/>
  <c r="Q373" i="7941"/>
  <c r="Q379" i="7941"/>
  <c r="Q369" i="7941"/>
  <c r="Q366" i="7941"/>
  <c r="Q386" i="7941"/>
  <c r="Q381" i="7941"/>
  <c r="Q363" i="7941"/>
  <c r="Q385" i="7941"/>
  <c r="Q384" i="7941"/>
  <c r="Q375" i="7941"/>
  <c r="P361" i="7941" l="1"/>
  <c r="Q361" i="7941"/>
  <c r="P629" i="7941"/>
  <c r="P661" i="7941" s="1"/>
  <c r="Q592" i="7941"/>
  <c r="Q656" i="7941" s="1"/>
  <c r="Q616" i="7941"/>
  <c r="Q680" i="7941" s="1"/>
  <c r="Q605" i="7941"/>
  <c r="Q669" i="7941" s="1"/>
  <c r="P626" i="7941"/>
  <c r="P658" i="7941" s="1"/>
  <c r="P646" i="7941"/>
  <c r="P678" i="7941" s="1"/>
  <c r="P635" i="7941"/>
  <c r="P667" i="7941" s="1"/>
  <c r="Q602" i="7941"/>
  <c r="Q666" i="7941" s="1"/>
  <c r="P643" i="7941"/>
  <c r="P675" i="7941" s="1"/>
  <c r="Q606" i="7941"/>
  <c r="Q670" i="7941" s="1"/>
  <c r="Q591" i="7941"/>
  <c r="Q655" i="7941" s="1"/>
  <c r="Q599" i="7941"/>
  <c r="Q663" i="7941" s="1"/>
  <c r="Q607" i="7941"/>
  <c r="Q671" i="7941" s="1"/>
  <c r="Q615" i="7941"/>
  <c r="Q679" i="7941" s="1"/>
  <c r="P624" i="7941"/>
  <c r="P656" i="7941" s="1"/>
  <c r="P632" i="7941"/>
  <c r="P664" i="7941" s="1"/>
  <c r="P640" i="7941"/>
  <c r="P672" i="7941" s="1"/>
  <c r="P648" i="7941"/>
  <c r="P680" i="7941" s="1"/>
  <c r="P633" i="7941"/>
  <c r="P665" i="7941" s="1"/>
  <c r="P645" i="7941"/>
  <c r="P677" i="7941" s="1"/>
  <c r="Q596" i="7941"/>
  <c r="Q660" i="7941" s="1"/>
  <c r="Q608" i="7941"/>
  <c r="Q672" i="7941" s="1"/>
  <c r="Q593" i="7941"/>
  <c r="Q657" i="7941" s="1"/>
  <c r="Q609" i="7941"/>
  <c r="Q673" i="7941" s="1"/>
  <c r="P622" i="7941"/>
  <c r="P638" i="7941"/>
  <c r="P670" i="7941" s="1"/>
  <c r="P650" i="7941"/>
  <c r="P682" i="7941" s="1"/>
  <c r="P639" i="7941"/>
  <c r="P671" i="7941" s="1"/>
  <c r="Q598" i="7941"/>
  <c r="Q662" i="7941" s="1"/>
  <c r="Q614" i="7941"/>
  <c r="Q678" i="7941" s="1"/>
  <c r="P636" i="7941"/>
  <c r="P668" i="7941" s="1"/>
  <c r="P641" i="7941"/>
  <c r="P673" i="7941" s="1"/>
  <c r="Q597" i="7941"/>
  <c r="Q661" i="7941" s="1"/>
  <c r="P634" i="7941"/>
  <c r="P666" i="7941" s="1"/>
  <c r="P651" i="7941"/>
  <c r="P683" i="7941" s="1"/>
  <c r="Q594" i="7941"/>
  <c r="Q658" i="7941" s="1"/>
  <c r="Q595" i="7941"/>
  <c r="Q659" i="7941" s="1"/>
  <c r="Q611" i="7941"/>
  <c r="Q675" i="7941" s="1"/>
  <c r="P628" i="7941"/>
  <c r="P660" i="7941" s="1"/>
  <c r="P644" i="7941"/>
  <c r="P676" i="7941" s="1"/>
  <c r="P625" i="7941"/>
  <c r="P657" i="7941" s="1"/>
  <c r="P649" i="7941"/>
  <c r="P681" i="7941" s="1"/>
  <c r="Q612" i="7941"/>
  <c r="Q676" i="7941" s="1"/>
  <c r="Q613" i="7941"/>
  <c r="Q677" i="7941" s="1"/>
  <c r="P642" i="7941"/>
  <c r="P674" i="7941" s="1"/>
  <c r="P647" i="7941"/>
  <c r="P679" i="7941" s="1"/>
  <c r="Q604" i="7941"/>
  <c r="Q668" i="7941" s="1"/>
  <c r="Q617" i="7941"/>
  <c r="Q681" i="7941" s="1"/>
  <c r="P627" i="7941"/>
  <c r="P659" i="7941" s="1"/>
  <c r="P623" i="7941"/>
  <c r="P655" i="7941" s="1"/>
  <c r="Q618" i="7941"/>
  <c r="Q682" i="7941" s="1"/>
  <c r="Q603" i="7941"/>
  <c r="Q667" i="7941" s="1"/>
  <c r="Q619" i="7941"/>
  <c r="Q683" i="7941" s="1"/>
  <c r="Q590" i="7941"/>
  <c r="P637" i="7941"/>
  <c r="P669" i="7941" s="1"/>
  <c r="Q600" i="7941"/>
  <c r="Q664" i="7941" s="1"/>
  <c r="Q601" i="7941"/>
  <c r="Q665" i="7941" s="1"/>
  <c r="P630" i="7941"/>
  <c r="P662" i="7941" s="1"/>
  <c r="P631" i="7941"/>
  <c r="P663" i="7941" s="1"/>
  <c r="Q610" i="7941"/>
  <c r="Q674" i="7941" s="1"/>
  <c r="P654" i="7941" l="1"/>
  <c r="P653" i="7941" s="1"/>
  <c r="P621" i="7941"/>
  <c r="Q589" i="7941"/>
  <c r="Q654" i="7941"/>
  <c r="Q653" i="7941" s="1"/>
</calcChain>
</file>

<file path=xl/comments1.xml><?xml version="1.0" encoding="utf-8"?>
<comments xmlns="http://schemas.openxmlformats.org/spreadsheetml/2006/main">
  <authors>
    <author>Rick Miles</author>
    <author>kyap</author>
    <author>OfficeXP</author>
    <author>swardm</author>
    <author>chxue</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N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Q6" authorId="2">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first year of the current regulatory control period, as contained in the PTRM for the current decision.</t>
        </r>
      </text>
    </comment>
    <comment ref="T6" authorId="0">
      <text>
        <r>
          <rPr>
            <sz val="8"/>
            <color indexed="81"/>
            <rFont val="Tahoma"/>
            <family val="2"/>
          </rPr>
          <t>Based on tax lives adopted for the current regulatory control period, as contained in the PTRM for the current decision. Enter a valid numeric life or n/a.</t>
        </r>
      </text>
    </comment>
    <comment ref="U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V6" authorId="1">
      <text>
        <r>
          <rPr>
            <sz val="8"/>
            <color indexed="81"/>
            <rFont val="Tahoma"/>
            <family val="2"/>
          </rPr>
          <t>Insert the base financial year that the curent regulatory control period commences in.</t>
        </r>
      </text>
    </comment>
    <comment ref="W6" authorId="1">
      <text>
        <r>
          <rPr>
            <sz val="8"/>
            <color indexed="81"/>
            <rFont val="Tahoma"/>
            <family val="2"/>
          </rPr>
          <t>Insert the number of years for the current regulatory control period.</t>
        </r>
      </text>
    </comment>
    <comment ref="AG6" authorId="3">
      <text>
        <r>
          <rPr>
            <b/>
            <sz val="9"/>
            <color indexed="81"/>
            <rFont val="Tahoma"/>
            <family val="2"/>
          </rPr>
          <t>swardm:</t>
        </r>
        <r>
          <rPr>
            <sz val="9"/>
            <color indexed="81"/>
            <rFont val="Tahoma"/>
            <family val="2"/>
          </rPr>
          <t xml:space="preserve">
Source:
2009 RFM
Roll forward actual CPI sheet
Cells H27:H35</t>
        </r>
      </text>
    </comment>
    <comment ref="AH6" authorId="3">
      <text>
        <r>
          <rPr>
            <b/>
            <sz val="9"/>
            <color indexed="81"/>
            <rFont val="Tahoma"/>
            <family val="2"/>
          </rPr>
          <t>swardm:</t>
        </r>
        <r>
          <rPr>
            <sz val="9"/>
            <color indexed="81"/>
            <rFont val="Tahoma"/>
            <family val="2"/>
          </rPr>
          <t xml:space="preserve">
Source:
2009 RFM
Prudent capex sheet
Cells P3:P11</t>
        </r>
      </text>
    </comment>
    <comment ref="AI6" authorId="3">
      <text>
        <r>
          <rPr>
            <b/>
            <sz val="9"/>
            <color indexed="81"/>
            <rFont val="Tahoma"/>
            <family val="2"/>
          </rPr>
          <t>swardm:</t>
        </r>
        <r>
          <rPr>
            <sz val="9"/>
            <color indexed="81"/>
            <rFont val="Tahoma"/>
            <family val="2"/>
          </rPr>
          <t xml:space="preserve">
Source:
2009 RFM
Prudent Difference sheet
Cells H3:H11</t>
        </r>
      </text>
    </comment>
    <comment ref="AJ6" authorId="3">
      <text>
        <r>
          <rPr>
            <b/>
            <sz val="9"/>
            <color indexed="81"/>
            <rFont val="Tahoma"/>
            <family val="2"/>
          </rPr>
          <t>swardm:</t>
        </r>
        <r>
          <rPr>
            <sz val="9"/>
            <color indexed="81"/>
            <rFont val="Tahoma"/>
            <family val="2"/>
          </rPr>
          <t xml:space="preserve">
Source:
2009 RFM
Prdent difference sheet
Cells I3:I11</t>
        </r>
      </text>
    </comment>
    <comment ref="Q7" authorId="4">
      <text>
        <r>
          <rPr>
            <b/>
            <sz val="12"/>
            <color indexed="81"/>
            <rFont val="Tahoma"/>
            <family val="2"/>
          </rPr>
          <t>AER staff:</t>
        </r>
        <r>
          <rPr>
            <sz val="12"/>
            <color indexed="81"/>
            <rFont val="Tahoma"/>
            <family val="2"/>
          </rPr>
          <t xml:space="preserve">
These values should be allocated to the same asset classes as the approved PTRM. Otherwise the as incurred opening RAB will not be consistent with the approved PTRM at the asset class level.
</t>
        </r>
        <r>
          <rPr>
            <b/>
            <sz val="12"/>
            <color indexed="81"/>
            <rFont val="Tahoma"/>
            <family val="2"/>
          </rPr>
          <t>(Transend new comment)</t>
        </r>
        <r>
          <rPr>
            <sz val="12"/>
            <color indexed="81"/>
            <rFont val="Tahoma"/>
            <family val="2"/>
          </rPr>
          <t xml:space="preserve"> AER staff subsequently confirmed that Transend proposed allocation to new asset classes should be adopted.</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J56" authorId="4">
      <text>
        <r>
          <rPr>
            <b/>
            <sz val="12"/>
            <color indexed="81"/>
            <rFont val="Tahoma"/>
            <family val="2"/>
          </rPr>
          <t>AER staff:</t>
        </r>
        <r>
          <rPr>
            <sz val="8"/>
            <color indexed="81"/>
            <rFont val="Tahoma"/>
            <family val="2"/>
          </rPr>
          <t xml:space="preserve">
</t>
        </r>
        <r>
          <rPr>
            <sz val="12"/>
            <color indexed="81"/>
            <rFont val="Tahoma"/>
            <family val="2"/>
          </rPr>
          <t>We note the value of the communication assets are added to this asset class.</t>
        </r>
      </text>
    </comment>
    <comment ref="H64" authorId="1">
      <text>
        <r>
          <rPr>
            <b/>
            <sz val="12"/>
            <color indexed="81"/>
            <rFont val="Tahoma"/>
            <family val="2"/>
          </rPr>
          <t>AER staff:</t>
        </r>
        <r>
          <rPr>
            <sz val="12"/>
            <color indexed="81"/>
            <rFont val="Tahoma"/>
            <family val="2"/>
          </rPr>
          <t xml:space="preserve">
The ERC allowance in the approved PTRM is in end of year dollar terms. Therefore, only half year CPI is required for input in the RFM.</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2">
      <text>
        <r>
          <rPr>
            <sz val="8"/>
            <color indexed="81"/>
            <rFont val="Tahoma"/>
            <family val="2"/>
          </rPr>
          <t>Exclude half year rate of return. Inputs are assumed to be in middle of year terms because actual net capex is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capex is reported evenly over a financial year.</t>
        </r>
      </text>
    </comment>
    <comment ref="H166" authorId="4">
      <text>
        <r>
          <rPr>
            <b/>
            <sz val="12"/>
            <color indexed="81"/>
            <rFont val="Tahoma"/>
            <family val="2"/>
          </rPr>
          <t>AER staff:</t>
        </r>
        <r>
          <rPr>
            <sz val="12"/>
            <color indexed="81"/>
            <rFont val="Tahoma"/>
            <family val="2"/>
          </rPr>
          <t xml:space="preserve">
The ERC allowance in the approved PTRM is in end of year dollar terms. Therefore, only half year CPI is required for input in the RFM.</t>
        </r>
      </text>
    </comment>
    <comment ref="R174" authorId="1">
      <text>
        <r>
          <rPr>
            <sz val="8"/>
            <color indexed="81"/>
            <rFont val="Tahoma"/>
            <family val="2"/>
          </rPr>
          <t>Total for the regulatory control period.</t>
        </r>
      </text>
    </comment>
    <comment ref="F175" authorId="2">
      <text>
        <r>
          <rPr>
            <sz val="8"/>
            <color indexed="81"/>
            <rFont val="Tahoma"/>
            <family val="2"/>
          </rPr>
          <t>Exclude half year rate of return. Inputs are assumed to be in middle of year terms because actual disposal is reported evenly over a financial year.</t>
        </r>
      </text>
    </comment>
    <comment ref="R208" authorId="1">
      <text>
        <r>
          <rPr>
            <sz val="8"/>
            <color indexed="81"/>
            <rFont val="Tahoma"/>
            <family val="2"/>
          </rPr>
          <t>Total for the regulatory control period.</t>
        </r>
      </text>
    </comment>
    <comment ref="F209" authorId="2">
      <text>
        <r>
          <rPr>
            <sz val="8"/>
            <color indexed="81"/>
            <rFont val="Tahoma"/>
            <family val="2"/>
          </rPr>
          <t>Exclude half year rate of return. Inputs are assumed to be in middle of year terms because actual net capex is reported evenly over a financial year.</t>
        </r>
      </text>
    </comment>
    <comment ref="R242" authorId="1">
      <text>
        <r>
          <rPr>
            <sz val="8"/>
            <color indexed="81"/>
            <rFont val="Tahoma"/>
            <family val="2"/>
          </rPr>
          <t>Total for the regulatory control period.</t>
        </r>
      </text>
    </comment>
    <comment ref="L243" authorId="1">
      <text>
        <r>
          <rPr>
            <b/>
            <sz val="12"/>
            <color indexed="81"/>
            <rFont val="Tahoma"/>
            <family val="2"/>
          </rPr>
          <t>AER staff:</t>
        </r>
        <r>
          <rPr>
            <sz val="12"/>
            <color indexed="81"/>
            <rFont val="Tahoma"/>
            <family val="2"/>
          </rPr>
          <t xml:space="preserve">
For note: to avoid last minute modelling changes for final year CPI, we propose that the annual MAR adjustment formula for the next regulatory control period should employ a December-December CPI, rather than current March-March CPI method. This means the 2019 reset RAB roll forward can be completed by February 2019.</t>
        </r>
      </text>
    </comment>
    <comment ref="F245" authorId="1">
      <text>
        <r>
          <rPr>
            <sz val="8"/>
            <color indexed="81"/>
            <rFont val="Tahoma"/>
            <family val="2"/>
          </rPr>
          <t>Based on March to March CPI, consistent with the annual MAR adjustments.</t>
        </r>
      </text>
    </comment>
    <comment ref="G245" authorId="3">
      <text>
        <r>
          <rPr>
            <b/>
            <sz val="9"/>
            <color indexed="81"/>
            <rFont val="Tahoma"/>
            <family val="2"/>
          </rPr>
          <t>Transend:</t>
        </r>
        <r>
          <rPr>
            <sz val="9"/>
            <color indexed="81"/>
            <rFont val="Tahoma"/>
            <family val="2"/>
          </rPr>
          <t xml:space="preserve">
March 2008 to March 2009 CPI</t>
        </r>
      </text>
    </comment>
    <comment ref="H245" authorId="3">
      <text>
        <r>
          <rPr>
            <b/>
            <sz val="9"/>
            <color indexed="81"/>
            <rFont val="Tahoma"/>
            <family val="2"/>
          </rPr>
          <t>Transend:</t>
        </r>
        <r>
          <rPr>
            <sz val="9"/>
            <color indexed="81"/>
            <rFont val="Tahoma"/>
            <family val="2"/>
          </rPr>
          <t xml:space="preserve">
March 2009 to march 2010 CPI</t>
        </r>
      </text>
    </comment>
    <comment ref="I245" authorId="3">
      <text>
        <r>
          <rPr>
            <b/>
            <sz val="9"/>
            <color indexed="81"/>
            <rFont val="Tahoma"/>
            <family val="2"/>
          </rPr>
          <t>Transend:</t>
        </r>
        <r>
          <rPr>
            <sz val="9"/>
            <color indexed="81"/>
            <rFont val="Tahoma"/>
            <family val="2"/>
          </rPr>
          <t xml:space="preserve">
March 2010 to March 2011 CPI</t>
        </r>
      </text>
    </comment>
    <comment ref="J245" authorId="3">
      <text>
        <r>
          <rPr>
            <b/>
            <sz val="9"/>
            <color indexed="81"/>
            <rFont val="Tahoma"/>
            <family val="2"/>
          </rPr>
          <t>Transend:</t>
        </r>
        <r>
          <rPr>
            <sz val="9"/>
            <color indexed="81"/>
            <rFont val="Tahoma"/>
            <family val="2"/>
          </rPr>
          <t xml:space="preserve">
March 2011 to March 2012 CPI</t>
        </r>
      </text>
    </comment>
    <comment ref="K245" authorId="3">
      <text>
        <r>
          <rPr>
            <b/>
            <sz val="9"/>
            <color indexed="81"/>
            <rFont val="Tahoma"/>
            <family val="2"/>
          </rPr>
          <t>Transend:</t>
        </r>
        <r>
          <rPr>
            <sz val="9"/>
            <color indexed="81"/>
            <rFont val="Tahoma"/>
            <family val="2"/>
          </rPr>
          <t xml:space="preserve">
March 2012 to March 2013 CPI</t>
        </r>
      </text>
    </comment>
    <comment ref="L245" authorId="3">
      <text>
        <r>
          <rPr>
            <b/>
            <sz val="9"/>
            <color indexed="81"/>
            <rFont val="Tahoma"/>
            <family val="2"/>
          </rPr>
          <t>Transend:</t>
        </r>
        <r>
          <rPr>
            <sz val="9"/>
            <color indexed="81"/>
            <rFont val="Tahoma"/>
            <family val="2"/>
          </rPr>
          <t xml:space="preserve">
March 2013 to March 2014 CPI - TO BE UPDATED</t>
        </r>
      </text>
    </comment>
    <comment ref="F247" authorId="1">
      <text>
        <r>
          <rPr>
            <sz val="8"/>
            <color indexed="81"/>
            <rFont val="Tahoma"/>
            <family val="2"/>
          </rPr>
          <t>Forecast inflation rate used in the decisions covering the previous and current regulatory control periods.</t>
        </r>
      </text>
    </comment>
    <comment ref="F250" authorId="1">
      <text>
        <r>
          <rPr>
            <sz val="8"/>
            <color indexed="81"/>
            <rFont val="Tahoma"/>
            <family val="2"/>
          </rPr>
          <t>Nominal vanilla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Based on March to March CPI, consistent with the annual MAR adjustments.</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501" authorId="0">
      <text>
        <r>
          <rPr>
            <sz val="8"/>
            <color indexed="81"/>
            <rFont val="Tahoma"/>
            <family val="2"/>
          </rPr>
          <t>This column is based on the forecast net capex.</t>
        </r>
      </text>
    </comment>
    <comment ref="G533" authorId="0">
      <text>
        <r>
          <rPr>
            <sz val="8"/>
            <color indexed="81"/>
            <rFont val="Tahoma"/>
            <family val="2"/>
          </rPr>
          <t>This column is based on the forecast regulatory depreciation.</t>
        </r>
      </text>
    </comment>
    <comment ref="G565" authorId="1">
      <text>
        <r>
          <rPr>
            <sz val="8"/>
            <color indexed="81"/>
            <rFont val="Tahoma"/>
            <family val="2"/>
          </rPr>
          <t>This column is based on the prudent additional capex allowed in the previous regulatory control period (if any).</t>
        </r>
      </text>
    </comment>
    <comment ref="G597" authorId="1">
      <text>
        <r>
          <rPr>
            <sz val="8"/>
            <color indexed="81"/>
            <rFont val="Tahoma"/>
            <family val="2"/>
          </rPr>
          <t>This column is based on the foregone return on prudent additional capex allowed in the previous regulatory control period (if any).</t>
        </r>
      </text>
    </comment>
    <comment ref="G629" authorId="2">
      <text>
        <r>
          <rPr>
            <sz val="8"/>
            <color indexed="81"/>
            <rFont val="Tahoma"/>
            <family val="2"/>
          </rPr>
          <t>This column is based on the forecast assets under construction allowed in the previous regulatory control period (if any).</t>
        </r>
      </text>
    </comment>
    <comment ref="G663" authorId="0">
      <text>
        <r>
          <rPr>
            <sz val="8"/>
            <color indexed="81"/>
            <rFont val="Tahoma"/>
            <family val="2"/>
          </rPr>
          <t>This column is based on forecast straight-line depreciation.</t>
        </r>
      </text>
    </comment>
    <comment ref="G761" authorId="0">
      <text>
        <r>
          <rPr>
            <sz val="8"/>
            <color indexed="81"/>
            <rFont val="Tahoma"/>
            <family val="2"/>
          </rPr>
          <t>This column is based on the forecast net capex.</t>
        </r>
      </text>
    </comment>
    <comment ref="G793" authorId="0">
      <text>
        <r>
          <rPr>
            <sz val="8"/>
            <color indexed="81"/>
            <rFont val="Tahoma"/>
            <family val="2"/>
          </rPr>
          <t>This column is based on the forecast regulatory depreciation.</t>
        </r>
      </text>
    </comment>
    <comment ref="G825" authorId="1">
      <text>
        <r>
          <rPr>
            <sz val="8"/>
            <color indexed="81"/>
            <rFont val="Tahoma"/>
            <family val="2"/>
          </rPr>
          <t>This column is based on the prudent additional capex allowed in the previous regulatory control period (if any).</t>
        </r>
      </text>
    </comment>
    <comment ref="G857" authorId="1">
      <text>
        <r>
          <rPr>
            <sz val="8"/>
            <color indexed="81"/>
            <rFont val="Tahoma"/>
            <family val="2"/>
          </rPr>
          <t>This column is based on the foregone return on prudent additional capex allowed in the previous regulatory control period (if any).</t>
        </r>
      </text>
    </comment>
    <comment ref="G89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1">
      <text>
        <r>
          <rPr>
            <sz val="8"/>
            <color indexed="81"/>
            <rFont val="Tahoma"/>
            <family val="2"/>
          </rPr>
          <t>This column is based on the prudent additional capex allowed in the previous regulatory control period (if any).</t>
        </r>
      </text>
    </comment>
    <comment ref="G135" authorId="1">
      <text>
        <r>
          <rPr>
            <sz val="8"/>
            <color indexed="81"/>
            <rFont val="Tahoma"/>
            <family val="2"/>
          </rPr>
          <t>This column is based on the foregone return on prudent additional capex allowed in the previous regulatory control period (if any).</t>
        </r>
      </text>
    </comment>
    <comment ref="G167" authorId="2">
      <text>
        <r>
          <rPr>
            <sz val="8"/>
            <color indexed="81"/>
            <rFont val="Tahoma"/>
            <family val="2"/>
          </rPr>
          <t>This column is based on the forecast assets under construction allowed in the previous regulatory control period (if any).</t>
        </r>
      </text>
    </comment>
    <comment ref="G427" authorId="0">
      <text>
        <r>
          <rPr>
            <sz val="8"/>
            <color indexed="81"/>
            <rFont val="Tahoma"/>
            <family val="2"/>
          </rPr>
          <t>This column is based on the forecast net capex.</t>
        </r>
      </text>
    </comment>
    <comment ref="G459" authorId="0">
      <text>
        <r>
          <rPr>
            <sz val="8"/>
            <color indexed="81"/>
            <rFont val="Tahoma"/>
            <family val="2"/>
          </rPr>
          <t>This column is based on the forecast regulatory depreciation.</t>
        </r>
      </text>
    </comment>
    <comment ref="G491" authorId="1">
      <text>
        <r>
          <rPr>
            <sz val="8"/>
            <color indexed="81"/>
            <rFont val="Tahoma"/>
            <family val="2"/>
          </rPr>
          <t>This column is based on the prudent additional capex allowed in the previous regulatory control period (if any).</t>
        </r>
      </text>
    </comment>
    <comment ref="G523" authorId="1">
      <text>
        <r>
          <rPr>
            <sz val="8"/>
            <color indexed="81"/>
            <rFont val="Tahoma"/>
            <family val="2"/>
          </rPr>
          <t>This column is based on the foregone return on prudent additional capex allowed in the previous regulatory control period (if any).</t>
        </r>
      </text>
    </comment>
  </commentList>
</comments>
</file>

<file path=xl/comments5.xml><?xml version="1.0" encoding="utf-8"?>
<comments xmlns="http://schemas.openxmlformats.org/spreadsheetml/2006/main">
  <authors>
    <author>swardm</author>
  </authors>
  <commentList>
    <comment ref="L7" authorId="0">
      <text>
        <r>
          <rPr>
            <b/>
            <sz val="9"/>
            <color indexed="81"/>
            <rFont val="Tahoma"/>
            <charset val="1"/>
          </rPr>
          <t>Transend:</t>
        </r>
        <r>
          <rPr>
            <sz val="9"/>
            <color indexed="81"/>
            <rFont val="Tahoma"/>
            <charset val="1"/>
          </rPr>
          <t xml:space="preserve">
This remaining life has been amended for the PTRM input to 33.1 years based on a review of the individual assets in this class.</t>
        </r>
      </text>
    </comment>
    <comment ref="O7" authorId="0">
      <text>
        <r>
          <rPr>
            <b/>
            <sz val="9"/>
            <color indexed="81"/>
            <rFont val="Tahoma"/>
            <charset val="1"/>
          </rPr>
          <t>Transend:</t>
        </r>
        <r>
          <rPr>
            <sz val="9"/>
            <color indexed="81"/>
            <rFont val="Tahoma"/>
            <charset val="1"/>
          </rPr>
          <t xml:space="preserve">
This remaining life has been amended for the PTRM input to 33.1 years based on a review of the individual assets in this class.</t>
        </r>
      </text>
    </comment>
    <comment ref="L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O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L13" authorId="0">
      <text>
        <r>
          <rPr>
            <b/>
            <sz val="9"/>
            <color indexed="81"/>
            <rFont val="Tahoma"/>
            <family val="2"/>
          </rPr>
          <t>Transend:</t>
        </r>
        <r>
          <rPr>
            <sz val="9"/>
            <color indexed="81"/>
            <rFont val="Tahoma"/>
            <family val="2"/>
          </rPr>
          <t xml:space="preserve">
See comment in cell above.</t>
        </r>
      </text>
    </comment>
    <comment ref="O13" authorId="0">
      <text>
        <r>
          <rPr>
            <b/>
            <sz val="9"/>
            <color indexed="81"/>
            <rFont val="Tahoma"/>
            <family val="2"/>
          </rPr>
          <t>Transend:</t>
        </r>
        <r>
          <rPr>
            <sz val="9"/>
            <color indexed="81"/>
            <rFont val="Tahoma"/>
            <family val="2"/>
          </rPr>
          <t xml:space="preserve">
See comment in cell above.</t>
        </r>
      </text>
    </comment>
  </commentList>
</comments>
</file>

<file path=xl/sharedStrings.xml><?xml version="1.0" encoding="utf-8"?>
<sst xmlns="http://schemas.openxmlformats.org/spreadsheetml/2006/main" count="612" uniqueCount="186">
  <si>
    <t>Asset Class 1</t>
  </si>
  <si>
    <t>Asset Class 2</t>
  </si>
  <si>
    <t>Opening Asset Value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</si>
  <si>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</si>
  <si>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</si>
  <si>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</si>
  <si>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</si>
  <si>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</si>
  <si>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</si>
  <si>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</si>
  <si>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</si>
  <si>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</si>
  <si>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</si>
  <si>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</si>
  <si>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</si>
  <si>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</si>
  <si>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</si>
  <si>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</si>
  <si>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</si>
  <si>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Total</t>
  </si>
  <si>
    <t>n/a</t>
  </si>
  <si>
    <t>Base Financial Year</t>
  </si>
  <si>
    <t>Asset Class 18</t>
  </si>
  <si>
    <t>Asset Class 19</t>
  </si>
  <si>
    <t>Asset Class 20</t>
  </si>
  <si>
    <t>Inflation and Rate of Return</t>
  </si>
  <si>
    <t>Opening RAB</t>
  </si>
  <si>
    <t>Sub-total</t>
  </si>
  <si>
    <t>Introduction</t>
  </si>
  <si>
    <t>Nominal Actual Straight-line Depreciation</t>
  </si>
  <si>
    <t>Real Actual Straight-line Depreciation</t>
  </si>
  <si>
    <t>Nominal Actual Net Capex</t>
  </si>
  <si>
    <t>Actual CPI Inflation Rate</t>
  </si>
  <si>
    <t>Difference Between Actual and Forecast Net Capex</t>
  </si>
  <si>
    <t>Real Vanilla WACC</t>
  </si>
  <si>
    <t>Forecast Inflation Cumulative Index</t>
  </si>
  <si>
    <t>Forecast Inflation Rate</t>
  </si>
  <si>
    <t>Nominal Vanilla WACC</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</si>
  <si>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</si>
  <si>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</si>
  <si>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</si>
  <si>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</si>
  <si>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</si>
  <si>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</si>
  <si>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</si>
  <si>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</si>
  <si>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</si>
  <si>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</si>
  <si>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</si>
  <si>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</si>
  <si>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</si>
  <si>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</si>
  <si>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</si>
  <si>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</si>
  <si>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</si>
  <si>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</si>
  <si>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</si>
  <si>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</si>
  <si>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</si>
  <si>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</si>
  <si>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</si>
  <si>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</si>
  <si>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</si>
  <si>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</si>
  <si>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</si>
  <si>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</si>
  <si>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</si>
  <si>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</si>
  <si>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</si>
  <si>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</si>
  <si>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</si>
  <si>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</si>
  <si>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</si>
  <si>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</si>
  <si>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</si>
  <si>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</si>
  <si>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</si>
  <si>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</si>
  <si>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</si>
  <si>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</si>
  <si>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</si>
  <si>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</si>
  <si>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</si>
  <si>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</si>
  <si>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</si>
  <si>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</si>
  <si>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</si>
  <si>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</si>
  <si>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</si>
  <si>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</si>
  <si>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</si>
  <si>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</si>
  <si>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</si>
  <si>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</si>
  <si>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</si>
  <si>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</si>
  <si>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</si>
  <si>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</si>
  <si>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</si>
  <si>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</si>
  <si>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</si>
  <si>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Average Tax Remaining Life</t>
  </si>
  <si>
    <t>Closing Asset Values and Lives</t>
  </si>
  <si>
    <t>($m Nominal)</t>
  </si>
  <si>
    <t>(Age in years)</t>
  </si>
  <si>
    <t>Closing Asset Value</t>
  </si>
  <si>
    <t>Closing Tax Value</t>
  </si>
  <si>
    <t>Version: 2.0</t>
  </si>
  <si>
    <t>Opening Asset Value (As Commissioned)</t>
  </si>
  <si>
    <t>Opening Asset Value (Partially As Incurred)</t>
  </si>
  <si>
    <t>Opening Tax Asset Value</t>
  </si>
  <si>
    <t>Asset Class 21</t>
  </si>
  <si>
    <t>Asset Class 22</t>
  </si>
  <si>
    <t>Asset Class 23</t>
  </si>
  <si>
    <t>Asset Class 24</t>
  </si>
  <si>
    <t>Asset Class 25</t>
  </si>
  <si>
    <t>Asset Class 26</t>
  </si>
  <si>
    <t>Asset Class 27</t>
  </si>
  <si>
    <t>Asset Class 28</t>
  </si>
  <si>
    <t>Asset Class 29</t>
  </si>
  <si>
    <t>Asset Class 30</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</si>
  <si>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</si>
  <si>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</si>
  <si>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</si>
  <si>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</si>
  <si>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</si>
  <si>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</si>
  <si>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</si>
  <si>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Transmission Lines and Cables</t>
  </si>
  <si>
    <t>Transmission Substations</t>
  </si>
  <si>
    <t>Protection and Control</t>
  </si>
  <si>
    <t>Refurbishment</t>
  </si>
  <si>
    <t>Other</t>
  </si>
  <si>
    <t>Other - IT</t>
  </si>
  <si>
    <t>Other - General</t>
  </si>
  <si>
    <t>Other - Buildings</t>
  </si>
  <si>
    <t>Land and Easements</t>
  </si>
  <si>
    <t>Transmission line assets - long life (60)</t>
  </si>
  <si>
    <t>Transmission line assets - medium life (45)</t>
  </si>
  <si>
    <t>Transmission line assets - short life (10)</t>
  </si>
  <si>
    <t>Substation assets - long life (60)</t>
  </si>
  <si>
    <t>Substation assets - medium life (45)</t>
  </si>
  <si>
    <t>Substation assets - short life (15)</t>
  </si>
  <si>
    <t>Protection and control - short life (15)</t>
  </si>
  <si>
    <t>Protection and control - short life (4)</t>
  </si>
  <si>
    <t>Transmission operations - short life (10)</t>
  </si>
  <si>
    <t>Transmission operations - short life (4)</t>
  </si>
  <si>
    <t>Other - medium life (40)</t>
  </si>
  <si>
    <t>Other - short life (9)</t>
  </si>
  <si>
    <t>Other - short life (4)</t>
  </si>
  <si>
    <t>Equity Raising</t>
  </si>
  <si>
    <t>2009-10</t>
  </si>
  <si>
    <t>"Input" sheet</t>
  </si>
  <si>
    <t>"Asset lives roll forward" sheet</t>
  </si>
  <si>
    <t>Entered the same commissioned values (G143:G172) in the incurred section (G41:G70) for the last year of the previous period as per AER email (K Yap, 27 January 2012).</t>
  </si>
  <si>
    <t>"Output Summary" sheet</t>
  </si>
  <si>
    <t>The RAB and tax remaining lives in cells L12, L13, O12 and O13, hard coded as five years so as to depreciate over the next regulatory period.</t>
  </si>
  <si>
    <t>This is due to a remaining value existing (as a result of the previous period adjustment) but no remaining life existing because the value as at 1 July 2009 was to be fully depreciated within the 2009-14 regulatory period.</t>
  </si>
  <si>
    <t>Refer K Yap email outlining suggested possible approaches 9 May 2012.</t>
  </si>
  <si>
    <t>Capital expenditure</t>
  </si>
  <si>
    <t>CPI indexation on opening RAB</t>
  </si>
  <si>
    <t>Straight-line depreciation</t>
  </si>
  <si>
    <t>Closing RAB</t>
  </si>
  <si>
    <t>Return on difference (assets under construction)</t>
  </si>
  <si>
    <t>Opening TAB</t>
  </si>
  <si>
    <t>Tax depreciation</t>
  </si>
  <si>
    <t>Closing TAB</t>
  </si>
  <si>
    <t>Table 1: Transend's RAB for the current regulatory control period ($m, nominal)</t>
  </si>
  <si>
    <t>Difference between forecast and actual capex (1 July 2008 to 30 June 2009)</t>
  </si>
  <si>
    <t>Table 2: Transend's TAB for the current regulatory control period ($m, nominal)</t>
  </si>
  <si>
    <t>"Tables" sheet</t>
  </si>
  <si>
    <t>New sheet inserted.</t>
  </si>
  <si>
    <t>Return on difference for 2008-09 capex</t>
  </si>
  <si>
    <t>Difference between forecast and actual assets under construction (30 June 2009)</t>
  </si>
  <si>
    <t>Opening RAB as at 1 July 2014</t>
  </si>
  <si>
    <t>As per 2003 Decision</t>
  </si>
  <si>
    <t>Updated RFM 2008-09 forecast</t>
  </si>
  <si>
    <t>2008-09 RFM data and calculations</t>
  </si>
  <si>
    <t>Original 2003 Forecast Net Capex for 2008-09</t>
  </si>
  <si>
    <t>Prudent Additional Capex Allowance for 2004-09 period</t>
  </si>
  <si>
    <t>Forecast Net Capex 2008-09 used to establish 2009 opening RAB</t>
  </si>
  <si>
    <t>Prudent Additional Capex Allowance for 2008-09 included in RAB</t>
  </si>
  <si>
    <t>Adjusted Prudent Additional Capex Allowance for 2004-09 (CALCULATED)</t>
  </si>
  <si>
    <t>ok</t>
  </si>
  <si>
    <t>AER staff comments</t>
  </si>
  <si>
    <t>Amended the formulas for the opening RAB for each asset class in column E (E8, E22, E36, etc) as per AER email (K Yap, 1 May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</si>
</sst>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_-* #,##0.000_-;\-* #,##0.000_-;_-* &quot;-&quot;??_-;_-@_-"/>
    <numFmt numFmtId="169" formatCode="_-&quot;$&quot;* #,##0.000_-;\-&quot;$&quot;* #,##0.000_-;_-&quot;$&quot;* &quot;-&quot;??_-;_-@_-"/>
    <numFmt numFmtId="170" formatCode="0.0000"/>
    <numFmt numFmtId="171" formatCode="_-* #,##0.0000_-;\-* #,##0.0000_-;_-* &quot;-&quot;??_-;_-@_-"/>
    <numFmt numFmtId="172" formatCode="#,##0.00_ ;\-#,##0.00\ "/>
    <numFmt numFmtId="173" formatCode="_-* #,##0.000000_-;\-* #,##0.000000_-;_-* &quot;-&quot;??_-;_-@_-"/>
    <numFmt numFmtId="174" formatCode="#,##0.0"/>
    <numFmt numFmtId="175" formatCode="_-* #,##0.00000_-;\-* #,##0.00000_-;_-* &quot;-&quot;??_-;_-@_-"/>
    <numFmt numFmtId="176" formatCode="_-* #,##0.0000000_-;\-* #,##0.0000000_-;_-* &quot;-&quot;??_-;_-@_-"/>
  </numFmts>
  <fonts count="41">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0"/>
      <color indexed="9"/>
      <name val="Arial"/>
      <family val="2"/>
    </font>
    <font>
      <sz val="12"/>
      <name val="Arial"/>
      <family val="2"/>
    </font>
    <font>
      <b/>
      <sz val="9"/>
      <color indexed="81"/>
      <name val="Tahoma"/>
      <family val="2"/>
    </font>
    <font>
      <sz val="9"/>
      <color indexed="81"/>
      <name val="Tahoma"/>
      <family val="2"/>
    </font>
    <font>
      <sz val="10"/>
      <color rgb="FFFF0000"/>
      <name val="Arial"/>
      <family val="2"/>
    </font>
    <font>
      <b/>
      <sz val="12"/>
      <color indexed="81"/>
      <name val="Tahoma"/>
      <family val="2"/>
    </font>
    <font>
      <sz val="12"/>
      <color indexed="81"/>
      <name val="Tahoma"/>
      <family val="2"/>
    </font>
    <font>
      <sz val="9"/>
      <color indexed="81"/>
      <name val="Tahoma"/>
      <charset val="1"/>
    </font>
    <font>
      <b/>
      <sz val="9"/>
      <color indexed="81"/>
      <name val="Tahoma"/>
      <charset val="1"/>
    </font>
  </fonts>
  <fills count="13">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2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407">
    <xf numFmtId="0" fontId="0" fillId="0" borderId="0" xfId="0"/>
    <xf numFmtId="0" fontId="2" fillId="2" borderId="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4" applyNumberFormat="1"/>
    <xf numFmtId="0" fontId="0" fillId="3" borderId="0" xfId="0" applyFill="1"/>
    <xf numFmtId="0" fontId="8"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2" fillId="4" borderId="0" xfId="0" applyFont="1" applyFill="1" applyAlignment="1">
      <alignment horizontal="center" wrapText="1"/>
    </xf>
    <xf numFmtId="10" fontId="2" fillId="4" borderId="0" xfId="4" applyNumberFormat="1" applyFont="1" applyFill="1" applyAlignment="1">
      <alignment horizontal="center" wrapText="1"/>
    </xf>
    <xf numFmtId="0" fontId="0" fillId="4" borderId="0" xfId="0" applyFill="1" applyBorder="1"/>
    <xf numFmtId="0" fontId="4" fillId="4" borderId="0" xfId="0" applyFont="1" applyFill="1" applyBorder="1" applyAlignment="1">
      <alignment wrapText="1"/>
    </xf>
    <xf numFmtId="0" fontId="0" fillId="4" borderId="0" xfId="0" applyFill="1" applyBorder="1" applyAlignment="1">
      <alignment vertical="center" wrapText="1"/>
    </xf>
    <xf numFmtId="0" fontId="4"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0" fillId="4" borderId="0" xfId="0" applyFill="1" applyAlignment="1">
      <alignment horizontal="center"/>
    </xf>
    <xf numFmtId="0" fontId="0" fillId="4" borderId="0" xfId="0" applyFill="1" applyAlignment="1"/>
    <xf numFmtId="10" fontId="1" fillId="4" borderId="0" xfId="4" applyNumberFormat="1" applyFill="1"/>
    <xf numFmtId="10" fontId="0" fillId="4" borderId="0" xfId="4" applyNumberFormat="1" applyFont="1" applyFill="1"/>
    <xf numFmtId="164" fontId="0" fillId="4" borderId="0" xfId="4" applyNumberFormat="1" applyFont="1" applyFill="1"/>
    <xf numFmtId="167" fontId="4" fillId="4" borderId="0" xfId="1" applyNumberFormat="1" applyFont="1" applyFill="1"/>
    <xf numFmtId="0" fontId="2" fillId="2" borderId="0" xfId="0" applyFont="1" applyFill="1" applyBorder="1" applyAlignment="1">
      <alignment horizontal="center"/>
    </xf>
    <xf numFmtId="0" fontId="10" fillId="4" borderId="0" xfId="0" applyFont="1" applyFill="1" applyAlignment="1">
      <alignment horizontal="center"/>
    </xf>
    <xf numFmtId="0" fontId="10" fillId="4" borderId="0" xfId="0" applyFont="1" applyFill="1" applyAlignment="1">
      <alignment horizontal="right"/>
    </xf>
    <xf numFmtId="43" fontId="10" fillId="4" borderId="0" xfId="1" applyFont="1" applyFill="1" applyAlignment="1">
      <alignment horizontal="left"/>
    </xf>
    <xf numFmtId="167" fontId="0" fillId="4" borderId="0" xfId="1" applyNumberFormat="1" applyFont="1" applyFill="1"/>
    <xf numFmtId="165" fontId="0" fillId="4" borderId="0" xfId="0" applyNumberFormat="1" applyFill="1"/>
    <xf numFmtId="43" fontId="10" fillId="4" borderId="0" xfId="1" applyFont="1" applyFill="1" applyAlignment="1">
      <alignment horizontal="right"/>
    </xf>
    <xf numFmtId="0" fontId="0" fillId="4" borderId="2" xfId="0" applyFill="1" applyBorder="1"/>
    <xf numFmtId="0" fontId="2" fillId="4" borderId="2" xfId="0" applyFont="1" applyFill="1" applyBorder="1" applyAlignment="1">
      <alignment horizontal="right"/>
    </xf>
    <xf numFmtId="167" fontId="4" fillId="0" borderId="2" xfId="1" applyNumberFormat="1" applyFont="1" applyFill="1" applyBorder="1"/>
    <xf numFmtId="43" fontId="10" fillId="4" borderId="2" xfId="1" applyFont="1" applyFill="1" applyBorder="1" applyAlignment="1">
      <alignment horizontal="right"/>
    </xf>
    <xf numFmtId="43" fontId="0" fillId="4" borderId="0" xfId="0" applyNumberFormat="1" applyFill="1"/>
    <xf numFmtId="44" fontId="11" fillId="4" borderId="0" xfId="2" applyFont="1" applyFill="1" applyBorder="1" applyAlignment="1">
      <alignment horizontal="center" vertical="center"/>
    </xf>
    <xf numFmtId="0" fontId="2" fillId="4" borderId="0" xfId="0" applyFont="1" applyFill="1" applyBorder="1" applyAlignment="1">
      <alignment vertical="center"/>
    </xf>
    <xf numFmtId="0" fontId="4" fillId="4" borderId="0" xfId="0" applyFont="1" applyFill="1" applyBorder="1" applyAlignment="1">
      <alignment vertical="center"/>
    </xf>
    <xf numFmtId="10" fontId="1" fillId="4" borderId="0" xfId="4" applyNumberFormat="1" applyFill="1" applyBorder="1"/>
    <xf numFmtId="0" fontId="8" fillId="4" borderId="0" xfId="0" applyFont="1" applyFill="1" applyBorder="1" applyAlignment="1"/>
    <xf numFmtId="0" fontId="8" fillId="4" borderId="0" xfId="0" applyFont="1" applyFill="1"/>
    <xf numFmtId="0" fontId="0" fillId="4" borderId="0" xfId="0" applyFill="1" applyAlignment="1">
      <alignment wrapText="1"/>
    </xf>
    <xf numFmtId="0" fontId="0" fillId="4" borderId="0" xfId="0" applyFill="1" applyBorder="1" applyAlignment="1"/>
    <xf numFmtId="0" fontId="4" fillId="4" borderId="0" xfId="0" applyFont="1" applyFill="1"/>
    <xf numFmtId="43" fontId="10" fillId="4" borderId="3" xfId="1" applyFont="1" applyFill="1" applyBorder="1" applyAlignment="1">
      <alignment horizontal="right"/>
    </xf>
    <xf numFmtId="169" fontId="13" fillId="4" borderId="0" xfId="2" applyNumberFormat="1" applyFont="1" applyFill="1" applyBorder="1" applyAlignment="1">
      <alignment horizontal="center" vertical="center"/>
    </xf>
    <xf numFmtId="165" fontId="4" fillId="5" borderId="0" xfId="0" applyNumberFormat="1" applyFont="1" applyFill="1" applyBorder="1" applyAlignment="1">
      <alignment horizontal="center" vertical="center" wrapText="1"/>
    </xf>
    <xf numFmtId="44" fontId="0" fillId="4" borderId="0" xfId="0" applyNumberFormat="1" applyFill="1"/>
    <xf numFmtId="0" fontId="4" fillId="0" borderId="0" xfId="0" applyFont="1"/>
    <xf numFmtId="10" fontId="1" fillId="4" borderId="0" xfId="1" applyNumberFormat="1" applyFill="1" applyBorder="1"/>
    <xf numFmtId="165" fontId="0" fillId="5" borderId="0" xfId="0" applyNumberFormat="1" applyFill="1" applyBorder="1" applyAlignment="1">
      <alignment horizontal="center" wrapText="1"/>
    </xf>
    <xf numFmtId="0" fontId="5" fillId="4" borderId="0" xfId="0" applyFont="1" applyFill="1" applyBorder="1" applyAlignment="1">
      <alignment horizontal="center" vertical="center"/>
    </xf>
    <xf numFmtId="0" fontId="12" fillId="4" borderId="0" xfId="0" applyFont="1" applyFill="1" applyBorder="1" applyAlignment="1">
      <alignment horizontal="center"/>
    </xf>
    <xf numFmtId="0" fontId="7" fillId="4" borderId="0" xfId="0" applyFont="1" applyFill="1" applyBorder="1"/>
    <xf numFmtId="0" fontId="4" fillId="4" borderId="0" xfId="0" applyFont="1" applyFill="1" applyBorder="1" applyAlignment="1"/>
    <xf numFmtId="0" fontId="4" fillId="4" borderId="2" xfId="0" applyFont="1" applyFill="1" applyBorder="1"/>
    <xf numFmtId="0" fontId="2" fillId="4" borderId="2" xfId="0" applyFont="1" applyFill="1" applyBorder="1"/>
    <xf numFmtId="0" fontId="7" fillId="4" borderId="0" xfId="0" applyFont="1" applyFill="1" applyBorder="1" applyAlignment="1">
      <alignment horizontal="left"/>
    </xf>
    <xf numFmtId="0" fontId="2" fillId="4" borderId="2" xfId="0" applyFont="1" applyFill="1" applyBorder="1" applyAlignment="1">
      <alignment horizontal="center"/>
    </xf>
    <xf numFmtId="0" fontId="2" fillId="4" borderId="2" xfId="0" applyFont="1" applyFill="1" applyBorder="1" applyAlignment="1">
      <alignment horizontal="left"/>
    </xf>
    <xf numFmtId="0" fontId="12" fillId="4" borderId="2" xfId="0" applyFont="1" applyFill="1" applyBorder="1" applyAlignment="1">
      <alignment horizontal="center"/>
    </xf>
    <xf numFmtId="44" fontId="10" fillId="4" borderId="0" xfId="2" applyFont="1" applyFill="1" applyBorder="1" applyAlignment="1">
      <alignment horizontal="center" vertical="center"/>
    </xf>
    <xf numFmtId="165" fontId="4" fillId="5" borderId="4" xfId="0" applyNumberFormat="1" applyFont="1" applyFill="1" applyBorder="1" applyAlignment="1">
      <alignment horizontal="center" vertical="center" wrapText="1"/>
    </xf>
    <xf numFmtId="165" fontId="0" fillId="5" borderId="4" xfId="0" applyNumberFormat="1" applyFill="1" applyBorder="1" applyAlignment="1">
      <alignment horizontal="center" wrapText="1"/>
    </xf>
    <xf numFmtId="43" fontId="4" fillId="5" borderId="4" xfId="1" applyNumberFormat="1" applyFont="1" applyFill="1" applyBorder="1" applyAlignment="1">
      <alignment horizontal="right" vertical="center"/>
    </xf>
    <xf numFmtId="43" fontId="4" fillId="5" borderId="0" xfId="1" applyNumberFormat="1" applyFont="1" applyFill="1" applyBorder="1" applyAlignment="1">
      <alignment horizontal="right" vertical="center"/>
    </xf>
    <xf numFmtId="43" fontId="4" fillId="5" borderId="4" xfId="1" applyFont="1" applyFill="1" applyBorder="1" applyAlignment="1">
      <alignment horizontal="center" vertical="center"/>
    </xf>
    <xf numFmtId="43" fontId="4" fillId="5" borderId="0" xfId="1" applyFont="1" applyFill="1" applyBorder="1" applyAlignment="1">
      <alignment horizontal="center" vertical="center"/>
    </xf>
    <xf numFmtId="166" fontId="10" fillId="4" borderId="0" xfId="1" applyNumberFormat="1" applyFont="1" applyFill="1"/>
    <xf numFmtId="166" fontId="10" fillId="4" borderId="0" xfId="1" applyNumberFormat="1" applyFont="1" applyFill="1" applyAlignment="1">
      <alignment horizontal="right"/>
    </xf>
    <xf numFmtId="166" fontId="10" fillId="4" borderId="0" xfId="0" applyNumberFormat="1" applyFont="1" applyFill="1"/>
    <xf numFmtId="43" fontId="10" fillId="4" borderId="2" xfId="1" applyNumberFormat="1" applyFont="1" applyFill="1" applyBorder="1" applyAlignment="1">
      <alignment horizontal="right"/>
    </xf>
    <xf numFmtId="43" fontId="10" fillId="4" borderId="0" xfId="1" applyNumberFormat="1" applyFont="1" applyFill="1" applyAlignment="1">
      <alignment horizontal="right"/>
    </xf>
    <xf numFmtId="0" fontId="8" fillId="6" borderId="1" xfId="0" applyFont="1" applyFill="1" applyBorder="1"/>
    <xf numFmtId="0" fontId="7" fillId="6" borderId="1" xfId="0" applyFont="1" applyFill="1" applyBorder="1"/>
    <xf numFmtId="0" fontId="7" fillId="6" borderId="1" xfId="0" applyFont="1" applyFill="1" applyBorder="1" applyAlignment="1">
      <alignment horizontal="center"/>
    </xf>
    <xf numFmtId="10" fontId="7"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44" fontId="2" fillId="7" borderId="1" xfId="0" applyNumberFormat="1" applyFont="1" applyFill="1" applyBorder="1" applyAlignment="1">
      <alignment horizontal="center" wrapText="1"/>
    </xf>
    <xf numFmtId="0" fontId="7" fillId="7" borderId="1" xfId="0" applyFont="1" applyFill="1" applyBorder="1" applyAlignment="1">
      <alignment vertical="center"/>
    </xf>
    <xf numFmtId="0" fontId="1" fillId="7" borderId="1" xfId="0" applyFont="1" applyFill="1" applyBorder="1"/>
    <xf numFmtId="0" fontId="9" fillId="7" borderId="1" xfId="0" applyFont="1" applyFill="1" applyBorder="1" applyAlignment="1">
      <alignment vertical="center" wrapText="1"/>
    </xf>
    <xf numFmtId="0" fontId="9" fillId="7" borderId="1" xfId="0" applyFont="1" applyFill="1" applyBorder="1" applyAlignment="1">
      <alignment wrapText="1"/>
    </xf>
    <xf numFmtId="0" fontId="2" fillId="7" borderId="1" xfId="0" applyFont="1" applyFill="1" applyBorder="1"/>
    <xf numFmtId="0" fontId="2" fillId="6" borderId="1" xfId="0" applyFont="1" applyFill="1" applyBorder="1" applyAlignment="1">
      <alignment horizontal="center"/>
    </xf>
    <xf numFmtId="0" fontId="7" fillId="6" borderId="1" xfId="0" applyFont="1" applyFill="1" applyBorder="1" applyAlignment="1">
      <alignment horizontal="left"/>
    </xf>
    <xf numFmtId="167" fontId="4" fillId="7" borderId="1" xfId="1" applyNumberFormat="1" applyFont="1" applyFill="1" applyBorder="1"/>
    <xf numFmtId="43" fontId="4" fillId="7" borderId="1" xfId="1" applyFont="1" applyFill="1" applyBorder="1"/>
    <xf numFmtId="10" fontId="0" fillId="4" borderId="0" xfId="4" applyNumberFormat="1" applyFont="1" applyFill="1" applyBorder="1"/>
    <xf numFmtId="0" fontId="14" fillId="7" borderId="5" xfId="0" applyFont="1" applyFill="1" applyBorder="1" applyAlignment="1">
      <alignment horizontal="center"/>
    </xf>
    <xf numFmtId="0" fontId="14" fillId="7" borderId="6" xfId="0" applyFont="1" applyFill="1" applyBorder="1" applyAlignment="1">
      <alignment horizontal="center"/>
    </xf>
    <xf numFmtId="44" fontId="0" fillId="0" borderId="0" xfId="0" applyNumberFormat="1"/>
    <xf numFmtId="0" fontId="4" fillId="4" borderId="0" xfId="0" applyFont="1" applyFill="1" applyBorder="1"/>
    <xf numFmtId="10" fontId="4" fillId="4" borderId="2" xfId="4" applyNumberFormat="1" applyFont="1" applyFill="1" applyBorder="1" applyAlignment="1" applyProtection="1">
      <alignment horizontal="center"/>
    </xf>
    <xf numFmtId="43" fontId="4" fillId="4" borderId="0" xfId="1" applyNumberFormat="1" applyFont="1" applyFill="1" applyBorder="1" applyAlignment="1">
      <alignment horizontal="right" vertical="center"/>
    </xf>
    <xf numFmtId="170" fontId="1" fillId="4" borderId="0" xfId="1" applyNumberFormat="1" applyFill="1" applyBorder="1"/>
    <xf numFmtId="0" fontId="1" fillId="4" borderId="0" xfId="3" applyFill="1" applyBorder="1"/>
    <xf numFmtId="10" fontId="1" fillId="4" borderId="0" xfId="3" applyNumberFormat="1" applyFill="1" applyBorder="1"/>
    <xf numFmtId="0" fontId="1" fillId="4" borderId="0" xfId="3" applyFont="1" applyFill="1" applyBorder="1"/>
    <xf numFmtId="0" fontId="3" fillId="7" borderId="1" xfId="0" applyFont="1" applyFill="1" applyBorder="1" applyAlignment="1">
      <alignment vertical="center"/>
    </xf>
    <xf numFmtId="171" fontId="0" fillId="4" borderId="0" xfId="1" applyNumberFormat="1" applyFont="1" applyFill="1"/>
    <xf numFmtId="164" fontId="0" fillId="4" borderId="0" xfId="4" applyNumberFormat="1" applyFont="1" applyFill="1" applyBorder="1"/>
    <xf numFmtId="165" fontId="0" fillId="4" borderId="0" xfId="0" applyNumberFormat="1" applyFill="1" applyBorder="1"/>
    <xf numFmtId="43" fontId="10" fillId="4" borderId="0" xfId="1" applyFont="1" applyFill="1" applyBorder="1" applyAlignment="1">
      <alignment horizontal="right"/>
    </xf>
    <xf numFmtId="166" fontId="10" fillId="4" borderId="0" xfId="1" applyNumberFormat="1" applyFont="1" applyFill="1" applyBorder="1"/>
    <xf numFmtId="43" fontId="10" fillId="4" borderId="0" xfId="1" applyNumberFormat="1" applyFont="1" applyFill="1" applyBorder="1" applyAlignment="1">
      <alignment horizontal="right"/>
    </xf>
    <xf numFmtId="166" fontId="10" fillId="4" borderId="0" xfId="1" applyNumberFormat="1" applyFont="1" applyFill="1" applyBorder="1" applyAlignment="1">
      <alignment horizontal="right"/>
    </xf>
    <xf numFmtId="166" fontId="10" fillId="4" borderId="0" xfId="0" applyNumberFormat="1" applyFont="1" applyFill="1" applyBorder="1"/>
    <xf numFmtId="43" fontId="4" fillId="4" borderId="0" xfId="1" applyFont="1" applyFill="1" applyBorder="1"/>
    <xf numFmtId="0" fontId="0" fillId="6" borderId="1" xfId="0" applyFill="1" applyBorder="1"/>
    <xf numFmtId="167" fontId="2" fillId="7" borderId="1" xfId="1" applyNumberFormat="1" applyFont="1" applyFill="1" applyBorder="1"/>
    <xf numFmtId="2" fontId="0" fillId="4" borderId="0" xfId="0" applyNumberFormat="1" applyFill="1"/>
    <xf numFmtId="43" fontId="16" fillId="4" borderId="0" xfId="0" applyNumberFormat="1" applyFont="1" applyFill="1"/>
    <xf numFmtId="43" fontId="4" fillId="4" borderId="0" xfId="1" applyNumberFormat="1" applyFont="1" applyFill="1" applyAlignment="1">
      <alignment horizontal="right"/>
    </xf>
    <xf numFmtId="0" fontId="4" fillId="4" borderId="0" xfId="0" quotePrefix="1" applyFont="1" applyFill="1" applyBorder="1" applyAlignment="1">
      <alignment horizontal="right"/>
    </xf>
    <xf numFmtId="167" fontId="4" fillId="4" borderId="0" xfId="1" applyNumberFormat="1" applyFont="1" applyFill="1" applyBorder="1"/>
    <xf numFmtId="43" fontId="4" fillId="4" borderId="0" xfId="0" applyNumberFormat="1" applyFont="1" applyFill="1"/>
    <xf numFmtId="43" fontId="10" fillId="4" borderId="3" xfId="1" applyNumberFormat="1" applyFont="1" applyFill="1" applyBorder="1" applyAlignment="1">
      <alignment horizontal="right"/>
    </xf>
    <xf numFmtId="43" fontId="4" fillId="7" borderId="1" xfId="1" applyNumberFormat="1" applyFont="1" applyFill="1" applyBorder="1"/>
    <xf numFmtId="43" fontId="4" fillId="4" borderId="0" xfId="1" applyNumberFormat="1" applyFont="1" applyFill="1" applyBorder="1"/>
    <xf numFmtId="0" fontId="0" fillId="7" borderId="0" xfId="0" applyFill="1" applyBorder="1"/>
    <xf numFmtId="167" fontId="2" fillId="4" borderId="0" xfId="1" applyNumberFormat="1" applyFont="1" applyFill="1" applyBorder="1"/>
    <xf numFmtId="43" fontId="16" fillId="4" borderId="0" xfId="1" applyNumberFormat="1" applyFont="1" applyFill="1"/>
    <xf numFmtId="0" fontId="4" fillId="6" borderId="1" xfId="0" applyFont="1" applyFill="1" applyBorder="1"/>
    <xf numFmtId="0" fontId="4" fillId="6" borderId="1" xfId="0" quotePrefix="1" applyFont="1" applyFill="1" applyBorder="1" applyAlignment="1">
      <alignment horizontal="right"/>
    </xf>
    <xf numFmtId="167" fontId="0" fillId="6" borderId="1" xfId="1" applyNumberFormat="1" applyFont="1" applyFill="1" applyBorder="1"/>
    <xf numFmtId="43" fontId="0" fillId="6" borderId="1" xfId="0" applyNumberFormat="1" applyFill="1" applyBorder="1"/>
    <xf numFmtId="165" fontId="0" fillId="6" borderId="1" xfId="0" applyNumberFormat="1" applyFill="1" applyBorder="1"/>
    <xf numFmtId="0" fontId="10" fillId="4" borderId="0" xfId="0" quotePrefix="1" applyFont="1" applyFill="1" applyBorder="1" applyAlignment="1">
      <alignment horizontal="right"/>
    </xf>
    <xf numFmtId="0" fontId="4" fillId="5" borderId="7" xfId="1" applyNumberFormat="1" applyFont="1" applyFill="1" applyBorder="1" applyAlignment="1">
      <alignment horizontal="right" vertical="center"/>
    </xf>
    <xf numFmtId="0" fontId="17" fillId="4" borderId="0" xfId="0" applyFont="1" applyFill="1"/>
    <xf numFmtId="0" fontId="18" fillId="4" borderId="0" xfId="0" applyFont="1" applyFill="1"/>
    <xf numFmtId="0" fontId="0" fillId="7" borderId="3" xfId="0" applyFill="1" applyBorder="1"/>
    <xf numFmtId="0" fontId="19" fillId="7" borderId="0" xfId="0" applyFont="1" applyFill="1" applyBorder="1"/>
    <xf numFmtId="0" fontId="0" fillId="7" borderId="2" xfId="0" applyFill="1" applyBorder="1"/>
    <xf numFmtId="0" fontId="0" fillId="6" borderId="0" xfId="0" applyFill="1"/>
    <xf numFmtId="0" fontId="20" fillId="4" borderId="0" xfId="0" applyFont="1" applyFill="1"/>
    <xf numFmtId="164" fontId="1" fillId="4" borderId="0" xfId="4" applyNumberFormat="1" applyFill="1"/>
    <xf numFmtId="164" fontId="1" fillId="4" borderId="0" xfId="4" applyNumberFormat="1" applyFill="1" applyBorder="1"/>
    <xf numFmtId="43" fontId="1" fillId="4" borderId="0" xfId="1" applyNumberFormat="1" applyFill="1"/>
    <xf numFmtId="167" fontId="1" fillId="4" borderId="0" xfId="1" applyNumberFormat="1" applyFill="1"/>
    <xf numFmtId="167" fontId="0" fillId="4" borderId="0" xfId="1" applyNumberFormat="1" applyFont="1" applyFill="1" applyBorder="1"/>
    <xf numFmtId="43" fontId="0" fillId="4" borderId="0" xfId="0" applyNumberFormat="1" applyFill="1" applyBorder="1"/>
    <xf numFmtId="170" fontId="1" fillId="4" borderId="0" xfId="3" applyNumberFormat="1" applyFill="1" applyBorder="1"/>
    <xf numFmtId="0" fontId="2" fillId="4" borderId="0" xfId="0" quotePrefix="1" applyFont="1" applyFill="1" applyBorder="1" applyAlignment="1">
      <alignment horizontal="right" vertical="center"/>
    </xf>
    <xf numFmtId="0" fontId="2" fillId="6" borderId="1" xfId="0" applyFont="1" applyFill="1" applyBorder="1" applyAlignment="1">
      <alignment horizontal="right"/>
    </xf>
    <xf numFmtId="43" fontId="10" fillId="8" borderId="8" xfId="1" applyNumberFormat="1" applyFont="1" applyFill="1" applyBorder="1" applyAlignment="1">
      <alignment horizontal="right"/>
    </xf>
    <xf numFmtId="43" fontId="10" fillId="8" borderId="9" xfId="1" applyNumberFormat="1" applyFont="1" applyFill="1" applyBorder="1" applyAlignment="1">
      <alignment horizontal="right"/>
    </xf>
    <xf numFmtId="43" fontId="10" fillId="8" borderId="10" xfId="1" applyNumberFormat="1" applyFont="1" applyFill="1" applyBorder="1" applyAlignment="1">
      <alignment horizontal="right"/>
    </xf>
    <xf numFmtId="43" fontId="10" fillId="8" borderId="0" xfId="1" applyNumberFormat="1" applyFont="1" applyFill="1" applyAlignment="1">
      <alignment horizontal="right"/>
    </xf>
    <xf numFmtId="2" fontId="4" fillId="4" borderId="0" xfId="0" applyNumberFormat="1" applyFont="1" applyFill="1"/>
    <xf numFmtId="165" fontId="4" fillId="4" borderId="0" xfId="0" applyNumberFormat="1" applyFont="1" applyFill="1"/>
    <xf numFmtId="0" fontId="4" fillId="4" borderId="0" xfId="0" applyFont="1" applyFill="1" applyAlignment="1">
      <alignment horizontal="left"/>
    </xf>
    <xf numFmtId="167" fontId="1" fillId="4" borderId="0" xfId="1" applyNumberFormat="1" applyFill="1" applyBorder="1"/>
    <xf numFmtId="43" fontId="16" fillId="4" borderId="0" xfId="0" applyNumberFormat="1" applyFont="1" applyFill="1" applyBorder="1"/>
    <xf numFmtId="43" fontId="2" fillId="7" borderId="1" xfId="0" applyNumberFormat="1" applyFont="1" applyFill="1" applyBorder="1"/>
    <xf numFmtId="0" fontId="0" fillId="4" borderId="0" xfId="0" applyFill="1" applyBorder="1" applyAlignment="1">
      <alignment horizontal="center"/>
    </xf>
    <xf numFmtId="0" fontId="2" fillId="7" borderId="1" xfId="0" applyFont="1" applyFill="1" applyBorder="1" applyAlignment="1">
      <alignment vertical="center"/>
    </xf>
    <xf numFmtId="10" fontId="4" fillId="4" borderId="0" xfId="4" applyNumberFormat="1" applyFont="1" applyFill="1" applyBorder="1" applyAlignment="1" applyProtection="1">
      <alignment horizontal="center"/>
    </xf>
    <xf numFmtId="0" fontId="10" fillId="4" borderId="2" xfId="0" applyFont="1" applyFill="1" applyBorder="1"/>
    <xf numFmtId="0" fontId="10" fillId="4" borderId="3" xfId="0" applyFont="1" applyFill="1" applyBorder="1"/>
    <xf numFmtId="43" fontId="16" fillId="4" borderId="0" xfId="1" applyNumberFormat="1" applyFont="1" applyFill="1" applyBorder="1" applyAlignment="1">
      <alignment horizontal="right"/>
    </xf>
    <xf numFmtId="43" fontId="10" fillId="4" borderId="0" xfId="1" applyNumberFormat="1" applyFont="1" applyFill="1"/>
    <xf numFmtId="43" fontId="10" fillId="4" borderId="0" xfId="0" applyNumberFormat="1" applyFont="1" applyFill="1"/>
    <xf numFmtId="43" fontId="4" fillId="5" borderId="11" xfId="1" applyNumberFormat="1" applyFont="1" applyFill="1" applyBorder="1" applyAlignment="1">
      <alignment horizontal="right" vertical="center"/>
    </xf>
    <xf numFmtId="43" fontId="4" fillId="5" borderId="12" xfId="1" applyNumberFormat="1" applyFont="1" applyFill="1" applyBorder="1" applyAlignment="1">
      <alignment horizontal="right" vertical="center"/>
    </xf>
    <xf numFmtId="0" fontId="21" fillId="0" borderId="0" xfId="0" applyFont="1"/>
    <xf numFmtId="167" fontId="22" fillId="4" borderId="0" xfId="1" applyNumberFormat="1" applyFont="1" applyFill="1"/>
    <xf numFmtId="44" fontId="10" fillId="7" borderId="1" xfId="2" applyFont="1" applyFill="1" applyBorder="1" applyAlignment="1">
      <alignment horizontal="center" vertical="center"/>
    </xf>
    <xf numFmtId="44" fontId="11" fillId="7" borderId="1" xfId="2" applyFont="1" applyFill="1" applyBorder="1" applyAlignment="1">
      <alignment horizontal="center" vertical="center"/>
    </xf>
    <xf numFmtId="0" fontId="0" fillId="7" borderId="0" xfId="0" applyFill="1"/>
    <xf numFmtId="0" fontId="7" fillId="7" borderId="0" xfId="0" applyFont="1" applyFill="1" applyBorder="1"/>
    <xf numFmtId="43" fontId="4" fillId="4" borderId="11" xfId="0" applyNumberFormat="1" applyFont="1" applyFill="1" applyBorder="1" applyAlignment="1">
      <alignment vertical="center"/>
    </xf>
    <xf numFmtId="43" fontId="4" fillId="4" borderId="4" xfId="0" applyNumberFormat="1" applyFont="1" applyFill="1" applyBorder="1" applyAlignment="1">
      <alignment vertical="center"/>
    </xf>
    <xf numFmtId="43" fontId="4" fillId="4" borderId="12" xfId="0" applyNumberFormat="1" applyFont="1" applyFill="1" applyBorder="1" applyAlignment="1">
      <alignment vertical="center"/>
    </xf>
    <xf numFmtId="43" fontId="4" fillId="4" borderId="0" xfId="0" applyNumberFormat="1" applyFont="1" applyFill="1" applyBorder="1" applyAlignment="1">
      <alignment vertical="center"/>
    </xf>
    <xf numFmtId="43" fontId="4" fillId="4" borderId="4" xfId="1" applyNumberFormat="1" applyFont="1" applyFill="1" applyBorder="1" applyAlignment="1">
      <alignment horizontal="right" vertical="center"/>
    </xf>
    <xf numFmtId="43" fontId="4" fillId="4" borderId="11" xfId="1" applyNumberFormat="1" applyFont="1" applyFill="1" applyBorder="1" applyAlignment="1">
      <alignment horizontal="right" vertical="center"/>
    </xf>
    <xf numFmtId="43" fontId="4" fillId="4" borderId="12" xfId="1" applyNumberFormat="1" applyFont="1" applyFill="1" applyBorder="1" applyAlignment="1">
      <alignment horizontal="right" vertical="center"/>
    </xf>
    <xf numFmtId="43" fontId="16" fillId="4" borderId="2" xfId="1" applyNumberFormat="1" applyFont="1" applyFill="1" applyBorder="1"/>
    <xf numFmtId="0" fontId="2" fillId="7" borderId="1" xfId="0" applyFont="1" applyFill="1" applyBorder="1" applyAlignment="1">
      <alignment horizontal="left"/>
    </xf>
    <xf numFmtId="0" fontId="10" fillId="7" borderId="1" xfId="0" applyFont="1" applyFill="1" applyBorder="1" applyAlignment="1">
      <alignment horizontal="right"/>
    </xf>
    <xf numFmtId="167" fontId="1" fillId="7" borderId="1" xfId="1" applyNumberFormat="1" applyFill="1" applyBorder="1"/>
    <xf numFmtId="43" fontId="4" fillId="7" borderId="1" xfId="0" applyNumberFormat="1" applyFont="1" applyFill="1" applyBorder="1"/>
    <xf numFmtId="43" fontId="16" fillId="7" borderId="1" xfId="0" applyNumberFormat="1" applyFont="1" applyFill="1" applyBorder="1"/>
    <xf numFmtId="165" fontId="4" fillId="7" borderId="1" xfId="0" applyNumberFormat="1" applyFont="1" applyFill="1" applyBorder="1"/>
    <xf numFmtId="0" fontId="10" fillId="4" borderId="0" xfId="0" applyFont="1" applyFill="1" applyAlignment="1">
      <alignment horizontal="left"/>
    </xf>
    <xf numFmtId="0" fontId="18" fillId="4" borderId="0" xfId="0" applyFont="1" applyFill="1" applyAlignment="1">
      <alignment vertical="center"/>
    </xf>
    <xf numFmtId="0" fontId="23" fillId="4" borderId="0" xfId="0" applyFont="1" applyFill="1" applyAlignment="1">
      <alignment vertical="center"/>
    </xf>
    <xf numFmtId="0" fontId="24" fillId="4" borderId="0" xfId="0" applyFont="1" applyFill="1"/>
    <xf numFmtId="0" fontId="25" fillId="4" borderId="0" xfId="0" applyFont="1" applyFill="1"/>
    <xf numFmtId="0" fontId="25" fillId="4" borderId="0" xfId="0" applyFont="1" applyFill="1" applyAlignment="1">
      <alignment vertical="center"/>
    </xf>
    <xf numFmtId="0" fontId="26" fillId="7" borderId="0" xfId="0" applyFont="1" applyFill="1"/>
    <xf numFmtId="0" fontId="0" fillId="5" borderId="4" xfId="0" applyFill="1" applyBorder="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44" fontId="10" fillId="5" borderId="4" xfId="2" applyFont="1" applyFill="1" applyBorder="1" applyAlignment="1">
      <alignment horizontal="center" vertical="center"/>
    </xf>
    <xf numFmtId="44" fontId="11" fillId="5" borderId="4" xfId="2" applyFont="1" applyFill="1" applyBorder="1" applyAlignment="1">
      <alignment horizontal="center" vertical="center"/>
    </xf>
    <xf numFmtId="44" fontId="10" fillId="5" borderId="0" xfId="2" applyFont="1" applyFill="1" applyBorder="1" applyAlignment="1">
      <alignment horizontal="center" vertical="center"/>
    </xf>
    <xf numFmtId="44" fontId="11" fillId="5" borderId="0" xfId="2" applyFont="1" applyFill="1" applyBorder="1" applyAlignment="1">
      <alignment horizontal="center" vertical="center"/>
    </xf>
    <xf numFmtId="0" fontId="0" fillId="0" borderId="0" xfId="0" applyFill="1"/>
    <xf numFmtId="166" fontId="4" fillId="4" borderId="0" xfId="1" applyNumberFormat="1" applyFont="1" applyFill="1" applyBorder="1"/>
    <xf numFmtId="10" fontId="1" fillId="4" borderId="13" xfId="4" applyNumberFormat="1" applyFill="1" applyBorder="1"/>
    <xf numFmtId="43" fontId="16" fillId="4" borderId="13" xfId="0" applyNumberFormat="1" applyFont="1" applyFill="1" applyBorder="1"/>
    <xf numFmtId="43" fontId="0" fillId="4" borderId="13" xfId="0" applyNumberFormat="1" applyFill="1" applyBorder="1"/>
    <xf numFmtId="43" fontId="4" fillId="4" borderId="13" xfId="0" applyNumberFormat="1" applyFont="1" applyFill="1" applyBorder="1"/>
    <xf numFmtId="43" fontId="16" fillId="4" borderId="13" xfId="1" applyNumberFormat="1" applyFont="1" applyFill="1" applyBorder="1"/>
    <xf numFmtId="43" fontId="4" fillId="4" borderId="13" xfId="1" applyNumberFormat="1" applyFont="1" applyFill="1" applyBorder="1"/>
    <xf numFmtId="10" fontId="0" fillId="4" borderId="13" xfId="4" applyNumberFormat="1" applyFont="1" applyFill="1" applyBorder="1"/>
    <xf numFmtId="170" fontId="0" fillId="4" borderId="13" xfId="0" applyNumberFormat="1" applyFill="1" applyBorder="1"/>
    <xf numFmtId="167" fontId="0" fillId="4" borderId="13" xfId="1" applyNumberFormat="1" applyFont="1" applyFill="1" applyBorder="1"/>
    <xf numFmtId="0" fontId="0" fillId="4" borderId="13" xfId="0" applyFill="1" applyBorder="1"/>
    <xf numFmtId="167" fontId="1" fillId="4" borderId="13" xfId="1" applyNumberForma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1" applyFont="1" applyFill="1" applyBorder="1"/>
    <xf numFmtId="166" fontId="4" fillId="0" borderId="0" xfId="1" applyNumberFormat="1" applyFont="1" applyFill="1" applyBorder="1"/>
    <xf numFmtId="43" fontId="10" fillId="0" borderId="0" xfId="1" applyNumberFormat="1" applyFont="1" applyFill="1" applyBorder="1" applyAlignment="1">
      <alignment horizontal="right"/>
    </xf>
    <xf numFmtId="166" fontId="10" fillId="0" borderId="0" xfId="1" applyNumberFormat="1" applyFont="1" applyFill="1" applyBorder="1"/>
    <xf numFmtId="43" fontId="10" fillId="0" borderId="0" xfId="1" applyNumberFormat="1" applyFont="1" applyFill="1" applyAlignment="1">
      <alignment horizontal="right"/>
    </xf>
    <xf numFmtId="43" fontId="10" fillId="0" borderId="0" xfId="1" applyFont="1" applyFill="1" applyAlignment="1">
      <alignment horizontal="right"/>
    </xf>
    <xf numFmtId="0" fontId="0" fillId="0" borderId="0" xfId="0" applyFill="1" applyBorder="1"/>
    <xf numFmtId="10" fontId="0" fillId="5" borderId="4" xfId="4" applyNumberFormat="1" applyFont="1" applyFill="1" applyBorder="1"/>
    <xf numFmtId="10" fontId="0" fillId="5" borderId="4" xfId="4" applyNumberFormat="1" applyFont="1" applyFill="1" applyBorder="1" applyAlignment="1">
      <alignment vertical="center" wrapText="1"/>
    </xf>
    <xf numFmtId="43" fontId="10" fillId="8" borderId="9" xfId="1" applyFont="1" applyFill="1" applyBorder="1" applyAlignment="1">
      <alignment horizontal="right"/>
    </xf>
    <xf numFmtId="43" fontId="10" fillId="8" borderId="0" xfId="1" applyFont="1" applyFill="1" applyAlignment="1">
      <alignment horizontal="right"/>
    </xf>
    <xf numFmtId="43" fontId="10" fillId="8" borderId="10" xfId="1" applyFont="1" applyFill="1" applyBorder="1" applyAlignment="1">
      <alignment horizontal="right"/>
    </xf>
    <xf numFmtId="0" fontId="4" fillId="0" borderId="0" xfId="0" applyFont="1" applyFill="1" applyBorder="1"/>
    <xf numFmtId="164" fontId="1" fillId="0" borderId="0" xfId="4" applyNumberFormat="1" applyFill="1" applyBorder="1"/>
    <xf numFmtId="165" fontId="0" fillId="0" borderId="0" xfId="0" applyNumberFormat="1" applyFill="1" applyBorder="1"/>
    <xf numFmtId="10" fontId="0" fillId="0" borderId="0" xfId="4" applyNumberFormat="1" applyFont="1" applyFill="1" applyBorder="1"/>
    <xf numFmtId="164" fontId="0" fillId="0" borderId="0" xfId="4" applyNumberFormat="1" applyFont="1" applyFill="1" applyBorder="1"/>
    <xf numFmtId="43" fontId="10" fillId="0" borderId="0" xfId="1" applyFont="1" applyFill="1" applyBorder="1" applyAlignment="1">
      <alignment horizontal="right"/>
    </xf>
    <xf numFmtId="166" fontId="10" fillId="0" borderId="0" xfId="1" applyNumberFormat="1" applyFont="1" applyFill="1" applyBorder="1" applyAlignment="1">
      <alignment horizontal="right"/>
    </xf>
    <xf numFmtId="166" fontId="10" fillId="0" borderId="0" xfId="0" applyNumberFormat="1" applyFont="1" applyFill="1" applyBorder="1"/>
    <xf numFmtId="10" fontId="1" fillId="0" borderId="0" xfId="4" applyNumberFormat="1" applyFill="1" applyBorder="1"/>
    <xf numFmtId="0" fontId="8" fillId="0" borderId="0" xfId="0" applyFont="1" applyFill="1"/>
    <xf numFmtId="10" fontId="0" fillId="5" borderId="7" xfId="4" applyNumberFormat="1" applyFont="1" applyFill="1" applyBorder="1"/>
    <xf numFmtId="10" fontId="1" fillId="4" borderId="0" xfId="3" applyNumberFormat="1" applyFont="1" applyFill="1" applyBorder="1"/>
    <xf numFmtId="0" fontId="12" fillId="4" borderId="2" xfId="0" applyFont="1" applyFill="1" applyBorder="1" applyAlignment="1" applyProtection="1">
      <alignment horizontal="center"/>
    </xf>
    <xf numFmtId="170" fontId="0" fillId="4" borderId="14" xfId="0" applyNumberFormat="1" applyFill="1" applyBorder="1"/>
    <xf numFmtId="170" fontId="0" fillId="4" borderId="0" xfId="0" applyNumberFormat="1" applyFill="1" applyBorder="1"/>
    <xf numFmtId="170" fontId="1" fillId="4" borderId="13" xfId="1" applyNumberFormat="1" applyFill="1" applyBorder="1"/>
    <xf numFmtId="44" fontId="2" fillId="4" borderId="15" xfId="2" applyFont="1" applyFill="1" applyBorder="1" applyAlignment="1">
      <alignment horizontal="right" vertical="center"/>
    </xf>
    <xf numFmtId="0" fontId="2" fillId="4" borderId="15" xfId="0" quotePrefix="1" applyFont="1" applyFill="1" applyBorder="1" applyAlignment="1">
      <alignment horizontal="right" vertical="center"/>
    </xf>
    <xf numFmtId="44" fontId="16" fillId="4" borderId="0" xfId="0" applyNumberFormat="1" applyFont="1" applyFill="1"/>
    <xf numFmtId="0" fontId="28" fillId="4" borderId="0" xfId="0" applyFont="1" applyFill="1"/>
    <xf numFmtId="171" fontId="0" fillId="7" borderId="1" xfId="1" applyNumberFormat="1" applyFont="1" applyFill="1" applyBorder="1"/>
    <xf numFmtId="164" fontId="0" fillId="7" borderId="1" xfId="4" applyNumberFormat="1" applyFont="1" applyFill="1" applyBorder="1"/>
    <xf numFmtId="0" fontId="2" fillId="7" borderId="1" xfId="0" applyFont="1" applyFill="1" applyBorder="1" applyAlignment="1">
      <alignment horizontal="center"/>
    </xf>
    <xf numFmtId="0" fontId="10" fillId="7" borderId="1" xfId="0" quotePrefix="1" applyFont="1" applyFill="1" applyBorder="1" applyAlignment="1">
      <alignment horizontal="right"/>
    </xf>
    <xf numFmtId="165" fontId="0" fillId="7" borderId="1" xfId="0" applyNumberFormat="1" applyFill="1" applyBorder="1"/>
    <xf numFmtId="0" fontId="2" fillId="4" borderId="0" xfId="0" quotePrefix="1" applyFont="1" applyFill="1" applyBorder="1" applyAlignment="1">
      <alignment horizontal="right"/>
    </xf>
    <xf numFmtId="43" fontId="2" fillId="4" borderId="0" xfId="0" applyNumberFormat="1" applyFont="1" applyFill="1" applyBorder="1"/>
    <xf numFmtId="0" fontId="1" fillId="4" borderId="0" xfId="0" applyFont="1" applyFill="1"/>
    <xf numFmtId="0" fontId="29" fillId="4" borderId="0" xfId="0" applyFont="1" applyFill="1"/>
    <xf numFmtId="43" fontId="0" fillId="0" borderId="0" xfId="0" applyNumberFormat="1"/>
    <xf numFmtId="0" fontId="2" fillId="4" borderId="0" xfId="0" applyFont="1" applyFill="1"/>
    <xf numFmtId="0" fontId="16" fillId="4" borderId="0" xfId="0" applyFont="1" applyFill="1"/>
    <xf numFmtId="0" fontId="27" fillId="4" borderId="0" xfId="0" applyFont="1" applyFill="1" applyBorder="1" applyAlignment="1">
      <alignment horizontal="center"/>
    </xf>
    <xf numFmtId="0" fontId="14" fillId="4" borderId="0" xfId="0" applyFont="1" applyFill="1" applyBorder="1" applyAlignment="1">
      <alignment horizontal="center"/>
    </xf>
    <xf numFmtId="0" fontId="16" fillId="4" borderId="0" xfId="0" applyFont="1" applyFill="1" applyBorder="1"/>
    <xf numFmtId="43" fontId="16" fillId="4" borderId="0" xfId="0" applyNumberFormat="1" applyFont="1" applyFill="1" applyAlignment="1">
      <alignment horizontal="right"/>
    </xf>
    <xf numFmtId="43" fontId="16" fillId="4" borderId="0" xfId="0" applyNumberFormat="1" applyFont="1" applyFill="1" applyBorder="1" applyAlignment="1">
      <alignment horizontal="right"/>
    </xf>
    <xf numFmtId="0" fontId="0" fillId="4" borderId="3" xfId="0" applyFill="1" applyBorder="1"/>
    <xf numFmtId="0" fontId="16" fillId="0" borderId="0" xfId="0" applyFont="1"/>
    <xf numFmtId="43" fontId="16" fillId="0" borderId="0" xfId="0" applyNumberFormat="1" applyFont="1" applyAlignment="1">
      <alignment horizontal="right"/>
    </xf>
    <xf numFmtId="0" fontId="16" fillId="4" borderId="0" xfId="0" applyFont="1" applyFill="1" applyAlignment="1">
      <alignment horizontal="right"/>
    </xf>
    <xf numFmtId="0" fontId="16" fillId="0" borderId="0" xfId="0" applyFont="1" applyAlignment="1">
      <alignment horizontal="right"/>
    </xf>
    <xf numFmtId="43" fontId="1" fillId="4" borderId="0" xfId="3" applyNumberFormat="1" applyFont="1" applyFill="1" applyBorder="1"/>
    <xf numFmtId="43" fontId="4" fillId="4" borderId="0" xfId="3" applyNumberFormat="1" applyFont="1" applyFill="1" applyBorder="1"/>
    <xf numFmtId="43" fontId="4" fillId="4" borderId="0" xfId="3" applyNumberFormat="1" applyFont="1" applyFill="1" applyBorder="1" applyAlignment="1">
      <alignment vertical="justify"/>
    </xf>
    <xf numFmtId="43" fontId="10" fillId="4" borderId="0" xfId="0" quotePrefix="1" applyNumberFormat="1" applyFont="1" applyFill="1" applyBorder="1" applyAlignment="1">
      <alignment horizontal="right"/>
    </xf>
    <xf numFmtId="43" fontId="10" fillId="4" borderId="0" xfId="0" applyNumberFormat="1" applyFont="1" applyFill="1" applyAlignment="1">
      <alignment horizontal="right"/>
    </xf>
    <xf numFmtId="43" fontId="2" fillId="4" borderId="0" xfId="0" applyNumberFormat="1" applyFont="1" applyFill="1" applyAlignment="1">
      <alignment horizontal="right"/>
    </xf>
    <xf numFmtId="43" fontId="2" fillId="0" borderId="0" xfId="0" applyNumberFormat="1" applyFont="1" applyFill="1" applyAlignment="1">
      <alignment horizontal="right"/>
    </xf>
    <xf numFmtId="43" fontId="16" fillId="4" borderId="0" xfId="0" applyNumberFormat="1" applyFont="1" applyFill="1" applyAlignment="1">
      <alignment horizontal="left"/>
    </xf>
    <xf numFmtId="0" fontId="2" fillId="7" borderId="1" xfId="0" applyFont="1" applyFill="1" applyBorder="1" applyAlignment="1">
      <alignment horizontal="right"/>
    </xf>
    <xf numFmtId="0" fontId="0" fillId="7" borderId="1" xfId="0" applyFill="1" applyBorder="1" applyAlignment="1">
      <alignment horizontal="right"/>
    </xf>
    <xf numFmtId="0" fontId="4" fillId="4" borderId="0" xfId="0" applyFont="1" applyFill="1" applyBorder="1" applyAlignment="1">
      <alignment horizontal="right"/>
    </xf>
    <xf numFmtId="0" fontId="4" fillId="4" borderId="0" xfId="0" applyFont="1" applyFill="1" applyAlignment="1">
      <alignment horizontal="right"/>
    </xf>
    <xf numFmtId="43" fontId="16" fillId="0" borderId="0" xfId="0" applyNumberFormat="1" applyFont="1"/>
    <xf numFmtId="164" fontId="9" fillId="4" borderId="0" xfId="4" applyNumberFormat="1" applyFont="1" applyFill="1" applyBorder="1"/>
    <xf numFmtId="167" fontId="9" fillId="4" borderId="13" xfId="1" applyNumberFormat="1" applyFont="1" applyFill="1" applyBorder="1"/>
    <xf numFmtId="43" fontId="11" fillId="4" borderId="0" xfId="0" applyNumberFormat="1" applyFont="1" applyFill="1" applyBorder="1" applyAlignment="1">
      <alignment horizontal="right"/>
    </xf>
    <xf numFmtId="0" fontId="2" fillId="4" borderId="0" xfId="0" applyFont="1" applyFill="1" applyAlignment="1">
      <alignment horizontal="center"/>
    </xf>
    <xf numFmtId="43" fontId="2" fillId="4" borderId="0" xfId="0" applyNumberFormat="1" applyFont="1" applyFill="1" applyAlignment="1">
      <alignment horizontal="center"/>
    </xf>
    <xf numFmtId="0" fontId="2" fillId="0" borderId="0" xfId="0" applyFont="1" applyAlignment="1">
      <alignment horizontal="center"/>
    </xf>
    <xf numFmtId="43" fontId="4" fillId="4" borderId="0" xfId="0" applyNumberFormat="1" applyFont="1" applyFill="1" applyBorder="1" applyAlignment="1">
      <alignment horizontal="right"/>
    </xf>
    <xf numFmtId="43" fontId="4" fillId="9" borderId="0" xfId="0" applyNumberFormat="1" applyFont="1" applyFill="1" applyBorder="1"/>
    <xf numFmtId="0" fontId="2" fillId="4" borderId="3" xfId="0" applyFont="1" applyFill="1" applyBorder="1" applyAlignment="1">
      <alignment horizontal="center" wrapText="1"/>
    </xf>
    <xf numFmtId="43" fontId="2" fillId="4" borderId="3" xfId="0" applyNumberFormat="1" applyFont="1" applyFill="1" applyBorder="1" applyAlignment="1">
      <alignment horizontal="center" wrapText="1"/>
    </xf>
    <xf numFmtId="43" fontId="4" fillId="4" borderId="4" xfId="0" applyNumberFormat="1" applyFont="1" applyFill="1" applyBorder="1" applyAlignment="1">
      <alignment horizontal="right"/>
    </xf>
    <xf numFmtId="43" fontId="4" fillId="9" borderId="4" xfId="0" applyNumberFormat="1" applyFont="1" applyFill="1" applyBorder="1"/>
    <xf numFmtId="0" fontId="0" fillId="9" borderId="4" xfId="0" applyFill="1" applyBorder="1"/>
    <xf numFmtId="0" fontId="31" fillId="4" borderId="0" xfId="0" applyFont="1" applyFill="1"/>
    <xf numFmtId="0" fontId="4" fillId="4" borderId="7" xfId="0" applyFont="1" applyFill="1" applyBorder="1" applyAlignment="1">
      <alignment horizontal="right"/>
    </xf>
    <xf numFmtId="0" fontId="31" fillId="4" borderId="0" xfId="0" applyFont="1" applyFill="1" applyBorder="1"/>
    <xf numFmtId="0" fontId="7" fillId="4" borderId="0" xfId="0" applyFont="1" applyFill="1"/>
    <xf numFmtId="43" fontId="10" fillId="4" borderId="0" xfId="1" applyNumberFormat="1" applyFont="1" applyFill="1" applyBorder="1"/>
    <xf numFmtId="0" fontId="27" fillId="4" borderId="16" xfId="0" applyFont="1" applyFill="1" applyBorder="1" applyAlignment="1"/>
    <xf numFmtId="0" fontId="27" fillId="4" borderId="17" xfId="0" applyFont="1" applyFill="1" applyBorder="1" applyAlignment="1"/>
    <xf numFmtId="167" fontId="4" fillId="4" borderId="2" xfId="1" applyNumberFormat="1" applyFont="1" applyFill="1" applyBorder="1"/>
    <xf numFmtId="0" fontId="32" fillId="4" borderId="0" xfId="0" applyFont="1" applyFill="1"/>
    <xf numFmtId="43" fontId="4" fillId="5" borderId="18" xfId="1" applyNumberFormat="1" applyFont="1" applyFill="1" applyBorder="1" applyAlignment="1">
      <alignment horizontal="right" vertical="center"/>
    </xf>
    <xf numFmtId="43" fontId="4" fillId="4" borderId="19" xfId="0" applyNumberFormat="1" applyFont="1" applyFill="1" applyBorder="1" applyAlignment="1">
      <alignment vertical="center"/>
    </xf>
    <xf numFmtId="43" fontId="4" fillId="4" borderId="18" xfId="1" applyNumberFormat="1" applyFont="1" applyFill="1" applyBorder="1" applyAlignment="1">
      <alignment horizontal="right" vertical="center"/>
    </xf>
    <xf numFmtId="43" fontId="4" fillId="0" borderId="19" xfId="0" applyNumberFormat="1" applyFont="1" applyFill="1" applyBorder="1" applyAlignment="1">
      <alignment vertical="center"/>
    </xf>
    <xf numFmtId="43" fontId="10" fillId="3" borderId="0" xfId="0" quotePrefix="1" applyNumberFormat="1" applyFont="1" applyFill="1" applyBorder="1" applyAlignment="1">
      <alignment horizontal="right"/>
    </xf>
    <xf numFmtId="43" fontId="4" fillId="4" borderId="0" xfId="0" applyNumberFormat="1" applyFont="1" applyFill="1" applyBorder="1" applyAlignment="1">
      <alignment horizontal="left"/>
    </xf>
    <xf numFmtId="43" fontId="4" fillId="4" borderId="0" xfId="1" applyFont="1" applyFill="1" applyBorder="1" applyAlignment="1">
      <alignment horizontal="center" vertical="center"/>
    </xf>
    <xf numFmtId="43" fontId="1" fillId="4" borderId="13" xfId="1" applyNumberFormat="1" applyFill="1" applyBorder="1"/>
    <xf numFmtId="43" fontId="0" fillId="4" borderId="13" xfId="1" applyNumberFormat="1" applyFont="1" applyFill="1" applyBorder="1"/>
    <xf numFmtId="43" fontId="0" fillId="4" borderId="0" xfId="1" applyNumberFormat="1" applyFont="1" applyFill="1"/>
    <xf numFmtId="43" fontId="9" fillId="4" borderId="13" xfId="1" applyNumberFormat="1" applyFont="1" applyFill="1" applyBorder="1"/>
    <xf numFmtId="43" fontId="9" fillId="4" borderId="0" xfId="1" applyNumberFormat="1" applyFont="1" applyFill="1"/>
    <xf numFmtId="43" fontId="4" fillId="4" borderId="0" xfId="0" applyNumberFormat="1" applyFont="1" applyFill="1" applyBorder="1"/>
    <xf numFmtId="43" fontId="0" fillId="4" borderId="0" xfId="1" applyNumberFormat="1" applyFont="1" applyFill="1" applyBorder="1"/>
    <xf numFmtId="43" fontId="4" fillId="4" borderId="0" xfId="1" applyNumberFormat="1" applyFont="1" applyFill="1"/>
    <xf numFmtId="168" fontId="16" fillId="4" borderId="0" xfId="0" applyNumberFormat="1" applyFont="1" applyFill="1" applyAlignment="1">
      <alignment horizontal="right"/>
    </xf>
    <xf numFmtId="43" fontId="4" fillId="4" borderId="4" xfId="0" applyNumberFormat="1" applyFont="1" applyFill="1" applyBorder="1"/>
    <xf numFmtId="43" fontId="10" fillId="4" borderId="0" xfId="0" applyNumberFormat="1" applyFont="1" applyFill="1" applyBorder="1" applyAlignment="1">
      <alignment horizontal="right"/>
    </xf>
    <xf numFmtId="0" fontId="8" fillId="4" borderId="2" xfId="0" applyFont="1" applyFill="1" applyBorder="1"/>
    <xf numFmtId="0" fontId="0" fillId="0" borderId="2" xfId="0" applyBorder="1"/>
    <xf numFmtId="17" fontId="8" fillId="4" borderId="0" xfId="0" quotePrefix="1" applyNumberFormat="1" applyFont="1" applyFill="1"/>
    <xf numFmtId="0" fontId="33" fillId="0" borderId="0" xfId="0" applyFont="1"/>
    <xf numFmtId="43" fontId="16" fillId="4" borderId="0" xfId="0" applyNumberFormat="1" applyFont="1" applyFill="1" applyAlignment="1">
      <alignment horizontal="right"/>
    </xf>
    <xf numFmtId="166" fontId="16" fillId="4" borderId="0" xfId="0" applyNumberFormat="1" applyFont="1" applyFill="1" applyAlignment="1">
      <alignment horizontal="right"/>
    </xf>
    <xf numFmtId="10" fontId="4" fillId="5" borderId="11" xfId="4" applyNumberFormat="1" applyFont="1" applyFill="1" applyBorder="1"/>
    <xf numFmtId="10" fontId="4" fillId="5" borderId="4" xfId="5" applyNumberFormat="1" applyFont="1" applyFill="1" applyBorder="1"/>
    <xf numFmtId="10" fontId="0" fillId="3" borderId="4" xfId="4" applyNumberFormat="1" applyFont="1" applyFill="1" applyBorder="1"/>
    <xf numFmtId="0" fontId="0" fillId="11" borderId="0" xfId="0" applyFill="1" applyAlignment="1">
      <alignment vertical="center"/>
    </xf>
    <xf numFmtId="43" fontId="16" fillId="10" borderId="0" xfId="0" applyNumberFormat="1" applyFont="1" applyFill="1" applyAlignment="1">
      <alignment horizontal="right"/>
    </xf>
    <xf numFmtId="0" fontId="0" fillId="0" borderId="0" xfId="0" applyAlignment="1">
      <alignment vertical="center"/>
    </xf>
    <xf numFmtId="0" fontId="4" fillId="11" borderId="0" xfId="0" applyFont="1" applyFill="1" applyAlignment="1">
      <alignment vertical="center"/>
    </xf>
    <xf numFmtId="43" fontId="4" fillId="10" borderId="0" xfId="1" applyNumberFormat="1" applyFont="1" applyFill="1" applyBorder="1" applyAlignment="1">
      <alignment horizontal="right" vertical="center"/>
    </xf>
    <xf numFmtId="43" fontId="4" fillId="10" borderId="0" xfId="9" applyNumberFormat="1" applyFont="1" applyFill="1" applyBorder="1" applyAlignment="1">
      <alignment horizontal="right"/>
    </xf>
    <xf numFmtId="0" fontId="2" fillId="0" borderId="0" xfId="0" applyFont="1"/>
    <xf numFmtId="0" fontId="0" fillId="0" borderId="1" xfId="0" applyBorder="1"/>
    <xf numFmtId="0" fontId="0" fillId="0" borderId="24" xfId="0" applyBorder="1"/>
    <xf numFmtId="0" fontId="2" fillId="0" borderId="1" xfId="0" applyFont="1" applyBorder="1" applyAlignment="1">
      <alignment horizontal="right"/>
    </xf>
    <xf numFmtId="0" fontId="8" fillId="10" borderId="0" xfId="0" applyFont="1" applyFill="1"/>
    <xf numFmtId="0" fontId="4" fillId="10" borderId="0" xfId="0" applyFont="1" applyFill="1"/>
    <xf numFmtId="0" fontId="0" fillId="10" borderId="0" xfId="0" applyFill="1"/>
    <xf numFmtId="0" fontId="4" fillId="10" borderId="0" xfId="0" applyFont="1" applyFill="1" applyAlignment="1">
      <alignment wrapText="1"/>
    </xf>
    <xf numFmtId="2" fontId="0" fillId="10" borderId="0" xfId="0" applyNumberFormat="1" applyFill="1"/>
    <xf numFmtId="43" fontId="4" fillId="10" borderId="4" xfId="1" applyNumberFormat="1" applyFont="1" applyFill="1" applyBorder="1" applyAlignment="1">
      <alignment horizontal="right" vertical="center"/>
    </xf>
    <xf numFmtId="0" fontId="36" fillId="4" borderId="0" xfId="0" applyFont="1" applyFill="1" applyBorder="1" applyAlignment="1">
      <alignment horizontal="center" vertical="center"/>
    </xf>
    <xf numFmtId="173" fontId="16" fillId="4" borderId="0" xfId="0" applyNumberFormat="1" applyFont="1" applyFill="1" applyAlignment="1">
      <alignment horizontal="right"/>
    </xf>
    <xf numFmtId="43" fontId="4" fillId="12" borderId="4" xfId="1" applyNumberFormat="1" applyFont="1" applyFill="1" applyBorder="1" applyAlignment="1">
      <alignment horizontal="right" vertical="center"/>
    </xf>
    <xf numFmtId="43" fontId="4" fillId="12" borderId="0" xfId="1" applyNumberFormat="1" applyFont="1" applyFill="1" applyBorder="1" applyAlignment="1">
      <alignment horizontal="right" vertical="center"/>
    </xf>
    <xf numFmtId="43" fontId="4" fillId="12" borderId="0" xfId="6" applyFont="1" applyFill="1" applyBorder="1" applyAlignment="1">
      <alignment horizontal="center" vertical="center"/>
    </xf>
    <xf numFmtId="172" fontId="4" fillId="12" borderId="0" xfId="6" applyNumberFormat="1" applyFont="1" applyFill="1" applyBorder="1" applyAlignment="1">
      <alignment horizontal="right" vertical="center"/>
    </xf>
    <xf numFmtId="43" fontId="4" fillId="10" borderId="0" xfId="0" applyNumberFormat="1" applyFont="1" applyFill="1" applyBorder="1" applyAlignment="1">
      <alignment horizontal="right"/>
    </xf>
    <xf numFmtId="0" fontId="12" fillId="12" borderId="0" xfId="0" applyFont="1" applyFill="1" applyBorder="1" applyAlignment="1">
      <alignment horizontal="center" vertical="center"/>
    </xf>
    <xf numFmtId="0" fontId="2" fillId="12" borderId="0" xfId="0" applyFont="1" applyFill="1" applyBorder="1" applyAlignment="1">
      <alignment horizontal="center" vertical="center"/>
    </xf>
    <xf numFmtId="43" fontId="4" fillId="4" borderId="0" xfId="1" applyNumberFormat="1" applyFont="1" applyFill="1" applyBorder="1" applyAlignment="1">
      <alignment horizontal="center" vertical="center"/>
    </xf>
    <xf numFmtId="0" fontId="1" fillId="0" borderId="0" xfId="0" applyFont="1" applyAlignment="1">
      <alignment vertical="center"/>
    </xf>
    <xf numFmtId="174" fontId="0" fillId="0" borderId="0" xfId="0" applyNumberFormat="1"/>
    <xf numFmtId="174" fontId="0" fillId="0" borderId="1" xfId="0" applyNumberFormat="1" applyBorder="1"/>
    <xf numFmtId="174" fontId="0" fillId="0" borderId="24" xfId="0" applyNumberFormat="1" applyBorder="1"/>
    <xf numFmtId="174" fontId="2" fillId="0" borderId="1" xfId="0" applyNumberFormat="1" applyFont="1" applyBorder="1" applyAlignment="1">
      <alignment horizontal="right"/>
    </xf>
    <xf numFmtId="174" fontId="0" fillId="0" borderId="0" xfId="0" applyNumberFormat="1" applyAlignment="1">
      <alignment horizontal="right"/>
    </xf>
    <xf numFmtId="166" fontId="1" fillId="4" borderId="0" xfId="1" applyNumberFormat="1" applyFill="1"/>
    <xf numFmtId="166" fontId="16" fillId="4" borderId="0" xfId="0" applyNumberFormat="1" applyFont="1" applyFill="1"/>
    <xf numFmtId="166" fontId="0" fillId="4" borderId="0" xfId="0" applyNumberFormat="1" applyFill="1"/>
    <xf numFmtId="166" fontId="4" fillId="4" borderId="0" xfId="0" applyNumberFormat="1" applyFont="1" applyFill="1" applyBorder="1"/>
    <xf numFmtId="166" fontId="4" fillId="4" borderId="0" xfId="0" applyNumberFormat="1" applyFont="1" applyFill="1"/>
    <xf numFmtId="166" fontId="31" fillId="4" borderId="0" xfId="0" applyNumberFormat="1" applyFont="1" applyFill="1"/>
    <xf numFmtId="166" fontId="2" fillId="7" borderId="1" xfId="0" applyNumberFormat="1" applyFont="1" applyFill="1" applyBorder="1"/>
    <xf numFmtId="43" fontId="4" fillId="10" borderId="4" xfId="0" applyNumberFormat="1" applyFont="1" applyFill="1" applyBorder="1" applyAlignment="1">
      <alignment horizontal="right"/>
    </xf>
    <xf numFmtId="43" fontId="4" fillId="4" borderId="0" xfId="0" applyNumberFormat="1" applyFont="1" applyFill="1" applyBorder="1" applyAlignment="1">
      <alignment horizontal="left"/>
    </xf>
    <xf numFmtId="175" fontId="4" fillId="4" borderId="4" xfId="0" applyNumberFormat="1" applyFont="1" applyFill="1" applyBorder="1" applyAlignment="1">
      <alignment horizontal="left"/>
    </xf>
    <xf numFmtId="176" fontId="16" fillId="4" borderId="0" xfId="0" applyNumberFormat="1" applyFont="1" applyFill="1" applyAlignment="1">
      <alignment horizontal="right"/>
    </xf>
    <xf numFmtId="43" fontId="4" fillId="4" borderId="0" xfId="0" applyNumberFormat="1" applyFont="1" applyFill="1" applyAlignment="1">
      <alignment horizontal="right"/>
    </xf>
    <xf numFmtId="0" fontId="0" fillId="11" borderId="0" xfId="0" applyFill="1" applyAlignment="1">
      <alignment vertical="center"/>
    </xf>
    <xf numFmtId="0" fontId="2" fillId="7" borderId="1" xfId="0" applyFont="1" applyFill="1" applyBorder="1" applyAlignment="1">
      <alignment horizontal="left" vertical="center"/>
    </xf>
    <xf numFmtId="0" fontId="0" fillId="5" borderId="20" xfId="0" applyFill="1" applyBorder="1" applyAlignment="1">
      <alignment horizontal="left"/>
    </xf>
    <xf numFmtId="0" fontId="0" fillId="5" borderId="0" xfId="0" applyFill="1" applyBorder="1" applyAlignment="1">
      <alignment horizontal="left"/>
    </xf>
    <xf numFmtId="0" fontId="4" fillId="5" borderId="7" xfId="0" applyFont="1" applyFill="1" applyBorder="1" applyAlignment="1">
      <alignment horizontal="left" vertical="center"/>
    </xf>
    <xf numFmtId="0" fontId="4" fillId="5" borderId="4" xfId="0" applyFont="1" applyFill="1" applyBorder="1" applyAlignment="1">
      <alignment horizontal="left" vertical="center"/>
    </xf>
    <xf numFmtId="0" fontId="2" fillId="4" borderId="15" xfId="0" applyFont="1" applyFill="1" applyBorder="1" applyAlignment="1">
      <alignment horizontal="center" wrapText="1"/>
    </xf>
    <xf numFmtId="0" fontId="0" fillId="5" borderId="7" xfId="0" applyFill="1" applyBorder="1" applyAlignment="1">
      <alignment horizontal="left"/>
    </xf>
    <xf numFmtId="0" fontId="0" fillId="5" borderId="4" xfId="0" applyFill="1" applyBorder="1" applyAlignment="1">
      <alignment horizontal="left"/>
    </xf>
    <xf numFmtId="0" fontId="3" fillId="7" borderId="1" xfId="0" applyFont="1" applyFill="1" applyBorder="1" applyAlignment="1">
      <alignment horizontal="left" vertical="center"/>
    </xf>
    <xf numFmtId="0" fontId="27" fillId="4" borderId="21" xfId="0" applyFont="1" applyFill="1" applyBorder="1" applyAlignment="1">
      <alignment horizontal="center" vertical="center" textRotation="255"/>
    </xf>
    <xf numFmtId="0" fontId="27" fillId="4" borderId="22" xfId="0" applyFont="1" applyFill="1" applyBorder="1" applyAlignment="1">
      <alignment horizontal="center" vertical="center" textRotation="255"/>
    </xf>
    <xf numFmtId="0" fontId="27" fillId="4" borderId="23"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27" fillId="4" borderId="16" xfId="0" applyFont="1" applyFill="1" applyBorder="1" applyAlignment="1">
      <alignment horizontal="center"/>
    </xf>
    <xf numFmtId="0" fontId="27" fillId="4" borderId="17" xfId="0" applyFont="1" applyFill="1" applyBorder="1" applyAlignment="1">
      <alignment horizontal="center"/>
    </xf>
    <xf numFmtId="0" fontId="30" fillId="4" borderId="16" xfId="0" applyFont="1" applyFill="1" applyBorder="1" applyAlignment="1">
      <alignment horizontal="center"/>
    </xf>
    <xf numFmtId="0" fontId="30" fillId="4" borderId="17" xfId="0" applyFont="1" applyFill="1" applyBorder="1" applyAlignment="1">
      <alignment horizontal="center"/>
    </xf>
    <xf numFmtId="43" fontId="4" fillId="4" borderId="20" xfId="0" applyNumberFormat="1" applyFont="1" applyFill="1" applyBorder="1" applyAlignment="1">
      <alignment horizontal="left"/>
    </xf>
    <xf numFmtId="43" fontId="4" fillId="4" borderId="0" xfId="0" applyNumberFormat="1" applyFont="1" applyFill="1" applyBorder="1" applyAlignment="1">
      <alignment horizontal="left"/>
    </xf>
    <xf numFmtId="43" fontId="0" fillId="4" borderId="0" xfId="0" applyNumberFormat="1" applyFill="1" applyAlignment="1">
      <alignment horizontal="left"/>
    </xf>
    <xf numFmtId="43" fontId="0" fillId="4" borderId="0" xfId="0" applyNumberFormat="1" applyFill="1" applyBorder="1" applyAlignment="1">
      <alignment horizontal="left"/>
    </xf>
    <xf numFmtId="0" fontId="2" fillId="4" borderId="3" xfId="0" applyFont="1" applyFill="1" applyBorder="1" applyAlignment="1">
      <alignment horizontal="center"/>
    </xf>
    <xf numFmtId="43" fontId="4" fillId="4" borderId="7" xfId="0" applyNumberFormat="1" applyFont="1" applyFill="1" applyBorder="1" applyAlignment="1">
      <alignment horizontal="left"/>
    </xf>
    <xf numFmtId="43" fontId="4" fillId="4" borderId="4" xfId="0" applyNumberFormat="1" applyFont="1" applyFill="1" applyBorder="1" applyAlignment="1">
      <alignment horizontal="left"/>
    </xf>
  </cellXfs>
  <cellStyles count="10">
    <cellStyle name="Comma" xfId="1" builtinId="3"/>
    <cellStyle name="Comma 2" xfId="6"/>
    <cellStyle name="Comma 3" xfId="5"/>
    <cellStyle name="Currency" xfId="2" builtinId="4"/>
    <cellStyle name="Currency 2" xfId="7"/>
    <cellStyle name="Normal" xfId="0" builtinId="0"/>
    <cellStyle name="Normal 2" xfId="9"/>
    <cellStyle name="Normal_2005 03 27 RAB model" xfId="3"/>
    <cellStyle name="Percent" xfId="4" builtinId="5"/>
    <cellStyle name="Percent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30480</xdr:colOff>
      <xdr:row>9</xdr:row>
      <xdr:rowOff>144780</xdr:rowOff>
    </xdr:from>
    <xdr:to>
      <xdr:col>1</xdr:col>
      <xdr:colOff>279400</xdr:colOff>
      <xdr:row>33</xdr:row>
      <xdr:rowOff>144780</xdr:rowOff>
    </xdr:to>
    <xdr:grpSp>
      <xdr:nvGrpSpPr>
        <xdr:cNvPr id="133494" name="Group 14"/>
        <xdr:cNvGrpSpPr>
          <a:grpSpLocks/>
        </xdr:cNvGrpSpPr>
      </xdr:nvGrpSpPr>
      <xdr:grpSpPr bwMode="auto">
        <a:xfrm>
          <a:off x="30480" y="3771900"/>
          <a:ext cx="411480" cy="4754880"/>
          <a:chOff x="3" y="395"/>
          <a:chExt cx="42" cy="497"/>
        </a:xfrm>
      </xdr:grpSpPr>
      <xdr:sp macro="" textlink="">
        <xdr:nvSpPr>
          <xdr:cNvPr id="129032"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33504"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7" y="566"/>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9"/>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7620</xdr:colOff>
      <xdr:row>0</xdr:row>
      <xdr:rowOff>106680</xdr:rowOff>
    </xdr:from>
    <xdr:to>
      <xdr:col>5</xdr:col>
      <xdr:colOff>68580</xdr:colOff>
      <xdr:row>1</xdr:row>
      <xdr:rowOff>312420</xdr:rowOff>
    </xdr:to>
    <xdr:pic>
      <xdr:nvPicPr>
        <xdr:cNvPr id="133495"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106680"/>
          <a:ext cx="3124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0</xdr:row>
      <xdr:rowOff>106680</xdr:rowOff>
    </xdr:from>
    <xdr:to>
      <xdr:col>5</xdr:col>
      <xdr:colOff>449580</xdr:colOff>
      <xdr:row>1</xdr:row>
      <xdr:rowOff>297180</xdr:rowOff>
    </xdr:to>
    <xdr:pic>
      <xdr:nvPicPr>
        <xdr:cNvPr id="133496"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06680"/>
          <a:ext cx="3505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xdr:colOff>
      <xdr:row>7</xdr:row>
      <xdr:rowOff>144780</xdr:rowOff>
    </xdr:from>
    <xdr:to>
      <xdr:col>3</xdr:col>
      <xdr:colOff>266700</xdr:colOff>
      <xdr:row>8</xdr:row>
      <xdr:rowOff>152400</xdr:rowOff>
    </xdr:to>
    <xdr:grpSp>
      <xdr:nvGrpSpPr>
        <xdr:cNvPr id="133497" name="Group 67"/>
        <xdr:cNvGrpSpPr>
          <a:grpSpLocks/>
        </xdr:cNvGrpSpPr>
      </xdr:nvGrpSpPr>
      <xdr:grpSpPr bwMode="auto">
        <a:xfrm>
          <a:off x="91440" y="3213100"/>
          <a:ext cx="2024380" cy="363220"/>
          <a:chOff x="2" y="144"/>
          <a:chExt cx="209" cy="37"/>
        </a:xfrm>
      </xdr:grpSpPr>
      <xdr:grpSp>
        <xdr:nvGrpSpPr>
          <xdr:cNvPr id="133498" name="Group 68"/>
          <xdr:cNvGrpSpPr>
            <a:grpSpLocks/>
          </xdr:cNvGrpSpPr>
        </xdr:nvGrpSpPr>
        <xdr:grpSpPr bwMode="auto">
          <a:xfrm>
            <a:off x="2" y="152"/>
            <a:ext cx="200" cy="29"/>
            <a:chOff x="2" y="159"/>
            <a:chExt cx="200" cy="27"/>
          </a:xfrm>
        </xdr:grpSpPr>
        <xdr:sp macro="" textlink="">
          <xdr:nvSpPr>
            <xdr:cNvPr id="133501"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502"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3499"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3500"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election activeCell="B5" sqref="B5"/>
    </sheetView>
  </sheetViews>
  <sheetFormatPr defaultRowHeight="13.2"/>
  <cols>
    <col min="1" max="1" width="2.33203125" customWidth="1"/>
    <col min="2" max="2" width="15.6640625" customWidth="1"/>
  </cols>
  <sheetData>
    <row r="1" spans="1:23" ht="44.25" customHeight="1">
      <c r="A1" s="9"/>
      <c r="B1" s="9"/>
      <c r="D1" s="44"/>
      <c r="E1" s="132"/>
      <c r="G1" s="189"/>
      <c r="H1" s="9"/>
      <c r="I1" s="9"/>
      <c r="J1" s="9"/>
      <c r="K1" s="9"/>
      <c r="L1" s="252"/>
      <c r="M1" s="9"/>
      <c r="N1" s="9"/>
      <c r="O1" s="9"/>
      <c r="P1" s="9"/>
      <c r="Q1" s="9"/>
      <c r="R1" s="9"/>
      <c r="S1" s="9"/>
      <c r="T1" s="9"/>
      <c r="U1" s="9"/>
      <c r="V1" s="9"/>
      <c r="W1" s="9"/>
    </row>
    <row r="2" spans="1:23" ht="44.25" customHeight="1">
      <c r="A2" s="9"/>
      <c r="B2" s="9"/>
      <c r="D2" s="44"/>
      <c r="F2" s="44"/>
      <c r="G2" s="190" t="s">
        <v>63</v>
      </c>
      <c r="J2" s="9"/>
      <c r="K2" s="9"/>
      <c r="L2" s="9"/>
      <c r="M2" s="9"/>
      <c r="N2" s="9"/>
      <c r="O2" s="9"/>
      <c r="P2" s="9"/>
      <c r="Q2" s="9"/>
      <c r="R2" s="9"/>
      <c r="S2" s="9"/>
      <c r="T2" s="9"/>
      <c r="U2" s="9"/>
      <c r="V2" s="9"/>
      <c r="W2" s="9"/>
    </row>
    <row r="3" spans="1:23" ht="54.9" customHeight="1">
      <c r="A3" s="9"/>
      <c r="B3" s="9"/>
      <c r="D3" s="44"/>
      <c r="F3" s="133"/>
      <c r="I3" s="191" t="s">
        <v>62</v>
      </c>
      <c r="J3" s="9"/>
      <c r="K3" s="9"/>
      <c r="L3" s="9"/>
      <c r="M3" s="9"/>
      <c r="N3" s="9"/>
      <c r="O3" s="9"/>
      <c r="P3" s="9"/>
      <c r="Q3" s="9"/>
      <c r="R3" s="9"/>
      <c r="S3" s="9"/>
      <c r="T3" s="9"/>
      <c r="U3" s="9"/>
      <c r="V3" s="9"/>
      <c r="W3" s="9"/>
    </row>
    <row r="4" spans="1:23" ht="36" customHeight="1">
      <c r="A4" s="9"/>
      <c r="B4" s="9"/>
      <c r="D4" s="44"/>
      <c r="F4" s="133"/>
      <c r="G4" s="191"/>
      <c r="J4" s="9"/>
      <c r="L4" s="193" t="s">
        <v>107</v>
      </c>
      <c r="M4" s="9"/>
      <c r="N4" s="192"/>
      <c r="O4" s="9"/>
      <c r="Q4" s="9"/>
      <c r="R4" s="9"/>
      <c r="S4" s="9"/>
      <c r="T4" s="9"/>
      <c r="U4" s="9"/>
      <c r="V4" s="9"/>
      <c r="W4" s="9"/>
    </row>
    <row r="5" spans="1:23" ht="36" customHeight="1">
      <c r="A5" s="9"/>
      <c r="B5" s="9"/>
      <c r="D5" s="44"/>
      <c r="F5" s="133"/>
      <c r="G5" s="191"/>
      <c r="J5" s="9"/>
      <c r="L5" s="193" t="s">
        <v>127</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4"/>
      <c r="B7" s="134"/>
      <c r="C7" s="134"/>
      <c r="D7" s="134"/>
      <c r="E7" s="134"/>
      <c r="F7" s="134"/>
      <c r="G7" s="134"/>
      <c r="H7" s="134"/>
      <c r="I7" s="134"/>
      <c r="J7" s="134"/>
      <c r="K7" s="134"/>
      <c r="L7" s="134"/>
      <c r="M7" s="134"/>
      <c r="N7" s="134"/>
      <c r="O7" s="134"/>
      <c r="P7" s="134"/>
      <c r="Q7" s="134"/>
      <c r="R7" s="134"/>
      <c r="S7" s="134"/>
      <c r="T7" s="134"/>
      <c r="U7" s="134"/>
      <c r="V7" s="134"/>
      <c r="W7" s="134"/>
    </row>
    <row r="8" spans="1:23" ht="27.6">
      <c r="A8" s="122"/>
      <c r="B8" s="135" t="s">
        <v>28</v>
      </c>
      <c r="C8" s="122"/>
      <c r="D8" s="122"/>
      <c r="E8" s="122"/>
      <c r="F8" s="122"/>
      <c r="G8" s="122"/>
      <c r="H8" s="172"/>
      <c r="I8" s="122"/>
      <c r="J8" s="194" t="s">
        <v>72</v>
      </c>
      <c r="K8" s="172"/>
      <c r="L8" s="122"/>
      <c r="M8" s="122"/>
      <c r="N8" s="172"/>
      <c r="O8" s="172"/>
      <c r="P8" s="122"/>
      <c r="Q8" s="122"/>
      <c r="R8" s="122"/>
      <c r="S8" s="122"/>
      <c r="T8" s="122"/>
      <c r="U8" s="122"/>
      <c r="V8" s="122"/>
      <c r="W8" s="122"/>
    </row>
    <row r="9" spans="1:23" ht="15.6">
      <c r="A9" s="122"/>
      <c r="B9" s="122"/>
      <c r="C9" s="122"/>
      <c r="D9" s="122"/>
      <c r="E9" s="122"/>
      <c r="F9" s="122"/>
      <c r="G9" s="122"/>
      <c r="H9" s="172"/>
      <c r="I9" s="122"/>
      <c r="J9" s="173"/>
      <c r="K9" s="172"/>
      <c r="L9" s="122"/>
      <c r="M9" s="122"/>
      <c r="N9" s="122"/>
      <c r="O9" s="122"/>
      <c r="P9" s="122"/>
      <c r="Q9" s="122"/>
      <c r="R9" s="122"/>
      <c r="S9" s="122"/>
      <c r="T9" s="122"/>
      <c r="U9" s="122"/>
      <c r="V9" s="122"/>
      <c r="W9" s="122"/>
    </row>
    <row r="10" spans="1:23">
      <c r="A10" s="136"/>
      <c r="B10" s="136"/>
      <c r="C10" s="136"/>
      <c r="D10" s="136"/>
      <c r="E10" s="136"/>
      <c r="F10" s="136"/>
      <c r="G10" s="136"/>
      <c r="H10" s="136"/>
      <c r="I10" s="136"/>
      <c r="J10" s="136"/>
      <c r="K10" s="136"/>
      <c r="L10" s="136"/>
      <c r="M10" s="136"/>
      <c r="N10" s="136"/>
      <c r="O10" s="136"/>
      <c r="P10" s="136"/>
      <c r="Q10" s="136"/>
      <c r="R10" s="136"/>
      <c r="S10" s="136"/>
      <c r="T10" s="136"/>
      <c r="U10" s="136"/>
      <c r="V10" s="136"/>
      <c r="W10" s="136"/>
    </row>
    <row r="11" spans="1:23" ht="27"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1"/>
      <c r="D13" s="41"/>
      <c r="E13" s="41"/>
      <c r="F13" s="41"/>
      <c r="G13" s="41"/>
      <c r="H13" s="41"/>
      <c r="I13" s="41"/>
      <c r="J13" s="41"/>
      <c r="K13" s="41"/>
      <c r="L13" s="41"/>
      <c r="M13" s="9"/>
      <c r="N13" s="9"/>
      <c r="O13" s="9"/>
      <c r="P13" s="9"/>
      <c r="Q13" s="9"/>
      <c r="R13" s="9"/>
      <c r="S13" s="9"/>
      <c r="T13" s="9"/>
      <c r="U13" s="9"/>
      <c r="V13" s="9"/>
      <c r="W13" s="9"/>
    </row>
    <row r="14" spans="1:23" ht="15">
      <c r="A14" s="9"/>
      <c r="B14" s="9"/>
      <c r="C14" s="168" t="s">
        <v>43</v>
      </c>
      <c r="D14" s="41"/>
      <c r="E14" s="41"/>
      <c r="F14" s="41"/>
      <c r="G14" s="41"/>
      <c r="H14" s="41"/>
      <c r="I14" s="41"/>
      <c r="J14" s="41"/>
      <c r="K14" s="41"/>
      <c r="L14" s="41"/>
      <c r="M14" s="9"/>
      <c r="N14" s="9"/>
      <c r="O14" s="9"/>
      <c r="P14" s="9"/>
      <c r="Q14" s="9"/>
      <c r="R14" s="9"/>
      <c r="S14" s="9"/>
      <c r="T14" s="9"/>
      <c r="U14" s="9"/>
      <c r="V14" s="9"/>
      <c r="W14" s="9"/>
    </row>
    <row r="15" spans="1:23" ht="15">
      <c r="A15" s="9"/>
      <c r="B15" s="9"/>
      <c r="C15" s="168" t="s">
        <v>94</v>
      </c>
      <c r="D15" s="41"/>
      <c r="E15" s="41"/>
      <c r="F15" s="41"/>
      <c r="G15" s="41"/>
      <c r="H15" s="41"/>
      <c r="I15" s="41"/>
      <c r="J15" s="41"/>
      <c r="K15" s="41"/>
      <c r="L15" s="41"/>
      <c r="M15" s="9"/>
      <c r="N15" s="9"/>
      <c r="O15" s="9"/>
      <c r="P15" s="9"/>
      <c r="Q15" s="9"/>
      <c r="R15" s="9"/>
      <c r="S15" s="9"/>
      <c r="T15" s="9"/>
      <c r="U15" s="9"/>
      <c r="V15" s="9"/>
      <c r="W15" s="9"/>
    </row>
    <row r="16" spans="1:23" ht="15">
      <c r="A16" s="9"/>
      <c r="B16" s="9"/>
      <c r="C16" s="168"/>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C18" s="41"/>
      <c r="D18" s="41"/>
      <c r="E18" s="41"/>
      <c r="F18" s="41"/>
      <c r="G18" s="41"/>
      <c r="H18" s="41"/>
      <c r="I18" s="41"/>
      <c r="J18" s="41"/>
      <c r="K18" s="41"/>
      <c r="L18" s="41"/>
      <c r="M18" s="9"/>
      <c r="N18" s="9"/>
      <c r="O18" s="9"/>
      <c r="P18" s="9"/>
      <c r="Q18" s="9"/>
      <c r="R18" s="9"/>
      <c r="S18" s="9"/>
      <c r="T18" s="9"/>
      <c r="U18" s="9"/>
      <c r="V18" s="9"/>
      <c r="W18" s="9"/>
    </row>
    <row r="19" spans="1:23" ht="15">
      <c r="A19" s="9"/>
      <c r="B19" s="9"/>
      <c r="C19" s="41"/>
      <c r="D19" s="41"/>
      <c r="E19" s="41"/>
      <c r="F19" s="41"/>
      <c r="G19" s="41"/>
      <c r="H19" s="41"/>
      <c r="I19" s="41"/>
      <c r="J19" s="41"/>
      <c r="K19" s="41"/>
      <c r="L19" s="41"/>
      <c r="M19" s="9"/>
      <c r="N19" s="9"/>
      <c r="O19" s="9"/>
      <c r="P19" s="9"/>
      <c r="Q19" s="9"/>
      <c r="R19" s="9"/>
      <c r="S19" s="9"/>
      <c r="T19" s="9"/>
      <c r="U19" s="9"/>
      <c r="V19" s="9"/>
      <c r="W19" s="9"/>
    </row>
    <row r="20" spans="1:23" ht="15">
      <c r="A20" s="9"/>
      <c r="B20" s="9"/>
      <c r="C20" s="41"/>
      <c r="D20" s="41"/>
      <c r="E20" s="41"/>
      <c r="F20" s="41"/>
      <c r="G20" s="41"/>
      <c r="H20" s="41"/>
      <c r="I20" s="41"/>
      <c r="J20" s="41"/>
      <c r="K20" s="41"/>
      <c r="L20" s="41"/>
      <c r="M20" s="9"/>
      <c r="N20" s="9"/>
      <c r="O20" s="9"/>
      <c r="P20" s="9"/>
      <c r="Q20" s="9"/>
      <c r="R20" s="9"/>
      <c r="S20" s="9"/>
      <c r="T20" s="9"/>
      <c r="U20" s="9"/>
      <c r="V20" s="9"/>
      <c r="W20" s="9"/>
    </row>
    <row r="21" spans="1:23" ht="15">
      <c r="A21" s="9"/>
      <c r="B21" s="9"/>
      <c r="C21" s="41"/>
      <c r="D21" s="41"/>
      <c r="E21" s="41"/>
      <c r="F21" s="41"/>
      <c r="G21" s="41"/>
      <c r="H21" s="41"/>
      <c r="I21" s="41"/>
      <c r="J21" s="41"/>
      <c r="K21" s="41"/>
      <c r="L21" s="41"/>
      <c r="M21" s="9"/>
      <c r="N21" s="9"/>
      <c r="O21" s="9"/>
      <c r="P21" s="9"/>
      <c r="Q21" s="9"/>
      <c r="R21" s="9"/>
      <c r="S21" s="9"/>
      <c r="T21" s="9"/>
      <c r="U21" s="9"/>
      <c r="V21" s="9"/>
      <c r="W21" s="9"/>
    </row>
    <row r="22" spans="1:23" ht="15">
      <c r="A22" s="9"/>
      <c r="B22" s="9"/>
      <c r="C22" s="41"/>
      <c r="D22" s="41"/>
      <c r="E22" s="41"/>
      <c r="F22" s="41"/>
      <c r="G22" s="41"/>
      <c r="H22" s="41"/>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6">
      <c r="A25" s="9"/>
      <c r="B25" s="9"/>
      <c r="C25" s="304" t="s">
        <v>122</v>
      </c>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328" t="s">
        <v>123</v>
      </c>
      <c r="D27" s="329"/>
      <c r="E27" s="329"/>
      <c r="F27" s="328" t="s">
        <v>124</v>
      </c>
      <c r="G27" s="328"/>
      <c r="H27" s="328"/>
      <c r="I27" s="328"/>
      <c r="J27" s="328"/>
      <c r="K27" s="328"/>
      <c r="L27" s="328"/>
      <c r="M27" s="31"/>
      <c r="N27" s="31"/>
      <c r="O27" s="31"/>
      <c r="P27" s="31"/>
      <c r="Q27" s="31"/>
      <c r="R27" s="31"/>
      <c r="S27" s="31"/>
      <c r="T27" s="9"/>
      <c r="U27" s="9"/>
      <c r="V27" s="9"/>
      <c r="W27" s="9"/>
    </row>
    <row r="28" spans="1:23" ht="15">
      <c r="A28" s="9"/>
      <c r="B28" s="9"/>
      <c r="C28" s="330" t="s">
        <v>125</v>
      </c>
      <c r="F28" s="331" t="s">
        <v>126</v>
      </c>
      <c r="I28" s="41"/>
      <c r="J28" s="41"/>
      <c r="K28" s="41"/>
      <c r="L28" s="41"/>
      <c r="M28" s="9"/>
      <c r="N28" s="9"/>
      <c r="O28" s="9"/>
      <c r="P28" s="9"/>
      <c r="Q28" s="9"/>
      <c r="R28" s="9"/>
      <c r="S28" s="9"/>
      <c r="T28" s="9"/>
      <c r="U28" s="9"/>
      <c r="V28" s="9"/>
      <c r="W28" s="9"/>
    </row>
    <row r="29" spans="1:23" ht="15">
      <c r="A29" s="9"/>
      <c r="B29" s="9"/>
      <c r="C29" s="41"/>
      <c r="H29" s="41"/>
      <c r="I29" s="41"/>
      <c r="J29" s="41"/>
      <c r="K29" s="41"/>
      <c r="L29" s="41"/>
      <c r="M29" s="9"/>
      <c r="N29" s="9"/>
      <c r="O29" s="9"/>
      <c r="P29" s="9"/>
      <c r="Q29" s="9"/>
      <c r="R29" s="9"/>
      <c r="S29" s="9"/>
      <c r="T29" s="9"/>
      <c r="U29" s="9"/>
      <c r="V29" s="9"/>
      <c r="W29" s="9"/>
    </row>
    <row r="30" spans="1:23" ht="15">
      <c r="A30" s="9"/>
      <c r="B30" s="9"/>
      <c r="C30" s="41"/>
      <c r="N30" s="9"/>
      <c r="O30" s="9"/>
      <c r="P30" s="9"/>
      <c r="Q30" s="9"/>
      <c r="R30" s="9"/>
      <c r="S30" s="9"/>
      <c r="T30" s="9"/>
      <c r="U30" s="9"/>
      <c r="V30" s="9"/>
      <c r="W30" s="9"/>
    </row>
    <row r="31" spans="1:23" ht="15">
      <c r="A31" s="9"/>
      <c r="B31" s="9"/>
      <c r="C31" s="41"/>
      <c r="R31" s="9"/>
      <c r="S31" s="9"/>
      <c r="T31" s="9"/>
      <c r="U31" s="9"/>
      <c r="V31" s="9"/>
      <c r="W31" s="9"/>
    </row>
    <row r="32" spans="1:23" ht="15">
      <c r="A32" s="9"/>
      <c r="B32" s="9"/>
      <c r="C32" s="41"/>
      <c r="D32" s="6"/>
      <c r="E32" s="41"/>
      <c r="F32" s="41"/>
      <c r="G32" s="41"/>
      <c r="H32" s="41"/>
      <c r="I32" s="41"/>
      <c r="J32" s="41"/>
      <c r="K32" s="41"/>
      <c r="L32" s="41"/>
      <c r="M32" s="9"/>
      <c r="N32" s="9"/>
      <c r="O32" s="9"/>
      <c r="P32" s="9"/>
      <c r="Q32" s="9"/>
      <c r="R32" s="9"/>
      <c r="S32" s="9"/>
      <c r="T32" s="9"/>
      <c r="U32" s="9"/>
      <c r="V32" s="9"/>
      <c r="W32" s="9"/>
    </row>
    <row r="33" spans="1:23" ht="15">
      <c r="A33" s="9"/>
      <c r="B33" s="9"/>
      <c r="C33" s="41"/>
      <c r="D33" s="138"/>
      <c r="E33" s="41"/>
      <c r="F33" s="41"/>
      <c r="G33" s="41"/>
      <c r="H33" s="41"/>
      <c r="I33" s="41"/>
      <c r="J33" s="41"/>
      <c r="K33" s="41"/>
      <c r="L33" s="41"/>
      <c r="M33" s="9"/>
      <c r="N33" s="9"/>
      <c r="O33" s="9"/>
      <c r="P33" s="9"/>
      <c r="Q33" s="9"/>
      <c r="R33" s="9"/>
      <c r="S33" s="9"/>
      <c r="T33" s="9"/>
      <c r="U33" s="9"/>
      <c r="V33" s="9"/>
      <c r="W33" s="9"/>
    </row>
    <row r="34" spans="1:23" ht="13.8">
      <c r="A34" s="9"/>
      <c r="B34" s="9"/>
      <c r="C34" s="9"/>
      <c r="D34" s="138"/>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5"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9"/>
  <sheetViews>
    <sheetView zoomScale="85" zoomScaleNormal="85" workbookViewId="0">
      <selection activeCell="E29" sqref="E29"/>
    </sheetView>
  </sheetViews>
  <sheetFormatPr defaultColWidth="8.88671875" defaultRowHeight="13.2"/>
  <cols>
    <col min="1" max="1" width="8.88671875" style="339"/>
    <col min="2" max="2" width="25.6640625" style="339" bestFit="1" customWidth="1"/>
    <col min="3" max="16384" width="8.88671875" style="339"/>
  </cols>
  <sheetData>
    <row r="4" spans="2:3" s="337" customFormat="1">
      <c r="B4" s="337" t="s">
        <v>152</v>
      </c>
      <c r="C4" s="337" t="s">
        <v>154</v>
      </c>
    </row>
    <row r="5" spans="2:3">
      <c r="B5" s="339" t="s">
        <v>153</v>
      </c>
      <c r="C5" s="363" t="s">
        <v>185</v>
      </c>
    </row>
    <row r="6" spans="2:3" s="337" customFormat="1">
      <c r="B6" s="381" t="s">
        <v>155</v>
      </c>
      <c r="C6" s="337" t="s">
        <v>156</v>
      </c>
    </row>
    <row r="7" spans="2:3" s="337" customFormat="1">
      <c r="B7" s="381"/>
      <c r="C7" s="340" t="s">
        <v>157</v>
      </c>
    </row>
    <row r="8" spans="2:3" s="337" customFormat="1">
      <c r="B8" s="381"/>
      <c r="C8" s="340" t="s">
        <v>158</v>
      </c>
    </row>
    <row r="9" spans="2:3">
      <c r="B9" s="339" t="s">
        <v>170</v>
      </c>
      <c r="C9" s="339" t="s">
        <v>171</v>
      </c>
    </row>
  </sheetData>
  <mergeCells count="1">
    <mergeCell ref="B6: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B30" sqref="B30"/>
    </sheetView>
  </sheetViews>
  <sheetFormatPr defaultRowHeight="13.2"/>
  <cols>
    <col min="2" max="2" width="67.33203125" customWidth="1"/>
    <col min="3" max="7" width="10.5546875" customWidth="1"/>
  </cols>
  <sheetData>
    <row r="2" spans="2:7">
      <c r="B2" s="343" t="s">
        <v>167</v>
      </c>
    </row>
    <row r="4" spans="2:7">
      <c r="B4" s="344"/>
      <c r="C4" s="346" t="str">
        <f>Input!H40</f>
        <v>2009-10</v>
      </c>
      <c r="D4" s="346" t="str">
        <f>Input!I40</f>
        <v>2010-11</v>
      </c>
      <c r="E4" s="346" t="str">
        <f>Input!J40</f>
        <v>2011-12</v>
      </c>
      <c r="F4" s="346" t="str">
        <f>Input!K40</f>
        <v>2012-13</v>
      </c>
      <c r="G4" s="346" t="str">
        <f>Input!L40</f>
        <v>2013-14</v>
      </c>
    </row>
    <row r="5" spans="2:7">
      <c r="B5" t="s">
        <v>26</v>
      </c>
      <c r="C5" s="364">
        <f>'Actual RAB roll forward'!H469</f>
        <v>951.44464304669577</v>
      </c>
      <c r="D5" s="364">
        <f>'Actual RAB roll forward'!I469</f>
        <v>1068.6084014067494</v>
      </c>
      <c r="E5" s="364">
        <f>'Actual RAB roll forward'!J469</f>
        <v>1170.92621750375</v>
      </c>
      <c r="F5" s="364">
        <f>'Actual RAB roll forward'!K469</f>
        <v>1270.9804875868954</v>
      </c>
      <c r="G5" s="364">
        <f>'Actual RAB roll forward'!L469</f>
        <v>1335.4954732894739</v>
      </c>
    </row>
    <row r="6" spans="2:7">
      <c r="B6" t="s">
        <v>159</v>
      </c>
      <c r="C6" s="364">
        <f>'Actual RAB roll forward'!H501</f>
        <v>139.52653667813638</v>
      </c>
      <c r="D6" s="364">
        <f>'Actual RAB roll forward'!I501</f>
        <v>121.08376390295061</v>
      </c>
      <c r="E6" s="364">
        <f>'Actual RAB roll forward'!J501</f>
        <v>131.1856399581313</v>
      </c>
      <c r="F6" s="364">
        <f>'Actual RAB roll forward'!K501</f>
        <v>89.049251090831746</v>
      </c>
      <c r="G6" s="364">
        <f>'Actual RAB roll forward'!L501</f>
        <v>91.395275282769177</v>
      </c>
    </row>
    <row r="7" spans="2:7">
      <c r="B7" t="s">
        <v>160</v>
      </c>
      <c r="C7" s="364">
        <f>'Actual RAB roll forward'!H695</f>
        <v>27.478545647557979</v>
      </c>
      <c r="D7" s="364">
        <f>'Actual RAB roll forward'!I695</f>
        <v>35.620280046891509</v>
      </c>
      <c r="E7" s="364">
        <f>'Actual RAB roll forward'!J695</f>
        <v>18.554575036845112</v>
      </c>
      <c r="F7" s="364">
        <f>'Actual RAB roll forward'!K695</f>
        <v>31.806318508180542</v>
      </c>
      <c r="G7" s="364">
        <f>'Actual RAB roll forward'!L695</f>
        <v>33.387386832236842</v>
      </c>
    </row>
    <row r="8" spans="2:7">
      <c r="B8" t="s">
        <v>161</v>
      </c>
      <c r="C8" s="364">
        <f>'Actual RAB roll forward'!H663</f>
        <v>-49.841323965641273</v>
      </c>
      <c r="D8" s="364">
        <f>'Actual RAB roll forward'!I663</f>
        <v>-54.386227852841152</v>
      </c>
      <c r="E8" s="364">
        <f>'Actual RAB roll forward'!J663</f>
        <v>-49.685944911831363</v>
      </c>
      <c r="F8" s="364">
        <f>'Actual RAB roll forward'!K663</f>
        <v>-56.340583896433607</v>
      </c>
      <c r="G8" s="364">
        <f>'Actual RAB roll forward'!L663</f>
        <v>-62.374854266850761</v>
      </c>
    </row>
    <row r="9" spans="2:7">
      <c r="B9" s="344" t="s">
        <v>162</v>
      </c>
      <c r="C9" s="365">
        <f t="shared" ref="C9:G9" si="0">SUM(C5:C8)</f>
        <v>1068.6084014067487</v>
      </c>
      <c r="D9" s="365">
        <f t="shared" si="0"/>
        <v>1170.9262175037504</v>
      </c>
      <c r="E9" s="365">
        <f t="shared" si="0"/>
        <v>1270.9804875868952</v>
      </c>
      <c r="F9" s="365">
        <f t="shared" si="0"/>
        <v>1335.4954732894741</v>
      </c>
      <c r="G9" s="365">
        <f t="shared" si="0"/>
        <v>1397.9032811376294</v>
      </c>
    </row>
    <row r="10" spans="2:7">
      <c r="B10" t="s">
        <v>168</v>
      </c>
      <c r="C10" s="364"/>
      <c r="D10" s="364"/>
      <c r="E10" s="364"/>
      <c r="F10" s="364"/>
      <c r="G10" s="368">
        <f>'Adjustment for previous period'!G75</f>
        <v>-12.423265146332945</v>
      </c>
    </row>
    <row r="11" spans="2:7">
      <c r="B11" t="s">
        <v>172</v>
      </c>
      <c r="C11" s="364"/>
      <c r="D11" s="364"/>
      <c r="E11" s="364"/>
      <c r="F11" s="364"/>
      <c r="G11" s="368">
        <f>'Adjustment for previous period'!L168</f>
        <v>-7.6718379813846225</v>
      </c>
    </row>
    <row r="12" spans="2:7">
      <c r="B12" t="s">
        <v>173</v>
      </c>
      <c r="C12" s="364"/>
      <c r="D12" s="364"/>
      <c r="E12" s="364"/>
      <c r="F12" s="364"/>
      <c r="G12" s="368">
        <f>'Adjustment for previous period'!G236</f>
        <v>24.129486977356919</v>
      </c>
    </row>
    <row r="13" spans="2:7">
      <c r="B13" t="s">
        <v>163</v>
      </c>
      <c r="C13" s="364"/>
      <c r="D13" s="364"/>
      <c r="E13" s="364"/>
      <c r="F13" s="364"/>
      <c r="G13" s="368">
        <f>'Adjustment for previous period'!L329</f>
        <v>14.900874486998678</v>
      </c>
    </row>
    <row r="14" spans="2:7" ht="13.8" thickBot="1">
      <c r="B14" s="345" t="s">
        <v>174</v>
      </c>
      <c r="C14" s="366"/>
      <c r="D14" s="366"/>
      <c r="E14" s="366"/>
      <c r="F14" s="366"/>
      <c r="G14" s="366">
        <f>G5+G6+G7+G8+G10+G11+G12+G13</f>
        <v>1416.8385394742672</v>
      </c>
    </row>
    <row r="15" spans="2:7">
      <c r="C15" s="364"/>
      <c r="D15" s="364"/>
      <c r="E15" s="364"/>
      <c r="F15" s="364"/>
      <c r="G15" s="364"/>
    </row>
    <row r="16" spans="2:7">
      <c r="B16" s="343" t="s">
        <v>169</v>
      </c>
      <c r="C16" s="364"/>
      <c r="D16" s="364"/>
      <c r="E16" s="364"/>
      <c r="F16" s="364"/>
      <c r="G16" s="364"/>
    </row>
    <row r="17" spans="2:7">
      <c r="C17" s="364"/>
      <c r="D17" s="364"/>
      <c r="E17" s="364"/>
      <c r="F17" s="364"/>
      <c r="G17" s="364"/>
    </row>
    <row r="18" spans="2:7">
      <c r="B18" s="344"/>
      <c r="C18" s="367" t="str">
        <f>C4</f>
        <v>2009-10</v>
      </c>
      <c r="D18" s="367" t="str">
        <f t="shared" ref="D18:G18" si="1">D4</f>
        <v>2010-11</v>
      </c>
      <c r="E18" s="367" t="str">
        <f t="shared" si="1"/>
        <v>2011-12</v>
      </c>
      <c r="F18" s="367" t="str">
        <f t="shared" si="1"/>
        <v>2012-13</v>
      </c>
      <c r="G18" s="367" t="str">
        <f t="shared" si="1"/>
        <v>2013-14</v>
      </c>
    </row>
    <row r="19" spans="2:7">
      <c r="B19" t="s">
        <v>164</v>
      </c>
      <c r="C19" s="364">
        <f>'Tax value roll forward'!H7</f>
        <v>777.51956594412695</v>
      </c>
      <c r="D19" s="364">
        <f>'Tax value roll forward'!I7</f>
        <v>784.0661295929707</v>
      </c>
      <c r="E19" s="364">
        <f>'Tax value roll forward'!J7</f>
        <v>959.05052616445346</v>
      </c>
      <c r="F19" s="364">
        <f>'Tax value roll forward'!K7</f>
        <v>1023.4129666752722</v>
      </c>
      <c r="G19" s="364">
        <f>'Tax value roll forward'!L7</f>
        <v>1064.4317733487071</v>
      </c>
    </row>
    <row r="20" spans="2:7">
      <c r="B20" t="s">
        <v>159</v>
      </c>
      <c r="C20" s="364">
        <f>'Tax value roll forward'!H39</f>
        <v>50.294350244027697</v>
      </c>
      <c r="D20" s="364">
        <f>'Tax value roll forward'!I39</f>
        <v>221.59399999999999</v>
      </c>
      <c r="E20" s="364">
        <f>'Tax value roll forward'!J39</f>
        <v>105.264</v>
      </c>
      <c r="F20" s="364">
        <f>'Tax value roll forward'!K39</f>
        <v>87.210000000000008</v>
      </c>
      <c r="G20" s="364">
        <f>'Tax value roll forward'!L39</f>
        <v>118.73933353238878</v>
      </c>
    </row>
    <row r="21" spans="2:7">
      <c r="B21" t="s">
        <v>165</v>
      </c>
      <c r="C21" s="364">
        <f>'Tax value roll forward'!H71</f>
        <v>-43.747786595183861</v>
      </c>
      <c r="D21" s="364">
        <f>'Tax value roll forward'!I71</f>
        <v>-46.609603428517204</v>
      </c>
      <c r="E21" s="364">
        <f>'Tax value roll forward'!J71</f>
        <v>-40.901559489181111</v>
      </c>
      <c r="F21" s="364">
        <f>'Tax value roll forward'!K71</f>
        <v>-46.191193326565305</v>
      </c>
      <c r="G21" s="364">
        <f>'Tax value roll forward'!L71</f>
        <v>-50.492023882120826</v>
      </c>
    </row>
    <row r="22" spans="2:7">
      <c r="B22" s="344" t="s">
        <v>166</v>
      </c>
      <c r="C22" s="365">
        <f>SUM(C19:C21)</f>
        <v>784.06612959297081</v>
      </c>
      <c r="D22" s="365">
        <f>SUM(D19:D21)</f>
        <v>959.05052616445346</v>
      </c>
      <c r="E22" s="365">
        <f>SUM(E19:E21)</f>
        <v>1023.4129666752723</v>
      </c>
      <c r="F22" s="365">
        <f>SUM(F19:F21)</f>
        <v>1064.4317733487069</v>
      </c>
      <c r="G22" s="365">
        <f>SUM(G19:G21)</f>
        <v>1132.6790829989752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70"/>
  <sheetViews>
    <sheetView tabSelected="1" topLeftCell="A190" zoomScale="75" zoomScaleNormal="75" workbookViewId="0">
      <selection activeCell="H260" sqref="H260"/>
    </sheetView>
  </sheetViews>
  <sheetFormatPr defaultRowHeight="13.2" outlineLevelRow="1"/>
  <cols>
    <col min="1" max="4" width="1" customWidth="1"/>
    <col min="5" max="5" width="0.88671875" style="3" customWidth="1"/>
    <col min="6" max="6" width="38.6640625" customWidth="1"/>
    <col min="7" max="7" width="15.5546875" customWidth="1"/>
    <col min="8" max="8" width="12.109375" style="2" bestFit="1" customWidth="1"/>
    <col min="9" max="9" width="11.88671875" style="4" customWidth="1"/>
    <col min="10" max="10" width="12.44140625" customWidth="1"/>
    <col min="11" max="11" width="11.88671875" customWidth="1"/>
    <col min="12" max="12" width="12.6640625" customWidth="1"/>
    <col min="13" max="13" width="13.109375" customWidth="1"/>
    <col min="14" max="14" width="13.5546875" customWidth="1"/>
    <col min="15" max="15" width="12.6640625" customWidth="1"/>
    <col min="16" max="16" width="11.88671875" customWidth="1"/>
    <col min="17" max="17" width="14" customWidth="1"/>
    <col min="18" max="18" width="14.109375" customWidth="1"/>
    <col min="19" max="21" width="13.109375" customWidth="1"/>
    <col min="22" max="22" width="11.88671875" customWidth="1"/>
    <col min="23" max="23" width="12.6640625" customWidth="1"/>
    <col min="24" max="24" width="11.88671875" customWidth="1"/>
    <col min="25" max="25" width="11.109375" bestFit="1" customWidth="1"/>
    <col min="26" max="26" width="11.5546875" bestFit="1" customWidth="1"/>
    <col min="27" max="27" width="11.5546875" style="7" bestFit="1" customWidth="1"/>
    <col min="28" max="28" width="12.33203125" customWidth="1"/>
    <col min="29" max="29" width="12" customWidth="1"/>
    <col min="30" max="30" width="10.44140625" customWidth="1"/>
    <col min="33" max="33" width="11.33203125" customWidth="1"/>
    <col min="34" max="34" width="14.33203125" customWidth="1"/>
    <col min="35" max="35" width="12.109375" customWidth="1"/>
    <col min="36" max="36" width="13.109375" customWidth="1"/>
    <col min="37" max="37" width="14.5546875" customWidth="1"/>
    <col min="38" max="38" width="13.33203125" customWidth="1"/>
  </cols>
  <sheetData>
    <row r="1" spans="1:47">
      <c r="A1" s="12"/>
      <c r="B1" s="12"/>
      <c r="C1" s="12"/>
      <c r="D1" s="12"/>
      <c r="E1" s="12"/>
      <c r="F1" s="52"/>
      <c r="G1" s="52"/>
      <c r="H1" s="52"/>
      <c r="I1" s="52"/>
      <c r="J1" s="52"/>
      <c r="K1" s="52"/>
      <c r="L1" s="52"/>
      <c r="M1" s="52"/>
      <c r="N1" s="52"/>
      <c r="O1" s="52"/>
      <c r="P1" s="52"/>
      <c r="Q1" s="52"/>
      <c r="R1" s="52"/>
      <c r="S1" s="52"/>
      <c r="T1" s="52"/>
      <c r="U1" s="52"/>
      <c r="V1" s="52"/>
      <c r="W1" s="52"/>
      <c r="X1" s="52"/>
      <c r="Y1" s="9"/>
      <c r="Z1" s="9"/>
      <c r="AA1" s="19"/>
      <c r="AB1" s="9"/>
      <c r="AC1" s="9"/>
      <c r="AD1" s="9"/>
      <c r="AE1" s="204"/>
      <c r="AF1" s="204"/>
      <c r="AG1" s="204"/>
      <c r="AH1" s="204"/>
      <c r="AI1" s="204"/>
      <c r="AJ1" s="204"/>
      <c r="AK1" s="204"/>
      <c r="AL1" s="204"/>
      <c r="AM1" s="204"/>
      <c r="AN1" s="204"/>
      <c r="AO1" s="204"/>
      <c r="AP1" s="204"/>
      <c r="AQ1" s="204"/>
      <c r="AR1" s="204"/>
      <c r="AS1" s="204"/>
      <c r="AT1" s="204"/>
      <c r="AU1" s="204"/>
    </row>
    <row r="2" spans="1:47" ht="16.5" customHeight="1">
      <c r="A2" s="12"/>
      <c r="B2" s="12"/>
      <c r="C2" s="12"/>
      <c r="D2" s="12"/>
      <c r="E2" s="12"/>
      <c r="F2" s="54" t="str">
        <f>"Input Variables - RFM "&amp;Intro!L4</f>
        <v>Input Variables - RFM Version: 2.0</v>
      </c>
      <c r="G2" s="385" t="s">
        <v>74</v>
      </c>
      <c r="H2" s="386"/>
      <c r="I2" s="52"/>
      <c r="J2" s="360"/>
      <c r="K2" s="361" t="s">
        <v>184</v>
      </c>
      <c r="L2" s="360"/>
      <c r="M2" s="52"/>
      <c r="N2" s="52"/>
      <c r="O2" s="52"/>
      <c r="P2" s="52"/>
      <c r="Q2" s="52"/>
      <c r="R2" s="52"/>
      <c r="S2" s="52"/>
      <c r="T2" s="52"/>
      <c r="U2" s="52"/>
      <c r="V2" s="52"/>
      <c r="W2" s="52"/>
      <c r="X2" s="19"/>
      <c r="Y2" s="19"/>
      <c r="Z2" s="19"/>
      <c r="AA2" s="19"/>
      <c r="AB2" s="9"/>
      <c r="AC2" s="9"/>
      <c r="AD2" s="9"/>
      <c r="AE2" s="204"/>
      <c r="AF2" s="204"/>
      <c r="AG2" s="204"/>
      <c r="AH2" s="204"/>
      <c r="AI2" s="204"/>
      <c r="AJ2" s="204"/>
      <c r="AK2" s="204"/>
      <c r="AL2" s="204"/>
      <c r="AM2" s="204"/>
      <c r="AN2" s="204"/>
      <c r="AO2" s="204"/>
      <c r="AP2" s="204"/>
      <c r="AQ2" s="204"/>
      <c r="AR2" s="204"/>
      <c r="AS2" s="204"/>
      <c r="AT2" s="204"/>
      <c r="AU2" s="204"/>
    </row>
    <row r="3" spans="1:47" s="49" customFormat="1">
      <c r="A3" s="56"/>
      <c r="B3" s="56"/>
      <c r="C3" s="56"/>
      <c r="D3" s="56"/>
      <c r="E3" s="56"/>
      <c r="F3" s="57"/>
      <c r="G3" s="57"/>
      <c r="H3" s="56"/>
      <c r="I3" s="56"/>
      <c r="J3" s="56"/>
      <c r="K3" s="56"/>
      <c r="L3" s="56"/>
      <c r="M3" s="56"/>
      <c r="N3" s="56"/>
      <c r="O3" s="56"/>
      <c r="P3" s="56"/>
      <c r="Q3" s="56"/>
      <c r="R3" s="56"/>
      <c r="S3" s="56"/>
      <c r="T3" s="56"/>
      <c r="U3" s="56"/>
      <c r="V3" s="56"/>
      <c r="W3" s="56"/>
      <c r="X3" s="55"/>
      <c r="Y3" s="55"/>
      <c r="Z3" s="55"/>
      <c r="AA3" s="55"/>
      <c r="AB3" s="44"/>
      <c r="AC3" s="44"/>
      <c r="AD3" s="44"/>
      <c r="AE3" s="218"/>
      <c r="AF3" s="218"/>
      <c r="AG3" s="218"/>
      <c r="AH3" s="218"/>
      <c r="AI3" s="218"/>
      <c r="AJ3" s="218"/>
      <c r="AK3" s="218"/>
      <c r="AL3" s="218"/>
      <c r="AM3" s="218"/>
      <c r="AN3" s="218"/>
      <c r="AO3" s="218"/>
      <c r="AP3" s="218"/>
      <c r="AQ3" s="218"/>
      <c r="AR3" s="218"/>
      <c r="AS3" s="218"/>
      <c r="AT3" s="218"/>
      <c r="AU3" s="218"/>
    </row>
    <row r="4" spans="1:47" s="6" customFormat="1" ht="15.6">
      <c r="A4" s="74"/>
      <c r="B4" s="74"/>
      <c r="C4" s="74"/>
      <c r="D4" s="74"/>
      <c r="E4" s="74"/>
      <c r="F4" s="75"/>
      <c r="G4" s="75"/>
      <c r="H4" s="76"/>
      <c r="I4" s="77"/>
      <c r="J4" s="75"/>
      <c r="K4" s="74"/>
      <c r="L4" s="74"/>
      <c r="M4" s="74"/>
      <c r="N4" s="74"/>
      <c r="O4" s="74"/>
      <c r="P4" s="74"/>
      <c r="Q4" s="74"/>
      <c r="R4" s="74"/>
      <c r="S4" s="74"/>
      <c r="T4" s="74"/>
      <c r="U4" s="74"/>
      <c r="V4" s="74"/>
      <c r="W4" s="74"/>
      <c r="X4" s="40"/>
      <c r="Y4" s="40"/>
      <c r="Z4" s="40"/>
      <c r="AA4" s="40"/>
      <c r="AB4" s="41"/>
      <c r="AC4" s="41"/>
      <c r="AD4" s="41"/>
      <c r="AE4" s="242"/>
      <c r="AF4" s="242"/>
      <c r="AG4" s="347" t="s">
        <v>177</v>
      </c>
      <c r="AH4" s="347"/>
      <c r="AI4" s="347"/>
      <c r="AJ4" s="347"/>
      <c r="AK4" s="347"/>
      <c r="AL4" s="242"/>
      <c r="AM4" s="242"/>
      <c r="AN4" s="242"/>
      <c r="AO4" s="242"/>
      <c r="AP4" s="242"/>
      <c r="AQ4" s="242"/>
      <c r="AR4" s="242"/>
      <c r="AS4" s="242"/>
      <c r="AT4" s="242"/>
      <c r="AU4" s="242"/>
    </row>
    <row r="5" spans="1:47">
      <c r="A5" s="78"/>
      <c r="B5" s="78"/>
      <c r="C5" s="78"/>
      <c r="D5" s="78"/>
      <c r="E5" s="78"/>
      <c r="F5" s="382" t="str">
        <f>"Opening Regulatory Asset Base for "&amp;CONCATENATE(LEFT(V7, 4)-1 &amp;"-" &amp;IF(V7&gt;"2009-10",,"0") &amp;RIGHT(V7,2)-1) &amp;" and Opening Tax Asset Base for "&amp;V7&amp;" ($m Nominal)"</f>
        <v>Opening Regulatory Asset Base for 2008-09 and Opening Tax Asset Base for 2009-10 ($m Nominal)</v>
      </c>
      <c r="G5" s="382"/>
      <c r="H5" s="382"/>
      <c r="I5" s="382"/>
      <c r="J5" s="382"/>
      <c r="K5" s="382"/>
      <c r="L5" s="79"/>
      <c r="M5" s="80"/>
      <c r="N5" s="79"/>
      <c r="O5" s="79"/>
      <c r="P5" s="79"/>
      <c r="Q5" s="79"/>
      <c r="R5" s="79"/>
      <c r="S5" s="79"/>
      <c r="T5" s="79"/>
      <c r="U5" s="79"/>
      <c r="V5" s="80"/>
      <c r="W5" s="80"/>
      <c r="X5" s="8"/>
      <c r="Y5" s="8"/>
      <c r="Z5" s="8"/>
      <c r="AA5" s="8"/>
      <c r="AB5" s="42"/>
      <c r="AC5" s="9"/>
      <c r="AD5" s="9"/>
      <c r="AE5" s="204"/>
      <c r="AF5" s="204"/>
      <c r="AG5" s="348" t="s">
        <v>175</v>
      </c>
      <c r="AH5" s="349"/>
      <c r="AI5" s="349"/>
      <c r="AJ5" s="348" t="s">
        <v>176</v>
      </c>
      <c r="AK5" s="349"/>
      <c r="AL5" s="204"/>
      <c r="AM5" s="204"/>
      <c r="AN5" s="204"/>
      <c r="AO5" s="204"/>
      <c r="AP5" s="204"/>
      <c r="AQ5" s="204"/>
      <c r="AR5" s="204"/>
      <c r="AS5" s="204"/>
      <c r="AT5" s="204"/>
      <c r="AU5" s="204"/>
    </row>
    <row r="6" spans="1:47" ht="84" customHeight="1">
      <c r="A6" s="12"/>
      <c r="B6" s="12"/>
      <c r="C6" s="12"/>
      <c r="D6" s="12"/>
      <c r="E6" s="12"/>
      <c r="F6" s="37"/>
      <c r="G6" s="387" t="s">
        <v>82</v>
      </c>
      <c r="H6" s="387"/>
      <c r="I6" s="387"/>
      <c r="J6" s="11" t="s">
        <v>2</v>
      </c>
      <c r="K6" s="10" t="s">
        <v>99</v>
      </c>
      <c r="L6" s="10" t="s">
        <v>92</v>
      </c>
      <c r="M6" s="10" t="s">
        <v>75</v>
      </c>
      <c r="N6" s="10" t="s">
        <v>70</v>
      </c>
      <c r="O6" s="10" t="s">
        <v>45</v>
      </c>
      <c r="P6" s="10" t="s">
        <v>59</v>
      </c>
      <c r="Q6" s="10" t="s">
        <v>46</v>
      </c>
      <c r="R6" s="10" t="s">
        <v>47</v>
      </c>
      <c r="S6" s="10" t="s">
        <v>110</v>
      </c>
      <c r="T6" s="10" t="s">
        <v>100</v>
      </c>
      <c r="U6" s="10" t="s">
        <v>91</v>
      </c>
      <c r="V6" s="10" t="s">
        <v>21</v>
      </c>
      <c r="W6" s="10" t="s">
        <v>93</v>
      </c>
      <c r="X6" s="8"/>
      <c r="Y6" s="8"/>
      <c r="Z6" s="9"/>
      <c r="AA6" s="9"/>
      <c r="AB6" s="9"/>
      <c r="AC6" s="9"/>
      <c r="AD6" s="9"/>
      <c r="AE6" s="204"/>
      <c r="AF6" s="204"/>
      <c r="AG6" s="350" t="s">
        <v>178</v>
      </c>
      <c r="AH6" s="350" t="s">
        <v>180</v>
      </c>
      <c r="AI6" s="350" t="s">
        <v>181</v>
      </c>
      <c r="AJ6" s="350" t="s">
        <v>179</v>
      </c>
      <c r="AK6" s="350" t="s">
        <v>182</v>
      </c>
      <c r="AM6" s="204"/>
      <c r="AN6" s="204"/>
      <c r="AO6" s="204"/>
      <c r="AP6" s="204"/>
      <c r="AQ6" s="204"/>
      <c r="AR6" s="204"/>
      <c r="AS6" s="204"/>
      <c r="AT6" s="204"/>
      <c r="AU6" s="204"/>
    </row>
    <row r="7" spans="1:47">
      <c r="A7" s="12"/>
      <c r="B7" s="12"/>
      <c r="C7" s="12"/>
      <c r="D7" s="12"/>
      <c r="E7" s="12"/>
      <c r="F7" s="177" t="s">
        <v>0</v>
      </c>
      <c r="G7" s="388" t="s">
        <v>128</v>
      </c>
      <c r="H7" s="389"/>
      <c r="I7" s="389"/>
      <c r="J7" s="67">
        <v>301.73003727544352</v>
      </c>
      <c r="K7" s="63">
        <v>21.038908294264232</v>
      </c>
      <c r="L7" s="64">
        <v>60</v>
      </c>
      <c r="M7" s="352">
        <f>AH7</f>
        <v>3.4044998441965704</v>
      </c>
      <c r="N7" s="65">
        <v>6.5708704093471146</v>
      </c>
      <c r="O7" s="352">
        <f>AK7</f>
        <v>-6.670889526632461</v>
      </c>
      <c r="P7" s="65">
        <v>1.8023162780666071</v>
      </c>
      <c r="Q7" s="355"/>
      <c r="R7" s="355"/>
      <c r="S7" s="67">
        <v>253.27952508129081</v>
      </c>
      <c r="T7" s="64">
        <v>21.473736546935687</v>
      </c>
      <c r="U7" s="64">
        <v>60</v>
      </c>
      <c r="V7" s="131" t="s">
        <v>151</v>
      </c>
      <c r="W7" s="64">
        <v>5</v>
      </c>
      <c r="X7" s="8"/>
      <c r="Y7" s="8"/>
      <c r="Z7" s="9"/>
      <c r="AA7" s="9"/>
      <c r="AB7" s="9"/>
      <c r="AC7" s="9"/>
      <c r="AD7" s="9"/>
      <c r="AE7" s="204"/>
      <c r="AF7" s="204"/>
      <c r="AG7" s="351">
        <v>11.39279971902428</v>
      </c>
      <c r="AH7" s="351">
        <v>3.4044998441965704</v>
      </c>
      <c r="AI7" s="351">
        <v>-7.9882998748277103</v>
      </c>
      <c r="AJ7" s="351">
        <v>-14.659189401460171</v>
      </c>
      <c r="AK7" s="351">
        <f t="shared" ref="AK7:AK15" si="0">AJ7-AI7</f>
        <v>-6.670889526632461</v>
      </c>
      <c r="AM7" s="204"/>
      <c r="AN7" s="204"/>
      <c r="AO7" s="204"/>
      <c r="AP7" s="204"/>
      <c r="AQ7" s="204"/>
      <c r="AR7" s="204"/>
      <c r="AS7" s="204"/>
      <c r="AT7" s="204"/>
      <c r="AU7" s="204"/>
    </row>
    <row r="8" spans="1:47">
      <c r="A8" s="12"/>
      <c r="B8" s="12"/>
      <c r="C8" s="12"/>
      <c r="D8" s="12"/>
      <c r="E8" s="12"/>
      <c r="F8" s="177" t="s">
        <v>1</v>
      </c>
      <c r="G8" s="383" t="s">
        <v>129</v>
      </c>
      <c r="H8" s="384"/>
      <c r="I8" s="384"/>
      <c r="J8" s="68">
        <v>360.43130612945083</v>
      </c>
      <c r="K8" s="47">
        <v>28.153743705440963</v>
      </c>
      <c r="L8" s="47">
        <v>50</v>
      </c>
      <c r="M8" s="341">
        <f>AH8</f>
        <v>62.450138395488089</v>
      </c>
      <c r="N8" s="66">
        <v>4.6151674774377103</v>
      </c>
      <c r="O8" s="341">
        <f>AK8</f>
        <v>-24.619744597623882</v>
      </c>
      <c r="P8" s="66">
        <v>-2.0600227695986688</v>
      </c>
      <c r="Q8" s="356"/>
      <c r="R8" s="356"/>
      <c r="S8" s="66">
        <v>348.19400574491374</v>
      </c>
      <c r="T8" s="47">
        <v>28.760916344933783</v>
      </c>
      <c r="U8" s="47">
        <v>50</v>
      </c>
      <c r="V8" s="8"/>
      <c r="W8" s="8"/>
      <c r="X8" s="8"/>
      <c r="Y8" s="8"/>
      <c r="Z8" s="9"/>
      <c r="AA8" s="9"/>
      <c r="AB8" s="9"/>
      <c r="AC8" s="9"/>
      <c r="AD8" s="9"/>
      <c r="AE8" s="204"/>
      <c r="AF8" s="204"/>
      <c r="AG8" s="351">
        <v>16.540461282456004</v>
      </c>
      <c r="AH8" s="351">
        <v>62.450138395488089</v>
      </c>
      <c r="AI8" s="351">
        <v>45.909677113032089</v>
      </c>
      <c r="AJ8" s="351">
        <v>21.289932515408207</v>
      </c>
      <c r="AK8" s="351">
        <f t="shared" si="0"/>
        <v>-24.619744597623882</v>
      </c>
      <c r="AM8" s="204"/>
      <c r="AN8" s="204"/>
      <c r="AO8" s="204"/>
      <c r="AP8" s="204"/>
      <c r="AQ8" s="204"/>
      <c r="AR8" s="204"/>
      <c r="AS8" s="204"/>
      <c r="AT8" s="204"/>
      <c r="AU8" s="204"/>
    </row>
    <row r="9" spans="1:47">
      <c r="A9" s="12"/>
      <c r="B9" s="12"/>
      <c r="C9" s="12"/>
      <c r="D9" s="12"/>
      <c r="E9" s="12"/>
      <c r="F9" s="177" t="s">
        <v>4</v>
      </c>
      <c r="G9" s="383" t="s">
        <v>130</v>
      </c>
      <c r="H9" s="384"/>
      <c r="I9" s="384"/>
      <c r="J9" s="68">
        <v>38.883000464697361</v>
      </c>
      <c r="K9" s="47">
        <v>8.5850508862110857</v>
      </c>
      <c r="L9" s="51">
        <v>15</v>
      </c>
      <c r="M9" s="341">
        <f t="shared" ref="M9:M15" si="1">AH9</f>
        <v>9.4118856801581483</v>
      </c>
      <c r="N9" s="66">
        <v>5.514909320251248</v>
      </c>
      <c r="O9" s="341">
        <f t="shared" ref="O9:O15" si="2">AK9</f>
        <v>8.0081413556646659</v>
      </c>
      <c r="P9" s="66">
        <v>-0.94185138279832004</v>
      </c>
      <c r="Q9" s="356"/>
      <c r="R9" s="356"/>
      <c r="S9" s="66">
        <v>46.576933521104841</v>
      </c>
      <c r="T9" s="51">
        <v>8.7748316813933567</v>
      </c>
      <c r="U9" s="51">
        <v>15</v>
      </c>
      <c r="V9" s="8"/>
      <c r="W9" s="8"/>
      <c r="X9" s="8"/>
      <c r="Y9" s="8"/>
      <c r="Z9" s="9"/>
      <c r="AA9" s="9"/>
      <c r="AB9" s="9"/>
      <c r="AC9" s="9"/>
      <c r="AD9" s="9"/>
      <c r="AE9" s="204"/>
      <c r="AF9" s="204"/>
      <c r="AG9" s="351">
        <v>5.006478645043198</v>
      </c>
      <c r="AH9" s="351">
        <v>9.4118856801581483</v>
      </c>
      <c r="AI9" s="351">
        <v>4.4054070351149504</v>
      </c>
      <c r="AJ9" s="351">
        <v>12.413548390779617</v>
      </c>
      <c r="AK9" s="351">
        <f t="shared" si="0"/>
        <v>8.0081413556646659</v>
      </c>
      <c r="AM9" s="204"/>
      <c r="AN9" s="204"/>
      <c r="AO9" s="204"/>
      <c r="AP9" s="204"/>
      <c r="AQ9" s="204"/>
      <c r="AR9" s="204"/>
      <c r="AS9" s="204"/>
      <c r="AT9" s="204"/>
      <c r="AU9" s="204"/>
    </row>
    <row r="10" spans="1:47">
      <c r="A10" s="12"/>
      <c r="B10" s="12"/>
      <c r="C10" s="12"/>
      <c r="D10" s="12"/>
      <c r="E10" s="12"/>
      <c r="F10" s="177" t="s">
        <v>5</v>
      </c>
      <c r="G10" s="383" t="s">
        <v>131</v>
      </c>
      <c r="H10" s="384"/>
      <c r="I10" s="384"/>
      <c r="J10" s="68">
        <v>44.713904308731671</v>
      </c>
      <c r="K10" s="47">
        <v>10.015849712246874</v>
      </c>
      <c r="L10" s="51">
        <v>15</v>
      </c>
      <c r="M10" s="341">
        <f t="shared" si="1"/>
        <v>0</v>
      </c>
      <c r="N10" s="66">
        <v>3.1271970408972707</v>
      </c>
      <c r="O10" s="341">
        <f t="shared" si="2"/>
        <v>-15.141625906629972</v>
      </c>
      <c r="P10" s="66">
        <v>-3.779957175596103</v>
      </c>
      <c r="Q10" s="357"/>
      <c r="R10" s="357"/>
      <c r="S10" s="66">
        <v>22.450144020096239</v>
      </c>
      <c r="T10" s="51">
        <v>10.043050438328853</v>
      </c>
      <c r="U10" s="51">
        <v>15</v>
      </c>
      <c r="V10" s="8"/>
      <c r="W10" s="8"/>
      <c r="X10" s="8"/>
      <c r="Y10" s="8"/>
      <c r="Z10" s="9"/>
      <c r="AA10" s="9"/>
      <c r="AB10" s="9"/>
      <c r="AC10" s="9"/>
      <c r="AD10" s="9"/>
      <c r="AE10" s="204"/>
      <c r="AF10" s="204"/>
      <c r="AG10" s="351">
        <v>3.5681776639600677</v>
      </c>
      <c r="AH10" s="351">
        <v>0</v>
      </c>
      <c r="AI10" s="351">
        <v>-3.5681776639600677</v>
      </c>
      <c r="AJ10" s="351">
        <v>-18.70980357059004</v>
      </c>
      <c r="AK10" s="351">
        <f t="shared" si="0"/>
        <v>-15.141625906629972</v>
      </c>
      <c r="AM10" s="204"/>
      <c r="AN10" s="204"/>
      <c r="AO10" s="204"/>
      <c r="AP10" s="204"/>
      <c r="AQ10" s="204"/>
      <c r="AR10" s="204"/>
      <c r="AS10" s="204"/>
      <c r="AT10" s="204"/>
      <c r="AU10" s="204"/>
    </row>
    <row r="11" spans="1:47">
      <c r="A11" s="12"/>
      <c r="B11" s="12"/>
      <c r="C11" s="12"/>
      <c r="D11" s="12"/>
      <c r="E11" s="12"/>
      <c r="F11" s="177" t="s">
        <v>6</v>
      </c>
      <c r="G11" s="383" t="s">
        <v>132</v>
      </c>
      <c r="H11" s="384"/>
      <c r="I11" s="384"/>
      <c r="J11" s="68">
        <v>12.072309662925591</v>
      </c>
      <c r="K11" s="47">
        <v>5.2729384546838123</v>
      </c>
      <c r="L11" s="51" t="s">
        <v>20</v>
      </c>
      <c r="M11" s="341">
        <f t="shared" si="1"/>
        <v>0</v>
      </c>
      <c r="N11" s="66">
        <v>1.6357162905502329</v>
      </c>
      <c r="O11" s="341">
        <f t="shared" si="2"/>
        <v>-0.4872756071361764</v>
      </c>
      <c r="P11" s="66">
        <v>0</v>
      </c>
      <c r="Q11" s="357"/>
      <c r="R11" s="357"/>
      <c r="S11" s="66">
        <v>8.2417774902089569</v>
      </c>
      <c r="T11" s="51">
        <v>5.2705910098018567</v>
      </c>
      <c r="U11" s="51" t="s">
        <v>20</v>
      </c>
      <c r="V11" s="8"/>
      <c r="W11" s="8"/>
      <c r="X11" s="8"/>
      <c r="Y11" s="8"/>
      <c r="Z11" s="9"/>
      <c r="AA11" s="9"/>
      <c r="AB11" s="9"/>
      <c r="AC11" s="9"/>
      <c r="AD11" s="9"/>
      <c r="AE11" s="204"/>
      <c r="AF11" s="204"/>
      <c r="AG11" s="351">
        <v>0</v>
      </c>
      <c r="AH11" s="351">
        <v>0</v>
      </c>
      <c r="AI11" s="351">
        <v>0</v>
      </c>
      <c r="AJ11" s="351">
        <v>-0.4872756071361764</v>
      </c>
      <c r="AK11" s="351">
        <f t="shared" si="0"/>
        <v>-0.4872756071361764</v>
      </c>
      <c r="AM11" s="204"/>
      <c r="AN11" s="204"/>
      <c r="AO11" s="204"/>
      <c r="AP11" s="204"/>
      <c r="AQ11" s="204"/>
      <c r="AR11" s="204"/>
      <c r="AS11" s="204"/>
      <c r="AT11" s="204"/>
      <c r="AU11" s="204"/>
    </row>
    <row r="12" spans="1:47">
      <c r="A12" s="12"/>
      <c r="B12" s="12"/>
      <c r="C12" s="12"/>
      <c r="D12" s="12"/>
      <c r="E12" s="12"/>
      <c r="F12" s="177" t="s">
        <v>7</v>
      </c>
      <c r="G12" s="383" t="s">
        <v>133</v>
      </c>
      <c r="H12" s="384"/>
      <c r="I12" s="384"/>
      <c r="J12" s="68">
        <v>0.58752110984938422</v>
      </c>
      <c r="K12" s="47">
        <v>2</v>
      </c>
      <c r="L12" s="51">
        <v>3</v>
      </c>
      <c r="M12" s="341">
        <f t="shared" si="1"/>
        <v>4.7021850436574333</v>
      </c>
      <c r="N12" s="66">
        <v>1.3605739922335367</v>
      </c>
      <c r="O12" s="341">
        <f t="shared" si="2"/>
        <v>18.655537634766787</v>
      </c>
      <c r="P12" s="66">
        <v>0.53659365359905431</v>
      </c>
      <c r="Q12" s="357"/>
      <c r="R12" s="357"/>
      <c r="S12" s="66">
        <v>22.591003434227723</v>
      </c>
      <c r="T12" s="51">
        <v>2</v>
      </c>
      <c r="U12" s="51">
        <v>3</v>
      </c>
      <c r="V12" s="8"/>
      <c r="W12" s="8"/>
      <c r="X12" s="8"/>
      <c r="Y12" s="8"/>
      <c r="Z12" s="9"/>
      <c r="AA12" s="9"/>
      <c r="AB12" s="9"/>
      <c r="AC12" s="9"/>
      <c r="AD12" s="9"/>
      <c r="AE12" s="204"/>
      <c r="AF12" s="204"/>
      <c r="AG12" s="351">
        <v>3.0166818890048797</v>
      </c>
      <c r="AH12" s="351">
        <v>4.7021850436574333</v>
      </c>
      <c r="AI12" s="351">
        <v>1.6855031546525536</v>
      </c>
      <c r="AJ12" s="351">
        <v>20.341040789419342</v>
      </c>
      <c r="AK12" s="351">
        <f t="shared" si="0"/>
        <v>18.655537634766787</v>
      </c>
      <c r="AM12" s="204"/>
      <c r="AN12" s="204"/>
      <c r="AO12" s="204"/>
      <c r="AP12" s="204"/>
      <c r="AQ12" s="204"/>
      <c r="AR12" s="204"/>
      <c r="AS12" s="204"/>
      <c r="AT12" s="204"/>
      <c r="AU12" s="204"/>
    </row>
    <row r="13" spans="1:47">
      <c r="A13" s="12"/>
      <c r="B13" s="12"/>
      <c r="C13" s="12"/>
      <c r="D13" s="12"/>
      <c r="E13" s="12"/>
      <c r="F13" s="177" t="s">
        <v>8</v>
      </c>
      <c r="G13" s="383" t="s">
        <v>134</v>
      </c>
      <c r="H13" s="384"/>
      <c r="I13" s="384"/>
      <c r="J13" s="68">
        <v>2.5195490511140073</v>
      </c>
      <c r="K13" s="47">
        <v>3</v>
      </c>
      <c r="L13" s="51">
        <v>5</v>
      </c>
      <c r="M13" s="341">
        <f t="shared" si="1"/>
        <v>0</v>
      </c>
      <c r="N13" s="66">
        <v>1.4546996008642703</v>
      </c>
      <c r="O13" s="341">
        <f t="shared" si="2"/>
        <v>-4.3670255217504392</v>
      </c>
      <c r="P13" s="66">
        <v>-0.6870561688414184</v>
      </c>
      <c r="Q13" s="358"/>
      <c r="R13" s="358"/>
      <c r="S13" s="66">
        <v>-3.4376431788191883</v>
      </c>
      <c r="T13" s="51">
        <v>3</v>
      </c>
      <c r="U13" s="51">
        <v>5</v>
      </c>
      <c r="V13" s="8"/>
      <c r="W13" s="8"/>
      <c r="X13" s="8"/>
      <c r="Y13" s="8"/>
      <c r="Z13" s="9"/>
      <c r="AA13" s="9"/>
      <c r="AB13" s="9"/>
      <c r="AC13" s="9"/>
      <c r="AD13" s="9"/>
      <c r="AE13" s="204"/>
      <c r="AF13" s="204"/>
      <c r="AG13" s="351">
        <v>0.40369490726719781</v>
      </c>
      <c r="AH13" s="351">
        <v>0</v>
      </c>
      <c r="AI13" s="351">
        <v>-0.40369490726719781</v>
      </c>
      <c r="AJ13" s="351">
        <v>-4.7707204290176373</v>
      </c>
      <c r="AK13" s="351">
        <f t="shared" si="0"/>
        <v>-4.3670255217504392</v>
      </c>
      <c r="AM13" s="204"/>
      <c r="AN13" s="204"/>
      <c r="AO13" s="204"/>
      <c r="AP13" s="204"/>
      <c r="AQ13" s="204"/>
      <c r="AR13" s="204"/>
      <c r="AS13" s="204"/>
      <c r="AT13" s="204"/>
      <c r="AU13" s="204"/>
    </row>
    <row r="14" spans="1:47">
      <c r="A14" s="12"/>
      <c r="B14" s="12"/>
      <c r="C14" s="12"/>
      <c r="D14" s="12"/>
      <c r="E14" s="12"/>
      <c r="F14" s="177" t="s">
        <v>9</v>
      </c>
      <c r="G14" s="383" t="s">
        <v>135</v>
      </c>
      <c r="H14" s="384"/>
      <c r="I14" s="384"/>
      <c r="J14" s="68">
        <v>6.5807877703110798</v>
      </c>
      <c r="K14" s="47">
        <v>36.241279046673355</v>
      </c>
      <c r="L14" s="51">
        <v>40</v>
      </c>
      <c r="M14" s="341">
        <f t="shared" si="1"/>
        <v>3.149271747091551</v>
      </c>
      <c r="N14" s="66">
        <v>2.9632298603983503E-2</v>
      </c>
      <c r="O14" s="341">
        <f t="shared" si="2"/>
        <v>12.501824253719461</v>
      </c>
      <c r="P14" s="66">
        <v>-0.94861976687876493</v>
      </c>
      <c r="Q14" s="357"/>
      <c r="R14" s="357"/>
      <c r="S14" s="66">
        <v>21.40564465446683</v>
      </c>
      <c r="T14" s="51">
        <v>36.300373214891799</v>
      </c>
      <c r="U14" s="51">
        <v>40</v>
      </c>
      <c r="V14" s="8"/>
      <c r="W14" s="8"/>
      <c r="X14" s="8"/>
      <c r="Y14" s="8"/>
      <c r="Z14" s="9"/>
      <c r="AA14" s="9"/>
      <c r="AB14" s="9"/>
      <c r="AC14" s="9"/>
      <c r="AD14" s="9"/>
      <c r="AE14" s="204"/>
      <c r="AF14" s="204"/>
      <c r="AG14" s="351">
        <v>0.11029915499103764</v>
      </c>
      <c r="AH14" s="351">
        <v>3.149271747091551</v>
      </c>
      <c r="AI14" s="351">
        <v>3.0389725921005133</v>
      </c>
      <c r="AJ14" s="351">
        <v>15.540796845819974</v>
      </c>
      <c r="AK14" s="351">
        <f t="shared" si="0"/>
        <v>12.501824253719461</v>
      </c>
      <c r="AM14" s="204"/>
      <c r="AN14" s="204"/>
      <c r="AO14" s="204"/>
      <c r="AP14" s="204"/>
      <c r="AQ14" s="204"/>
      <c r="AR14" s="204"/>
      <c r="AS14" s="204"/>
      <c r="AT14" s="204"/>
      <c r="AU14" s="204"/>
    </row>
    <row r="15" spans="1:47">
      <c r="A15" s="12"/>
      <c r="B15" s="12"/>
      <c r="C15" s="12"/>
      <c r="D15" s="12"/>
      <c r="E15" s="12"/>
      <c r="F15" s="177" t="s">
        <v>10</v>
      </c>
      <c r="G15" s="383" t="s">
        <v>136</v>
      </c>
      <c r="H15" s="384"/>
      <c r="I15" s="384"/>
      <c r="J15" s="68">
        <v>82.96373443163202</v>
      </c>
      <c r="K15" s="47" t="s">
        <v>20</v>
      </c>
      <c r="L15" s="51" t="s">
        <v>20</v>
      </c>
      <c r="M15" s="341">
        <f t="shared" si="1"/>
        <v>1.0673675182676838E-2</v>
      </c>
      <c r="N15" s="66">
        <v>-2.0459613916555419</v>
      </c>
      <c r="O15" s="341">
        <f t="shared" si="2"/>
        <v>2.7927826556419029</v>
      </c>
      <c r="P15" s="66">
        <v>0.18915208732360167</v>
      </c>
      <c r="Q15" s="357"/>
      <c r="R15" s="357"/>
      <c r="S15" s="66">
        <v>74.779829562411351</v>
      </c>
      <c r="T15" s="51" t="s">
        <v>20</v>
      </c>
      <c r="U15" s="51" t="s">
        <v>20</v>
      </c>
      <c r="V15" s="8"/>
      <c r="W15" s="8"/>
      <c r="X15" s="8"/>
      <c r="Y15" s="8"/>
      <c r="Z15" s="9"/>
      <c r="AA15" s="9"/>
      <c r="AB15" s="9"/>
      <c r="AC15" s="9"/>
      <c r="AD15" s="9"/>
      <c r="AE15" s="204"/>
      <c r="AF15" s="204"/>
      <c r="AG15" s="351">
        <v>0</v>
      </c>
      <c r="AH15" s="351">
        <v>1.0673675182676838E-2</v>
      </c>
      <c r="AI15" s="351">
        <v>1.0673675182676838E-2</v>
      </c>
      <c r="AJ15" s="351">
        <v>2.8034563308245799</v>
      </c>
      <c r="AK15" s="351">
        <f t="shared" si="0"/>
        <v>2.7927826556419029</v>
      </c>
      <c r="AM15" s="204"/>
      <c r="AN15" s="204"/>
      <c r="AO15" s="204"/>
      <c r="AP15" s="204"/>
      <c r="AQ15" s="204"/>
      <c r="AR15" s="204"/>
      <c r="AS15" s="204"/>
      <c r="AT15" s="204"/>
      <c r="AU15" s="204"/>
    </row>
    <row r="16" spans="1:47">
      <c r="A16" s="12"/>
      <c r="B16" s="12"/>
      <c r="C16" s="12"/>
      <c r="D16" s="12"/>
      <c r="E16" s="12"/>
      <c r="F16" s="177" t="s">
        <v>11</v>
      </c>
      <c r="G16" s="383" t="s">
        <v>137</v>
      </c>
      <c r="H16" s="384"/>
      <c r="I16" s="384"/>
      <c r="J16" s="68"/>
      <c r="K16" s="47" t="s">
        <v>20</v>
      </c>
      <c r="L16" s="51">
        <v>60</v>
      </c>
      <c r="M16" s="66"/>
      <c r="N16" s="66"/>
      <c r="O16" s="66"/>
      <c r="P16" s="66"/>
      <c r="Q16" s="66">
        <v>27.66680798284586</v>
      </c>
      <c r="R16" s="66">
        <v>33.39834688412833</v>
      </c>
      <c r="S16" s="66"/>
      <c r="T16" s="51" t="s">
        <v>20</v>
      </c>
      <c r="U16" s="51">
        <v>60</v>
      </c>
      <c r="V16" s="8"/>
      <c r="W16" s="8"/>
      <c r="X16" s="8"/>
      <c r="Y16" s="8"/>
      <c r="Z16" s="9"/>
      <c r="AA16" s="9"/>
      <c r="AB16" s="9"/>
      <c r="AC16" s="9"/>
      <c r="AD16" s="9"/>
      <c r="AE16" s="204"/>
      <c r="AF16" s="204"/>
      <c r="AG16" s="349"/>
      <c r="AH16" s="349"/>
      <c r="AI16" s="349"/>
      <c r="AJ16" s="349"/>
      <c r="AK16" s="349"/>
      <c r="AM16" s="204"/>
      <c r="AN16" s="204"/>
      <c r="AO16" s="204"/>
      <c r="AP16" s="204"/>
      <c r="AQ16" s="204"/>
      <c r="AR16" s="204"/>
      <c r="AS16" s="204"/>
      <c r="AT16" s="204"/>
      <c r="AU16" s="204"/>
    </row>
    <row r="17" spans="1:47">
      <c r="A17" s="12"/>
      <c r="B17" s="12"/>
      <c r="C17" s="12"/>
      <c r="D17" s="12"/>
      <c r="E17" s="12"/>
      <c r="F17" s="177" t="s">
        <v>12</v>
      </c>
      <c r="G17" s="383" t="s">
        <v>138</v>
      </c>
      <c r="H17" s="384"/>
      <c r="I17" s="384"/>
      <c r="J17" s="68"/>
      <c r="K17" s="47" t="s">
        <v>20</v>
      </c>
      <c r="L17" s="51">
        <v>45</v>
      </c>
      <c r="M17" s="66"/>
      <c r="N17" s="66"/>
      <c r="O17" s="66"/>
      <c r="P17" s="66"/>
      <c r="Q17" s="66">
        <v>0.7908975054500671</v>
      </c>
      <c r="R17" s="66">
        <v>0.73664926595652891</v>
      </c>
      <c r="S17" s="66"/>
      <c r="T17" s="51" t="s">
        <v>20</v>
      </c>
      <c r="U17" s="51">
        <v>45</v>
      </c>
      <c r="V17" s="8"/>
      <c r="W17" s="8"/>
      <c r="X17" s="8"/>
      <c r="Y17" s="8"/>
      <c r="Z17" s="9"/>
      <c r="AA17" s="9"/>
      <c r="AB17" s="9"/>
      <c r="AC17" s="9"/>
      <c r="AD17" s="9"/>
      <c r="AE17" s="204"/>
      <c r="AF17" s="204"/>
      <c r="AG17" s="349"/>
      <c r="AH17" s="349"/>
      <c r="AI17" s="349"/>
      <c r="AJ17" s="349"/>
      <c r="AK17" s="349"/>
      <c r="AM17" s="204"/>
      <c r="AN17" s="204"/>
      <c r="AO17" s="204"/>
      <c r="AP17" s="204"/>
      <c r="AQ17" s="204"/>
      <c r="AR17" s="204"/>
      <c r="AS17" s="204"/>
      <c r="AT17" s="204"/>
      <c r="AU17" s="204"/>
    </row>
    <row r="18" spans="1:47">
      <c r="A18" s="12"/>
      <c r="B18" s="12"/>
      <c r="C18" s="12"/>
      <c r="D18" s="12"/>
      <c r="E18" s="12"/>
      <c r="F18" s="177" t="s">
        <v>13</v>
      </c>
      <c r="G18" s="383" t="s">
        <v>139</v>
      </c>
      <c r="H18" s="384"/>
      <c r="I18" s="384"/>
      <c r="J18" s="68"/>
      <c r="K18" s="47" t="s">
        <v>20</v>
      </c>
      <c r="L18" s="51">
        <v>10</v>
      </c>
      <c r="M18" s="66"/>
      <c r="N18" s="66"/>
      <c r="O18" s="66"/>
      <c r="P18" s="66"/>
      <c r="Q18" s="66">
        <v>2.0824479126873228</v>
      </c>
      <c r="R18" s="66">
        <v>2.5716952947173697</v>
      </c>
      <c r="S18" s="66"/>
      <c r="T18" s="51" t="s">
        <v>20</v>
      </c>
      <c r="U18" s="51">
        <v>10</v>
      </c>
      <c r="V18" s="8"/>
      <c r="W18" s="8"/>
      <c r="X18" s="8"/>
      <c r="Y18" s="8"/>
      <c r="Z18" s="9"/>
      <c r="AA18" s="9"/>
      <c r="AB18" s="9"/>
      <c r="AC18" s="9"/>
      <c r="AD18" s="9"/>
      <c r="AE18" s="204"/>
      <c r="AF18" s="204"/>
      <c r="AG18" s="349"/>
      <c r="AH18" s="349"/>
      <c r="AI18" s="349"/>
      <c r="AJ18" s="349"/>
      <c r="AK18" s="349"/>
      <c r="AM18" s="204"/>
      <c r="AN18" s="204"/>
      <c r="AO18" s="204"/>
      <c r="AP18" s="204"/>
      <c r="AQ18" s="204"/>
      <c r="AR18" s="204"/>
      <c r="AS18" s="204"/>
      <c r="AT18" s="204"/>
      <c r="AU18" s="204"/>
    </row>
    <row r="19" spans="1:47">
      <c r="A19" s="12"/>
      <c r="B19" s="12"/>
      <c r="C19" s="12"/>
      <c r="D19" s="12"/>
      <c r="E19" s="12"/>
      <c r="F19" s="177" t="s">
        <v>14</v>
      </c>
      <c r="G19" s="383" t="s">
        <v>140</v>
      </c>
      <c r="H19" s="384"/>
      <c r="I19" s="384"/>
      <c r="J19" s="68"/>
      <c r="K19" s="47" t="s">
        <v>20</v>
      </c>
      <c r="L19" s="51">
        <v>60</v>
      </c>
      <c r="M19" s="66"/>
      <c r="N19" s="66"/>
      <c r="O19" s="66"/>
      <c r="P19" s="66"/>
      <c r="Q19" s="66">
        <v>3.63820723960978</v>
      </c>
      <c r="R19" s="66">
        <v>5.3260645854020403</v>
      </c>
      <c r="S19" s="66"/>
      <c r="T19" s="51" t="s">
        <v>20</v>
      </c>
      <c r="U19" s="51">
        <v>60</v>
      </c>
      <c r="V19" s="8"/>
      <c r="W19" s="8"/>
      <c r="X19" s="8"/>
      <c r="Y19" s="8"/>
      <c r="Z19" s="9"/>
      <c r="AA19" s="9"/>
      <c r="AB19" s="9"/>
      <c r="AC19" s="9"/>
      <c r="AD19" s="9"/>
      <c r="AE19" s="204"/>
      <c r="AF19" s="204"/>
      <c r="AG19" s="349"/>
      <c r="AH19" s="349"/>
      <c r="AI19" s="349"/>
      <c r="AJ19" s="349"/>
      <c r="AK19" s="349"/>
      <c r="AM19" s="204"/>
      <c r="AN19" s="204"/>
      <c r="AO19" s="204"/>
      <c r="AP19" s="204"/>
      <c r="AQ19" s="204"/>
      <c r="AR19" s="204"/>
      <c r="AS19" s="204"/>
      <c r="AT19" s="204"/>
      <c r="AU19" s="204"/>
    </row>
    <row r="20" spans="1:47">
      <c r="A20" s="12"/>
      <c r="B20" s="12"/>
      <c r="C20" s="12"/>
      <c r="D20" s="12"/>
      <c r="E20" s="12"/>
      <c r="F20" s="177" t="s">
        <v>15</v>
      </c>
      <c r="G20" s="383" t="s">
        <v>141</v>
      </c>
      <c r="H20" s="384"/>
      <c r="I20" s="384"/>
      <c r="J20" s="68"/>
      <c r="K20" s="47" t="s">
        <v>20</v>
      </c>
      <c r="L20" s="51">
        <v>45</v>
      </c>
      <c r="M20" s="66"/>
      <c r="N20" s="66"/>
      <c r="O20" s="66"/>
      <c r="P20" s="66"/>
      <c r="Q20" s="66">
        <v>9.1604921113680948</v>
      </c>
      <c r="R20" s="66">
        <v>14.68558736494631</v>
      </c>
      <c r="S20" s="66"/>
      <c r="T20" s="51" t="s">
        <v>20</v>
      </c>
      <c r="U20" s="51">
        <v>45</v>
      </c>
      <c r="V20" s="8"/>
      <c r="W20" s="8"/>
      <c r="X20" s="8"/>
      <c r="Y20" s="8"/>
      <c r="Z20" s="9"/>
      <c r="AA20" s="9"/>
      <c r="AB20" s="9"/>
      <c r="AC20" s="9"/>
      <c r="AD20" s="9"/>
      <c r="AE20" s="204"/>
      <c r="AF20" s="204"/>
      <c r="AG20" s="349"/>
      <c r="AH20" s="349"/>
      <c r="AI20" s="349"/>
      <c r="AJ20" s="349"/>
      <c r="AK20" s="349"/>
      <c r="AM20" s="204"/>
      <c r="AN20" s="204"/>
      <c r="AO20" s="204"/>
      <c r="AP20" s="204"/>
      <c r="AQ20" s="204"/>
      <c r="AR20" s="204"/>
      <c r="AS20" s="204"/>
      <c r="AT20" s="204"/>
      <c r="AU20" s="204"/>
    </row>
    <row r="21" spans="1:47">
      <c r="A21" s="12"/>
      <c r="B21" s="12"/>
      <c r="C21" s="12"/>
      <c r="D21" s="12"/>
      <c r="E21" s="12"/>
      <c r="F21" s="177" t="s">
        <v>16</v>
      </c>
      <c r="G21" s="383" t="s">
        <v>142</v>
      </c>
      <c r="H21" s="384"/>
      <c r="I21" s="384"/>
      <c r="J21" s="68"/>
      <c r="K21" s="47" t="s">
        <v>20</v>
      </c>
      <c r="L21" s="51">
        <v>15</v>
      </c>
      <c r="M21" s="66"/>
      <c r="N21" s="66"/>
      <c r="O21" s="66"/>
      <c r="P21" s="66"/>
      <c r="Q21" s="66">
        <v>0.36737337230990852</v>
      </c>
      <c r="R21" s="66">
        <v>6.3546941466582112</v>
      </c>
      <c r="S21" s="66"/>
      <c r="T21" s="51" t="s">
        <v>20</v>
      </c>
      <c r="U21" s="51">
        <v>15</v>
      </c>
      <c r="V21" s="8"/>
      <c r="W21" s="8"/>
      <c r="X21" s="8"/>
      <c r="Y21" s="8"/>
      <c r="Z21" s="9"/>
      <c r="AA21" s="9"/>
      <c r="AB21" s="9"/>
      <c r="AC21" s="9"/>
      <c r="AD21" s="9"/>
      <c r="AE21" s="204"/>
      <c r="AF21" s="204"/>
      <c r="AG21" s="349"/>
      <c r="AH21" s="349"/>
      <c r="AI21" s="349"/>
      <c r="AJ21" s="349"/>
      <c r="AK21" s="349"/>
      <c r="AM21" s="204"/>
      <c r="AN21" s="204"/>
      <c r="AO21" s="204"/>
      <c r="AP21" s="204"/>
      <c r="AQ21" s="204"/>
      <c r="AR21" s="204"/>
      <c r="AS21" s="204"/>
      <c r="AT21" s="204"/>
      <c r="AU21" s="204"/>
    </row>
    <row r="22" spans="1:47">
      <c r="A22" s="12"/>
      <c r="B22" s="12"/>
      <c r="C22" s="12"/>
      <c r="D22" s="12"/>
      <c r="E22" s="12"/>
      <c r="F22" s="177" t="s">
        <v>17</v>
      </c>
      <c r="G22" s="383" t="s">
        <v>143</v>
      </c>
      <c r="H22" s="384"/>
      <c r="I22" s="384"/>
      <c r="J22" s="68"/>
      <c r="K22" s="47" t="s">
        <v>20</v>
      </c>
      <c r="L22" s="51">
        <v>15</v>
      </c>
      <c r="M22" s="66"/>
      <c r="N22" s="66"/>
      <c r="O22" s="66"/>
      <c r="P22" s="66"/>
      <c r="Q22" s="66">
        <v>4.0917857999755638</v>
      </c>
      <c r="R22" s="66">
        <v>6.6842485505711879</v>
      </c>
      <c r="S22" s="66"/>
      <c r="T22" s="51" t="s">
        <v>20</v>
      </c>
      <c r="U22" s="51">
        <v>15</v>
      </c>
      <c r="V22" s="8"/>
      <c r="W22" s="8"/>
      <c r="X22" s="8"/>
      <c r="Y22" s="8"/>
      <c r="Z22" s="9"/>
      <c r="AA22" s="9"/>
      <c r="AB22" s="9"/>
      <c r="AC22" s="9"/>
      <c r="AD22" s="9"/>
      <c r="AE22" s="204"/>
      <c r="AF22" s="204"/>
      <c r="AG22" s="349"/>
      <c r="AH22" s="349"/>
      <c r="AI22" s="349"/>
      <c r="AJ22" s="349"/>
      <c r="AK22" s="349"/>
      <c r="AM22" s="204"/>
      <c r="AN22" s="204"/>
      <c r="AO22" s="204"/>
      <c r="AP22" s="204"/>
      <c r="AQ22" s="204"/>
      <c r="AR22" s="204"/>
      <c r="AS22" s="204"/>
      <c r="AT22" s="204"/>
      <c r="AU22" s="204"/>
    </row>
    <row r="23" spans="1:47">
      <c r="A23" s="12"/>
      <c r="B23" s="12"/>
      <c r="C23" s="12"/>
      <c r="D23" s="12"/>
      <c r="E23" s="12"/>
      <c r="F23" s="311" t="s">
        <v>18</v>
      </c>
      <c r="G23" s="383" t="s">
        <v>144</v>
      </c>
      <c r="H23" s="384"/>
      <c r="I23" s="384"/>
      <c r="J23" s="68"/>
      <c r="K23" s="47" t="s">
        <v>20</v>
      </c>
      <c r="L23" s="51">
        <v>4</v>
      </c>
      <c r="M23" s="66"/>
      <c r="N23" s="66"/>
      <c r="O23" s="66"/>
      <c r="P23" s="66"/>
      <c r="Q23" s="66">
        <v>0</v>
      </c>
      <c r="R23" s="66">
        <v>4.1475454707502295E-2</v>
      </c>
      <c r="S23" s="66"/>
      <c r="T23" s="51" t="s">
        <v>20</v>
      </c>
      <c r="U23" s="51">
        <v>4</v>
      </c>
      <c r="V23" s="8"/>
      <c r="W23" s="8"/>
      <c r="X23" s="8"/>
      <c r="Y23" s="8"/>
      <c r="Z23" s="9"/>
      <c r="AA23" s="9"/>
      <c r="AB23" s="9"/>
      <c r="AC23" s="9"/>
      <c r="AD23" s="9"/>
      <c r="AE23" s="204"/>
      <c r="AF23" s="204"/>
      <c r="AG23" s="349"/>
      <c r="AH23" s="349"/>
      <c r="AI23" s="349"/>
      <c r="AJ23" s="349"/>
      <c r="AK23" s="349"/>
      <c r="AM23" s="204"/>
      <c r="AN23" s="204"/>
      <c r="AO23" s="204"/>
      <c r="AP23" s="204"/>
      <c r="AQ23" s="204"/>
      <c r="AR23" s="204"/>
      <c r="AS23" s="204"/>
      <c r="AT23" s="204"/>
      <c r="AU23" s="204"/>
    </row>
    <row r="24" spans="1:47">
      <c r="A24" s="12"/>
      <c r="B24" s="12"/>
      <c r="C24" s="12"/>
      <c r="D24" s="12"/>
      <c r="E24" s="12"/>
      <c r="F24" s="311" t="s">
        <v>22</v>
      </c>
      <c r="G24" s="383" t="s">
        <v>145</v>
      </c>
      <c r="H24" s="384"/>
      <c r="I24" s="384"/>
      <c r="J24" s="68"/>
      <c r="K24" s="47" t="s">
        <v>20</v>
      </c>
      <c r="L24" s="51">
        <v>10</v>
      </c>
      <c r="M24" s="66"/>
      <c r="N24" s="66"/>
      <c r="O24" s="66"/>
      <c r="P24" s="66"/>
      <c r="Q24" s="66">
        <v>0</v>
      </c>
      <c r="R24" s="66">
        <v>1.0438800209506713</v>
      </c>
      <c r="S24" s="66"/>
      <c r="T24" s="51" t="s">
        <v>20</v>
      </c>
      <c r="U24" s="51">
        <v>10</v>
      </c>
      <c r="V24" s="8"/>
      <c r="W24" s="8"/>
      <c r="X24" s="8"/>
      <c r="Y24" s="8"/>
      <c r="Z24" s="9"/>
      <c r="AA24" s="9"/>
      <c r="AB24" s="9"/>
      <c r="AC24" s="9"/>
      <c r="AD24" s="9"/>
      <c r="AE24" s="204"/>
      <c r="AF24" s="204"/>
      <c r="AG24" s="349"/>
      <c r="AH24" s="349"/>
      <c r="AI24" s="349"/>
      <c r="AJ24" s="349"/>
      <c r="AK24" s="349"/>
      <c r="AM24" s="204"/>
      <c r="AN24" s="204"/>
      <c r="AO24" s="204"/>
      <c r="AP24" s="204"/>
      <c r="AQ24" s="204"/>
      <c r="AR24" s="204"/>
      <c r="AS24" s="204"/>
      <c r="AT24" s="204"/>
      <c r="AU24" s="204"/>
    </row>
    <row r="25" spans="1:47">
      <c r="A25" s="12"/>
      <c r="B25" s="12"/>
      <c r="C25" s="12"/>
      <c r="D25" s="12"/>
      <c r="E25" s="12"/>
      <c r="F25" s="311" t="s">
        <v>23</v>
      </c>
      <c r="G25" s="383" t="s">
        <v>146</v>
      </c>
      <c r="H25" s="384"/>
      <c r="I25" s="384"/>
      <c r="J25" s="68"/>
      <c r="K25" s="47" t="s">
        <v>20</v>
      </c>
      <c r="L25" s="51">
        <v>4</v>
      </c>
      <c r="M25" s="66"/>
      <c r="N25" s="66"/>
      <c r="O25" s="66"/>
      <c r="P25" s="66"/>
      <c r="Q25" s="66">
        <v>0</v>
      </c>
      <c r="R25" s="66">
        <v>3.6888414534254815E-2</v>
      </c>
      <c r="S25" s="66"/>
      <c r="T25" s="51" t="s">
        <v>20</v>
      </c>
      <c r="U25" s="51">
        <v>4</v>
      </c>
      <c r="V25" s="8"/>
      <c r="W25" s="8"/>
      <c r="X25" s="8"/>
      <c r="Y25" s="8"/>
      <c r="Z25" s="9"/>
      <c r="AA25" s="9"/>
      <c r="AB25" s="9"/>
      <c r="AC25" s="9"/>
      <c r="AD25" s="9"/>
      <c r="AE25" s="204"/>
      <c r="AF25" s="204"/>
      <c r="AG25" s="349"/>
      <c r="AH25" s="349"/>
      <c r="AI25" s="349"/>
      <c r="AJ25" s="349"/>
      <c r="AK25" s="349"/>
      <c r="AM25" s="204"/>
      <c r="AN25" s="204"/>
      <c r="AO25" s="204"/>
      <c r="AP25" s="204"/>
      <c r="AQ25" s="204"/>
      <c r="AR25" s="204"/>
      <c r="AS25" s="204"/>
      <c r="AT25" s="204"/>
      <c r="AU25" s="204"/>
    </row>
    <row r="26" spans="1:47">
      <c r="A26" s="12"/>
      <c r="B26" s="12"/>
      <c r="C26" s="12"/>
      <c r="D26" s="12"/>
      <c r="E26" s="12"/>
      <c r="F26" s="311" t="s">
        <v>24</v>
      </c>
      <c r="G26" s="383" t="s">
        <v>147</v>
      </c>
      <c r="H26" s="384"/>
      <c r="I26" s="384"/>
      <c r="J26" s="68"/>
      <c r="K26" s="47" t="s">
        <v>20</v>
      </c>
      <c r="L26" s="51">
        <v>40</v>
      </c>
      <c r="M26" s="66"/>
      <c r="N26" s="66"/>
      <c r="O26" s="66"/>
      <c r="P26" s="66"/>
      <c r="Q26" s="66">
        <v>6.8615870000000001</v>
      </c>
      <c r="R26" s="66">
        <v>6.2125871165945092</v>
      </c>
      <c r="S26" s="66"/>
      <c r="T26" s="51" t="s">
        <v>20</v>
      </c>
      <c r="U26" s="51">
        <v>40</v>
      </c>
      <c r="V26" s="8"/>
      <c r="W26" s="8"/>
      <c r="X26" s="8"/>
      <c r="Y26" s="8"/>
      <c r="Z26" s="9"/>
      <c r="AA26" s="9"/>
      <c r="AB26" s="9"/>
      <c r="AC26" s="9"/>
      <c r="AD26" s="9"/>
      <c r="AE26" s="204"/>
      <c r="AF26" s="204"/>
      <c r="AG26" s="349"/>
      <c r="AH26" s="349"/>
      <c r="AI26" s="349"/>
      <c r="AJ26" s="349"/>
      <c r="AK26" s="349"/>
      <c r="AM26" s="204"/>
      <c r="AN26" s="204"/>
      <c r="AO26" s="204"/>
      <c r="AP26" s="204"/>
      <c r="AQ26" s="204"/>
      <c r="AR26" s="204"/>
      <c r="AS26" s="204"/>
      <c r="AT26" s="204"/>
      <c r="AU26" s="204"/>
    </row>
    <row r="27" spans="1:47">
      <c r="A27" s="12"/>
      <c r="B27" s="12"/>
      <c r="C27" s="12"/>
      <c r="D27" s="12"/>
      <c r="E27" s="12"/>
      <c r="F27" s="311" t="s">
        <v>111</v>
      </c>
      <c r="G27" s="383" t="s">
        <v>148</v>
      </c>
      <c r="H27" s="384"/>
      <c r="I27" s="384"/>
      <c r="J27" s="68"/>
      <c r="K27" s="47" t="s">
        <v>20</v>
      </c>
      <c r="L27" s="51">
        <v>9</v>
      </c>
      <c r="M27" s="66"/>
      <c r="N27" s="66"/>
      <c r="O27" s="66"/>
      <c r="P27" s="66"/>
      <c r="Q27" s="66">
        <v>0</v>
      </c>
      <c r="R27" s="66">
        <v>0</v>
      </c>
      <c r="S27" s="66"/>
      <c r="T27" s="51" t="s">
        <v>20</v>
      </c>
      <c r="U27" s="51">
        <v>9</v>
      </c>
      <c r="V27" s="8"/>
      <c r="W27" s="8"/>
      <c r="X27" s="8"/>
      <c r="Y27" s="8"/>
      <c r="Z27" s="9"/>
      <c r="AA27" s="9"/>
      <c r="AB27" s="9"/>
      <c r="AC27" s="9"/>
      <c r="AD27" s="9"/>
      <c r="AE27" s="204"/>
      <c r="AF27" s="204"/>
      <c r="AG27" s="349"/>
      <c r="AH27" s="349"/>
      <c r="AI27" s="349"/>
      <c r="AJ27" s="349"/>
      <c r="AK27" s="349"/>
      <c r="AM27" s="204"/>
      <c r="AN27" s="204"/>
      <c r="AO27" s="204"/>
      <c r="AP27" s="204"/>
      <c r="AQ27" s="204"/>
      <c r="AR27" s="204"/>
      <c r="AS27" s="204"/>
      <c r="AT27" s="204"/>
      <c r="AU27" s="204"/>
    </row>
    <row r="28" spans="1:47">
      <c r="A28" s="12"/>
      <c r="B28" s="12"/>
      <c r="C28" s="12"/>
      <c r="D28" s="12"/>
      <c r="E28" s="12"/>
      <c r="F28" s="311" t="s">
        <v>112</v>
      </c>
      <c r="G28" s="383" t="s">
        <v>149</v>
      </c>
      <c r="H28" s="384"/>
      <c r="I28" s="384"/>
      <c r="J28" s="68"/>
      <c r="K28" s="47" t="s">
        <v>20</v>
      </c>
      <c r="L28" s="51">
        <v>4</v>
      </c>
      <c r="M28" s="66"/>
      <c r="N28" s="66"/>
      <c r="O28" s="66"/>
      <c r="P28" s="66"/>
      <c r="Q28" s="66">
        <v>0.53168400000000005</v>
      </c>
      <c r="R28" s="66">
        <v>2.2104991108380556</v>
      </c>
      <c r="S28" s="66"/>
      <c r="T28" s="51" t="s">
        <v>20</v>
      </c>
      <c r="U28" s="51">
        <v>4</v>
      </c>
      <c r="V28" s="8"/>
      <c r="W28" s="8"/>
      <c r="X28" s="8"/>
      <c r="Y28" s="8"/>
      <c r="Z28" s="9"/>
      <c r="AA28" s="9"/>
      <c r="AB28" s="9"/>
      <c r="AC28" s="9"/>
      <c r="AD28" s="9"/>
      <c r="AE28" s="204"/>
      <c r="AF28" s="204"/>
      <c r="AG28" s="349"/>
      <c r="AH28" s="349"/>
      <c r="AI28" s="349"/>
      <c r="AJ28" s="349"/>
      <c r="AK28" s="349"/>
      <c r="AM28" s="204"/>
      <c r="AN28" s="204"/>
      <c r="AO28" s="204"/>
      <c r="AP28" s="204"/>
      <c r="AQ28" s="204"/>
      <c r="AR28" s="204"/>
      <c r="AS28" s="204"/>
      <c r="AT28" s="204"/>
      <c r="AU28" s="204"/>
    </row>
    <row r="29" spans="1:47">
      <c r="A29" s="12"/>
      <c r="B29" s="12"/>
      <c r="C29" s="12"/>
      <c r="D29" s="12"/>
      <c r="E29" s="12"/>
      <c r="F29" s="311" t="s">
        <v>113</v>
      </c>
      <c r="G29" s="383" t="s">
        <v>136</v>
      </c>
      <c r="H29" s="384"/>
      <c r="I29" s="384"/>
      <c r="J29" s="68"/>
      <c r="K29" s="47" t="s">
        <v>20</v>
      </c>
      <c r="L29" s="51" t="s">
        <v>20</v>
      </c>
      <c r="M29" s="66"/>
      <c r="N29" s="66"/>
      <c r="O29" s="66"/>
      <c r="P29" s="66"/>
      <c r="Q29" s="66">
        <v>0.12308107575340384</v>
      </c>
      <c r="R29" s="66">
        <v>0.14123476735195661</v>
      </c>
      <c r="S29" s="66"/>
      <c r="T29" s="51" t="s">
        <v>20</v>
      </c>
      <c r="U29" s="51" t="s">
        <v>20</v>
      </c>
      <c r="V29" s="8"/>
      <c r="W29" s="8"/>
      <c r="X29" s="8"/>
      <c r="Y29" s="8"/>
      <c r="Z29" s="9"/>
      <c r="AA29" s="9"/>
      <c r="AB29" s="9"/>
      <c r="AC29" s="9"/>
      <c r="AD29" s="9"/>
      <c r="AE29" s="204"/>
      <c r="AF29" s="204"/>
      <c r="AG29" s="349"/>
      <c r="AH29" s="349"/>
      <c r="AI29" s="349"/>
      <c r="AJ29" s="349"/>
      <c r="AK29" s="349"/>
      <c r="AM29" s="204"/>
      <c r="AN29" s="204"/>
      <c r="AO29" s="204"/>
      <c r="AP29" s="204"/>
      <c r="AQ29" s="204"/>
      <c r="AR29" s="204"/>
      <c r="AS29" s="204"/>
      <c r="AT29" s="204"/>
      <c r="AU29" s="204"/>
    </row>
    <row r="30" spans="1:47">
      <c r="A30" s="12"/>
      <c r="B30" s="12"/>
      <c r="C30" s="12"/>
      <c r="D30" s="12"/>
      <c r="E30" s="12"/>
      <c r="F30" s="311" t="s">
        <v>114</v>
      </c>
      <c r="G30" s="383" t="s">
        <v>150</v>
      </c>
      <c r="H30" s="384"/>
      <c r="I30" s="384"/>
      <c r="J30" s="68"/>
      <c r="K30" s="47" t="s">
        <v>20</v>
      </c>
      <c r="L30" s="51">
        <v>41.695808343233246</v>
      </c>
      <c r="M30" s="66"/>
      <c r="N30" s="66"/>
      <c r="O30" s="66"/>
      <c r="P30" s="66"/>
      <c r="Q30" s="66"/>
      <c r="R30" s="66"/>
      <c r="S30" s="66"/>
      <c r="T30" s="51" t="s">
        <v>20</v>
      </c>
      <c r="U30" s="51" t="s">
        <v>20</v>
      </c>
      <c r="V30" s="8"/>
      <c r="W30" s="8"/>
      <c r="X30" s="8"/>
      <c r="Y30" s="8"/>
      <c r="Z30" s="9"/>
      <c r="AA30" s="9"/>
      <c r="AB30" s="9"/>
      <c r="AC30" s="9"/>
      <c r="AD30" s="9"/>
      <c r="AE30" s="204"/>
      <c r="AF30" s="204"/>
      <c r="AG30" s="349"/>
      <c r="AH30" s="349"/>
      <c r="AI30" s="349"/>
      <c r="AJ30" s="349"/>
      <c r="AK30" s="349"/>
      <c r="AM30" s="204"/>
      <c r="AN30" s="204"/>
      <c r="AO30" s="204"/>
      <c r="AP30" s="204"/>
      <c r="AQ30" s="204"/>
      <c r="AR30" s="204"/>
      <c r="AS30" s="204"/>
      <c r="AT30" s="204"/>
      <c r="AU30" s="204"/>
    </row>
    <row r="31" spans="1:47">
      <c r="A31" s="12"/>
      <c r="B31" s="12"/>
      <c r="C31" s="12"/>
      <c r="D31" s="12"/>
      <c r="E31" s="12"/>
      <c r="F31" s="311" t="s">
        <v>115</v>
      </c>
      <c r="G31" s="383"/>
      <c r="H31" s="384"/>
      <c r="I31" s="384"/>
      <c r="J31" s="68"/>
      <c r="K31" s="47" t="s">
        <v>20</v>
      </c>
      <c r="L31" s="51" t="s">
        <v>20</v>
      </c>
      <c r="M31" s="66"/>
      <c r="N31" s="66"/>
      <c r="O31" s="66"/>
      <c r="P31" s="66"/>
      <c r="Q31" s="66"/>
      <c r="R31" s="66"/>
      <c r="S31" s="66"/>
      <c r="T31" s="51" t="s">
        <v>20</v>
      </c>
      <c r="U31" s="51" t="s">
        <v>20</v>
      </c>
      <c r="V31" s="8"/>
      <c r="W31" s="8"/>
      <c r="X31" s="8"/>
      <c r="Y31" s="8"/>
      <c r="Z31" s="9"/>
      <c r="AA31" s="9"/>
      <c r="AB31" s="9"/>
      <c r="AC31" s="9"/>
      <c r="AD31" s="9"/>
      <c r="AE31" s="204"/>
      <c r="AF31" s="204"/>
      <c r="AG31" s="349"/>
      <c r="AH31" s="349"/>
      <c r="AI31" s="349"/>
      <c r="AJ31" s="349"/>
      <c r="AK31" s="349"/>
      <c r="AM31" s="204"/>
      <c r="AN31" s="204"/>
      <c r="AO31" s="204"/>
      <c r="AP31" s="204"/>
      <c r="AQ31" s="204"/>
      <c r="AR31" s="204"/>
      <c r="AS31" s="204"/>
      <c r="AT31" s="204"/>
      <c r="AU31" s="204"/>
    </row>
    <row r="32" spans="1:47">
      <c r="A32" s="12"/>
      <c r="B32" s="12"/>
      <c r="C32" s="12"/>
      <c r="D32" s="12"/>
      <c r="E32" s="12"/>
      <c r="F32" s="311" t="s">
        <v>116</v>
      </c>
      <c r="G32" s="383"/>
      <c r="H32" s="384"/>
      <c r="I32" s="384"/>
      <c r="J32" s="68"/>
      <c r="K32" s="47" t="s">
        <v>20</v>
      </c>
      <c r="L32" s="51" t="s">
        <v>20</v>
      </c>
      <c r="M32" s="66"/>
      <c r="N32" s="66"/>
      <c r="O32" s="66"/>
      <c r="P32" s="66"/>
      <c r="Q32" s="66"/>
      <c r="R32" s="66"/>
      <c r="S32" s="66"/>
      <c r="T32" s="51" t="s">
        <v>20</v>
      </c>
      <c r="U32" s="51" t="s">
        <v>20</v>
      </c>
      <c r="V32" s="8"/>
      <c r="W32" s="8"/>
      <c r="X32" s="8"/>
      <c r="Y32" s="8"/>
      <c r="Z32" s="9"/>
      <c r="AA32" s="9"/>
      <c r="AB32" s="9"/>
      <c r="AC32" s="9"/>
      <c r="AD32" s="9"/>
      <c r="AE32" s="204"/>
      <c r="AF32" s="204"/>
      <c r="AG32" s="349"/>
      <c r="AH32" s="349"/>
      <c r="AI32" s="349"/>
      <c r="AJ32" s="349"/>
      <c r="AK32" s="349"/>
      <c r="AM32" s="204"/>
      <c r="AN32" s="204"/>
      <c r="AO32" s="204"/>
      <c r="AP32" s="204"/>
      <c r="AQ32" s="204"/>
      <c r="AR32" s="204"/>
      <c r="AS32" s="204"/>
      <c r="AT32" s="204"/>
      <c r="AU32" s="204"/>
    </row>
    <row r="33" spans="1:47">
      <c r="A33" s="12"/>
      <c r="B33" s="12"/>
      <c r="C33" s="12"/>
      <c r="D33" s="12"/>
      <c r="E33" s="12"/>
      <c r="F33" s="311" t="s">
        <v>117</v>
      </c>
      <c r="G33" s="383"/>
      <c r="H33" s="384"/>
      <c r="I33" s="384"/>
      <c r="J33" s="68"/>
      <c r="K33" s="47" t="s">
        <v>20</v>
      </c>
      <c r="L33" s="51" t="s">
        <v>20</v>
      </c>
      <c r="M33" s="66"/>
      <c r="N33" s="66"/>
      <c r="O33" s="66"/>
      <c r="P33" s="66"/>
      <c r="Q33" s="66"/>
      <c r="R33" s="66"/>
      <c r="S33" s="66"/>
      <c r="T33" s="51" t="s">
        <v>20</v>
      </c>
      <c r="U33" s="51" t="s">
        <v>20</v>
      </c>
      <c r="V33" s="8"/>
      <c r="W33" s="8"/>
      <c r="X33" s="8"/>
      <c r="Y33" s="8"/>
      <c r="Z33" s="9"/>
      <c r="AA33" s="9"/>
      <c r="AB33" s="9"/>
      <c r="AC33" s="9"/>
      <c r="AD33" s="9"/>
      <c r="AE33" s="204"/>
      <c r="AF33" s="204"/>
      <c r="AG33" s="349"/>
      <c r="AH33" s="349"/>
      <c r="AI33" s="349"/>
      <c r="AJ33" s="349"/>
      <c r="AK33" s="349"/>
      <c r="AM33" s="204"/>
      <c r="AN33" s="204"/>
      <c r="AO33" s="204"/>
      <c r="AP33" s="204"/>
      <c r="AQ33" s="204"/>
      <c r="AR33" s="204"/>
      <c r="AS33" s="204"/>
      <c r="AT33" s="204"/>
      <c r="AU33" s="204"/>
    </row>
    <row r="34" spans="1:47">
      <c r="A34" s="12"/>
      <c r="B34" s="12"/>
      <c r="C34" s="12"/>
      <c r="D34" s="12"/>
      <c r="E34" s="12"/>
      <c r="F34" s="311" t="s">
        <v>118</v>
      </c>
      <c r="G34" s="383"/>
      <c r="H34" s="384"/>
      <c r="I34" s="384"/>
      <c r="J34" s="68"/>
      <c r="K34" s="47" t="s">
        <v>20</v>
      </c>
      <c r="L34" s="51" t="s">
        <v>20</v>
      </c>
      <c r="M34" s="66"/>
      <c r="N34" s="66"/>
      <c r="O34" s="66"/>
      <c r="P34" s="66"/>
      <c r="Q34" s="66"/>
      <c r="R34" s="66"/>
      <c r="S34" s="66"/>
      <c r="T34" s="51" t="s">
        <v>20</v>
      </c>
      <c r="U34" s="51" t="s">
        <v>20</v>
      </c>
      <c r="V34" s="8"/>
      <c r="W34" s="8"/>
      <c r="X34" s="8"/>
      <c r="Y34" s="8"/>
      <c r="Z34" s="9"/>
      <c r="AA34" s="9"/>
      <c r="AB34" s="9"/>
      <c r="AC34" s="9"/>
      <c r="AD34" s="9"/>
      <c r="AE34" s="204"/>
      <c r="AF34" s="204"/>
      <c r="AG34" s="349"/>
      <c r="AH34" s="349"/>
      <c r="AI34" s="349"/>
      <c r="AJ34" s="349"/>
      <c r="AK34" s="349"/>
      <c r="AM34" s="204"/>
      <c r="AN34" s="204"/>
      <c r="AO34" s="204"/>
      <c r="AP34" s="204"/>
      <c r="AQ34" s="204"/>
      <c r="AR34" s="204"/>
      <c r="AS34" s="204"/>
      <c r="AT34" s="204"/>
      <c r="AU34" s="204"/>
    </row>
    <row r="35" spans="1:47">
      <c r="A35" s="12"/>
      <c r="B35" s="12"/>
      <c r="C35" s="12"/>
      <c r="D35" s="12"/>
      <c r="E35" s="12"/>
      <c r="F35" s="311" t="s">
        <v>119</v>
      </c>
      <c r="G35" s="383"/>
      <c r="H35" s="384"/>
      <c r="I35" s="384"/>
      <c r="J35" s="68"/>
      <c r="K35" s="47" t="s">
        <v>20</v>
      </c>
      <c r="L35" s="51" t="s">
        <v>20</v>
      </c>
      <c r="M35" s="66"/>
      <c r="N35" s="66"/>
      <c r="O35" s="66"/>
      <c r="P35" s="66"/>
      <c r="Q35" s="66"/>
      <c r="R35" s="66"/>
      <c r="S35" s="66"/>
      <c r="T35" s="51" t="s">
        <v>20</v>
      </c>
      <c r="U35" s="51" t="s">
        <v>20</v>
      </c>
      <c r="V35" s="8"/>
      <c r="W35" s="8"/>
      <c r="X35" s="8"/>
      <c r="Y35" s="8"/>
      <c r="Z35" s="9"/>
      <c r="AA35" s="9"/>
      <c r="AB35" s="9"/>
      <c r="AC35" s="9"/>
      <c r="AD35" s="9"/>
      <c r="AE35" s="204"/>
      <c r="AF35" s="204"/>
      <c r="AG35" s="349"/>
      <c r="AH35" s="349"/>
      <c r="AI35" s="349"/>
      <c r="AJ35" s="349"/>
      <c r="AK35" s="349"/>
      <c r="AM35" s="204"/>
      <c r="AN35" s="204"/>
      <c r="AO35" s="204"/>
      <c r="AP35" s="204"/>
      <c r="AQ35" s="204"/>
      <c r="AR35" s="204"/>
      <c r="AS35" s="204"/>
      <c r="AT35" s="204"/>
      <c r="AU35" s="204"/>
    </row>
    <row r="36" spans="1:47">
      <c r="A36" s="12"/>
      <c r="B36" s="12"/>
      <c r="C36" s="12"/>
      <c r="D36" s="12"/>
      <c r="E36" s="12"/>
      <c r="F36" s="311" t="s">
        <v>120</v>
      </c>
      <c r="G36" s="383"/>
      <c r="H36" s="384"/>
      <c r="I36" s="384"/>
      <c r="J36" s="68"/>
      <c r="K36" s="47" t="s">
        <v>20</v>
      </c>
      <c r="L36" s="51" t="s">
        <v>20</v>
      </c>
      <c r="M36" s="66"/>
      <c r="N36" s="66"/>
      <c r="O36" s="66"/>
      <c r="P36" s="66"/>
      <c r="Q36" s="66"/>
      <c r="R36" s="66"/>
      <c r="S36" s="66"/>
      <c r="T36" s="51" t="s">
        <v>20</v>
      </c>
      <c r="U36" s="51" t="s">
        <v>20</v>
      </c>
      <c r="V36" s="8"/>
      <c r="W36" s="8"/>
      <c r="X36" s="8"/>
      <c r="Y36" s="8"/>
      <c r="Z36" s="9"/>
      <c r="AA36" s="9"/>
      <c r="AB36" s="9"/>
      <c r="AC36" s="9"/>
      <c r="AD36" s="9"/>
      <c r="AE36" s="204"/>
      <c r="AF36" s="204"/>
      <c r="AG36" s="349"/>
      <c r="AH36" s="349"/>
      <c r="AI36" s="349"/>
      <c r="AJ36" s="349"/>
      <c r="AK36" s="349"/>
      <c r="AM36" s="204"/>
      <c r="AN36" s="204"/>
      <c r="AO36" s="204"/>
      <c r="AP36" s="204"/>
      <c r="AQ36" s="204"/>
      <c r="AR36" s="204"/>
      <c r="AS36" s="204"/>
      <c r="AT36" s="204"/>
      <c r="AU36" s="204"/>
    </row>
    <row r="37" spans="1:47">
      <c r="A37" s="12"/>
      <c r="B37" s="12"/>
      <c r="C37" s="12"/>
      <c r="D37" s="12"/>
      <c r="E37" s="12"/>
      <c r="F37" s="177" t="s">
        <v>19</v>
      </c>
      <c r="G37" s="158"/>
      <c r="H37" s="158"/>
      <c r="I37" s="158"/>
      <c r="J37" s="316">
        <f>SUM(J7:J36)</f>
        <v>850.48215020415546</v>
      </c>
      <c r="K37" s="62"/>
      <c r="L37" s="36"/>
      <c r="M37" s="316">
        <f t="shared" ref="M37:R37" si="3">SUM(M7:M36)</f>
        <v>83.128654385774468</v>
      </c>
      <c r="N37" s="316">
        <f t="shared" si="3"/>
        <v>22.262805038529823</v>
      </c>
      <c r="O37" s="316">
        <f t="shared" si="3"/>
        <v>-9.3282752599801135</v>
      </c>
      <c r="P37" s="316">
        <f t="shared" si="3"/>
        <v>-5.8894452447240129</v>
      </c>
      <c r="Q37" s="316">
        <f t="shared" si="3"/>
        <v>55.314363999999991</v>
      </c>
      <c r="R37" s="316">
        <f t="shared" si="3"/>
        <v>79.443850977356931</v>
      </c>
      <c r="S37" s="62"/>
      <c r="T37" s="62"/>
      <c r="U37" s="62"/>
      <c r="V37" s="62"/>
      <c r="X37" s="36"/>
      <c r="Y37" s="8"/>
      <c r="Z37" s="8"/>
      <c r="AA37" s="8"/>
      <c r="AB37" s="8"/>
      <c r="AC37" s="8"/>
      <c r="AD37" s="8"/>
      <c r="AE37" s="204"/>
      <c r="AF37" s="204"/>
      <c r="AG37" s="351">
        <f>SUM(AG7:AG36)</f>
        <v>40.038593261746662</v>
      </c>
      <c r="AH37" s="351">
        <f>SUM(AH7:AH36)</f>
        <v>83.128654385774468</v>
      </c>
      <c r="AI37" s="351">
        <f>SUM(AI7:AI36)</f>
        <v>43.090061124027812</v>
      </c>
      <c r="AJ37" s="351">
        <f>SUM(AJ7:AJ36)</f>
        <v>33.761785864047695</v>
      </c>
      <c r="AK37" s="351">
        <f>SUM(AK7:AK36)</f>
        <v>-9.3282752599801135</v>
      </c>
      <c r="AM37" s="204"/>
      <c r="AN37" s="204"/>
      <c r="AO37" s="204"/>
      <c r="AP37" s="204"/>
      <c r="AQ37" s="204"/>
      <c r="AR37" s="204"/>
      <c r="AS37" s="204"/>
      <c r="AT37" s="204"/>
      <c r="AU37" s="204"/>
    </row>
    <row r="38" spans="1:47" ht="21" customHeight="1">
      <c r="A38" s="12"/>
      <c r="B38" s="12"/>
      <c r="C38" s="12"/>
      <c r="D38" s="12"/>
      <c r="E38" s="12"/>
      <c r="F38" s="95"/>
      <c r="G38" s="160"/>
      <c r="H38" s="52"/>
      <c r="I38" s="52"/>
      <c r="J38" s="353" t="s">
        <v>183</v>
      </c>
      <c r="K38" s="353" t="s">
        <v>183</v>
      </c>
      <c r="L38" s="353" t="s">
        <v>183</v>
      </c>
      <c r="M38" s="353" t="s">
        <v>183</v>
      </c>
      <c r="N38" s="353" t="s">
        <v>183</v>
      </c>
      <c r="O38" s="353" t="s">
        <v>183</v>
      </c>
      <c r="P38" s="353" t="s">
        <v>183</v>
      </c>
      <c r="Q38" s="353"/>
      <c r="R38" s="353"/>
      <c r="S38" s="353" t="s">
        <v>183</v>
      </c>
      <c r="T38" s="353" t="s">
        <v>183</v>
      </c>
      <c r="U38" s="353" t="s">
        <v>183</v>
      </c>
      <c r="V38" s="52"/>
      <c r="W38" s="52"/>
      <c r="X38" s="52"/>
      <c r="Y38" s="8"/>
      <c r="Z38" s="8"/>
      <c r="AA38" s="8"/>
      <c r="AB38" s="42"/>
      <c r="AC38" s="9"/>
      <c r="AD38" s="9"/>
      <c r="AE38" s="204"/>
      <c r="AF38" s="204"/>
      <c r="AG38" s="204"/>
      <c r="AH38" s="204"/>
      <c r="AI38" s="204"/>
      <c r="AJ38" s="204"/>
      <c r="AK38" s="204"/>
      <c r="AL38" s="204"/>
      <c r="AM38" s="204"/>
      <c r="AN38" s="204"/>
      <c r="AO38" s="204"/>
      <c r="AP38" s="204"/>
      <c r="AQ38" s="204"/>
      <c r="AR38" s="204"/>
      <c r="AS38" s="204"/>
      <c r="AT38" s="204"/>
      <c r="AU38" s="204"/>
    </row>
    <row r="39" spans="1:47" ht="13.5" customHeight="1">
      <c r="A39" s="78"/>
      <c r="B39" s="78"/>
      <c r="C39" s="78"/>
      <c r="D39" s="78"/>
      <c r="E39" s="78"/>
      <c r="F39" s="382" t="s">
        <v>78</v>
      </c>
      <c r="G39" s="382"/>
      <c r="H39" s="382"/>
      <c r="I39" s="159"/>
      <c r="J39" s="159"/>
      <c r="K39" s="81"/>
      <c r="L39" s="81"/>
      <c r="M39" s="79"/>
      <c r="N39" s="79"/>
      <c r="O39" s="79"/>
      <c r="P39" s="79"/>
      <c r="Q39" s="79"/>
      <c r="R39" s="79"/>
      <c r="S39" s="79"/>
      <c r="T39" s="79"/>
      <c r="U39" s="79"/>
      <c r="V39" s="79"/>
      <c r="W39" s="79"/>
      <c r="X39" s="8"/>
      <c r="Y39" s="8"/>
      <c r="Z39" s="8"/>
      <c r="AA39" s="8"/>
      <c r="AB39" s="42"/>
      <c r="AC39" s="9"/>
      <c r="AD39" s="9"/>
      <c r="AE39" s="204"/>
      <c r="AF39" s="204"/>
      <c r="AG39" s="204"/>
      <c r="AH39" s="204"/>
      <c r="AI39" s="204"/>
      <c r="AJ39" s="204"/>
      <c r="AK39" s="204"/>
      <c r="AL39" s="204"/>
      <c r="AM39" s="204"/>
      <c r="AN39" s="204"/>
      <c r="AO39" s="204"/>
      <c r="AP39" s="204"/>
      <c r="AQ39" s="204"/>
      <c r="AR39" s="204"/>
      <c r="AS39" s="204"/>
      <c r="AT39" s="204"/>
      <c r="AU39" s="204"/>
    </row>
    <row r="40" spans="1:47">
      <c r="A40" s="12"/>
      <c r="B40" s="12"/>
      <c r="C40" s="12"/>
      <c r="D40" s="12"/>
      <c r="E40" s="12"/>
      <c r="F40" s="37" t="s">
        <v>3</v>
      </c>
      <c r="G40" s="250" t="str">
        <f>CONCATENATE(LEFT(H40, 4)-1 &amp;"-" &amp;IF(H40&gt;"2009-10",,"0") &amp;RIGHT(H40,2)-1)</f>
        <v>2008-09</v>
      </c>
      <c r="H40" s="250" t="str">
        <f>V7</f>
        <v>2009-10</v>
      </c>
      <c r="I40" s="250" t="str">
        <f>CONCATENATE(LEFT(H40, 4)+1 &amp;"-" &amp;IF(H40&gt;"2007-08",,"0") &amp;RIGHT(H40,2)+1)</f>
        <v>2010-11</v>
      </c>
      <c r="J40" s="250" t="str">
        <f t="shared" ref="J40:P40" si="4">CONCATENATE(LEFT(I40, 4)+1 &amp;"-" &amp;IF(I40&gt;"2007-08",,"0") &amp;RIGHT(I40,2)+1)</f>
        <v>2011-12</v>
      </c>
      <c r="K40" s="250" t="str">
        <f t="shared" si="4"/>
        <v>2012-13</v>
      </c>
      <c r="L40" s="250" t="str">
        <f t="shared" si="4"/>
        <v>2013-14</v>
      </c>
      <c r="M40" s="250" t="str">
        <f t="shared" si="4"/>
        <v>2014-15</v>
      </c>
      <c r="N40" s="250" t="str">
        <f t="shared" si="4"/>
        <v>2015-16</v>
      </c>
      <c r="O40" s="250" t="str">
        <f t="shared" si="4"/>
        <v>2016-17</v>
      </c>
      <c r="P40" s="250" t="str">
        <f t="shared" si="4"/>
        <v>2017-18</v>
      </c>
      <c r="Q40" s="250" t="str">
        <f>CONCATENATE(LEFT(P40, 4)+1 &amp;"-" &amp;IF(P40&gt;"2007-08",,"0") &amp;RIGHT(P40,2)+1)</f>
        <v>2018-19</v>
      </c>
      <c r="R40" s="146"/>
      <c r="S40" s="8"/>
      <c r="T40" s="8"/>
      <c r="U40" s="8"/>
      <c r="V40" s="8"/>
      <c r="W40" s="42"/>
      <c r="X40" s="9"/>
      <c r="Y40" s="9"/>
      <c r="Z40" s="9"/>
      <c r="AA40" s="9"/>
      <c r="AB40" s="9"/>
      <c r="AC40" s="9"/>
      <c r="AD40" s="9"/>
      <c r="AE40" s="204"/>
      <c r="AF40" s="204"/>
      <c r="AG40" s="204"/>
      <c r="AH40" s="204"/>
      <c r="AI40" s="204"/>
      <c r="AJ40" s="204"/>
      <c r="AK40" s="204"/>
      <c r="AL40" s="204"/>
      <c r="AM40" s="204"/>
      <c r="AN40" s="204"/>
      <c r="AO40" s="204"/>
      <c r="AP40" s="204"/>
      <c r="AQ40" s="204"/>
      <c r="AR40" s="204"/>
      <c r="AS40" s="204"/>
      <c r="AT40" s="204"/>
      <c r="AU40" s="204"/>
    </row>
    <row r="41" spans="1:47" outlineLevel="1">
      <c r="A41" s="12"/>
      <c r="B41" s="12"/>
      <c r="C41" s="12"/>
      <c r="D41" s="12"/>
      <c r="E41" s="12"/>
      <c r="F41" s="177" t="str">
        <f>Asset1</f>
        <v>Transmission Lines and Cables</v>
      </c>
      <c r="G41" s="166">
        <v>5.2439999999999998</v>
      </c>
      <c r="H41" s="65"/>
      <c r="I41" s="65"/>
      <c r="J41" s="65"/>
      <c r="K41" s="65"/>
      <c r="L41" s="65"/>
      <c r="M41" s="65"/>
      <c r="N41" s="65"/>
      <c r="O41" s="65"/>
      <c r="P41" s="65"/>
      <c r="Q41" s="65"/>
      <c r="R41" s="8"/>
      <c r="S41" s="8"/>
      <c r="T41" s="8"/>
      <c r="U41" s="8"/>
      <c r="V41" s="8"/>
      <c r="W41" s="42"/>
      <c r="X41" s="9"/>
      <c r="Y41" s="9"/>
      <c r="Z41" s="9"/>
      <c r="AA41" s="9"/>
      <c r="AB41" s="9"/>
      <c r="AC41" s="9"/>
      <c r="AD41" s="9"/>
      <c r="AE41" s="204"/>
      <c r="AF41" s="204"/>
      <c r="AG41" s="204"/>
      <c r="AH41" s="204"/>
      <c r="AI41" s="204"/>
      <c r="AJ41" s="204"/>
      <c r="AK41" s="204"/>
      <c r="AL41" s="204"/>
      <c r="AM41" s="204"/>
      <c r="AN41" s="204"/>
      <c r="AO41" s="204"/>
      <c r="AP41" s="204"/>
      <c r="AQ41" s="204"/>
      <c r="AR41" s="204"/>
      <c r="AS41" s="204"/>
      <c r="AT41" s="204"/>
      <c r="AU41" s="204"/>
    </row>
    <row r="42" spans="1:47" outlineLevel="1">
      <c r="A42" s="12"/>
      <c r="B42" s="12"/>
      <c r="C42" s="12"/>
      <c r="D42" s="12"/>
      <c r="E42" s="12"/>
      <c r="F42" s="177" t="str">
        <f>Asset2</f>
        <v>Transmission Substations</v>
      </c>
      <c r="G42" s="167">
        <v>37.643999999999998</v>
      </c>
      <c r="H42" s="66"/>
      <c r="I42" s="66"/>
      <c r="J42" s="66"/>
      <c r="K42" s="66"/>
      <c r="L42" s="66"/>
      <c r="M42" s="66"/>
      <c r="N42" s="66"/>
      <c r="O42" s="66"/>
      <c r="P42" s="66"/>
      <c r="Q42" s="66"/>
      <c r="R42" s="8"/>
      <c r="S42" s="8"/>
      <c r="T42" s="8"/>
      <c r="U42" s="8"/>
      <c r="V42" s="8"/>
      <c r="W42" s="42"/>
      <c r="X42" s="9"/>
      <c r="Y42" s="9"/>
      <c r="Z42" s="9"/>
      <c r="AA42" s="9"/>
      <c r="AB42" s="9"/>
      <c r="AC42" s="9"/>
      <c r="AD42" s="9"/>
      <c r="AE42" s="204"/>
      <c r="AF42" s="204"/>
      <c r="AG42" s="204"/>
      <c r="AH42" s="204"/>
      <c r="AI42" s="204"/>
      <c r="AJ42" s="204"/>
      <c r="AK42" s="204"/>
      <c r="AL42" s="204"/>
      <c r="AM42" s="204"/>
      <c r="AN42" s="204"/>
      <c r="AO42" s="204"/>
      <c r="AP42" s="204"/>
      <c r="AQ42" s="204"/>
      <c r="AR42" s="204"/>
      <c r="AS42" s="204"/>
      <c r="AT42" s="204"/>
      <c r="AU42" s="204"/>
    </row>
    <row r="43" spans="1:47" outlineLevel="1">
      <c r="A43" s="12"/>
      <c r="B43" s="12"/>
      <c r="C43" s="12"/>
      <c r="D43" s="12"/>
      <c r="E43" s="12"/>
      <c r="F43" s="177" t="str">
        <f>Asset3</f>
        <v>Protection and Control</v>
      </c>
      <c r="G43" s="167">
        <v>6.5339999999999998</v>
      </c>
      <c r="H43" s="66"/>
      <c r="I43" s="66"/>
      <c r="J43" s="66"/>
      <c r="K43" s="66"/>
      <c r="L43" s="66"/>
      <c r="M43" s="66"/>
      <c r="N43" s="66"/>
      <c r="O43" s="66"/>
      <c r="P43" s="66"/>
      <c r="Q43" s="66"/>
      <c r="R43" s="8"/>
      <c r="S43" s="8"/>
      <c r="T43" s="8"/>
      <c r="U43" s="8"/>
      <c r="V43" s="8"/>
      <c r="W43" s="42"/>
      <c r="X43" s="9"/>
      <c r="Y43" s="9"/>
      <c r="Z43" s="9"/>
      <c r="AA43" s="9"/>
      <c r="AB43" s="9"/>
      <c r="AC43" s="9"/>
      <c r="AD43" s="9"/>
      <c r="AE43" s="204"/>
      <c r="AF43" s="204"/>
      <c r="AG43" s="204"/>
      <c r="AH43" s="204"/>
      <c r="AI43" s="204"/>
      <c r="AJ43" s="204"/>
      <c r="AK43" s="204"/>
      <c r="AL43" s="204"/>
      <c r="AM43" s="204"/>
      <c r="AN43" s="204"/>
      <c r="AO43" s="204"/>
      <c r="AP43" s="204"/>
      <c r="AQ43" s="204"/>
      <c r="AR43" s="204"/>
      <c r="AS43" s="204"/>
      <c r="AT43" s="204"/>
      <c r="AU43" s="204"/>
    </row>
    <row r="44" spans="1:47" outlineLevel="1">
      <c r="A44" s="12"/>
      <c r="B44" s="12"/>
      <c r="C44" s="12"/>
      <c r="D44" s="12"/>
      <c r="E44" s="12"/>
      <c r="F44" s="177" t="str">
        <f>Asset4</f>
        <v>Refurbishment</v>
      </c>
      <c r="G44" s="167">
        <v>0</v>
      </c>
      <c r="H44" s="66"/>
      <c r="I44" s="66"/>
      <c r="J44" s="66"/>
      <c r="K44" s="66"/>
      <c r="L44" s="66"/>
      <c r="M44" s="197"/>
      <c r="N44" s="198"/>
      <c r="O44" s="198"/>
      <c r="P44" s="198"/>
      <c r="Q44" s="198"/>
      <c r="R44" s="8"/>
      <c r="S44" s="8"/>
      <c r="T44" s="8"/>
      <c r="U44" s="8"/>
      <c r="V44" s="8"/>
      <c r="W44" s="42"/>
      <c r="X44" s="9"/>
      <c r="Y44" s="9"/>
      <c r="Z44" s="9"/>
      <c r="AA44" s="9"/>
      <c r="AB44" s="9"/>
      <c r="AC44" s="9"/>
      <c r="AD44" s="9"/>
      <c r="AE44" s="204"/>
      <c r="AF44" s="204"/>
      <c r="AG44" s="204"/>
      <c r="AH44" s="204"/>
      <c r="AI44" s="204"/>
      <c r="AJ44" s="204"/>
      <c r="AK44" s="204"/>
      <c r="AL44" s="204"/>
      <c r="AM44" s="204"/>
      <c r="AN44" s="204"/>
      <c r="AO44" s="204"/>
      <c r="AP44" s="204"/>
      <c r="AQ44" s="204"/>
      <c r="AR44" s="204"/>
      <c r="AS44" s="204"/>
      <c r="AT44" s="204"/>
      <c r="AU44" s="204"/>
    </row>
    <row r="45" spans="1:47" outlineLevel="1">
      <c r="A45" s="12"/>
      <c r="B45" s="12"/>
      <c r="C45" s="12"/>
      <c r="D45" s="12"/>
      <c r="E45" s="12"/>
      <c r="F45" s="177" t="str">
        <f>Asset5</f>
        <v>Other</v>
      </c>
      <c r="G45" s="167">
        <v>0</v>
      </c>
      <c r="H45" s="66"/>
      <c r="I45" s="66"/>
      <c r="J45" s="66"/>
      <c r="K45" s="66"/>
      <c r="L45" s="66"/>
      <c r="M45" s="197"/>
      <c r="N45" s="198"/>
      <c r="O45" s="198"/>
      <c r="P45" s="198"/>
      <c r="Q45" s="198"/>
      <c r="R45" s="8"/>
      <c r="S45" s="8"/>
      <c r="T45" s="8"/>
      <c r="U45" s="8"/>
      <c r="V45" s="8"/>
      <c r="W45" s="42"/>
      <c r="X45" s="9"/>
      <c r="Y45" s="9"/>
      <c r="Z45" s="9"/>
      <c r="AA45" s="9"/>
      <c r="AB45" s="9"/>
      <c r="AC45" s="9"/>
      <c r="AD45" s="9"/>
      <c r="AE45" s="204"/>
      <c r="AF45" s="204"/>
      <c r="AG45" s="204"/>
      <c r="AH45" s="204"/>
      <c r="AI45" s="204"/>
      <c r="AJ45" s="204"/>
      <c r="AK45" s="204"/>
      <c r="AL45" s="204"/>
      <c r="AM45" s="204"/>
      <c r="AN45" s="204"/>
      <c r="AO45" s="204"/>
      <c r="AP45" s="204"/>
      <c r="AQ45" s="204"/>
      <c r="AR45" s="204"/>
      <c r="AS45" s="204"/>
      <c r="AT45" s="204"/>
      <c r="AU45" s="204"/>
    </row>
    <row r="46" spans="1:47" outlineLevel="1">
      <c r="A46" s="12"/>
      <c r="B46" s="12"/>
      <c r="C46" s="12"/>
      <c r="D46" s="12"/>
      <c r="E46" s="12"/>
      <c r="F46" s="177" t="str">
        <f>Asset6</f>
        <v>Other - IT</v>
      </c>
      <c r="G46" s="167">
        <v>9.6850000000000005</v>
      </c>
      <c r="H46" s="66"/>
      <c r="I46" s="66"/>
      <c r="J46" s="66"/>
      <c r="K46" s="66"/>
      <c r="L46" s="66"/>
      <c r="M46" s="197"/>
      <c r="N46" s="198"/>
      <c r="O46" s="198"/>
      <c r="P46" s="198"/>
      <c r="Q46" s="198"/>
      <c r="R46" s="8"/>
      <c r="S46" s="8"/>
      <c r="T46" s="8"/>
      <c r="U46" s="8"/>
      <c r="V46" s="8"/>
      <c r="W46" s="42"/>
      <c r="X46" s="9"/>
      <c r="Y46" s="9"/>
      <c r="Z46" s="9"/>
      <c r="AA46" s="9"/>
      <c r="AB46" s="9"/>
      <c r="AC46" s="9"/>
      <c r="AD46" s="9"/>
      <c r="AE46" s="204"/>
      <c r="AF46" s="204"/>
      <c r="AG46" s="204"/>
      <c r="AH46" s="204"/>
      <c r="AI46" s="204"/>
      <c r="AJ46" s="204"/>
      <c r="AK46" s="204"/>
      <c r="AL46" s="204"/>
      <c r="AM46" s="204"/>
      <c r="AN46" s="204"/>
      <c r="AO46" s="204"/>
      <c r="AP46" s="204"/>
      <c r="AQ46" s="204"/>
      <c r="AR46" s="204"/>
      <c r="AS46" s="204"/>
      <c r="AT46" s="204"/>
      <c r="AU46" s="204"/>
    </row>
    <row r="47" spans="1:47" outlineLevel="1">
      <c r="A47" s="12"/>
      <c r="B47" s="12"/>
      <c r="C47" s="12"/>
      <c r="D47" s="12"/>
      <c r="E47" s="12"/>
      <c r="F47" s="177" t="str">
        <f>Asset7</f>
        <v>Other - General</v>
      </c>
      <c r="G47" s="167">
        <v>1.5529999999999999</v>
      </c>
      <c r="H47" s="66"/>
      <c r="I47" s="66"/>
      <c r="J47" s="66"/>
      <c r="K47" s="66"/>
      <c r="L47" s="66"/>
      <c r="M47" s="197"/>
      <c r="N47" s="198"/>
      <c r="O47" s="198"/>
      <c r="P47" s="198"/>
      <c r="Q47" s="198"/>
      <c r="R47" s="8"/>
      <c r="S47" s="8"/>
      <c r="T47" s="8"/>
      <c r="U47" s="8"/>
      <c r="V47" s="8"/>
      <c r="W47" s="42"/>
      <c r="X47" s="9"/>
      <c r="Y47" s="9"/>
      <c r="Z47" s="9"/>
      <c r="AA47" s="9"/>
      <c r="AB47" s="9"/>
      <c r="AC47" s="9"/>
      <c r="AD47" s="9"/>
      <c r="AE47" s="204"/>
      <c r="AF47" s="204"/>
      <c r="AG47" s="204"/>
      <c r="AH47" s="204"/>
      <c r="AI47" s="204"/>
      <c r="AJ47" s="204"/>
      <c r="AK47" s="204"/>
      <c r="AL47" s="204"/>
      <c r="AM47" s="204"/>
      <c r="AN47" s="204"/>
      <c r="AO47" s="204"/>
      <c r="AP47" s="204"/>
      <c r="AQ47" s="204"/>
      <c r="AR47" s="204"/>
      <c r="AS47" s="204"/>
      <c r="AT47" s="204"/>
      <c r="AU47" s="204"/>
    </row>
    <row r="48" spans="1:47" outlineLevel="1">
      <c r="A48" s="12"/>
      <c r="B48" s="12"/>
      <c r="C48" s="12"/>
      <c r="D48" s="12"/>
      <c r="E48" s="12"/>
      <c r="F48" s="177" t="str">
        <f>Asset8</f>
        <v>Other - Buildings</v>
      </c>
      <c r="G48" s="167">
        <v>5.7990000000000004</v>
      </c>
      <c r="H48" s="66"/>
      <c r="I48" s="66"/>
      <c r="J48" s="66"/>
      <c r="K48" s="66"/>
      <c r="L48" s="66"/>
      <c r="M48" s="197"/>
      <c r="N48" s="198"/>
      <c r="O48" s="198"/>
      <c r="P48" s="198"/>
      <c r="Q48" s="198"/>
      <c r="R48" s="8"/>
      <c r="S48" s="8"/>
      <c r="T48" s="8"/>
      <c r="U48" s="8"/>
      <c r="V48" s="8"/>
      <c r="W48" s="42"/>
      <c r="X48" s="9"/>
      <c r="Y48" s="9"/>
      <c r="Z48" s="9"/>
      <c r="AA48" s="9"/>
      <c r="AB48" s="9"/>
      <c r="AC48" s="9"/>
      <c r="AD48" s="9"/>
      <c r="AE48" s="204"/>
      <c r="AF48" s="204"/>
      <c r="AG48" s="204"/>
      <c r="AH48" s="204"/>
      <c r="AI48" s="204"/>
      <c r="AJ48" s="204"/>
      <c r="AK48" s="204"/>
      <c r="AL48" s="204"/>
      <c r="AM48" s="204"/>
      <c r="AN48" s="204"/>
      <c r="AO48" s="204"/>
      <c r="AP48" s="204"/>
      <c r="AQ48" s="204"/>
      <c r="AR48" s="204"/>
      <c r="AS48" s="204"/>
      <c r="AT48" s="204"/>
      <c r="AU48" s="204"/>
    </row>
    <row r="49" spans="1:47" outlineLevel="1">
      <c r="A49" s="12"/>
      <c r="B49" s="12"/>
      <c r="C49" s="12"/>
      <c r="D49" s="12"/>
      <c r="E49" s="12"/>
      <c r="F49" s="177" t="str">
        <f>Asset9</f>
        <v>Land and Easements</v>
      </c>
      <c r="G49" s="167">
        <v>0.53</v>
      </c>
      <c r="H49" s="66"/>
      <c r="I49" s="66"/>
      <c r="J49" s="66"/>
      <c r="K49" s="66"/>
      <c r="L49" s="66"/>
      <c r="M49" s="197"/>
      <c r="N49" s="198"/>
      <c r="O49" s="198"/>
      <c r="P49" s="198"/>
      <c r="Q49" s="198"/>
      <c r="R49" s="8"/>
      <c r="S49" s="8"/>
      <c r="T49" s="8"/>
      <c r="U49" s="8"/>
      <c r="V49" s="8"/>
      <c r="W49" s="42"/>
      <c r="X49" s="9"/>
      <c r="Y49" s="9"/>
      <c r="Z49" s="9"/>
      <c r="AA49" s="9"/>
      <c r="AB49" s="9"/>
      <c r="AC49" s="9"/>
      <c r="AD49" s="9"/>
      <c r="AE49" s="204"/>
      <c r="AF49" s="204"/>
      <c r="AG49" s="204"/>
      <c r="AH49" s="204"/>
      <c r="AI49" s="204"/>
      <c r="AJ49" s="204"/>
      <c r="AK49" s="204"/>
      <c r="AL49" s="204"/>
      <c r="AM49" s="204"/>
      <c r="AN49" s="204"/>
      <c r="AO49" s="204"/>
      <c r="AP49" s="204"/>
      <c r="AQ49" s="204"/>
      <c r="AR49" s="204"/>
      <c r="AS49" s="204"/>
      <c r="AT49" s="204"/>
      <c r="AU49" s="204"/>
    </row>
    <row r="50" spans="1:47" outlineLevel="1">
      <c r="A50" s="12"/>
      <c r="B50" s="12"/>
      <c r="C50" s="12"/>
      <c r="D50" s="12"/>
      <c r="E50" s="12"/>
      <c r="F50" s="177" t="str">
        <f>Asset10</f>
        <v>Transmission line assets - long life (60)</v>
      </c>
      <c r="G50" s="167"/>
      <c r="H50" s="66">
        <v>60.75</v>
      </c>
      <c r="I50" s="66">
        <v>28.84</v>
      </c>
      <c r="J50" s="66">
        <v>17.309999999999999</v>
      </c>
      <c r="K50" s="66">
        <v>19.84</v>
      </c>
      <c r="L50" s="341">
        <v>24.242952078597277</v>
      </c>
      <c r="M50" s="197"/>
      <c r="N50" s="198"/>
      <c r="O50" s="198"/>
      <c r="P50" s="198"/>
      <c r="Q50" s="198"/>
      <c r="R50" s="8"/>
      <c r="S50" s="8"/>
      <c r="T50" s="8"/>
      <c r="U50" s="8"/>
      <c r="V50" s="8"/>
      <c r="W50" s="42"/>
      <c r="X50" s="9"/>
      <c r="Y50" s="9"/>
      <c r="Z50" s="9"/>
      <c r="AA50" s="9"/>
      <c r="AB50" s="9"/>
      <c r="AC50" s="9"/>
      <c r="AD50" s="9"/>
      <c r="AE50" s="204"/>
      <c r="AF50" s="204"/>
      <c r="AG50" s="204"/>
      <c r="AH50" s="204"/>
      <c r="AI50" s="204"/>
      <c r="AJ50" s="204"/>
      <c r="AK50" s="204"/>
      <c r="AL50" s="204"/>
      <c r="AM50" s="204"/>
      <c r="AN50" s="204"/>
      <c r="AO50" s="204"/>
      <c r="AP50" s="204"/>
      <c r="AQ50" s="204"/>
      <c r="AR50" s="204"/>
      <c r="AS50" s="204"/>
      <c r="AT50" s="204"/>
      <c r="AU50" s="204"/>
    </row>
    <row r="51" spans="1:47" outlineLevel="1">
      <c r="A51" s="12"/>
      <c r="B51" s="12"/>
      <c r="C51" s="12"/>
      <c r="D51" s="12"/>
      <c r="E51" s="12"/>
      <c r="F51" s="177" t="str">
        <f>Asset11</f>
        <v>Transmission line assets - medium life (45)</v>
      </c>
      <c r="G51" s="167"/>
      <c r="H51" s="66">
        <v>0.7</v>
      </c>
      <c r="I51" s="66">
        <v>5.01</v>
      </c>
      <c r="J51" s="66">
        <v>12.94</v>
      </c>
      <c r="K51" s="66">
        <v>1.39</v>
      </c>
      <c r="L51" s="341">
        <v>0.1683589500737275</v>
      </c>
      <c r="M51" s="197"/>
      <c r="N51" s="198"/>
      <c r="O51" s="198"/>
      <c r="P51" s="198"/>
      <c r="Q51" s="198"/>
      <c r="R51" s="8"/>
      <c r="S51" s="8"/>
      <c r="T51" s="8"/>
      <c r="U51" s="8"/>
      <c r="V51" s="8"/>
      <c r="W51" s="42"/>
      <c r="X51" s="9"/>
      <c r="Y51" s="9"/>
      <c r="Z51" s="9"/>
      <c r="AA51" s="9"/>
      <c r="AB51" s="9"/>
      <c r="AC51" s="9"/>
      <c r="AD51" s="9"/>
      <c r="AE51" s="204"/>
      <c r="AF51" s="204"/>
      <c r="AG51" s="204"/>
      <c r="AH51" s="204"/>
      <c r="AI51" s="204"/>
      <c r="AJ51" s="204"/>
      <c r="AK51" s="204"/>
      <c r="AL51" s="204"/>
      <c r="AM51" s="204"/>
      <c r="AN51" s="204"/>
      <c r="AO51" s="204"/>
      <c r="AP51" s="204"/>
      <c r="AQ51" s="204"/>
      <c r="AR51" s="204"/>
      <c r="AS51" s="204"/>
      <c r="AT51" s="204"/>
      <c r="AU51" s="204"/>
    </row>
    <row r="52" spans="1:47" outlineLevel="1">
      <c r="A52" s="12"/>
      <c r="B52" s="12"/>
      <c r="C52" s="12"/>
      <c r="D52" s="12"/>
      <c r="E52" s="12"/>
      <c r="F52" s="177" t="str">
        <f>Asset12</f>
        <v>Transmission line assets - short life (10)</v>
      </c>
      <c r="G52" s="167"/>
      <c r="H52" s="66">
        <v>4.5</v>
      </c>
      <c r="I52" s="66">
        <v>2.37</v>
      </c>
      <c r="J52" s="66">
        <v>1.37</v>
      </c>
      <c r="K52" s="66">
        <v>2.04</v>
      </c>
      <c r="L52" s="341">
        <v>2.2290790050804441</v>
      </c>
      <c r="M52" s="197"/>
      <c r="N52" s="198"/>
      <c r="O52" s="198"/>
      <c r="P52" s="198"/>
      <c r="Q52" s="198"/>
      <c r="R52" s="8"/>
      <c r="S52" s="8"/>
      <c r="T52" s="8"/>
      <c r="U52" s="8"/>
      <c r="V52" s="8"/>
      <c r="W52" s="42"/>
      <c r="X52" s="9"/>
      <c r="Y52" s="9"/>
      <c r="Z52" s="9"/>
      <c r="AA52" s="9"/>
      <c r="AB52" s="9"/>
      <c r="AC52" s="9"/>
      <c r="AD52" s="9"/>
      <c r="AE52" s="204"/>
      <c r="AF52" s="204"/>
      <c r="AG52" s="204"/>
      <c r="AH52" s="204"/>
      <c r="AI52" s="204"/>
      <c r="AJ52" s="204"/>
      <c r="AK52" s="204"/>
      <c r="AL52" s="204"/>
      <c r="AM52" s="204"/>
      <c r="AN52" s="204"/>
      <c r="AO52" s="204"/>
      <c r="AP52" s="204"/>
      <c r="AQ52" s="204"/>
      <c r="AR52" s="204"/>
      <c r="AS52" s="204"/>
      <c r="AT52" s="204"/>
      <c r="AU52" s="204"/>
    </row>
    <row r="53" spans="1:47" outlineLevel="1">
      <c r="A53" s="12"/>
      <c r="B53" s="12"/>
      <c r="C53" s="12"/>
      <c r="D53" s="12"/>
      <c r="E53" s="12"/>
      <c r="F53" s="177" t="str">
        <f>Asset13</f>
        <v>Substation assets - long life (60)</v>
      </c>
      <c r="G53" s="167"/>
      <c r="H53" s="66">
        <v>8.77</v>
      </c>
      <c r="I53" s="66">
        <v>12.36</v>
      </c>
      <c r="J53" s="66">
        <v>14.69</v>
      </c>
      <c r="K53" s="66">
        <v>10.29</v>
      </c>
      <c r="L53" s="341">
        <v>10.75014110670058</v>
      </c>
      <c r="M53" s="197"/>
      <c r="N53" s="198"/>
      <c r="O53" s="198"/>
      <c r="P53" s="198"/>
      <c r="Q53" s="198"/>
      <c r="R53" s="8"/>
      <c r="S53" s="8"/>
      <c r="T53" s="8"/>
      <c r="U53" s="8"/>
      <c r="V53" s="8"/>
      <c r="W53" s="42"/>
      <c r="X53" s="9"/>
      <c r="Y53" s="9"/>
      <c r="Z53" s="9"/>
      <c r="AA53" s="9"/>
      <c r="AB53" s="9"/>
      <c r="AC53" s="9"/>
      <c r="AD53" s="9"/>
      <c r="AE53" s="204"/>
      <c r="AF53" s="204"/>
      <c r="AG53" s="204"/>
      <c r="AH53" s="204"/>
      <c r="AI53" s="204"/>
      <c r="AJ53" s="204"/>
      <c r="AK53" s="204"/>
      <c r="AL53" s="204"/>
      <c r="AM53" s="204"/>
      <c r="AN53" s="204"/>
      <c r="AO53" s="204"/>
      <c r="AP53" s="204"/>
      <c r="AQ53" s="204"/>
      <c r="AR53" s="204"/>
      <c r="AS53" s="204"/>
      <c r="AT53" s="204"/>
      <c r="AU53" s="204"/>
    </row>
    <row r="54" spans="1:47" outlineLevel="1">
      <c r="A54" s="12"/>
      <c r="B54" s="12"/>
      <c r="C54" s="12"/>
      <c r="D54" s="12"/>
      <c r="E54" s="12"/>
      <c r="F54" s="177" t="str">
        <f>Asset14</f>
        <v>Substation assets - medium life (45)</v>
      </c>
      <c r="G54" s="167"/>
      <c r="H54" s="66">
        <v>25.78</v>
      </c>
      <c r="I54" s="66">
        <v>33.299999999999997</v>
      </c>
      <c r="J54" s="66">
        <v>35.19</v>
      </c>
      <c r="K54" s="66">
        <v>27.43</v>
      </c>
      <c r="L54" s="341">
        <v>23.343495537318589</v>
      </c>
      <c r="M54" s="197"/>
      <c r="N54" s="198"/>
      <c r="O54" s="198"/>
      <c r="P54" s="198"/>
      <c r="Q54" s="198"/>
      <c r="R54" s="8"/>
      <c r="S54" s="8"/>
      <c r="T54" s="8"/>
      <c r="U54" s="8"/>
      <c r="V54" s="8"/>
      <c r="W54" s="42"/>
      <c r="X54" s="9"/>
      <c r="Y54" s="9"/>
      <c r="Z54" s="9"/>
      <c r="AA54" s="9"/>
      <c r="AB54" s="9"/>
      <c r="AC54" s="9"/>
      <c r="AD54" s="9"/>
      <c r="AE54" s="204"/>
      <c r="AF54" s="204"/>
      <c r="AG54" s="204"/>
      <c r="AH54" s="204"/>
      <c r="AI54" s="204"/>
      <c r="AJ54" s="204"/>
      <c r="AK54" s="204"/>
      <c r="AL54" s="204"/>
      <c r="AM54" s="204"/>
      <c r="AN54" s="204"/>
      <c r="AO54" s="204"/>
      <c r="AP54" s="204"/>
      <c r="AQ54" s="204"/>
      <c r="AR54" s="204"/>
      <c r="AS54" s="204"/>
      <c r="AT54" s="204"/>
      <c r="AU54" s="204"/>
    </row>
    <row r="55" spans="1:47" outlineLevel="1">
      <c r="A55" s="12"/>
      <c r="B55" s="12"/>
      <c r="C55" s="12"/>
      <c r="D55" s="12"/>
      <c r="E55" s="12"/>
      <c r="F55" s="177" t="str">
        <f>Asset15</f>
        <v>Substation assets - short life (15)</v>
      </c>
      <c r="G55" s="167"/>
      <c r="H55" s="66">
        <v>3.63</v>
      </c>
      <c r="I55" s="66">
        <v>2.7</v>
      </c>
      <c r="J55" s="66">
        <v>2.96</v>
      </c>
      <c r="K55" s="66">
        <v>2.64</v>
      </c>
      <c r="L55" s="341">
        <v>5.2123497125930731</v>
      </c>
      <c r="M55" s="197"/>
      <c r="N55" s="198"/>
      <c r="O55" s="198"/>
      <c r="P55" s="198"/>
      <c r="Q55" s="198"/>
      <c r="R55" s="8"/>
      <c r="S55" s="8"/>
      <c r="T55" s="8"/>
      <c r="U55" s="8"/>
      <c r="V55" s="8"/>
      <c r="W55" s="42"/>
      <c r="X55" s="9"/>
      <c r="Y55" s="9"/>
      <c r="Z55" s="9"/>
      <c r="AA55" s="9"/>
      <c r="AB55" s="9"/>
      <c r="AC55" s="9"/>
      <c r="AD55" s="9"/>
      <c r="AE55" s="204"/>
      <c r="AF55" s="204"/>
      <c r="AG55" s="204"/>
      <c r="AH55" s="204"/>
      <c r="AI55" s="204"/>
      <c r="AJ55" s="204"/>
      <c r="AK55" s="204"/>
      <c r="AL55" s="204"/>
      <c r="AM55" s="204"/>
      <c r="AN55" s="204"/>
      <c r="AO55" s="204"/>
      <c r="AP55" s="204"/>
      <c r="AQ55" s="204"/>
      <c r="AR55" s="204"/>
      <c r="AS55" s="204"/>
      <c r="AT55" s="204"/>
      <c r="AU55" s="204"/>
    </row>
    <row r="56" spans="1:47" outlineLevel="1">
      <c r="A56" s="12"/>
      <c r="B56" s="12"/>
      <c r="C56" s="12"/>
      <c r="D56" s="12"/>
      <c r="E56" s="12"/>
      <c r="F56" s="177" t="str">
        <f>Asset16</f>
        <v>Protection and control - short life (15)</v>
      </c>
      <c r="G56" s="167"/>
      <c r="H56" s="66">
        <v>11.87</v>
      </c>
      <c r="I56" s="66">
        <v>14.02</v>
      </c>
      <c r="J56" s="356">
        <f>17.3+2.912+5.11+0.979+0.23+2.69+0.33</f>
        <v>29.550999999999998</v>
      </c>
      <c r="K56" s="66">
        <v>16.47</v>
      </c>
      <c r="L56" s="341">
        <v>13.923848065724242</v>
      </c>
      <c r="M56" s="197"/>
      <c r="N56" s="198"/>
      <c r="O56" s="198"/>
      <c r="P56" s="198"/>
      <c r="Q56" s="198"/>
      <c r="R56" s="8"/>
      <c r="S56" s="8"/>
      <c r="T56" s="8"/>
      <c r="U56" s="8"/>
      <c r="V56" s="8"/>
      <c r="W56" s="42"/>
      <c r="X56" s="9"/>
      <c r="Y56" s="9"/>
      <c r="Z56" s="9"/>
      <c r="AA56" s="9"/>
      <c r="AB56" s="9"/>
      <c r="AC56" s="9"/>
      <c r="AD56" s="9"/>
      <c r="AE56" s="204"/>
      <c r="AF56" s="204"/>
      <c r="AG56" s="204"/>
      <c r="AH56" s="204"/>
      <c r="AI56" s="204"/>
      <c r="AJ56" s="204"/>
      <c r="AK56" s="204"/>
      <c r="AL56" s="204"/>
      <c r="AM56" s="204"/>
      <c r="AN56" s="204"/>
      <c r="AO56" s="204"/>
      <c r="AP56" s="204"/>
      <c r="AQ56" s="204"/>
      <c r="AR56" s="204"/>
      <c r="AS56" s="204"/>
      <c r="AT56" s="204"/>
      <c r="AU56" s="204"/>
    </row>
    <row r="57" spans="1:47" outlineLevel="1">
      <c r="A57" s="12"/>
      <c r="B57" s="12"/>
      <c r="C57" s="12"/>
      <c r="D57" s="12"/>
      <c r="E57" s="12"/>
      <c r="F57" s="177" t="str">
        <f>Asset17</f>
        <v>Protection and control - short life (4)</v>
      </c>
      <c r="G57" s="167"/>
      <c r="H57" s="66">
        <v>0.25</v>
      </c>
      <c r="I57" s="66">
        <v>0.37</v>
      </c>
      <c r="J57" s="66">
        <v>0.95</v>
      </c>
      <c r="K57" s="66">
        <v>0</v>
      </c>
      <c r="L57" s="341">
        <v>0</v>
      </c>
      <c r="M57" s="197"/>
      <c r="N57" s="198"/>
      <c r="O57" s="198"/>
      <c r="P57" s="198"/>
      <c r="Q57" s="198"/>
      <c r="R57" s="8"/>
      <c r="S57" s="8"/>
      <c r="T57" s="8"/>
      <c r="U57" s="8"/>
      <c r="V57" s="8"/>
      <c r="W57" s="42"/>
      <c r="X57" s="9"/>
      <c r="Y57" s="9"/>
      <c r="Z57" s="9"/>
      <c r="AA57" s="9"/>
      <c r="AB57" s="9"/>
      <c r="AC57" s="9"/>
      <c r="AD57" s="9"/>
      <c r="AE57" s="204"/>
      <c r="AF57" s="204"/>
      <c r="AG57" s="204"/>
      <c r="AH57" s="204"/>
      <c r="AI57" s="204"/>
      <c r="AJ57" s="204"/>
      <c r="AK57" s="204"/>
      <c r="AL57" s="204"/>
      <c r="AM57" s="204"/>
      <c r="AN57" s="204"/>
      <c r="AO57" s="204"/>
      <c r="AP57" s="204"/>
      <c r="AQ57" s="204"/>
      <c r="AR57" s="204"/>
      <c r="AS57" s="204"/>
      <c r="AT57" s="204"/>
      <c r="AU57" s="204"/>
    </row>
    <row r="58" spans="1:47" outlineLevel="1">
      <c r="A58" s="12"/>
      <c r="B58" s="12"/>
      <c r="C58" s="12"/>
      <c r="D58" s="12"/>
      <c r="E58" s="12"/>
      <c r="F58" s="177" t="str">
        <f>Asset18</f>
        <v>Transmission operations - short life (10)</v>
      </c>
      <c r="G58" s="167"/>
      <c r="H58" s="66">
        <v>1.2</v>
      </c>
      <c r="I58" s="66">
        <v>2.0299999999999998</v>
      </c>
      <c r="J58" s="66">
        <v>2.1</v>
      </c>
      <c r="K58" s="66">
        <v>2.0299999999999998</v>
      </c>
      <c r="L58" s="341">
        <v>0.877911</v>
      </c>
      <c r="M58" s="197"/>
      <c r="N58" s="198"/>
      <c r="O58" s="198"/>
      <c r="P58" s="198"/>
      <c r="Q58" s="198"/>
      <c r="R58" s="8"/>
      <c r="S58" s="8"/>
      <c r="T58" s="8"/>
      <c r="U58" s="8"/>
      <c r="V58" s="8"/>
      <c r="W58" s="42"/>
      <c r="X58" s="9"/>
      <c r="Y58" s="9"/>
      <c r="Z58" s="9"/>
      <c r="AA58" s="9"/>
      <c r="AB58" s="9"/>
      <c r="AC58" s="9"/>
      <c r="AD58" s="9"/>
      <c r="AE58" s="204"/>
      <c r="AF58" s="204"/>
      <c r="AG58" s="204"/>
      <c r="AH58" s="204"/>
      <c r="AI58" s="204"/>
      <c r="AJ58" s="204"/>
      <c r="AK58" s="204"/>
      <c r="AL58" s="204"/>
      <c r="AM58" s="204"/>
      <c r="AN58" s="204"/>
      <c r="AO58" s="204"/>
      <c r="AP58" s="204"/>
      <c r="AQ58" s="204"/>
      <c r="AR58" s="204"/>
      <c r="AS58" s="204"/>
      <c r="AT58" s="204"/>
      <c r="AU58" s="204"/>
    </row>
    <row r="59" spans="1:47" outlineLevel="1">
      <c r="A59" s="12"/>
      <c r="B59" s="12"/>
      <c r="C59" s="12"/>
      <c r="D59" s="12"/>
      <c r="E59" s="12"/>
      <c r="F59" s="177" t="str">
        <f>Asset19</f>
        <v>Transmission operations - short life (4)</v>
      </c>
      <c r="G59" s="167"/>
      <c r="H59" s="66">
        <v>0.01</v>
      </c>
      <c r="I59" s="66">
        <v>0</v>
      </c>
      <c r="J59" s="66">
        <v>0.14000000000000001</v>
      </c>
      <c r="K59" s="66">
        <v>0</v>
      </c>
      <c r="L59" s="341">
        <v>0</v>
      </c>
      <c r="M59" s="197"/>
      <c r="N59" s="198"/>
      <c r="O59" s="198"/>
      <c r="P59" s="198"/>
      <c r="Q59" s="198"/>
      <c r="R59" s="8"/>
      <c r="S59" s="8"/>
      <c r="T59" s="8"/>
      <c r="U59" s="8"/>
      <c r="V59" s="8"/>
      <c r="W59" s="42"/>
      <c r="X59" s="9"/>
      <c r="Y59" s="9"/>
      <c r="Z59" s="9"/>
      <c r="AA59" s="9"/>
      <c r="AB59" s="9"/>
      <c r="AC59" s="9"/>
      <c r="AD59" s="9"/>
      <c r="AE59" s="204"/>
      <c r="AF59" s="204"/>
      <c r="AG59" s="204"/>
      <c r="AH59" s="204"/>
      <c r="AI59" s="204"/>
      <c r="AJ59" s="204"/>
      <c r="AK59" s="204"/>
      <c r="AL59" s="204"/>
      <c r="AM59" s="204"/>
      <c r="AN59" s="204"/>
      <c r="AO59" s="204"/>
      <c r="AP59" s="204"/>
      <c r="AQ59" s="204"/>
      <c r="AR59" s="204"/>
      <c r="AS59" s="204"/>
      <c r="AT59" s="204"/>
      <c r="AU59" s="204"/>
    </row>
    <row r="60" spans="1:47" outlineLevel="1">
      <c r="A60" s="12"/>
      <c r="B60" s="12"/>
      <c r="C60" s="12"/>
      <c r="D60" s="12"/>
      <c r="E60" s="12"/>
      <c r="F60" s="311" t="str">
        <f>Asset20</f>
        <v>Other - medium life (40)</v>
      </c>
      <c r="G60" s="310"/>
      <c r="H60" s="66">
        <v>11.01</v>
      </c>
      <c r="I60" s="66">
        <v>9.36</v>
      </c>
      <c r="J60" s="66">
        <f>-0.53+1.219</f>
        <v>0.68900000000000006</v>
      </c>
      <c r="K60" s="66">
        <v>0.21</v>
      </c>
      <c r="L60" s="341">
        <v>2.4388700000000001</v>
      </c>
      <c r="M60" s="197"/>
      <c r="N60" s="198"/>
      <c r="O60" s="198"/>
      <c r="P60" s="198"/>
      <c r="Q60" s="198"/>
      <c r="R60" s="8"/>
      <c r="S60" s="8"/>
      <c r="T60" s="8"/>
      <c r="U60" s="8"/>
      <c r="V60" s="8"/>
      <c r="W60" s="42"/>
      <c r="X60" s="9"/>
      <c r="Y60" s="9"/>
      <c r="Z60" s="9"/>
      <c r="AA60" s="9"/>
      <c r="AB60" s="9"/>
      <c r="AC60" s="9"/>
      <c r="AD60" s="9"/>
      <c r="AE60" s="204"/>
      <c r="AF60" s="204"/>
      <c r="AG60" s="204"/>
      <c r="AH60" s="204"/>
      <c r="AI60" s="204"/>
      <c r="AJ60" s="204"/>
      <c r="AK60" s="204"/>
      <c r="AL60" s="204"/>
      <c r="AM60" s="204"/>
      <c r="AN60" s="204"/>
      <c r="AO60" s="204"/>
      <c r="AP60" s="204"/>
      <c r="AQ60" s="204"/>
      <c r="AR60" s="204"/>
      <c r="AS60" s="204"/>
      <c r="AT60" s="204"/>
      <c r="AU60" s="204"/>
    </row>
    <row r="61" spans="1:47" outlineLevel="1">
      <c r="A61" s="12"/>
      <c r="B61" s="12"/>
      <c r="C61" s="12"/>
      <c r="D61" s="12"/>
      <c r="E61" s="12"/>
      <c r="F61" s="311" t="str">
        <f>Asset21</f>
        <v>Other - short life (9)</v>
      </c>
      <c r="G61" s="310"/>
      <c r="H61" s="66">
        <v>0.38</v>
      </c>
      <c r="I61" s="66">
        <v>0.48</v>
      </c>
      <c r="J61" s="66">
        <f>0.28+0.449</f>
        <v>0.72900000000000009</v>
      </c>
      <c r="K61" s="66">
        <v>0.22</v>
      </c>
      <c r="L61" s="341">
        <v>0.50408399999999998</v>
      </c>
      <c r="M61" s="197"/>
      <c r="N61" s="198"/>
      <c r="O61" s="198"/>
      <c r="P61" s="198"/>
      <c r="Q61" s="198"/>
      <c r="R61" s="8"/>
      <c r="S61" s="8"/>
      <c r="T61" s="8"/>
      <c r="U61" s="8"/>
      <c r="V61" s="8"/>
      <c r="W61" s="42"/>
      <c r="X61" s="9"/>
      <c r="Y61" s="9"/>
      <c r="Z61" s="9"/>
      <c r="AA61" s="9"/>
      <c r="AB61" s="9"/>
      <c r="AC61" s="9"/>
      <c r="AD61" s="9"/>
      <c r="AE61" s="204"/>
      <c r="AF61" s="204"/>
      <c r="AG61" s="204"/>
      <c r="AH61" s="204"/>
      <c r="AI61" s="204"/>
      <c r="AJ61" s="204"/>
      <c r="AK61" s="204"/>
      <c r="AL61" s="204"/>
      <c r="AM61" s="204"/>
      <c r="AN61" s="204"/>
      <c r="AO61" s="204"/>
      <c r="AP61" s="204"/>
      <c r="AQ61" s="204"/>
      <c r="AR61" s="204"/>
      <c r="AS61" s="204"/>
      <c r="AT61" s="204"/>
      <c r="AU61" s="204"/>
    </row>
    <row r="62" spans="1:47" outlineLevel="1">
      <c r="A62" s="12"/>
      <c r="B62" s="12"/>
      <c r="C62" s="12"/>
      <c r="D62" s="12"/>
      <c r="E62" s="12"/>
      <c r="F62" s="311" t="str">
        <f>Asset22</f>
        <v>Other - short life (4)</v>
      </c>
      <c r="G62" s="310"/>
      <c r="H62" s="66">
        <v>2.96</v>
      </c>
      <c r="I62" s="66">
        <v>3.38</v>
      </c>
      <c r="J62" s="66">
        <f>4.71+0.03</f>
        <v>4.74</v>
      </c>
      <c r="K62" s="66">
        <v>1.94</v>
      </c>
      <c r="L62" s="341">
        <v>2.2098779999999998</v>
      </c>
      <c r="M62" s="197"/>
      <c r="N62" s="198"/>
      <c r="O62" s="198"/>
      <c r="P62" s="198"/>
      <c r="Q62" s="198"/>
      <c r="R62" s="8"/>
      <c r="S62" s="8"/>
      <c r="T62" s="8"/>
      <c r="U62" s="8"/>
      <c r="V62" s="8"/>
      <c r="W62" s="42"/>
      <c r="X62" s="9"/>
      <c r="Y62" s="9"/>
      <c r="Z62" s="9"/>
      <c r="AA62" s="9"/>
      <c r="AB62" s="9"/>
      <c r="AC62" s="9"/>
      <c r="AD62" s="9"/>
      <c r="AE62" s="204"/>
      <c r="AF62" s="204"/>
      <c r="AG62" s="204"/>
      <c r="AH62" s="204"/>
      <c r="AI62" s="204"/>
      <c r="AJ62" s="204"/>
      <c r="AK62" s="204"/>
      <c r="AL62" s="204"/>
      <c r="AM62" s="204"/>
      <c r="AN62" s="204"/>
      <c r="AO62" s="204"/>
      <c r="AP62" s="204"/>
      <c r="AQ62" s="204"/>
      <c r="AR62" s="204"/>
      <c r="AS62" s="204"/>
      <c r="AT62" s="204"/>
      <c r="AU62" s="204"/>
    </row>
    <row r="63" spans="1:47" outlineLevel="1">
      <c r="A63" s="12"/>
      <c r="B63" s="12"/>
      <c r="C63" s="12"/>
      <c r="D63" s="12"/>
      <c r="E63" s="12"/>
      <c r="F63" s="311" t="str">
        <f>Asset23</f>
        <v>Land and Easements</v>
      </c>
      <c r="G63" s="310"/>
      <c r="H63" s="66">
        <v>0.53</v>
      </c>
      <c r="I63" s="66">
        <v>1.33</v>
      </c>
      <c r="J63" s="66">
        <f>1.84+0.463</f>
        <v>2.3029999999999999</v>
      </c>
      <c r="K63" s="66">
        <v>0.63</v>
      </c>
      <c r="L63" s="341">
        <v>1.2285965439120754</v>
      </c>
      <c r="M63" s="197"/>
      <c r="N63" s="198"/>
      <c r="O63" s="198"/>
      <c r="P63" s="198"/>
      <c r="Q63" s="198"/>
      <c r="R63" s="8"/>
      <c r="S63" s="8"/>
      <c r="T63" s="8"/>
      <c r="U63" s="8"/>
      <c r="V63" s="8"/>
      <c r="W63" s="42"/>
      <c r="X63" s="9"/>
      <c r="Y63" s="9"/>
      <c r="Z63" s="9"/>
      <c r="AA63" s="9"/>
      <c r="AB63" s="9"/>
      <c r="AC63" s="9"/>
      <c r="AD63" s="9"/>
      <c r="AE63" s="204"/>
      <c r="AF63" s="204"/>
      <c r="AG63" s="204"/>
      <c r="AH63" s="204"/>
      <c r="AI63" s="204"/>
      <c r="AJ63" s="204"/>
      <c r="AK63" s="204"/>
      <c r="AL63" s="204"/>
      <c r="AM63" s="204"/>
      <c r="AN63" s="204"/>
      <c r="AO63" s="204"/>
      <c r="AP63" s="204"/>
      <c r="AQ63" s="204"/>
      <c r="AR63" s="204"/>
      <c r="AS63" s="204"/>
      <c r="AT63" s="204"/>
      <c r="AU63" s="204"/>
    </row>
    <row r="64" spans="1:47" outlineLevel="1">
      <c r="A64" s="12"/>
      <c r="B64" s="12"/>
      <c r="C64" s="12"/>
      <c r="D64" s="12"/>
      <c r="E64" s="12"/>
      <c r="F64" s="311" t="str">
        <f>Asset24</f>
        <v>Equity Raising</v>
      </c>
      <c r="G64" s="310"/>
      <c r="H64" s="356">
        <f>0.417304084487205*(1+H245)^0.5</f>
        <v>0.42328724402768747</v>
      </c>
      <c r="I64" s="66"/>
      <c r="J64" s="66"/>
      <c r="K64" s="66"/>
      <c r="L64" s="66"/>
      <c r="M64" s="197"/>
      <c r="N64" s="198"/>
      <c r="O64" s="198"/>
      <c r="P64" s="198"/>
      <c r="Q64" s="198"/>
      <c r="R64" s="8"/>
      <c r="S64" s="8"/>
      <c r="T64" s="8"/>
      <c r="U64" s="8"/>
      <c r="V64" s="8"/>
      <c r="W64" s="42"/>
      <c r="X64" s="9"/>
      <c r="Y64" s="9"/>
      <c r="Z64" s="9"/>
      <c r="AA64" s="9"/>
      <c r="AB64" s="9"/>
      <c r="AC64" s="9"/>
      <c r="AD64" s="9"/>
      <c r="AE64" s="204"/>
      <c r="AF64" s="204"/>
      <c r="AG64" s="204"/>
      <c r="AH64" s="204"/>
      <c r="AI64" s="204"/>
      <c r="AJ64" s="204"/>
      <c r="AK64" s="204"/>
      <c r="AL64" s="204"/>
      <c r="AM64" s="204"/>
      <c r="AN64" s="204"/>
      <c r="AO64" s="204"/>
      <c r="AP64" s="204"/>
      <c r="AQ64" s="204"/>
      <c r="AR64" s="204"/>
      <c r="AS64" s="204"/>
      <c r="AT64" s="204"/>
      <c r="AU64" s="204"/>
    </row>
    <row r="65" spans="1:47" outlineLevel="1">
      <c r="A65" s="12"/>
      <c r="B65" s="12"/>
      <c r="C65" s="12"/>
      <c r="D65" s="12"/>
      <c r="E65" s="12"/>
      <c r="F65" s="311">
        <f>Asset25</f>
        <v>0</v>
      </c>
      <c r="G65" s="310"/>
      <c r="H65" s="66"/>
      <c r="I65" s="66"/>
      <c r="J65" s="66"/>
      <c r="K65" s="66"/>
      <c r="L65" s="66"/>
      <c r="M65" s="197"/>
      <c r="N65" s="198"/>
      <c r="O65" s="198"/>
      <c r="P65" s="198"/>
      <c r="Q65" s="198"/>
      <c r="R65" s="8"/>
      <c r="S65" s="8"/>
      <c r="T65" s="8"/>
      <c r="U65" s="8"/>
      <c r="V65" s="8"/>
      <c r="W65" s="42"/>
      <c r="X65" s="9"/>
      <c r="Y65" s="9"/>
      <c r="Z65" s="9"/>
      <c r="AA65" s="9"/>
      <c r="AB65" s="9"/>
      <c r="AC65" s="9"/>
      <c r="AD65" s="9"/>
      <c r="AE65" s="204"/>
      <c r="AF65" s="204"/>
      <c r="AG65" s="204"/>
      <c r="AH65" s="204"/>
      <c r="AI65" s="204"/>
      <c r="AJ65" s="204"/>
      <c r="AK65" s="204"/>
      <c r="AL65" s="204"/>
      <c r="AM65" s="204"/>
      <c r="AN65" s="204"/>
      <c r="AO65" s="204"/>
      <c r="AP65" s="204"/>
      <c r="AQ65" s="204"/>
      <c r="AR65" s="204"/>
      <c r="AS65" s="204"/>
      <c r="AT65" s="204"/>
      <c r="AU65" s="204"/>
    </row>
    <row r="66" spans="1:47" outlineLevel="1">
      <c r="A66" s="12"/>
      <c r="B66" s="12"/>
      <c r="C66" s="12"/>
      <c r="D66" s="12"/>
      <c r="E66" s="12"/>
      <c r="F66" s="311">
        <f>Asset26</f>
        <v>0</v>
      </c>
      <c r="G66" s="310"/>
      <c r="H66" s="66"/>
      <c r="I66" s="66"/>
      <c r="J66" s="66"/>
      <c r="K66" s="66"/>
      <c r="L66" s="66"/>
      <c r="M66" s="197"/>
      <c r="N66" s="198"/>
      <c r="O66" s="198"/>
      <c r="P66" s="198"/>
      <c r="Q66" s="198"/>
      <c r="R66" s="8"/>
      <c r="S66" s="8"/>
      <c r="T66" s="8"/>
      <c r="U66" s="8"/>
      <c r="V66" s="8"/>
      <c r="W66" s="42"/>
      <c r="X66" s="9"/>
      <c r="Y66" s="9"/>
      <c r="Z66" s="9"/>
      <c r="AA66" s="9"/>
      <c r="AB66" s="9"/>
      <c r="AC66" s="9"/>
      <c r="AD66" s="9"/>
      <c r="AE66" s="204"/>
      <c r="AF66" s="204"/>
      <c r="AG66" s="204"/>
      <c r="AH66" s="204"/>
      <c r="AI66" s="204"/>
      <c r="AJ66" s="204"/>
      <c r="AK66" s="204"/>
      <c r="AL66" s="204"/>
      <c r="AM66" s="204"/>
      <c r="AN66" s="204"/>
      <c r="AO66" s="204"/>
      <c r="AP66" s="204"/>
      <c r="AQ66" s="204"/>
      <c r="AR66" s="204"/>
      <c r="AS66" s="204"/>
      <c r="AT66" s="204"/>
      <c r="AU66" s="204"/>
    </row>
    <row r="67" spans="1:47" outlineLevel="1">
      <c r="A67" s="12"/>
      <c r="B67" s="12"/>
      <c r="C67" s="12"/>
      <c r="D67" s="12"/>
      <c r="E67" s="12"/>
      <c r="F67" s="311">
        <f>Asset27</f>
        <v>0</v>
      </c>
      <c r="G67" s="310"/>
      <c r="H67" s="66"/>
      <c r="I67" s="66"/>
      <c r="J67" s="66"/>
      <c r="K67" s="66"/>
      <c r="L67" s="66"/>
      <c r="M67" s="197"/>
      <c r="N67" s="198"/>
      <c r="O67" s="198"/>
      <c r="P67" s="198"/>
      <c r="Q67" s="198"/>
      <c r="R67" s="8"/>
      <c r="S67" s="8"/>
      <c r="T67" s="8"/>
      <c r="U67" s="8"/>
      <c r="V67" s="8"/>
      <c r="W67" s="42"/>
      <c r="X67" s="9"/>
      <c r="Y67" s="9"/>
      <c r="Z67" s="9"/>
      <c r="AA67" s="9"/>
      <c r="AB67" s="9"/>
      <c r="AC67" s="9"/>
      <c r="AD67" s="9"/>
      <c r="AE67" s="204"/>
      <c r="AF67" s="204"/>
      <c r="AG67" s="204"/>
      <c r="AH67" s="204"/>
      <c r="AI67" s="204"/>
      <c r="AJ67" s="204"/>
      <c r="AK67" s="204"/>
      <c r="AL67" s="204"/>
      <c r="AM67" s="204"/>
      <c r="AN67" s="204"/>
      <c r="AO67" s="204"/>
      <c r="AP67" s="204"/>
      <c r="AQ67" s="204"/>
      <c r="AR67" s="204"/>
      <c r="AS67" s="204"/>
      <c r="AT67" s="204"/>
      <c r="AU67" s="204"/>
    </row>
    <row r="68" spans="1:47" outlineLevel="1">
      <c r="A68" s="12"/>
      <c r="B68" s="12"/>
      <c r="C68" s="12"/>
      <c r="D68" s="12"/>
      <c r="E68" s="12"/>
      <c r="F68" s="311">
        <f>Asset28</f>
        <v>0</v>
      </c>
      <c r="G68" s="310"/>
      <c r="H68" s="66"/>
      <c r="I68" s="66"/>
      <c r="J68" s="66"/>
      <c r="K68" s="66"/>
      <c r="L68" s="66"/>
      <c r="M68" s="197"/>
      <c r="N68" s="198"/>
      <c r="O68" s="198"/>
      <c r="P68" s="198"/>
      <c r="Q68" s="198"/>
      <c r="R68" s="8"/>
      <c r="S68" s="8"/>
      <c r="T68" s="8"/>
      <c r="U68" s="8"/>
      <c r="V68" s="8"/>
      <c r="W68" s="42"/>
      <c r="X68" s="9"/>
      <c r="Y68" s="9"/>
      <c r="Z68" s="9"/>
      <c r="AA68" s="9"/>
      <c r="AB68" s="9"/>
      <c r="AC68" s="9"/>
      <c r="AD68" s="9"/>
      <c r="AE68" s="204"/>
      <c r="AF68" s="204"/>
      <c r="AG68" s="204"/>
      <c r="AH68" s="204"/>
      <c r="AI68" s="204"/>
      <c r="AJ68" s="204"/>
      <c r="AK68" s="204"/>
      <c r="AL68" s="204"/>
      <c r="AM68" s="204"/>
      <c r="AN68" s="204"/>
      <c r="AO68" s="204"/>
      <c r="AP68" s="204"/>
      <c r="AQ68" s="204"/>
      <c r="AR68" s="204"/>
      <c r="AS68" s="204"/>
      <c r="AT68" s="204"/>
      <c r="AU68" s="204"/>
    </row>
    <row r="69" spans="1:47" outlineLevel="1">
      <c r="A69" s="12"/>
      <c r="B69" s="12"/>
      <c r="C69" s="12"/>
      <c r="D69" s="12"/>
      <c r="E69" s="12"/>
      <c r="F69" s="311">
        <f>Asset29</f>
        <v>0</v>
      </c>
      <c r="G69" s="310"/>
      <c r="H69" s="66"/>
      <c r="I69" s="66"/>
      <c r="J69" s="66"/>
      <c r="K69" s="66"/>
      <c r="L69" s="66"/>
      <c r="M69" s="197"/>
      <c r="N69" s="198"/>
      <c r="O69" s="198"/>
      <c r="P69" s="198"/>
      <c r="Q69" s="198"/>
      <c r="R69" s="8"/>
      <c r="S69" s="8"/>
      <c r="T69" s="8"/>
      <c r="U69" s="8"/>
      <c r="V69" s="8"/>
      <c r="W69" s="42"/>
      <c r="X69" s="9"/>
      <c r="Y69" s="9"/>
      <c r="Z69" s="9"/>
      <c r="AA69" s="9"/>
      <c r="AB69" s="9"/>
      <c r="AC69" s="9"/>
      <c r="AD69" s="9"/>
      <c r="AE69" s="204"/>
      <c r="AF69" s="204"/>
      <c r="AG69" s="204"/>
      <c r="AH69" s="204"/>
      <c r="AI69" s="204"/>
      <c r="AJ69" s="204"/>
      <c r="AK69" s="204"/>
      <c r="AL69" s="204"/>
      <c r="AM69" s="204"/>
      <c r="AN69" s="204"/>
      <c r="AO69" s="204"/>
      <c r="AP69" s="204"/>
      <c r="AQ69" s="204"/>
      <c r="AR69" s="204"/>
      <c r="AS69" s="204"/>
      <c r="AT69" s="204"/>
      <c r="AU69" s="204"/>
    </row>
    <row r="70" spans="1:47" outlineLevel="1">
      <c r="A70" s="12"/>
      <c r="B70" s="12"/>
      <c r="C70" s="12"/>
      <c r="D70" s="12"/>
      <c r="E70" s="12"/>
      <c r="F70" s="311">
        <f>Asset30</f>
        <v>0</v>
      </c>
      <c r="G70" s="310"/>
      <c r="H70" s="66"/>
      <c r="I70" s="66"/>
      <c r="J70" s="66"/>
      <c r="K70" s="66"/>
      <c r="L70" s="66"/>
      <c r="M70" s="197"/>
      <c r="N70" s="198"/>
      <c r="O70" s="198"/>
      <c r="P70" s="198"/>
      <c r="Q70" s="198"/>
      <c r="R70" s="8"/>
      <c r="S70" s="8"/>
      <c r="T70" s="8"/>
      <c r="U70" s="8"/>
      <c r="V70" s="8"/>
      <c r="W70" s="42"/>
      <c r="X70" s="9"/>
      <c r="Y70" s="9"/>
      <c r="Z70" s="9"/>
      <c r="AA70" s="9"/>
      <c r="AB70" s="9"/>
      <c r="AC70" s="9"/>
      <c r="AD70" s="9"/>
      <c r="AE70" s="204"/>
      <c r="AF70" s="204"/>
      <c r="AG70" s="204"/>
      <c r="AH70" s="204"/>
      <c r="AI70" s="204"/>
      <c r="AJ70" s="204"/>
      <c r="AK70" s="204"/>
      <c r="AL70" s="204"/>
      <c r="AM70" s="204"/>
      <c r="AN70" s="204"/>
      <c r="AO70" s="204"/>
      <c r="AP70" s="204"/>
      <c r="AQ70" s="204"/>
      <c r="AR70" s="204"/>
      <c r="AS70" s="204"/>
      <c r="AT70" s="204"/>
      <c r="AU70" s="204"/>
    </row>
    <row r="71" spans="1:47">
      <c r="A71" s="12"/>
      <c r="B71" s="12"/>
      <c r="C71" s="12"/>
      <c r="D71" s="12"/>
      <c r="E71" s="12"/>
      <c r="F71" s="177" t="s">
        <v>19</v>
      </c>
      <c r="G71" s="316">
        <f t="shared" ref="G71:Q71" si="5">SUM(G41:G70)</f>
        <v>66.989000000000004</v>
      </c>
      <c r="H71" s="316">
        <f t="shared" si="5"/>
        <v>132.76328724402768</v>
      </c>
      <c r="I71" s="316">
        <f t="shared" si="5"/>
        <v>115.55</v>
      </c>
      <c r="J71" s="316">
        <f t="shared" si="5"/>
        <v>125.66199999999998</v>
      </c>
      <c r="K71" s="316">
        <f t="shared" si="5"/>
        <v>85.129999999999981</v>
      </c>
      <c r="L71" s="316">
        <f t="shared" si="5"/>
        <v>87.129564000000002</v>
      </c>
      <c r="M71" s="316">
        <f t="shared" si="5"/>
        <v>0</v>
      </c>
      <c r="N71" s="316">
        <f t="shared" si="5"/>
        <v>0</v>
      </c>
      <c r="O71" s="316">
        <f t="shared" si="5"/>
        <v>0</v>
      </c>
      <c r="P71" s="316">
        <f t="shared" si="5"/>
        <v>0</v>
      </c>
      <c r="Q71" s="316">
        <f t="shared" si="5"/>
        <v>0</v>
      </c>
      <c r="R71" s="36"/>
      <c r="S71" s="36"/>
      <c r="T71" s="36"/>
      <c r="U71" s="36"/>
      <c r="V71" s="36"/>
      <c r="W71" s="36"/>
      <c r="X71" s="48"/>
      <c r="Y71" s="8"/>
      <c r="Z71" s="8"/>
      <c r="AA71" s="42"/>
      <c r="AB71" s="9"/>
      <c r="AC71" s="9"/>
      <c r="AD71" s="9"/>
      <c r="AE71" s="204"/>
      <c r="AF71" s="204"/>
      <c r="AG71" s="204"/>
      <c r="AH71" s="204"/>
      <c r="AI71" s="204"/>
      <c r="AJ71" s="204"/>
      <c r="AK71" s="204"/>
      <c r="AL71" s="204"/>
      <c r="AM71" s="204"/>
      <c r="AN71" s="204"/>
      <c r="AO71" s="204"/>
      <c r="AP71" s="204"/>
      <c r="AQ71" s="204"/>
      <c r="AR71" s="204"/>
      <c r="AS71" s="204"/>
      <c r="AT71" s="204"/>
      <c r="AU71" s="204"/>
    </row>
    <row r="72" spans="1:47" ht="21" customHeight="1">
      <c r="A72" s="9"/>
      <c r="B72" s="9"/>
      <c r="C72" s="9"/>
      <c r="D72" s="9"/>
      <c r="E72" s="9"/>
      <c r="F72" s="9"/>
      <c r="G72" s="9"/>
      <c r="H72" s="18"/>
      <c r="I72" s="20"/>
      <c r="J72" s="9"/>
      <c r="K72" s="9"/>
      <c r="L72" s="9"/>
      <c r="M72" s="9"/>
      <c r="N72" s="9"/>
      <c r="O72" s="9"/>
      <c r="P72" s="9"/>
      <c r="Q72" s="9"/>
      <c r="R72" s="251">
        <f>SUM(G71:Q71)</f>
        <v>613.22385124402763</v>
      </c>
      <c r="S72" s="9"/>
      <c r="T72" s="9"/>
      <c r="U72" s="9"/>
      <c r="V72" s="9"/>
      <c r="W72" s="9"/>
      <c r="X72" s="9"/>
      <c r="Y72" s="9"/>
      <c r="Z72" s="9"/>
      <c r="AA72" s="19"/>
      <c r="AB72" s="9"/>
      <c r="AC72" s="9"/>
      <c r="AD72" s="9"/>
      <c r="AE72" s="204"/>
      <c r="AF72" s="204"/>
      <c r="AG72" s="204"/>
      <c r="AH72" s="204"/>
      <c r="AI72" s="204"/>
      <c r="AJ72" s="204"/>
      <c r="AK72" s="204"/>
      <c r="AL72" s="204"/>
      <c r="AM72" s="204"/>
      <c r="AN72" s="204"/>
      <c r="AO72" s="204"/>
      <c r="AP72" s="204"/>
      <c r="AQ72" s="204"/>
      <c r="AR72" s="204"/>
      <c r="AS72" s="204"/>
      <c r="AT72" s="204"/>
      <c r="AU72" s="204"/>
    </row>
    <row r="73" spans="1:47" ht="13.5" customHeight="1">
      <c r="A73" s="78"/>
      <c r="B73" s="78"/>
      <c r="C73" s="78"/>
      <c r="D73" s="78"/>
      <c r="E73" s="78"/>
      <c r="F73" s="382" t="s">
        <v>79</v>
      </c>
      <c r="G73" s="382"/>
      <c r="H73" s="159"/>
      <c r="I73" s="159"/>
      <c r="J73" s="159"/>
      <c r="K73" s="81"/>
      <c r="L73" s="81"/>
      <c r="M73" s="79"/>
      <c r="N73" s="79"/>
      <c r="O73" s="79"/>
      <c r="P73" s="79"/>
      <c r="Q73" s="79"/>
      <c r="R73" s="79"/>
      <c r="S73" s="79"/>
      <c r="T73" s="79"/>
      <c r="U73" s="79"/>
      <c r="V73" s="79"/>
      <c r="W73" s="79"/>
      <c r="X73" s="8"/>
      <c r="Y73" s="8"/>
      <c r="Z73" s="8"/>
      <c r="AA73" s="8"/>
      <c r="AB73" s="42"/>
      <c r="AC73" s="9"/>
      <c r="AD73" s="9"/>
      <c r="AE73" s="204"/>
      <c r="AF73" s="204"/>
      <c r="AG73" s="204"/>
      <c r="AH73" s="204"/>
      <c r="AI73" s="204"/>
      <c r="AJ73" s="204"/>
      <c r="AK73" s="204"/>
      <c r="AL73" s="204"/>
      <c r="AM73" s="204"/>
      <c r="AN73" s="204"/>
      <c r="AO73" s="204"/>
      <c r="AP73" s="204"/>
      <c r="AQ73" s="204"/>
      <c r="AR73" s="204"/>
      <c r="AS73" s="204"/>
      <c r="AT73" s="204"/>
      <c r="AU73" s="204"/>
    </row>
    <row r="74" spans="1:47">
      <c r="A74" s="12"/>
      <c r="B74" s="12"/>
      <c r="C74" s="12"/>
      <c r="D74" s="12"/>
      <c r="E74" s="12"/>
      <c r="F74" s="37" t="s">
        <v>3</v>
      </c>
      <c r="G74" s="250" t="str">
        <f>G40</f>
        <v>2008-09</v>
      </c>
      <c r="H74" s="250" t="str">
        <f t="shared" ref="H74:Q74" si="6">H40</f>
        <v>2009-10</v>
      </c>
      <c r="I74" s="250" t="str">
        <f t="shared" si="6"/>
        <v>2010-11</v>
      </c>
      <c r="J74" s="250" t="str">
        <f t="shared" si="6"/>
        <v>2011-12</v>
      </c>
      <c r="K74" s="250" t="str">
        <f t="shared" si="6"/>
        <v>2012-13</v>
      </c>
      <c r="L74" s="250" t="str">
        <f t="shared" si="6"/>
        <v>2013-14</v>
      </c>
      <c r="M74" s="250" t="str">
        <f t="shared" si="6"/>
        <v>2014-15</v>
      </c>
      <c r="N74" s="250" t="str">
        <f t="shared" si="6"/>
        <v>2015-16</v>
      </c>
      <c r="O74" s="250" t="str">
        <f t="shared" si="6"/>
        <v>2016-17</v>
      </c>
      <c r="P74" s="250" t="str">
        <f t="shared" si="6"/>
        <v>2017-18</v>
      </c>
      <c r="Q74" s="250" t="str">
        <f t="shared" si="6"/>
        <v>2018-19</v>
      </c>
      <c r="R74" s="8"/>
      <c r="S74" s="8"/>
      <c r="T74" s="8"/>
      <c r="U74" s="8"/>
      <c r="V74" s="8"/>
      <c r="W74" s="42"/>
      <c r="X74" s="9"/>
      <c r="Y74" s="9"/>
      <c r="Z74" s="9"/>
      <c r="AA74" s="9"/>
      <c r="AB74" s="9"/>
      <c r="AC74" s="9"/>
      <c r="AD74" s="9"/>
      <c r="AE74" s="204"/>
      <c r="AF74" s="204"/>
      <c r="AG74" s="204"/>
      <c r="AH74" s="204"/>
      <c r="AI74" s="204"/>
      <c r="AJ74" s="204"/>
      <c r="AK74" s="204"/>
      <c r="AL74" s="204"/>
      <c r="AM74" s="204"/>
      <c r="AN74" s="204"/>
      <c r="AO74" s="204"/>
      <c r="AP74" s="204"/>
      <c r="AQ74" s="204"/>
      <c r="AR74" s="204"/>
      <c r="AS74" s="204"/>
      <c r="AT74" s="204"/>
      <c r="AU74" s="204"/>
    </row>
    <row r="75" spans="1:47" outlineLevel="1">
      <c r="A75" s="12"/>
      <c r="B75" s="12"/>
      <c r="C75" s="12"/>
      <c r="D75" s="12"/>
      <c r="E75" s="12"/>
      <c r="F75" s="177" t="str">
        <f>Asset1</f>
        <v>Transmission Lines and Cables</v>
      </c>
      <c r="G75" s="166">
        <v>0</v>
      </c>
      <c r="H75" s="65"/>
      <c r="I75" s="65"/>
      <c r="J75" s="65"/>
      <c r="K75" s="65">
        <v>0.223</v>
      </c>
      <c r="L75" s="65"/>
      <c r="M75" s="195"/>
      <c r="N75" s="196"/>
      <c r="O75" s="196"/>
      <c r="P75" s="196"/>
      <c r="Q75" s="196"/>
      <c r="R75" s="8"/>
      <c r="S75" s="8"/>
      <c r="T75" s="8"/>
      <c r="U75" s="8"/>
      <c r="V75" s="8"/>
      <c r="W75" s="42"/>
      <c r="X75" s="9"/>
      <c r="Y75" s="9"/>
      <c r="Z75" s="9"/>
      <c r="AA75" s="9"/>
      <c r="AB75" s="9"/>
      <c r="AC75" s="9"/>
      <c r="AD75" s="9"/>
      <c r="AE75" s="204"/>
      <c r="AF75" s="204"/>
      <c r="AG75" s="204"/>
      <c r="AH75" s="204"/>
      <c r="AI75" s="204"/>
      <c r="AJ75" s="204"/>
      <c r="AK75" s="204"/>
      <c r="AL75" s="204"/>
      <c r="AM75" s="204"/>
      <c r="AN75" s="204"/>
      <c r="AO75" s="204"/>
      <c r="AP75" s="204"/>
      <c r="AQ75" s="204"/>
      <c r="AR75" s="204"/>
      <c r="AS75" s="204"/>
      <c r="AT75" s="204"/>
      <c r="AU75" s="204"/>
    </row>
    <row r="76" spans="1:47" outlineLevel="1">
      <c r="A76" s="12"/>
      <c r="B76" s="12"/>
      <c r="C76" s="12"/>
      <c r="D76" s="12"/>
      <c r="E76" s="12"/>
      <c r="F76" s="177" t="str">
        <f>Asset2</f>
        <v>Transmission Substations</v>
      </c>
      <c r="G76" s="167">
        <v>7.6000000000000068E-2</v>
      </c>
      <c r="H76" s="66"/>
      <c r="I76" s="66">
        <v>0.53100000000000003</v>
      </c>
      <c r="J76" s="66"/>
      <c r="K76" s="66"/>
      <c r="L76" s="66"/>
      <c r="M76" s="199"/>
      <c r="N76" s="198"/>
      <c r="O76" s="198"/>
      <c r="P76" s="198"/>
      <c r="Q76" s="198"/>
      <c r="R76" s="8"/>
      <c r="S76" s="8"/>
      <c r="T76" s="8"/>
      <c r="U76" s="8"/>
      <c r="V76" s="8"/>
      <c r="W76" s="42"/>
      <c r="X76" s="9"/>
      <c r="Y76" s="9"/>
      <c r="Z76" s="9"/>
      <c r="AA76" s="9"/>
      <c r="AB76" s="9"/>
      <c r="AC76" s="9"/>
      <c r="AD76" s="9"/>
      <c r="AE76" s="204"/>
      <c r="AF76" s="204"/>
      <c r="AG76" s="204"/>
      <c r="AH76" s="204"/>
      <c r="AI76" s="204"/>
      <c r="AJ76" s="204"/>
      <c r="AK76" s="204"/>
      <c r="AL76" s="204"/>
      <c r="AM76" s="204"/>
      <c r="AN76" s="204"/>
      <c r="AO76" s="204"/>
      <c r="AP76" s="204"/>
      <c r="AQ76" s="204"/>
      <c r="AR76" s="204"/>
      <c r="AS76" s="204"/>
      <c r="AT76" s="204"/>
      <c r="AU76" s="204"/>
    </row>
    <row r="77" spans="1:47" outlineLevel="1">
      <c r="A77" s="12"/>
      <c r="B77" s="12"/>
      <c r="C77" s="12"/>
      <c r="D77" s="12"/>
      <c r="E77" s="12"/>
      <c r="F77" s="177" t="str">
        <f>Asset3</f>
        <v>Protection and Control</v>
      </c>
      <c r="G77" s="167">
        <v>0</v>
      </c>
      <c r="H77" s="66"/>
      <c r="I77" s="66">
        <v>4.4000000000000011E-2</v>
      </c>
      <c r="J77" s="66"/>
      <c r="K77" s="66"/>
      <c r="L77" s="66"/>
      <c r="M77" s="199"/>
      <c r="N77" s="198"/>
      <c r="O77" s="198"/>
      <c r="P77" s="198"/>
      <c r="Q77" s="198"/>
      <c r="R77" s="8"/>
      <c r="S77" s="8"/>
      <c r="T77" s="8"/>
      <c r="U77" s="8"/>
      <c r="V77" s="8"/>
      <c r="W77" s="42"/>
      <c r="X77" s="9"/>
      <c r="Y77" s="9"/>
      <c r="Z77" s="9"/>
      <c r="AA77" s="9"/>
      <c r="AB77" s="9"/>
      <c r="AC77" s="9"/>
      <c r="AD77" s="9"/>
      <c r="AE77" s="204"/>
      <c r="AF77" s="204"/>
      <c r="AG77" s="204"/>
      <c r="AH77" s="204"/>
      <c r="AI77" s="204"/>
      <c r="AJ77" s="204"/>
      <c r="AK77" s="204"/>
      <c r="AL77" s="204"/>
      <c r="AM77" s="204"/>
      <c r="AN77" s="204"/>
      <c r="AO77" s="204"/>
      <c r="AP77" s="204"/>
      <c r="AQ77" s="204"/>
      <c r="AR77" s="204"/>
      <c r="AS77" s="204"/>
      <c r="AT77" s="204"/>
      <c r="AU77" s="204"/>
    </row>
    <row r="78" spans="1:47" outlineLevel="1">
      <c r="A78" s="12"/>
      <c r="B78" s="12"/>
      <c r="C78" s="12"/>
      <c r="D78" s="12"/>
      <c r="E78" s="12"/>
      <c r="F78" s="177" t="str">
        <f>Asset4</f>
        <v>Refurbishment</v>
      </c>
      <c r="G78" s="167">
        <v>0</v>
      </c>
      <c r="H78" s="66"/>
      <c r="I78" s="66"/>
      <c r="J78" s="66"/>
      <c r="K78" s="66"/>
      <c r="L78" s="66"/>
      <c r="M78" s="199"/>
      <c r="N78" s="198"/>
      <c r="O78" s="198"/>
      <c r="P78" s="198"/>
      <c r="Q78" s="198"/>
      <c r="R78" s="8"/>
      <c r="S78" s="8"/>
      <c r="T78" s="8"/>
      <c r="U78" s="8"/>
      <c r="V78" s="8"/>
      <c r="W78" s="42"/>
      <c r="X78" s="9"/>
      <c r="Y78" s="9"/>
      <c r="Z78" s="9"/>
      <c r="AA78" s="9"/>
      <c r="AB78" s="9"/>
      <c r="AC78" s="9"/>
      <c r="AD78" s="9"/>
      <c r="AE78" s="204"/>
      <c r="AF78" s="204"/>
      <c r="AG78" s="204"/>
      <c r="AH78" s="204"/>
      <c r="AI78" s="204"/>
      <c r="AJ78" s="204"/>
      <c r="AK78" s="204"/>
      <c r="AL78" s="204"/>
      <c r="AM78" s="204"/>
      <c r="AN78" s="204"/>
      <c r="AO78" s="204"/>
      <c r="AP78" s="204"/>
      <c r="AQ78" s="204"/>
      <c r="AR78" s="204"/>
      <c r="AS78" s="204"/>
      <c r="AT78" s="204"/>
      <c r="AU78" s="204"/>
    </row>
    <row r="79" spans="1:47" outlineLevel="1">
      <c r="A79" s="12"/>
      <c r="B79" s="12"/>
      <c r="C79" s="12"/>
      <c r="D79" s="12"/>
      <c r="E79" s="12"/>
      <c r="F79" s="177" t="str">
        <f>Asset5</f>
        <v>Other</v>
      </c>
      <c r="G79" s="167">
        <v>4.9999999999999975E-3</v>
      </c>
      <c r="H79" s="66"/>
      <c r="I79" s="66"/>
      <c r="J79" s="66"/>
      <c r="K79" s="66"/>
      <c r="L79" s="66"/>
      <c r="M79" s="199"/>
      <c r="N79" s="198"/>
      <c r="O79" s="198"/>
      <c r="P79" s="198"/>
      <c r="Q79" s="198"/>
      <c r="R79" s="8"/>
      <c r="S79" s="8"/>
      <c r="T79" s="8"/>
      <c r="U79" s="8"/>
      <c r="V79" s="8"/>
      <c r="W79" s="42"/>
      <c r="X79" s="9"/>
      <c r="Y79" s="9"/>
      <c r="Z79" s="9"/>
      <c r="AA79" s="9"/>
      <c r="AB79" s="9"/>
      <c r="AC79" s="9"/>
      <c r="AD79" s="9"/>
      <c r="AE79" s="204"/>
      <c r="AF79" s="204"/>
      <c r="AG79" s="204"/>
      <c r="AH79" s="204"/>
      <c r="AI79" s="204"/>
      <c r="AJ79" s="204"/>
      <c r="AK79" s="204"/>
      <c r="AL79" s="204"/>
      <c r="AM79" s="204"/>
      <c r="AN79" s="204"/>
      <c r="AO79" s="204"/>
      <c r="AP79" s="204"/>
      <c r="AQ79" s="204"/>
      <c r="AR79" s="204"/>
      <c r="AS79" s="204"/>
      <c r="AT79" s="204"/>
      <c r="AU79" s="204"/>
    </row>
    <row r="80" spans="1:47" outlineLevel="1">
      <c r="A80" s="12"/>
      <c r="B80" s="12"/>
      <c r="C80" s="12"/>
      <c r="D80" s="12"/>
      <c r="E80" s="12"/>
      <c r="F80" s="177" t="str">
        <f>Asset6</f>
        <v>Other - IT</v>
      </c>
      <c r="G80" s="167">
        <v>1.0000000000000009E-3</v>
      </c>
      <c r="H80" s="66"/>
      <c r="I80" s="66">
        <v>5.0000000000000001E-3</v>
      </c>
      <c r="J80" s="66"/>
      <c r="K80" s="66"/>
      <c r="L80" s="66"/>
      <c r="M80" s="199"/>
      <c r="N80" s="198"/>
      <c r="O80" s="198"/>
      <c r="P80" s="198"/>
      <c r="Q80" s="198"/>
      <c r="R80" s="8"/>
      <c r="S80" s="8"/>
      <c r="T80" s="8"/>
      <c r="U80" s="8"/>
      <c r="V80" s="8"/>
      <c r="W80" s="42"/>
      <c r="X80" s="9"/>
      <c r="Y80" s="9"/>
      <c r="Z80" s="9"/>
      <c r="AA80" s="9"/>
      <c r="AB80" s="9"/>
      <c r="AC80" s="9"/>
      <c r="AD80" s="9"/>
      <c r="AE80" s="204"/>
      <c r="AF80" s="204"/>
      <c r="AG80" s="204"/>
      <c r="AH80" s="204"/>
      <c r="AI80" s="204"/>
      <c r="AJ80" s="204"/>
      <c r="AK80" s="204"/>
      <c r="AL80" s="204"/>
      <c r="AM80" s="204"/>
      <c r="AN80" s="204"/>
      <c r="AO80" s="204"/>
      <c r="AP80" s="204"/>
      <c r="AQ80" s="204"/>
      <c r="AR80" s="204"/>
      <c r="AS80" s="204"/>
      <c r="AT80" s="204"/>
      <c r="AU80" s="204"/>
    </row>
    <row r="81" spans="1:47" outlineLevel="1">
      <c r="A81" s="12"/>
      <c r="B81" s="12"/>
      <c r="C81" s="12"/>
      <c r="D81" s="12"/>
      <c r="E81" s="12"/>
      <c r="F81" s="177" t="str">
        <f>Asset7</f>
        <v>Other - General</v>
      </c>
      <c r="G81" s="167">
        <v>0.34000000000000008</v>
      </c>
      <c r="H81" s="66"/>
      <c r="I81" s="66"/>
      <c r="J81" s="66"/>
      <c r="K81" s="66"/>
      <c r="L81" s="66"/>
      <c r="M81" s="199"/>
      <c r="N81" s="198"/>
      <c r="O81" s="198"/>
      <c r="P81" s="198"/>
      <c r="Q81" s="198"/>
      <c r="R81" s="8"/>
      <c r="S81" s="8"/>
      <c r="T81" s="8"/>
      <c r="U81" s="8"/>
      <c r="V81" s="8"/>
      <c r="W81" s="42"/>
      <c r="X81" s="9"/>
      <c r="Y81" s="9"/>
      <c r="Z81" s="9"/>
      <c r="AA81" s="9"/>
      <c r="AB81" s="9"/>
      <c r="AC81" s="9"/>
      <c r="AD81" s="9"/>
      <c r="AE81" s="204"/>
      <c r="AF81" s="204"/>
      <c r="AG81" s="204"/>
      <c r="AH81" s="204"/>
      <c r="AI81" s="204"/>
      <c r="AJ81" s="204"/>
      <c r="AK81" s="204"/>
      <c r="AL81" s="204"/>
      <c r="AM81" s="204"/>
      <c r="AN81" s="204"/>
      <c r="AO81" s="204"/>
      <c r="AP81" s="204"/>
      <c r="AQ81" s="204"/>
      <c r="AR81" s="204"/>
      <c r="AS81" s="204"/>
      <c r="AT81" s="204"/>
      <c r="AU81" s="204"/>
    </row>
    <row r="82" spans="1:47" outlineLevel="1">
      <c r="A82" s="12"/>
      <c r="B82" s="12"/>
      <c r="C82" s="12"/>
      <c r="D82" s="12"/>
      <c r="E82" s="12"/>
      <c r="F82" s="177" t="str">
        <f>Asset8</f>
        <v>Other - Buildings</v>
      </c>
      <c r="G82" s="167">
        <v>0</v>
      </c>
      <c r="H82" s="66"/>
      <c r="I82" s="66"/>
      <c r="J82" s="66"/>
      <c r="K82" s="66"/>
      <c r="L82" s="66"/>
      <c r="M82" s="199"/>
      <c r="N82" s="198"/>
      <c r="O82" s="198"/>
      <c r="P82" s="198"/>
      <c r="Q82" s="198"/>
      <c r="R82" s="8"/>
      <c r="S82" s="8"/>
      <c r="T82" s="8"/>
      <c r="U82" s="8"/>
      <c r="V82" s="8"/>
      <c r="W82" s="42"/>
      <c r="X82" s="9"/>
      <c r="Y82" s="9"/>
      <c r="Z82" s="9"/>
      <c r="AA82" s="9"/>
      <c r="AB82" s="9"/>
      <c r="AC82" s="9"/>
      <c r="AD82" s="9"/>
      <c r="AE82" s="204"/>
      <c r="AF82" s="204"/>
      <c r="AG82" s="204"/>
      <c r="AH82" s="204"/>
      <c r="AI82" s="204"/>
      <c r="AJ82" s="204"/>
      <c r="AK82" s="204"/>
      <c r="AL82" s="204"/>
      <c r="AM82" s="204"/>
      <c r="AN82" s="204"/>
      <c r="AO82" s="204"/>
      <c r="AP82" s="204"/>
      <c r="AQ82" s="204"/>
      <c r="AR82" s="204"/>
      <c r="AS82" s="204"/>
      <c r="AT82" s="204"/>
      <c r="AU82" s="204"/>
    </row>
    <row r="83" spans="1:47" outlineLevel="1">
      <c r="A83" s="12"/>
      <c r="B83" s="12"/>
      <c r="C83" s="12"/>
      <c r="D83" s="12"/>
      <c r="E83" s="12"/>
      <c r="F83" s="177" t="str">
        <f>Asset9</f>
        <v>Land and Easements</v>
      </c>
      <c r="G83" s="167">
        <v>0</v>
      </c>
      <c r="H83" s="66"/>
      <c r="I83" s="66"/>
      <c r="J83" s="66"/>
      <c r="K83" s="66"/>
      <c r="L83" s="66"/>
      <c r="M83" s="199"/>
      <c r="N83" s="198"/>
      <c r="O83" s="198"/>
      <c r="P83" s="198"/>
      <c r="Q83" s="198"/>
      <c r="R83" s="8"/>
      <c r="S83" s="8"/>
      <c r="T83" s="8"/>
      <c r="U83" s="8"/>
      <c r="V83" s="8"/>
      <c r="W83" s="42"/>
      <c r="X83" s="9"/>
      <c r="Y83" s="9"/>
      <c r="Z83" s="9"/>
      <c r="AA83" s="9"/>
      <c r="AB83" s="9"/>
      <c r="AC83" s="9"/>
      <c r="AD83" s="9"/>
      <c r="AE83" s="204"/>
      <c r="AF83" s="204"/>
      <c r="AG83" s="204"/>
      <c r="AH83" s="204"/>
      <c r="AI83" s="204"/>
      <c r="AJ83" s="204"/>
      <c r="AK83" s="204"/>
      <c r="AL83" s="204"/>
      <c r="AM83" s="204"/>
      <c r="AN83" s="204"/>
      <c r="AO83" s="204"/>
      <c r="AP83" s="204"/>
      <c r="AQ83" s="204"/>
      <c r="AR83" s="204"/>
      <c r="AS83" s="204"/>
      <c r="AT83" s="204"/>
      <c r="AU83" s="204"/>
    </row>
    <row r="84" spans="1:47" outlineLevel="1">
      <c r="A84" s="12"/>
      <c r="B84" s="12"/>
      <c r="C84" s="12"/>
      <c r="D84" s="12"/>
      <c r="E84" s="12"/>
      <c r="F84" s="177" t="str">
        <f>Asset10</f>
        <v>Transmission line assets - long life (60)</v>
      </c>
      <c r="G84" s="167"/>
      <c r="H84" s="66"/>
      <c r="I84" s="66"/>
      <c r="J84" s="66"/>
      <c r="K84" s="66"/>
      <c r="L84" s="66"/>
      <c r="M84" s="199"/>
      <c r="N84" s="198"/>
      <c r="O84" s="198"/>
      <c r="P84" s="198"/>
      <c r="Q84" s="198"/>
      <c r="R84" s="8"/>
      <c r="S84" s="8"/>
      <c r="T84" s="8"/>
      <c r="U84" s="8"/>
      <c r="V84" s="8"/>
      <c r="W84" s="42"/>
      <c r="X84" s="9"/>
      <c r="Y84" s="9"/>
      <c r="Z84" s="9"/>
      <c r="AA84" s="9"/>
      <c r="AB84" s="9"/>
      <c r="AC84" s="9"/>
      <c r="AD84" s="9"/>
      <c r="AE84" s="204"/>
      <c r="AF84" s="204"/>
      <c r="AG84" s="204"/>
      <c r="AH84" s="204"/>
      <c r="AI84" s="204"/>
      <c r="AJ84" s="204"/>
      <c r="AK84" s="204"/>
      <c r="AL84" s="204"/>
      <c r="AM84" s="204"/>
      <c r="AN84" s="204"/>
      <c r="AO84" s="204"/>
      <c r="AP84" s="204"/>
      <c r="AQ84" s="204"/>
      <c r="AR84" s="204"/>
      <c r="AS84" s="204"/>
      <c r="AT84" s="204"/>
      <c r="AU84" s="204"/>
    </row>
    <row r="85" spans="1:47" outlineLevel="1">
      <c r="A85" s="12"/>
      <c r="B85" s="12"/>
      <c r="C85" s="12"/>
      <c r="D85" s="12"/>
      <c r="E85" s="12"/>
      <c r="F85" s="177" t="str">
        <f>Asset11</f>
        <v>Transmission line assets - medium life (45)</v>
      </c>
      <c r="G85" s="167"/>
      <c r="H85" s="66"/>
      <c r="I85" s="66"/>
      <c r="J85" s="66"/>
      <c r="K85" s="66"/>
      <c r="L85" s="66"/>
      <c r="M85" s="199"/>
      <c r="N85" s="198"/>
      <c r="O85" s="198"/>
      <c r="P85" s="198"/>
      <c r="Q85" s="198"/>
      <c r="R85" s="8"/>
      <c r="S85" s="8"/>
      <c r="T85" s="8"/>
      <c r="U85" s="8"/>
      <c r="V85" s="8"/>
      <c r="W85" s="42"/>
      <c r="X85" s="9"/>
      <c r="Y85" s="9"/>
      <c r="Z85" s="9"/>
      <c r="AA85" s="9"/>
      <c r="AB85" s="9"/>
      <c r="AC85" s="9"/>
      <c r="AD85" s="9"/>
      <c r="AE85" s="204"/>
      <c r="AF85" s="204"/>
      <c r="AG85" s="204"/>
      <c r="AH85" s="204"/>
      <c r="AI85" s="204"/>
      <c r="AJ85" s="204"/>
      <c r="AK85" s="204"/>
      <c r="AL85" s="204"/>
      <c r="AM85" s="204"/>
      <c r="AN85" s="204"/>
      <c r="AO85" s="204"/>
      <c r="AP85" s="204"/>
      <c r="AQ85" s="204"/>
      <c r="AR85" s="204"/>
      <c r="AS85" s="204"/>
      <c r="AT85" s="204"/>
      <c r="AU85" s="204"/>
    </row>
    <row r="86" spans="1:47" outlineLevel="1">
      <c r="A86" s="12"/>
      <c r="B86" s="12"/>
      <c r="C86" s="12"/>
      <c r="D86" s="12"/>
      <c r="E86" s="12"/>
      <c r="F86" s="177" t="str">
        <f>Asset12</f>
        <v>Transmission line assets - short life (10)</v>
      </c>
      <c r="G86" s="167"/>
      <c r="H86" s="66"/>
      <c r="I86" s="66"/>
      <c r="J86" s="66"/>
      <c r="K86" s="66"/>
      <c r="L86" s="66"/>
      <c r="M86" s="199"/>
      <c r="N86" s="198"/>
      <c r="O86" s="198"/>
      <c r="P86" s="198"/>
      <c r="Q86" s="198"/>
      <c r="R86" s="8"/>
      <c r="S86" s="8"/>
      <c r="T86" s="8"/>
      <c r="U86" s="8"/>
      <c r="V86" s="8"/>
      <c r="W86" s="42"/>
      <c r="X86" s="9"/>
      <c r="Y86" s="9"/>
      <c r="Z86" s="9"/>
      <c r="AA86" s="9"/>
      <c r="AB86" s="9"/>
      <c r="AC86" s="9"/>
      <c r="AD86" s="9"/>
      <c r="AE86" s="204"/>
      <c r="AF86" s="204"/>
      <c r="AG86" s="204"/>
      <c r="AH86" s="204"/>
      <c r="AI86" s="204"/>
      <c r="AJ86" s="204"/>
      <c r="AK86" s="204"/>
      <c r="AL86" s="204"/>
      <c r="AM86" s="204"/>
      <c r="AN86" s="204"/>
      <c r="AO86" s="204"/>
      <c r="AP86" s="204"/>
      <c r="AQ86" s="204"/>
      <c r="AR86" s="204"/>
      <c r="AS86" s="204"/>
      <c r="AT86" s="204"/>
      <c r="AU86" s="204"/>
    </row>
    <row r="87" spans="1:47" outlineLevel="1">
      <c r="A87" s="12"/>
      <c r="B87" s="12"/>
      <c r="C87" s="12"/>
      <c r="D87" s="12"/>
      <c r="E87" s="12"/>
      <c r="F87" s="177" t="str">
        <f>Asset13</f>
        <v>Substation assets - long life (60)</v>
      </c>
      <c r="G87" s="167"/>
      <c r="H87" s="66"/>
      <c r="I87" s="66"/>
      <c r="J87" s="66"/>
      <c r="K87" s="66"/>
      <c r="L87" s="66"/>
      <c r="M87" s="199"/>
      <c r="N87" s="198"/>
      <c r="O87" s="198"/>
      <c r="P87" s="198"/>
      <c r="Q87" s="198"/>
      <c r="R87" s="8"/>
      <c r="S87" s="8"/>
      <c r="T87" s="8"/>
      <c r="U87" s="8"/>
      <c r="V87" s="8"/>
      <c r="W87" s="42"/>
      <c r="X87" s="9"/>
      <c r="Y87" s="9"/>
      <c r="Z87" s="9"/>
      <c r="AA87" s="9"/>
      <c r="AB87" s="9"/>
      <c r="AC87" s="9"/>
      <c r="AD87" s="9"/>
      <c r="AE87" s="204"/>
      <c r="AF87" s="204"/>
      <c r="AG87" s="204"/>
      <c r="AH87" s="204"/>
      <c r="AI87" s="204"/>
      <c r="AJ87" s="204"/>
      <c r="AK87" s="204"/>
      <c r="AL87" s="204"/>
      <c r="AM87" s="204"/>
      <c r="AN87" s="204"/>
      <c r="AO87" s="204"/>
      <c r="AP87" s="204"/>
      <c r="AQ87" s="204"/>
      <c r="AR87" s="204"/>
      <c r="AS87" s="204"/>
      <c r="AT87" s="204"/>
      <c r="AU87" s="204"/>
    </row>
    <row r="88" spans="1:47" outlineLevel="1">
      <c r="A88" s="12"/>
      <c r="B88" s="12"/>
      <c r="C88" s="12"/>
      <c r="D88" s="12"/>
      <c r="E88" s="12"/>
      <c r="F88" s="177" t="str">
        <f>Asset14</f>
        <v>Substation assets - medium life (45)</v>
      </c>
      <c r="G88" s="167"/>
      <c r="H88" s="66"/>
      <c r="I88" s="66"/>
      <c r="J88" s="66"/>
      <c r="K88" s="66"/>
      <c r="L88" s="66"/>
      <c r="M88" s="199"/>
      <c r="N88" s="198"/>
      <c r="O88" s="198"/>
      <c r="P88" s="198"/>
      <c r="Q88" s="198"/>
      <c r="R88" s="8"/>
      <c r="S88" s="8"/>
      <c r="T88" s="8"/>
      <c r="U88" s="8"/>
      <c r="V88" s="8"/>
      <c r="W88" s="42"/>
      <c r="X88" s="9"/>
      <c r="Y88" s="9"/>
      <c r="Z88" s="9"/>
      <c r="AA88" s="9"/>
      <c r="AB88" s="9"/>
      <c r="AC88" s="9"/>
      <c r="AD88" s="9"/>
      <c r="AE88" s="204"/>
      <c r="AF88" s="204"/>
      <c r="AG88" s="204"/>
      <c r="AH88" s="204"/>
      <c r="AI88" s="204"/>
      <c r="AJ88" s="204"/>
      <c r="AK88" s="204"/>
      <c r="AL88" s="204"/>
      <c r="AM88" s="204"/>
      <c r="AN88" s="204"/>
      <c r="AO88" s="204"/>
      <c r="AP88" s="204"/>
      <c r="AQ88" s="204"/>
      <c r="AR88" s="204"/>
      <c r="AS88" s="204"/>
      <c r="AT88" s="204"/>
      <c r="AU88" s="204"/>
    </row>
    <row r="89" spans="1:47" outlineLevel="1">
      <c r="A89" s="12"/>
      <c r="B89" s="12"/>
      <c r="C89" s="12"/>
      <c r="D89" s="12"/>
      <c r="E89" s="12"/>
      <c r="F89" s="177" t="str">
        <f>Asset15</f>
        <v>Substation assets - short life (15)</v>
      </c>
      <c r="G89" s="167"/>
      <c r="H89" s="66"/>
      <c r="I89" s="66"/>
      <c r="J89" s="66"/>
      <c r="K89" s="66"/>
      <c r="L89" s="66"/>
      <c r="M89" s="199"/>
      <c r="N89" s="198"/>
      <c r="O89" s="198"/>
      <c r="P89" s="198"/>
      <c r="Q89" s="198"/>
      <c r="R89" s="8"/>
      <c r="S89" s="8"/>
      <c r="T89" s="8"/>
      <c r="U89" s="8"/>
      <c r="V89" s="8"/>
      <c r="W89" s="42"/>
      <c r="X89" s="9"/>
      <c r="Y89" s="9"/>
      <c r="Z89" s="9"/>
      <c r="AA89" s="9"/>
      <c r="AB89" s="9"/>
      <c r="AC89" s="9"/>
      <c r="AD89" s="9"/>
      <c r="AE89" s="204"/>
      <c r="AF89" s="204"/>
      <c r="AG89" s="204"/>
      <c r="AH89" s="204"/>
      <c r="AI89" s="204"/>
      <c r="AJ89" s="204"/>
      <c r="AK89" s="204"/>
      <c r="AL89" s="204"/>
      <c r="AM89" s="204"/>
      <c r="AN89" s="204"/>
      <c r="AO89" s="204"/>
      <c r="AP89" s="204"/>
      <c r="AQ89" s="204"/>
      <c r="AR89" s="204"/>
      <c r="AS89" s="204"/>
      <c r="AT89" s="204"/>
      <c r="AU89" s="204"/>
    </row>
    <row r="90" spans="1:47" outlineLevel="1">
      <c r="A90" s="12"/>
      <c r="B90" s="12"/>
      <c r="C90" s="12"/>
      <c r="D90" s="12"/>
      <c r="E90" s="12"/>
      <c r="F90" s="177" t="str">
        <f>Asset16</f>
        <v>Protection and control - short life (15)</v>
      </c>
      <c r="G90" s="167"/>
      <c r="H90" s="66"/>
      <c r="I90" s="66"/>
      <c r="J90" s="66"/>
      <c r="K90" s="66"/>
      <c r="L90" s="66"/>
      <c r="M90" s="199"/>
      <c r="N90" s="198"/>
      <c r="O90" s="198"/>
      <c r="P90" s="198"/>
      <c r="Q90" s="198"/>
      <c r="R90" s="8"/>
      <c r="S90" s="8"/>
      <c r="T90" s="8"/>
      <c r="U90" s="8"/>
      <c r="V90" s="8"/>
      <c r="W90" s="42"/>
      <c r="X90" s="9"/>
      <c r="Y90" s="9"/>
      <c r="Z90" s="9"/>
      <c r="AA90" s="9"/>
      <c r="AB90" s="9"/>
      <c r="AC90" s="9"/>
      <c r="AD90" s="9"/>
      <c r="AE90" s="204"/>
      <c r="AF90" s="204"/>
      <c r="AG90" s="204"/>
      <c r="AH90" s="204"/>
      <c r="AI90" s="204"/>
      <c r="AJ90" s="204"/>
      <c r="AK90" s="204"/>
      <c r="AL90" s="204"/>
      <c r="AM90" s="204"/>
      <c r="AN90" s="204"/>
      <c r="AO90" s="204"/>
      <c r="AP90" s="204"/>
      <c r="AQ90" s="204"/>
      <c r="AR90" s="204"/>
      <c r="AS90" s="204"/>
      <c r="AT90" s="204"/>
      <c r="AU90" s="204"/>
    </row>
    <row r="91" spans="1:47" outlineLevel="1">
      <c r="A91" s="12"/>
      <c r="B91" s="12"/>
      <c r="C91" s="12"/>
      <c r="D91" s="12"/>
      <c r="E91" s="12"/>
      <c r="F91" s="177" t="str">
        <f>Asset17</f>
        <v>Protection and control - short life (4)</v>
      </c>
      <c r="G91" s="167"/>
      <c r="H91" s="66"/>
      <c r="I91" s="66"/>
      <c r="J91" s="66"/>
      <c r="K91" s="66"/>
      <c r="L91" s="66"/>
      <c r="M91" s="199"/>
      <c r="N91" s="198"/>
      <c r="O91" s="198"/>
      <c r="P91" s="198"/>
      <c r="Q91" s="198"/>
      <c r="R91" s="8"/>
      <c r="S91" s="8"/>
      <c r="T91" s="8"/>
      <c r="U91" s="8"/>
      <c r="V91" s="8"/>
      <c r="W91" s="42"/>
      <c r="X91" s="9"/>
      <c r="Y91" s="9"/>
      <c r="Z91" s="9"/>
      <c r="AA91" s="9"/>
      <c r="AB91" s="9"/>
      <c r="AC91" s="9"/>
      <c r="AD91" s="9"/>
      <c r="AE91" s="204"/>
      <c r="AF91" s="204"/>
      <c r="AG91" s="204"/>
      <c r="AH91" s="204"/>
      <c r="AI91" s="204"/>
      <c r="AJ91" s="204"/>
      <c r="AK91" s="204"/>
      <c r="AL91" s="204"/>
      <c r="AM91" s="204"/>
      <c r="AN91" s="204"/>
      <c r="AO91" s="204"/>
      <c r="AP91" s="204"/>
      <c r="AQ91" s="204"/>
      <c r="AR91" s="204"/>
      <c r="AS91" s="204"/>
      <c r="AT91" s="204"/>
      <c r="AU91" s="204"/>
    </row>
    <row r="92" spans="1:47" outlineLevel="1">
      <c r="A92" s="12"/>
      <c r="B92" s="12"/>
      <c r="C92" s="12"/>
      <c r="D92" s="12"/>
      <c r="E92" s="12"/>
      <c r="F92" s="177" t="str">
        <f>Asset18</f>
        <v>Transmission operations - short life (10)</v>
      </c>
      <c r="G92" s="167"/>
      <c r="H92" s="66"/>
      <c r="I92" s="66"/>
      <c r="J92" s="66"/>
      <c r="K92" s="66"/>
      <c r="L92" s="66"/>
      <c r="M92" s="199"/>
      <c r="N92" s="198"/>
      <c r="O92" s="198"/>
      <c r="P92" s="198"/>
      <c r="Q92" s="198"/>
      <c r="R92" s="8"/>
      <c r="S92" s="8"/>
      <c r="T92" s="8"/>
      <c r="U92" s="8"/>
      <c r="V92" s="8"/>
      <c r="W92" s="42"/>
      <c r="X92" s="9"/>
      <c r="Y92" s="9"/>
      <c r="Z92" s="9"/>
      <c r="AA92" s="9"/>
      <c r="AB92" s="9"/>
      <c r="AC92" s="9"/>
      <c r="AD92" s="9"/>
      <c r="AE92" s="204"/>
      <c r="AF92" s="204"/>
      <c r="AG92" s="204"/>
      <c r="AH92" s="204"/>
      <c r="AI92" s="204"/>
      <c r="AJ92" s="204"/>
      <c r="AK92" s="204"/>
      <c r="AL92" s="204"/>
      <c r="AM92" s="204"/>
      <c r="AN92" s="204"/>
      <c r="AO92" s="204"/>
      <c r="AP92" s="204"/>
      <c r="AQ92" s="204"/>
      <c r="AR92" s="204"/>
      <c r="AS92" s="204"/>
      <c r="AT92" s="204"/>
      <c r="AU92" s="204"/>
    </row>
    <row r="93" spans="1:47" outlineLevel="1">
      <c r="A93" s="12"/>
      <c r="B93" s="12"/>
      <c r="C93" s="12"/>
      <c r="D93" s="12"/>
      <c r="E93" s="12"/>
      <c r="F93" s="177" t="str">
        <f>Asset19</f>
        <v>Transmission operations - short life (4)</v>
      </c>
      <c r="G93" s="167"/>
      <c r="H93" s="66"/>
      <c r="I93" s="66"/>
      <c r="J93" s="66"/>
      <c r="K93" s="66"/>
      <c r="L93" s="66"/>
      <c r="M93" s="199"/>
      <c r="N93" s="198"/>
      <c r="O93" s="198"/>
      <c r="P93" s="198"/>
      <c r="Q93" s="198"/>
      <c r="R93" s="8"/>
      <c r="S93" s="8"/>
      <c r="T93" s="8"/>
      <c r="U93" s="8"/>
      <c r="V93" s="8"/>
      <c r="W93" s="42"/>
      <c r="X93" s="9"/>
      <c r="Y93" s="9"/>
      <c r="Z93" s="9"/>
      <c r="AA93" s="9"/>
      <c r="AB93" s="9"/>
      <c r="AC93" s="9"/>
      <c r="AD93" s="9"/>
      <c r="AE93" s="204"/>
      <c r="AF93" s="204"/>
      <c r="AG93" s="204"/>
      <c r="AH93" s="204"/>
      <c r="AI93" s="204"/>
      <c r="AJ93" s="204"/>
      <c r="AK93" s="204"/>
      <c r="AL93" s="204"/>
      <c r="AM93" s="204"/>
      <c r="AN93" s="204"/>
      <c r="AO93" s="204"/>
      <c r="AP93" s="204"/>
      <c r="AQ93" s="204"/>
      <c r="AR93" s="204"/>
      <c r="AS93" s="204"/>
      <c r="AT93" s="204"/>
      <c r="AU93" s="204"/>
    </row>
    <row r="94" spans="1:47" outlineLevel="1">
      <c r="A94" s="12"/>
      <c r="B94" s="12"/>
      <c r="C94" s="12"/>
      <c r="D94" s="12"/>
      <c r="E94" s="12"/>
      <c r="F94" s="311" t="str">
        <f>Asset20</f>
        <v>Other - medium life (40)</v>
      </c>
      <c r="G94" s="310"/>
      <c r="H94" s="66"/>
      <c r="I94" s="66"/>
      <c r="J94" s="66"/>
      <c r="K94" s="66"/>
      <c r="L94" s="66"/>
      <c r="M94" s="199"/>
      <c r="N94" s="198"/>
      <c r="O94" s="198"/>
      <c r="P94" s="198"/>
      <c r="Q94" s="198"/>
      <c r="R94" s="8"/>
      <c r="S94" s="8"/>
      <c r="T94" s="8"/>
      <c r="U94" s="8"/>
      <c r="V94" s="8"/>
      <c r="W94" s="42"/>
      <c r="X94" s="9"/>
      <c r="Y94" s="9"/>
      <c r="Z94" s="9"/>
      <c r="AA94" s="9"/>
      <c r="AB94" s="9"/>
      <c r="AC94" s="9"/>
      <c r="AD94" s="9"/>
      <c r="AE94" s="204"/>
      <c r="AF94" s="204"/>
      <c r="AG94" s="204"/>
      <c r="AH94" s="204"/>
      <c r="AI94" s="204"/>
      <c r="AJ94" s="204"/>
      <c r="AK94" s="204"/>
      <c r="AL94" s="204"/>
      <c r="AM94" s="204"/>
      <c r="AN94" s="204"/>
      <c r="AO94" s="204"/>
      <c r="AP94" s="204"/>
      <c r="AQ94" s="204"/>
      <c r="AR94" s="204"/>
      <c r="AS94" s="204"/>
      <c r="AT94" s="204"/>
      <c r="AU94" s="204"/>
    </row>
    <row r="95" spans="1:47" outlineLevel="1">
      <c r="A95" s="12"/>
      <c r="B95" s="12"/>
      <c r="C95" s="12"/>
      <c r="D95" s="12"/>
      <c r="E95" s="12"/>
      <c r="F95" s="311" t="str">
        <f>Asset21</f>
        <v>Other - short life (9)</v>
      </c>
      <c r="G95" s="310"/>
      <c r="H95" s="66"/>
      <c r="I95" s="66"/>
      <c r="J95" s="66">
        <v>3.6999999999999998E-2</v>
      </c>
      <c r="K95" s="66">
        <v>1.4999999999999999E-2</v>
      </c>
      <c r="L95" s="66"/>
      <c r="M95" s="199"/>
      <c r="N95" s="198"/>
      <c r="O95" s="198"/>
      <c r="P95" s="198"/>
      <c r="Q95" s="198"/>
      <c r="R95" s="8"/>
      <c r="S95" s="8"/>
      <c r="T95" s="8"/>
      <c r="U95" s="8"/>
      <c r="V95" s="8"/>
      <c r="W95" s="42"/>
      <c r="X95" s="9"/>
      <c r="Y95" s="9"/>
      <c r="Z95" s="9"/>
      <c r="AA95" s="9"/>
      <c r="AB95" s="9"/>
      <c r="AC95" s="9"/>
      <c r="AD95" s="9"/>
      <c r="AE95" s="204"/>
      <c r="AF95" s="204"/>
      <c r="AG95" s="204"/>
      <c r="AH95" s="204"/>
      <c r="AI95" s="204"/>
      <c r="AJ95" s="204"/>
      <c r="AK95" s="204"/>
      <c r="AL95" s="204"/>
      <c r="AM95" s="204"/>
      <c r="AN95" s="204"/>
      <c r="AO95" s="204"/>
      <c r="AP95" s="204"/>
      <c r="AQ95" s="204"/>
      <c r="AR95" s="204"/>
      <c r="AS95" s="204"/>
      <c r="AT95" s="204"/>
      <c r="AU95" s="204"/>
    </row>
    <row r="96" spans="1:47" outlineLevel="1">
      <c r="A96" s="12"/>
      <c r="B96" s="12"/>
      <c r="C96" s="12"/>
      <c r="D96" s="12"/>
      <c r="E96" s="12"/>
      <c r="F96" s="311" t="str">
        <f>Asset22</f>
        <v>Other - short life (4)</v>
      </c>
      <c r="G96" s="310"/>
      <c r="H96" s="66"/>
      <c r="I96" s="66">
        <v>4.0000000000000001E-3</v>
      </c>
      <c r="J96" s="66"/>
      <c r="K96" s="66"/>
      <c r="L96" s="66"/>
      <c r="M96" s="199"/>
      <c r="N96" s="198"/>
      <c r="O96" s="198"/>
      <c r="P96" s="198"/>
      <c r="Q96" s="198"/>
      <c r="R96" s="8"/>
      <c r="S96" s="8"/>
      <c r="T96" s="8"/>
      <c r="U96" s="8"/>
      <c r="V96" s="8"/>
      <c r="W96" s="42"/>
      <c r="X96" s="9"/>
      <c r="Y96" s="9"/>
      <c r="Z96" s="9"/>
      <c r="AA96" s="9"/>
      <c r="AB96" s="9"/>
      <c r="AC96" s="9"/>
      <c r="AD96" s="9"/>
      <c r="AE96" s="204"/>
      <c r="AF96" s="204"/>
      <c r="AG96" s="204"/>
      <c r="AH96" s="204"/>
      <c r="AI96" s="204"/>
      <c r="AJ96" s="204"/>
      <c r="AK96" s="204"/>
      <c r="AL96" s="204"/>
      <c r="AM96" s="204"/>
      <c r="AN96" s="204"/>
      <c r="AO96" s="204"/>
      <c r="AP96" s="204"/>
      <c r="AQ96" s="204"/>
      <c r="AR96" s="204"/>
      <c r="AS96" s="204"/>
      <c r="AT96" s="204"/>
      <c r="AU96" s="204"/>
    </row>
    <row r="97" spans="1:47" outlineLevel="1">
      <c r="A97" s="12"/>
      <c r="B97" s="12"/>
      <c r="C97" s="12"/>
      <c r="D97" s="12"/>
      <c r="E97" s="12"/>
      <c r="F97" s="311" t="str">
        <f>Asset23</f>
        <v>Land and Easements</v>
      </c>
      <c r="G97" s="310"/>
      <c r="H97" s="66"/>
      <c r="I97" s="66"/>
      <c r="J97" s="66"/>
      <c r="K97" s="66"/>
      <c r="L97" s="66"/>
      <c r="M97" s="199"/>
      <c r="N97" s="198"/>
      <c r="O97" s="198"/>
      <c r="P97" s="198"/>
      <c r="Q97" s="198"/>
      <c r="R97" s="8"/>
      <c r="S97" s="8"/>
      <c r="T97" s="8"/>
      <c r="U97" s="8"/>
      <c r="V97" s="8"/>
      <c r="W97" s="42"/>
      <c r="X97" s="9"/>
      <c r="Y97" s="9"/>
      <c r="Z97" s="9"/>
      <c r="AA97" s="9"/>
      <c r="AB97" s="9"/>
      <c r="AC97" s="9"/>
      <c r="AD97" s="9"/>
      <c r="AE97" s="204"/>
      <c r="AF97" s="204"/>
      <c r="AG97" s="204"/>
      <c r="AH97" s="204"/>
      <c r="AI97" s="204"/>
      <c r="AJ97" s="204"/>
      <c r="AK97" s="204"/>
      <c r="AL97" s="204"/>
      <c r="AM97" s="204"/>
      <c r="AN97" s="204"/>
      <c r="AO97" s="204"/>
      <c r="AP97" s="204"/>
      <c r="AQ97" s="204"/>
      <c r="AR97" s="204"/>
      <c r="AS97" s="204"/>
      <c r="AT97" s="204"/>
      <c r="AU97" s="204"/>
    </row>
    <row r="98" spans="1:47" outlineLevel="1">
      <c r="A98" s="12"/>
      <c r="B98" s="12"/>
      <c r="C98" s="12"/>
      <c r="D98" s="12"/>
      <c r="E98" s="12"/>
      <c r="F98" s="311" t="str">
        <f>Asset24</f>
        <v>Equity Raising</v>
      </c>
      <c r="G98" s="310"/>
      <c r="H98" s="66"/>
      <c r="I98" s="66"/>
      <c r="J98" s="66"/>
      <c r="K98" s="66"/>
      <c r="L98" s="66"/>
      <c r="M98" s="199"/>
      <c r="N98" s="198"/>
      <c r="O98" s="198"/>
      <c r="P98" s="198"/>
      <c r="Q98" s="198"/>
      <c r="R98" s="8"/>
      <c r="S98" s="8"/>
      <c r="T98" s="8"/>
      <c r="U98" s="8"/>
      <c r="V98" s="8"/>
      <c r="W98" s="42"/>
      <c r="X98" s="9"/>
      <c r="Y98" s="9"/>
      <c r="Z98" s="9"/>
      <c r="AA98" s="9"/>
      <c r="AB98" s="9"/>
      <c r="AC98" s="9"/>
      <c r="AD98" s="9"/>
      <c r="AE98" s="204"/>
      <c r="AF98" s="204"/>
      <c r="AG98" s="204"/>
      <c r="AH98" s="204"/>
      <c r="AI98" s="204"/>
      <c r="AJ98" s="204"/>
      <c r="AK98" s="204"/>
      <c r="AL98" s="204"/>
      <c r="AM98" s="204"/>
      <c r="AN98" s="204"/>
      <c r="AO98" s="204"/>
      <c r="AP98" s="204"/>
      <c r="AQ98" s="204"/>
      <c r="AR98" s="204"/>
      <c r="AS98" s="204"/>
      <c r="AT98" s="204"/>
      <c r="AU98" s="204"/>
    </row>
    <row r="99" spans="1:47" outlineLevel="1">
      <c r="A99" s="12"/>
      <c r="B99" s="12"/>
      <c r="C99" s="12"/>
      <c r="D99" s="12"/>
      <c r="E99" s="12"/>
      <c r="F99" s="311">
        <f>Asset25</f>
        <v>0</v>
      </c>
      <c r="G99" s="310"/>
      <c r="H99" s="66"/>
      <c r="I99" s="66"/>
      <c r="J99" s="66"/>
      <c r="K99" s="66"/>
      <c r="L99" s="66"/>
      <c r="M99" s="199"/>
      <c r="N99" s="198"/>
      <c r="O99" s="198"/>
      <c r="P99" s="198"/>
      <c r="Q99" s="198"/>
      <c r="R99" s="8"/>
      <c r="S99" s="8"/>
      <c r="T99" s="8"/>
      <c r="U99" s="8"/>
      <c r="V99" s="8"/>
      <c r="W99" s="42"/>
      <c r="X99" s="9"/>
      <c r="Y99" s="9"/>
      <c r="Z99" s="9"/>
      <c r="AA99" s="9"/>
      <c r="AB99" s="9"/>
      <c r="AC99" s="9"/>
      <c r="AD99" s="9"/>
      <c r="AE99" s="204"/>
      <c r="AF99" s="204"/>
      <c r="AG99" s="204"/>
      <c r="AH99" s="204"/>
      <c r="AI99" s="204"/>
      <c r="AJ99" s="204"/>
      <c r="AK99" s="204"/>
      <c r="AL99" s="204"/>
      <c r="AM99" s="204"/>
      <c r="AN99" s="204"/>
      <c r="AO99" s="204"/>
      <c r="AP99" s="204"/>
      <c r="AQ99" s="204"/>
      <c r="AR99" s="204"/>
      <c r="AS99" s="204"/>
      <c r="AT99" s="204"/>
      <c r="AU99" s="204"/>
    </row>
    <row r="100" spans="1:47" outlineLevel="1">
      <c r="A100" s="12"/>
      <c r="B100" s="12"/>
      <c r="C100" s="12"/>
      <c r="D100" s="12"/>
      <c r="E100" s="12"/>
      <c r="F100" s="311">
        <f>Asset26</f>
        <v>0</v>
      </c>
      <c r="G100" s="310"/>
      <c r="H100" s="66"/>
      <c r="I100" s="66"/>
      <c r="J100" s="66"/>
      <c r="K100" s="66"/>
      <c r="L100" s="66"/>
      <c r="M100" s="199"/>
      <c r="N100" s="198"/>
      <c r="O100" s="198"/>
      <c r="P100" s="198"/>
      <c r="Q100" s="198"/>
      <c r="R100" s="8"/>
      <c r="S100" s="8"/>
      <c r="T100" s="8"/>
      <c r="U100" s="8"/>
      <c r="V100" s="8"/>
      <c r="W100" s="42"/>
      <c r="X100" s="9"/>
      <c r="Y100" s="9"/>
      <c r="Z100" s="9"/>
      <c r="AA100" s="9"/>
      <c r="AB100" s="9"/>
      <c r="AC100" s="9"/>
      <c r="AD100" s="9"/>
      <c r="AE100" s="204"/>
      <c r="AF100" s="204"/>
      <c r="AG100" s="204"/>
      <c r="AH100" s="204"/>
      <c r="AI100" s="204"/>
      <c r="AJ100" s="204"/>
      <c r="AK100" s="204"/>
      <c r="AL100" s="204"/>
      <c r="AM100" s="204"/>
      <c r="AN100" s="204"/>
      <c r="AO100" s="204"/>
      <c r="AP100" s="204"/>
      <c r="AQ100" s="204"/>
      <c r="AR100" s="204"/>
      <c r="AS100" s="204"/>
      <c r="AT100" s="204"/>
      <c r="AU100" s="204"/>
    </row>
    <row r="101" spans="1:47" outlineLevel="1">
      <c r="A101" s="12"/>
      <c r="B101" s="12"/>
      <c r="C101" s="12"/>
      <c r="D101" s="12"/>
      <c r="E101" s="12"/>
      <c r="F101" s="311">
        <f>Asset27</f>
        <v>0</v>
      </c>
      <c r="G101" s="310"/>
      <c r="H101" s="66"/>
      <c r="I101" s="66"/>
      <c r="J101" s="66"/>
      <c r="K101" s="66"/>
      <c r="L101" s="66"/>
      <c r="M101" s="199"/>
      <c r="N101" s="198"/>
      <c r="O101" s="198"/>
      <c r="P101" s="198"/>
      <c r="Q101" s="198"/>
      <c r="R101" s="8"/>
      <c r="S101" s="8"/>
      <c r="T101" s="8"/>
      <c r="U101" s="8"/>
      <c r="V101" s="8"/>
      <c r="W101" s="42"/>
      <c r="X101" s="9"/>
      <c r="Y101" s="9"/>
      <c r="Z101" s="9"/>
      <c r="AA101" s="9"/>
      <c r="AB101" s="9"/>
      <c r="AC101" s="9"/>
      <c r="AD101" s="9"/>
      <c r="AE101" s="204"/>
      <c r="AF101" s="204"/>
      <c r="AG101" s="204"/>
      <c r="AH101" s="204"/>
      <c r="AI101" s="204"/>
      <c r="AJ101" s="204"/>
      <c r="AK101" s="204"/>
      <c r="AL101" s="204"/>
      <c r="AM101" s="204"/>
      <c r="AN101" s="204"/>
      <c r="AO101" s="204"/>
      <c r="AP101" s="204"/>
      <c r="AQ101" s="204"/>
      <c r="AR101" s="204"/>
      <c r="AS101" s="204"/>
      <c r="AT101" s="204"/>
      <c r="AU101" s="204"/>
    </row>
    <row r="102" spans="1:47" outlineLevel="1">
      <c r="A102" s="12"/>
      <c r="B102" s="12"/>
      <c r="C102" s="12"/>
      <c r="D102" s="12"/>
      <c r="E102" s="12"/>
      <c r="F102" s="311">
        <f>Asset28</f>
        <v>0</v>
      </c>
      <c r="G102" s="310"/>
      <c r="H102" s="66"/>
      <c r="I102" s="66"/>
      <c r="J102" s="66"/>
      <c r="K102" s="66"/>
      <c r="L102" s="66"/>
      <c r="M102" s="199"/>
      <c r="N102" s="198"/>
      <c r="O102" s="198"/>
      <c r="P102" s="198"/>
      <c r="Q102" s="198"/>
      <c r="R102" s="8"/>
      <c r="S102" s="8"/>
      <c r="T102" s="8"/>
      <c r="U102" s="8"/>
      <c r="V102" s="8"/>
      <c r="W102" s="42"/>
      <c r="X102" s="9"/>
      <c r="Y102" s="9"/>
      <c r="Z102" s="9"/>
      <c r="AA102" s="9"/>
      <c r="AB102" s="9"/>
      <c r="AC102" s="9"/>
      <c r="AD102" s="9"/>
      <c r="AE102" s="204"/>
      <c r="AF102" s="204"/>
      <c r="AG102" s="204"/>
      <c r="AH102" s="204"/>
      <c r="AI102" s="204"/>
      <c r="AJ102" s="204"/>
      <c r="AK102" s="204"/>
      <c r="AL102" s="204"/>
      <c r="AM102" s="204"/>
      <c r="AN102" s="204"/>
      <c r="AO102" s="204"/>
      <c r="AP102" s="204"/>
      <c r="AQ102" s="204"/>
      <c r="AR102" s="204"/>
      <c r="AS102" s="204"/>
      <c r="AT102" s="204"/>
      <c r="AU102" s="204"/>
    </row>
    <row r="103" spans="1:47" outlineLevel="1">
      <c r="A103" s="12"/>
      <c r="B103" s="12"/>
      <c r="C103" s="12"/>
      <c r="D103" s="12"/>
      <c r="E103" s="12"/>
      <c r="F103" s="311">
        <f>Asset29</f>
        <v>0</v>
      </c>
      <c r="G103" s="310"/>
      <c r="H103" s="66"/>
      <c r="I103" s="66"/>
      <c r="J103" s="66"/>
      <c r="K103" s="66"/>
      <c r="L103" s="66"/>
      <c r="M103" s="199"/>
      <c r="N103" s="198"/>
      <c r="O103" s="198"/>
      <c r="P103" s="198"/>
      <c r="Q103" s="198"/>
      <c r="R103" s="8"/>
      <c r="S103" s="8"/>
      <c r="T103" s="8"/>
      <c r="U103" s="8"/>
      <c r="V103" s="8"/>
      <c r="W103" s="42"/>
      <c r="X103" s="9"/>
      <c r="Y103" s="9"/>
      <c r="Z103" s="9"/>
      <c r="AA103" s="9"/>
      <c r="AB103" s="9"/>
      <c r="AC103" s="9"/>
      <c r="AD103" s="9"/>
      <c r="AE103" s="204"/>
      <c r="AF103" s="204"/>
      <c r="AG103" s="204"/>
      <c r="AH103" s="204"/>
      <c r="AI103" s="204"/>
      <c r="AJ103" s="204"/>
      <c r="AK103" s="204"/>
      <c r="AL103" s="204"/>
      <c r="AM103" s="204"/>
      <c r="AN103" s="204"/>
      <c r="AO103" s="204"/>
      <c r="AP103" s="204"/>
      <c r="AQ103" s="204"/>
      <c r="AR103" s="204"/>
      <c r="AS103" s="204"/>
      <c r="AT103" s="204"/>
      <c r="AU103" s="204"/>
    </row>
    <row r="104" spans="1:47" outlineLevel="1">
      <c r="A104" s="12"/>
      <c r="B104" s="12"/>
      <c r="C104" s="12"/>
      <c r="D104" s="12"/>
      <c r="E104" s="12"/>
      <c r="F104" s="311">
        <f>Asset30</f>
        <v>0</v>
      </c>
      <c r="G104" s="310"/>
      <c r="H104" s="66"/>
      <c r="I104" s="66"/>
      <c r="J104" s="66"/>
      <c r="K104" s="66"/>
      <c r="L104" s="66"/>
      <c r="M104" s="199"/>
      <c r="N104" s="198"/>
      <c r="O104" s="198"/>
      <c r="P104" s="198"/>
      <c r="Q104" s="198"/>
      <c r="R104" s="8"/>
      <c r="S104" s="8"/>
      <c r="T104" s="8"/>
      <c r="U104" s="8"/>
      <c r="V104" s="8"/>
      <c r="W104" s="42"/>
      <c r="X104" s="9"/>
      <c r="Y104" s="9"/>
      <c r="Z104" s="9"/>
      <c r="AA104" s="9"/>
      <c r="AB104" s="9"/>
      <c r="AC104" s="9"/>
      <c r="AD104" s="9"/>
      <c r="AE104" s="204"/>
      <c r="AF104" s="204"/>
      <c r="AG104" s="204"/>
      <c r="AH104" s="204"/>
      <c r="AI104" s="204"/>
      <c r="AJ104" s="204"/>
      <c r="AK104" s="204"/>
      <c r="AL104" s="204"/>
      <c r="AM104" s="204"/>
      <c r="AN104" s="204"/>
      <c r="AO104" s="204"/>
      <c r="AP104" s="204"/>
      <c r="AQ104" s="204"/>
      <c r="AR104" s="204"/>
      <c r="AS104" s="204"/>
      <c r="AT104" s="204"/>
      <c r="AU104" s="204"/>
    </row>
    <row r="105" spans="1:47">
      <c r="A105" s="12"/>
      <c r="B105" s="12"/>
      <c r="C105" s="12"/>
      <c r="D105" s="12"/>
      <c r="E105" s="12"/>
      <c r="F105" s="177" t="s">
        <v>19</v>
      </c>
      <c r="G105" s="316">
        <f t="shared" ref="G105:Q105" si="7">SUM(G75:G104)</f>
        <v>0.42200000000000015</v>
      </c>
      <c r="H105" s="316">
        <f t="shared" si="7"/>
        <v>0</v>
      </c>
      <c r="I105" s="362">
        <f t="shared" si="7"/>
        <v>0.58400000000000007</v>
      </c>
      <c r="J105" s="316">
        <f t="shared" si="7"/>
        <v>3.6999999999999998E-2</v>
      </c>
      <c r="K105" s="316">
        <f t="shared" si="7"/>
        <v>0.23799999999999999</v>
      </c>
      <c r="L105" s="316">
        <f t="shared" si="7"/>
        <v>0</v>
      </c>
      <c r="M105" s="316">
        <f t="shared" si="7"/>
        <v>0</v>
      </c>
      <c r="N105" s="316">
        <f t="shared" si="7"/>
        <v>0</v>
      </c>
      <c r="O105" s="316">
        <f t="shared" si="7"/>
        <v>0</v>
      </c>
      <c r="P105" s="316">
        <f t="shared" si="7"/>
        <v>0</v>
      </c>
      <c r="Q105" s="316">
        <f t="shared" si="7"/>
        <v>0</v>
      </c>
      <c r="R105" s="36"/>
      <c r="S105" s="36"/>
      <c r="T105" s="36"/>
      <c r="U105" s="36"/>
      <c r="V105" s="36"/>
      <c r="W105" s="36"/>
      <c r="X105" s="48"/>
      <c r="Y105" s="8"/>
      <c r="Z105" s="8"/>
      <c r="AA105" s="42"/>
      <c r="AB105" s="9"/>
      <c r="AC105" s="9"/>
      <c r="AD105" s="9"/>
      <c r="AE105" s="204"/>
      <c r="AF105" s="204"/>
      <c r="AG105" s="204"/>
      <c r="AH105" s="204"/>
      <c r="AI105" s="204"/>
      <c r="AJ105" s="204"/>
      <c r="AK105" s="204"/>
      <c r="AL105" s="204"/>
      <c r="AM105" s="204"/>
      <c r="AN105" s="204"/>
      <c r="AO105" s="204"/>
      <c r="AP105" s="204"/>
      <c r="AQ105" s="204"/>
      <c r="AR105" s="204"/>
      <c r="AS105" s="204"/>
      <c r="AT105" s="204"/>
      <c r="AU105" s="204"/>
    </row>
    <row r="106" spans="1:47" ht="20.25" customHeight="1">
      <c r="A106" s="12"/>
      <c r="B106" s="12"/>
      <c r="C106" s="12"/>
      <c r="D106" s="12"/>
      <c r="F106" s="9"/>
      <c r="G106" s="9"/>
      <c r="H106" s="18"/>
      <c r="I106" s="20"/>
      <c r="J106" s="9"/>
      <c r="K106" s="9"/>
      <c r="L106" s="9"/>
      <c r="M106" s="9"/>
      <c r="N106" s="9"/>
      <c r="O106" s="9"/>
      <c r="P106" s="9"/>
      <c r="Q106" s="9"/>
      <c r="R106" s="251">
        <f>SUM(G105:Q105)</f>
        <v>1.2810000000000001</v>
      </c>
      <c r="S106" s="9"/>
      <c r="T106" s="9"/>
      <c r="U106" s="9"/>
      <c r="V106" s="9"/>
      <c r="W106" s="9"/>
      <c r="X106" s="9"/>
      <c r="Y106" s="9"/>
      <c r="Z106" s="9"/>
      <c r="AA106" s="19"/>
      <c r="AB106" s="9"/>
      <c r="AC106" s="9"/>
      <c r="AD106" s="9"/>
      <c r="AE106" s="204"/>
      <c r="AF106" s="204"/>
      <c r="AG106" s="204"/>
      <c r="AH106" s="204"/>
      <c r="AI106" s="204"/>
      <c r="AJ106" s="204"/>
      <c r="AK106" s="204"/>
      <c r="AL106" s="204"/>
      <c r="AM106" s="204"/>
      <c r="AN106" s="204"/>
      <c r="AO106" s="204"/>
      <c r="AP106" s="204"/>
      <c r="AQ106" s="204"/>
      <c r="AR106" s="204"/>
      <c r="AS106" s="204"/>
      <c r="AT106" s="204"/>
      <c r="AU106" s="204"/>
    </row>
    <row r="107" spans="1:47" ht="13.5" customHeight="1">
      <c r="A107" s="78"/>
      <c r="B107" s="78"/>
      <c r="C107" s="78"/>
      <c r="D107" s="78"/>
      <c r="E107" s="78"/>
      <c r="F107" s="382" t="str">
        <f>"Actual Net Capital Expenditure – As Incurred ($m Real "&amp;CONCATENATE(LEFT(V7, 4)-1 &amp;"-" &amp;IF(V7&gt;"2009-10",,"0") &amp;RIGHT(V7,2)-1)&amp;")"</f>
        <v>Actual Net Capital Expenditure – As Incurred ($m Real 2008-09)</v>
      </c>
      <c r="G107" s="382"/>
      <c r="H107" s="382"/>
      <c r="I107" s="159"/>
      <c r="J107" s="159"/>
      <c r="K107" s="81"/>
      <c r="L107" s="81"/>
      <c r="M107" s="79"/>
      <c r="N107" s="79"/>
      <c r="O107" s="79"/>
      <c r="P107" s="79"/>
      <c r="Q107" s="79"/>
      <c r="R107" s="79"/>
      <c r="S107" s="79"/>
      <c r="T107" s="79"/>
      <c r="U107" s="79"/>
      <c r="V107" s="79"/>
      <c r="W107" s="79"/>
      <c r="X107" s="8"/>
      <c r="Y107" s="8"/>
      <c r="Z107" s="8"/>
      <c r="AA107" s="8"/>
      <c r="AB107" s="42"/>
      <c r="AC107" s="9"/>
      <c r="AD107" s="9"/>
      <c r="AE107" s="204"/>
      <c r="AF107" s="204"/>
      <c r="AG107" s="204"/>
      <c r="AH107" s="204"/>
      <c r="AI107" s="204"/>
      <c r="AJ107" s="204"/>
      <c r="AK107" s="204"/>
      <c r="AL107" s="204"/>
      <c r="AM107" s="204"/>
      <c r="AN107" s="204"/>
      <c r="AO107" s="204"/>
      <c r="AP107" s="204"/>
      <c r="AQ107" s="204"/>
      <c r="AR107" s="204"/>
      <c r="AS107" s="204"/>
      <c r="AT107" s="204"/>
      <c r="AU107" s="204"/>
    </row>
    <row r="108" spans="1:47">
      <c r="A108" s="12"/>
      <c r="B108" s="12"/>
      <c r="C108" s="12"/>
      <c r="D108" s="12"/>
      <c r="E108" s="12"/>
      <c r="F108" s="37" t="s">
        <v>3</v>
      </c>
      <c r="G108" s="250" t="str">
        <f>G40</f>
        <v>2008-09</v>
      </c>
      <c r="H108" s="250" t="str">
        <f t="shared" ref="H108:Q108" si="8">H40</f>
        <v>2009-10</v>
      </c>
      <c r="I108" s="250" t="str">
        <f t="shared" si="8"/>
        <v>2010-11</v>
      </c>
      <c r="J108" s="250" t="str">
        <f t="shared" si="8"/>
        <v>2011-12</v>
      </c>
      <c r="K108" s="250" t="str">
        <f t="shared" si="8"/>
        <v>2012-13</v>
      </c>
      <c r="L108" s="250" t="str">
        <f t="shared" si="8"/>
        <v>2013-14</v>
      </c>
      <c r="M108" s="250" t="str">
        <f t="shared" si="8"/>
        <v>2014-15</v>
      </c>
      <c r="N108" s="250" t="str">
        <f t="shared" si="8"/>
        <v>2015-16</v>
      </c>
      <c r="O108" s="250" t="str">
        <f t="shared" si="8"/>
        <v>2016-17</v>
      </c>
      <c r="P108" s="250" t="str">
        <f t="shared" si="8"/>
        <v>2017-18</v>
      </c>
      <c r="Q108" s="250" t="str">
        <f t="shared" si="8"/>
        <v>2018-19</v>
      </c>
      <c r="R108" s="8"/>
      <c r="S108" s="8"/>
      <c r="T108" s="8"/>
      <c r="U108" s="8"/>
      <c r="V108" s="8"/>
      <c r="W108" s="42"/>
      <c r="X108" s="9"/>
      <c r="Y108" s="9"/>
      <c r="Z108" s="9"/>
      <c r="AA108" s="9"/>
      <c r="AB108" s="9"/>
      <c r="AC108" s="9"/>
      <c r="AD108" s="9"/>
      <c r="AE108" s="204"/>
      <c r="AF108" s="204"/>
      <c r="AG108" s="204"/>
      <c r="AH108" s="204"/>
      <c r="AI108" s="204"/>
      <c r="AJ108" s="204"/>
      <c r="AK108" s="204"/>
      <c r="AL108" s="204"/>
      <c r="AM108" s="204"/>
      <c r="AN108" s="204"/>
      <c r="AO108" s="204"/>
      <c r="AP108" s="204"/>
      <c r="AQ108" s="204"/>
      <c r="AR108" s="204"/>
      <c r="AS108" s="204"/>
      <c r="AT108" s="204"/>
      <c r="AU108" s="204"/>
    </row>
    <row r="109" spans="1:47" hidden="1" outlineLevel="1">
      <c r="A109" s="12"/>
      <c r="B109" s="12"/>
      <c r="C109" s="12"/>
      <c r="D109" s="12"/>
      <c r="E109" s="12"/>
      <c r="F109" s="177" t="str">
        <f>Asset1</f>
        <v>Transmission Lines and Cables</v>
      </c>
      <c r="G109" s="174">
        <f t="shared" ref="G109:Q109" si="9">(G41-G75)/G$246</f>
        <v>5.2439999999999998</v>
      </c>
      <c r="H109" s="175">
        <f t="shared" si="9"/>
        <v>0</v>
      </c>
      <c r="I109" s="175">
        <f t="shared" si="9"/>
        <v>0</v>
      </c>
      <c r="J109" s="175">
        <f t="shared" si="9"/>
        <v>0</v>
      </c>
      <c r="K109" s="175">
        <f t="shared" si="9"/>
        <v>-0.20150752089136489</v>
      </c>
      <c r="L109" s="175">
        <f t="shared" si="9"/>
        <v>0</v>
      </c>
      <c r="M109" s="175">
        <f t="shared" si="9"/>
        <v>0</v>
      </c>
      <c r="N109" s="175">
        <f t="shared" si="9"/>
        <v>0</v>
      </c>
      <c r="O109" s="175">
        <f t="shared" si="9"/>
        <v>0</v>
      </c>
      <c r="P109" s="175">
        <f t="shared" si="9"/>
        <v>0</v>
      </c>
      <c r="Q109" s="175">
        <f t="shared" si="9"/>
        <v>0</v>
      </c>
      <c r="R109" s="8"/>
      <c r="S109" s="8"/>
      <c r="T109" s="8"/>
      <c r="U109" s="8"/>
      <c r="V109" s="8"/>
      <c r="W109" s="42"/>
      <c r="X109" s="9"/>
      <c r="Y109" s="9"/>
      <c r="Z109" s="9"/>
      <c r="AA109" s="9"/>
      <c r="AB109" s="9"/>
      <c r="AC109" s="9"/>
      <c r="AD109" s="9"/>
      <c r="AE109" s="204"/>
      <c r="AF109" s="204"/>
      <c r="AG109" s="204"/>
      <c r="AH109" s="204"/>
      <c r="AI109" s="204"/>
      <c r="AJ109" s="204"/>
      <c r="AK109" s="204"/>
      <c r="AL109" s="204"/>
      <c r="AM109" s="204"/>
      <c r="AN109" s="204"/>
      <c r="AO109" s="204"/>
      <c r="AP109" s="204"/>
      <c r="AQ109" s="204"/>
      <c r="AR109" s="204"/>
      <c r="AS109" s="204"/>
      <c r="AT109" s="204"/>
      <c r="AU109" s="204"/>
    </row>
    <row r="110" spans="1:47" hidden="1" outlineLevel="1">
      <c r="A110" s="12"/>
      <c r="B110" s="12"/>
      <c r="C110" s="12"/>
      <c r="D110" s="12"/>
      <c r="E110" s="12"/>
      <c r="F110" s="177" t="str">
        <f>Asset2</f>
        <v>Transmission Substations</v>
      </c>
      <c r="G110" s="176">
        <f t="shared" ref="G110:Q110" si="10">(G42-G76)/G$246</f>
        <v>37.567999999999998</v>
      </c>
      <c r="H110" s="177">
        <f t="shared" si="10"/>
        <v>0</v>
      </c>
      <c r="I110" s="177">
        <f t="shared" si="10"/>
        <v>-0.50367368421052627</v>
      </c>
      <c r="J110" s="177">
        <f t="shared" si="10"/>
        <v>0</v>
      </c>
      <c r="K110" s="177">
        <f t="shared" si="10"/>
        <v>0</v>
      </c>
      <c r="L110" s="177">
        <f t="shared" si="10"/>
        <v>0</v>
      </c>
      <c r="M110" s="177">
        <f t="shared" si="10"/>
        <v>0</v>
      </c>
      <c r="N110" s="177">
        <f t="shared" si="10"/>
        <v>0</v>
      </c>
      <c r="O110" s="177">
        <f t="shared" si="10"/>
        <v>0</v>
      </c>
      <c r="P110" s="177">
        <f t="shared" si="10"/>
        <v>0</v>
      </c>
      <c r="Q110" s="177">
        <f t="shared" si="10"/>
        <v>0</v>
      </c>
      <c r="R110" s="8"/>
      <c r="S110" s="8"/>
      <c r="T110" s="8"/>
      <c r="U110" s="8"/>
      <c r="V110" s="8"/>
      <c r="W110" s="42"/>
      <c r="X110" s="9"/>
      <c r="Y110" s="9"/>
      <c r="Z110" s="9"/>
      <c r="AA110" s="9"/>
      <c r="AB110" s="9"/>
      <c r="AC110" s="9"/>
      <c r="AD110" s="9"/>
      <c r="AE110" s="204"/>
      <c r="AF110" s="204"/>
      <c r="AG110" s="204"/>
      <c r="AH110" s="204"/>
      <c r="AI110" s="204"/>
      <c r="AJ110" s="204"/>
      <c r="AK110" s="204"/>
      <c r="AL110" s="204"/>
      <c r="AM110" s="204"/>
      <c r="AN110" s="204"/>
      <c r="AO110" s="204"/>
      <c r="AP110" s="204"/>
      <c r="AQ110" s="204"/>
      <c r="AR110" s="204"/>
      <c r="AS110" s="204"/>
      <c r="AT110" s="204"/>
      <c r="AU110" s="204"/>
    </row>
    <row r="111" spans="1:47" hidden="1" outlineLevel="1">
      <c r="A111" s="12"/>
      <c r="B111" s="12"/>
      <c r="C111" s="12"/>
      <c r="D111" s="12"/>
      <c r="E111" s="12"/>
      <c r="F111" s="177" t="str">
        <f>Asset3</f>
        <v>Protection and Control</v>
      </c>
      <c r="G111" s="176">
        <f t="shared" ref="G111:Q111" si="11">(G43-G77)/G$246</f>
        <v>6.5339999999999998</v>
      </c>
      <c r="H111" s="177">
        <f t="shared" si="11"/>
        <v>0</v>
      </c>
      <c r="I111" s="177">
        <f t="shared" si="11"/>
        <v>-4.173567251461989E-2</v>
      </c>
      <c r="J111" s="177">
        <f t="shared" si="11"/>
        <v>0</v>
      </c>
      <c r="K111" s="177">
        <f t="shared" si="11"/>
        <v>0</v>
      </c>
      <c r="L111" s="177">
        <f t="shared" si="11"/>
        <v>0</v>
      </c>
      <c r="M111" s="177">
        <f t="shared" si="11"/>
        <v>0</v>
      </c>
      <c r="N111" s="177">
        <f t="shared" si="11"/>
        <v>0</v>
      </c>
      <c r="O111" s="177">
        <f t="shared" si="11"/>
        <v>0</v>
      </c>
      <c r="P111" s="177">
        <f t="shared" si="11"/>
        <v>0</v>
      </c>
      <c r="Q111" s="177">
        <f t="shared" si="11"/>
        <v>0</v>
      </c>
      <c r="R111" s="8"/>
      <c r="S111" s="8"/>
      <c r="T111" s="8"/>
      <c r="U111" s="8"/>
      <c r="V111" s="8"/>
      <c r="W111" s="42"/>
      <c r="X111" s="9"/>
      <c r="Y111" s="9"/>
      <c r="Z111" s="9"/>
      <c r="AA111" s="9"/>
      <c r="AB111" s="9"/>
      <c r="AC111" s="9"/>
      <c r="AD111" s="9"/>
      <c r="AE111" s="204"/>
      <c r="AF111" s="204"/>
      <c r="AG111" s="204"/>
      <c r="AH111" s="204"/>
      <c r="AI111" s="204"/>
      <c r="AJ111" s="204"/>
      <c r="AK111" s="204"/>
      <c r="AL111" s="204"/>
      <c r="AM111" s="204"/>
      <c r="AN111" s="204"/>
      <c r="AO111" s="204"/>
      <c r="AP111" s="204"/>
      <c r="AQ111" s="204"/>
      <c r="AR111" s="204"/>
      <c r="AS111" s="204"/>
      <c r="AT111" s="204"/>
      <c r="AU111" s="204"/>
    </row>
    <row r="112" spans="1:47" hidden="1" outlineLevel="1">
      <c r="A112" s="12"/>
      <c r="B112" s="12"/>
      <c r="C112" s="12"/>
      <c r="D112" s="12"/>
      <c r="E112" s="12"/>
      <c r="F112" s="177" t="str">
        <f>Asset4</f>
        <v>Refurbishment</v>
      </c>
      <c r="G112" s="176">
        <f t="shared" ref="G112:Q112" si="12">(G44-G78)/G$246</f>
        <v>0</v>
      </c>
      <c r="H112" s="177">
        <f t="shared" si="12"/>
        <v>0</v>
      </c>
      <c r="I112" s="177">
        <f t="shared" si="12"/>
        <v>0</v>
      </c>
      <c r="J112" s="177">
        <f t="shared" si="12"/>
        <v>0</v>
      </c>
      <c r="K112" s="177">
        <f t="shared" si="12"/>
        <v>0</v>
      </c>
      <c r="L112" s="177">
        <f t="shared" si="12"/>
        <v>0</v>
      </c>
      <c r="M112" s="177">
        <f t="shared" si="12"/>
        <v>0</v>
      </c>
      <c r="N112" s="177">
        <f t="shared" si="12"/>
        <v>0</v>
      </c>
      <c r="O112" s="177">
        <f t="shared" si="12"/>
        <v>0</v>
      </c>
      <c r="P112" s="177">
        <f t="shared" si="12"/>
        <v>0</v>
      </c>
      <c r="Q112" s="177">
        <f t="shared" si="12"/>
        <v>0</v>
      </c>
      <c r="R112" s="8"/>
      <c r="S112" s="8"/>
      <c r="T112" s="8"/>
      <c r="U112" s="8"/>
      <c r="V112" s="8"/>
      <c r="W112" s="42"/>
      <c r="X112" s="9"/>
      <c r="Y112" s="9"/>
      <c r="Z112" s="9"/>
      <c r="AA112" s="9"/>
      <c r="AB112" s="9"/>
      <c r="AC112" s="9"/>
      <c r="AD112" s="9"/>
      <c r="AE112" s="204"/>
      <c r="AF112" s="204"/>
      <c r="AG112" s="204"/>
      <c r="AH112" s="204"/>
      <c r="AI112" s="204"/>
      <c r="AJ112" s="204"/>
      <c r="AK112" s="204"/>
      <c r="AL112" s="204"/>
      <c r="AM112" s="204"/>
      <c r="AN112" s="204"/>
      <c r="AO112" s="204"/>
      <c r="AP112" s="204"/>
      <c r="AQ112" s="204"/>
      <c r="AR112" s="204"/>
      <c r="AS112" s="204"/>
      <c r="AT112" s="204"/>
      <c r="AU112" s="204"/>
    </row>
    <row r="113" spans="1:47" hidden="1" outlineLevel="1">
      <c r="A113" s="12"/>
      <c r="B113" s="12"/>
      <c r="C113" s="12"/>
      <c r="D113" s="12"/>
      <c r="E113" s="12"/>
      <c r="F113" s="177" t="str">
        <f>Asset5</f>
        <v>Other</v>
      </c>
      <c r="G113" s="176">
        <f t="shared" ref="G113:Q113" si="13">(G45-G79)/G$246</f>
        <v>-4.9999999999999975E-3</v>
      </c>
      <c r="H113" s="177">
        <f t="shared" si="13"/>
        <v>0</v>
      </c>
      <c r="I113" s="177">
        <f t="shared" si="13"/>
        <v>0</v>
      </c>
      <c r="J113" s="177">
        <f t="shared" si="13"/>
        <v>0</v>
      </c>
      <c r="K113" s="177">
        <f t="shared" si="13"/>
        <v>0</v>
      </c>
      <c r="L113" s="177">
        <f t="shared" si="13"/>
        <v>0</v>
      </c>
      <c r="M113" s="177">
        <f t="shared" si="13"/>
        <v>0</v>
      </c>
      <c r="N113" s="177">
        <f t="shared" si="13"/>
        <v>0</v>
      </c>
      <c r="O113" s="177">
        <f t="shared" si="13"/>
        <v>0</v>
      </c>
      <c r="P113" s="177">
        <f t="shared" si="13"/>
        <v>0</v>
      </c>
      <c r="Q113" s="177">
        <f t="shared" si="13"/>
        <v>0</v>
      </c>
      <c r="R113" s="8"/>
      <c r="S113" s="8"/>
      <c r="T113" s="8"/>
      <c r="U113" s="8"/>
      <c r="V113" s="8"/>
      <c r="W113" s="42"/>
      <c r="X113" s="9"/>
      <c r="Y113" s="9"/>
      <c r="Z113" s="9"/>
      <c r="AA113" s="9"/>
      <c r="AB113" s="9"/>
      <c r="AC113" s="9"/>
      <c r="AD113" s="9"/>
      <c r="AE113" s="204"/>
      <c r="AF113" s="204"/>
      <c r="AG113" s="204"/>
      <c r="AH113" s="204"/>
      <c r="AI113" s="204"/>
      <c r="AJ113" s="204"/>
      <c r="AK113" s="204"/>
      <c r="AL113" s="204"/>
      <c r="AM113" s="204"/>
      <c r="AN113" s="204"/>
      <c r="AO113" s="204"/>
      <c r="AP113" s="204"/>
      <c r="AQ113" s="204"/>
      <c r="AR113" s="204"/>
      <c r="AS113" s="204"/>
      <c r="AT113" s="204"/>
      <c r="AU113" s="204"/>
    </row>
    <row r="114" spans="1:47" hidden="1" outlineLevel="1">
      <c r="A114" s="12"/>
      <c r="B114" s="12"/>
      <c r="C114" s="12"/>
      <c r="D114" s="12"/>
      <c r="E114" s="12"/>
      <c r="F114" s="177" t="str">
        <f>Asset6</f>
        <v>Other - IT</v>
      </c>
      <c r="G114" s="176">
        <f t="shared" ref="G114:Q114" si="14">(G46-G80)/G$246</f>
        <v>9.6840000000000011</v>
      </c>
      <c r="H114" s="177">
        <f t="shared" si="14"/>
        <v>0</v>
      </c>
      <c r="I114" s="177">
        <f t="shared" si="14"/>
        <v>-4.7426900584795319E-3</v>
      </c>
      <c r="J114" s="177">
        <f t="shared" si="14"/>
        <v>0</v>
      </c>
      <c r="K114" s="177">
        <f t="shared" si="14"/>
        <v>0</v>
      </c>
      <c r="L114" s="177">
        <f t="shared" si="14"/>
        <v>0</v>
      </c>
      <c r="M114" s="177">
        <f t="shared" si="14"/>
        <v>0</v>
      </c>
      <c r="N114" s="177">
        <f t="shared" si="14"/>
        <v>0</v>
      </c>
      <c r="O114" s="177">
        <f t="shared" si="14"/>
        <v>0</v>
      </c>
      <c r="P114" s="177">
        <f t="shared" si="14"/>
        <v>0</v>
      </c>
      <c r="Q114" s="177">
        <f t="shared" si="14"/>
        <v>0</v>
      </c>
      <c r="R114" s="8"/>
      <c r="S114" s="8"/>
      <c r="T114" s="8"/>
      <c r="U114" s="8"/>
      <c r="V114" s="8"/>
      <c r="W114" s="42"/>
      <c r="X114" s="9"/>
      <c r="Y114" s="9"/>
      <c r="Z114" s="9"/>
      <c r="AA114" s="9"/>
      <c r="AB114" s="9"/>
      <c r="AC114" s="9"/>
      <c r="AD114" s="9"/>
      <c r="AE114" s="204"/>
      <c r="AF114" s="204"/>
      <c r="AG114" s="204"/>
      <c r="AH114" s="204"/>
      <c r="AI114" s="204"/>
      <c r="AJ114" s="204"/>
      <c r="AK114" s="204"/>
      <c r="AL114" s="204"/>
      <c r="AM114" s="204"/>
      <c r="AN114" s="204"/>
      <c r="AO114" s="204"/>
      <c r="AP114" s="204"/>
      <c r="AQ114" s="204"/>
      <c r="AR114" s="204"/>
      <c r="AS114" s="204"/>
      <c r="AT114" s="204"/>
      <c r="AU114" s="204"/>
    </row>
    <row r="115" spans="1:47" hidden="1" outlineLevel="1">
      <c r="A115" s="12"/>
      <c r="B115" s="12"/>
      <c r="C115" s="12"/>
      <c r="D115" s="12"/>
      <c r="E115" s="12"/>
      <c r="F115" s="177" t="str">
        <f>Asset7</f>
        <v>Other - General</v>
      </c>
      <c r="G115" s="176">
        <f t="shared" ref="G115:Q115" si="15">(G47-G81)/G$246</f>
        <v>1.2129999999999999</v>
      </c>
      <c r="H115" s="177">
        <f t="shared" si="15"/>
        <v>0</v>
      </c>
      <c r="I115" s="177">
        <f t="shared" si="15"/>
        <v>0</v>
      </c>
      <c r="J115" s="177">
        <f t="shared" si="15"/>
        <v>0</v>
      </c>
      <c r="K115" s="177">
        <f t="shared" si="15"/>
        <v>0</v>
      </c>
      <c r="L115" s="177">
        <f t="shared" si="15"/>
        <v>0</v>
      </c>
      <c r="M115" s="177">
        <f t="shared" si="15"/>
        <v>0</v>
      </c>
      <c r="N115" s="177">
        <f t="shared" si="15"/>
        <v>0</v>
      </c>
      <c r="O115" s="177">
        <f t="shared" si="15"/>
        <v>0</v>
      </c>
      <c r="P115" s="177">
        <f t="shared" si="15"/>
        <v>0</v>
      </c>
      <c r="Q115" s="177">
        <f t="shared" si="15"/>
        <v>0</v>
      </c>
      <c r="R115" s="8"/>
      <c r="S115" s="8"/>
      <c r="T115" s="8"/>
      <c r="U115" s="8"/>
      <c r="V115" s="8"/>
      <c r="W115" s="42"/>
      <c r="X115" s="9"/>
      <c r="Y115" s="9"/>
      <c r="Z115" s="9"/>
      <c r="AA115" s="9"/>
      <c r="AB115" s="9"/>
      <c r="AC115" s="9"/>
      <c r="AD115" s="9"/>
      <c r="AE115" s="204"/>
      <c r="AF115" s="204"/>
      <c r="AG115" s="204"/>
      <c r="AH115" s="204"/>
      <c r="AI115" s="204"/>
      <c r="AJ115" s="204"/>
      <c r="AK115" s="204"/>
      <c r="AL115" s="204"/>
      <c r="AM115" s="204"/>
      <c r="AN115" s="204"/>
      <c r="AO115" s="204"/>
      <c r="AP115" s="204"/>
      <c r="AQ115" s="204"/>
      <c r="AR115" s="204"/>
      <c r="AS115" s="204"/>
      <c r="AT115" s="204"/>
      <c r="AU115" s="204"/>
    </row>
    <row r="116" spans="1:47" hidden="1" outlineLevel="1">
      <c r="A116" s="12"/>
      <c r="B116" s="12"/>
      <c r="C116" s="12"/>
      <c r="D116" s="12"/>
      <c r="E116" s="12"/>
      <c r="F116" s="177" t="str">
        <f>Asset8</f>
        <v>Other - Buildings</v>
      </c>
      <c r="G116" s="176">
        <f t="shared" ref="G116:Q116" si="16">(G48-G82)/G$246</f>
        <v>5.7990000000000004</v>
      </c>
      <c r="H116" s="177">
        <f t="shared" si="16"/>
        <v>0</v>
      </c>
      <c r="I116" s="177">
        <f t="shared" si="16"/>
        <v>0</v>
      </c>
      <c r="J116" s="177">
        <f t="shared" si="16"/>
        <v>0</v>
      </c>
      <c r="K116" s="177">
        <f t="shared" si="16"/>
        <v>0</v>
      </c>
      <c r="L116" s="177">
        <f t="shared" si="16"/>
        <v>0</v>
      </c>
      <c r="M116" s="177">
        <f t="shared" si="16"/>
        <v>0</v>
      </c>
      <c r="N116" s="177">
        <f t="shared" si="16"/>
        <v>0</v>
      </c>
      <c r="O116" s="177">
        <f t="shared" si="16"/>
        <v>0</v>
      </c>
      <c r="P116" s="177">
        <f t="shared" si="16"/>
        <v>0</v>
      </c>
      <c r="Q116" s="177">
        <f t="shared" si="16"/>
        <v>0</v>
      </c>
      <c r="R116" s="8"/>
      <c r="S116" s="8"/>
      <c r="T116" s="8"/>
      <c r="U116" s="8"/>
      <c r="V116" s="8"/>
      <c r="W116" s="42"/>
      <c r="X116" s="9"/>
      <c r="Y116" s="9"/>
      <c r="Z116" s="9"/>
      <c r="AA116" s="9"/>
      <c r="AB116" s="9"/>
      <c r="AC116" s="9"/>
      <c r="AD116" s="9"/>
      <c r="AE116" s="204"/>
      <c r="AF116" s="204"/>
      <c r="AG116" s="204"/>
      <c r="AH116" s="204"/>
      <c r="AI116" s="204"/>
      <c r="AJ116" s="204"/>
      <c r="AK116" s="204"/>
      <c r="AL116" s="204"/>
      <c r="AM116" s="204"/>
      <c r="AN116" s="204"/>
      <c r="AO116" s="204"/>
      <c r="AP116" s="204"/>
      <c r="AQ116" s="204"/>
      <c r="AR116" s="204"/>
      <c r="AS116" s="204"/>
      <c r="AT116" s="204"/>
      <c r="AU116" s="204"/>
    </row>
    <row r="117" spans="1:47" hidden="1" outlineLevel="1">
      <c r="A117" s="12"/>
      <c r="B117" s="12"/>
      <c r="C117" s="12"/>
      <c r="D117" s="12"/>
      <c r="E117" s="12"/>
      <c r="F117" s="177" t="str">
        <f>Asset9</f>
        <v>Land and Easements</v>
      </c>
      <c r="G117" s="176">
        <f t="shared" ref="G117:Q117" si="17">(G49-G83)/G$246</f>
        <v>0.53</v>
      </c>
      <c r="H117" s="177">
        <f t="shared" si="17"/>
        <v>0</v>
      </c>
      <c r="I117" s="177">
        <f t="shared" si="17"/>
        <v>0</v>
      </c>
      <c r="J117" s="177">
        <f t="shared" si="17"/>
        <v>0</v>
      </c>
      <c r="K117" s="177">
        <f t="shared" si="17"/>
        <v>0</v>
      </c>
      <c r="L117" s="177">
        <f t="shared" si="17"/>
        <v>0</v>
      </c>
      <c r="M117" s="177">
        <f t="shared" si="17"/>
        <v>0</v>
      </c>
      <c r="N117" s="177">
        <f t="shared" si="17"/>
        <v>0</v>
      </c>
      <c r="O117" s="177">
        <f t="shared" si="17"/>
        <v>0</v>
      </c>
      <c r="P117" s="177">
        <f t="shared" si="17"/>
        <v>0</v>
      </c>
      <c r="Q117" s="177">
        <f t="shared" si="17"/>
        <v>0</v>
      </c>
      <c r="R117" s="8"/>
      <c r="S117" s="8"/>
      <c r="T117" s="8"/>
      <c r="U117" s="8"/>
      <c r="V117" s="8"/>
      <c r="W117" s="42"/>
      <c r="X117" s="9"/>
      <c r="Y117" s="9"/>
      <c r="Z117" s="9"/>
      <c r="AA117" s="9"/>
      <c r="AB117" s="9"/>
      <c r="AC117" s="9"/>
      <c r="AD117" s="9"/>
      <c r="AE117" s="204"/>
      <c r="AF117" s="204"/>
      <c r="AG117" s="204"/>
      <c r="AH117" s="204"/>
      <c r="AI117" s="204"/>
      <c r="AJ117" s="204"/>
      <c r="AK117" s="204"/>
      <c r="AL117" s="204"/>
      <c r="AM117" s="204"/>
      <c r="AN117" s="204"/>
      <c r="AO117" s="204"/>
      <c r="AP117" s="204"/>
      <c r="AQ117" s="204"/>
      <c r="AR117" s="204"/>
      <c r="AS117" s="204"/>
      <c r="AT117" s="204"/>
      <c r="AU117" s="204"/>
    </row>
    <row r="118" spans="1:47" hidden="1" outlineLevel="1">
      <c r="A118" s="12"/>
      <c r="B118" s="12"/>
      <c r="C118" s="12"/>
      <c r="D118" s="12"/>
      <c r="E118" s="12"/>
      <c r="F118" s="177" t="str">
        <f>Asset10</f>
        <v>Transmission line assets - long life (60)</v>
      </c>
      <c r="G118" s="176">
        <f t="shared" ref="G118:Q118" si="18">(G50-G84)/G$246</f>
        <v>0</v>
      </c>
      <c r="H118" s="177">
        <f t="shared" si="18"/>
        <v>59.287906137184109</v>
      </c>
      <c r="I118" s="177">
        <f t="shared" si="18"/>
        <v>27.355836257309939</v>
      </c>
      <c r="J118" s="177">
        <f t="shared" si="18"/>
        <v>15.889541595925296</v>
      </c>
      <c r="K118" s="177">
        <f t="shared" si="18"/>
        <v>17.92784401114206</v>
      </c>
      <c r="L118" s="177">
        <f t="shared" si="18"/>
        <v>21.371619408955702</v>
      </c>
      <c r="M118" s="177">
        <f t="shared" si="18"/>
        <v>0</v>
      </c>
      <c r="N118" s="177">
        <f t="shared" si="18"/>
        <v>0</v>
      </c>
      <c r="O118" s="177">
        <f t="shared" si="18"/>
        <v>0</v>
      </c>
      <c r="P118" s="177">
        <f t="shared" si="18"/>
        <v>0</v>
      </c>
      <c r="Q118" s="177">
        <f t="shared" si="18"/>
        <v>0</v>
      </c>
      <c r="R118" s="8"/>
      <c r="S118" s="8"/>
      <c r="T118" s="8"/>
      <c r="U118" s="8"/>
      <c r="V118" s="8"/>
      <c r="W118" s="42"/>
      <c r="X118" s="9"/>
      <c r="Y118" s="9"/>
      <c r="Z118" s="9"/>
      <c r="AA118" s="9"/>
      <c r="AB118" s="9"/>
      <c r="AC118" s="9"/>
      <c r="AD118" s="9"/>
      <c r="AE118" s="204"/>
      <c r="AF118" s="204"/>
      <c r="AG118" s="204"/>
      <c r="AH118" s="204"/>
      <c r="AI118" s="204"/>
      <c r="AJ118" s="204"/>
      <c r="AK118" s="204"/>
      <c r="AL118" s="204"/>
      <c r="AM118" s="204"/>
      <c r="AN118" s="204"/>
      <c r="AO118" s="204"/>
      <c r="AP118" s="204"/>
      <c r="AQ118" s="204"/>
      <c r="AR118" s="204"/>
      <c r="AS118" s="204"/>
      <c r="AT118" s="204"/>
      <c r="AU118" s="204"/>
    </row>
    <row r="119" spans="1:47" hidden="1" outlineLevel="1">
      <c r="A119" s="12"/>
      <c r="B119" s="12"/>
      <c r="C119" s="12"/>
      <c r="D119" s="12"/>
      <c r="E119" s="12"/>
      <c r="F119" s="177" t="str">
        <f>Asset11</f>
        <v>Transmission line assets - medium life (45)</v>
      </c>
      <c r="G119" s="176">
        <f t="shared" ref="G119:Q119" si="19">(G51-G85)/G$246</f>
        <v>0</v>
      </c>
      <c r="H119" s="177">
        <f t="shared" si="19"/>
        <v>0.68315282791817078</v>
      </c>
      <c r="I119" s="177">
        <f t="shared" si="19"/>
        <v>4.7521754385964909</v>
      </c>
      <c r="J119" s="177">
        <f t="shared" si="19"/>
        <v>11.87814374646293</v>
      </c>
      <c r="K119" s="177">
        <f t="shared" si="19"/>
        <v>1.2560334261838437</v>
      </c>
      <c r="L119" s="177">
        <f t="shared" si="19"/>
        <v>0.14841853390634052</v>
      </c>
      <c r="M119" s="177">
        <f t="shared" si="19"/>
        <v>0</v>
      </c>
      <c r="N119" s="177">
        <f t="shared" si="19"/>
        <v>0</v>
      </c>
      <c r="O119" s="177">
        <f t="shared" si="19"/>
        <v>0</v>
      </c>
      <c r="P119" s="177">
        <f t="shared" si="19"/>
        <v>0</v>
      </c>
      <c r="Q119" s="177">
        <f t="shared" si="19"/>
        <v>0</v>
      </c>
      <c r="R119" s="8"/>
      <c r="S119" s="8"/>
      <c r="T119" s="8"/>
      <c r="U119" s="8"/>
      <c r="V119" s="8"/>
      <c r="W119" s="42"/>
      <c r="X119" s="9"/>
      <c r="Y119" s="9"/>
      <c r="Z119" s="9"/>
      <c r="AA119" s="9"/>
      <c r="AB119" s="9"/>
      <c r="AC119" s="9"/>
      <c r="AD119" s="9"/>
      <c r="AE119" s="204"/>
      <c r="AF119" s="204"/>
      <c r="AG119" s="204"/>
      <c r="AH119" s="204"/>
      <c r="AI119" s="204"/>
      <c r="AJ119" s="204"/>
      <c r="AK119" s="204"/>
      <c r="AL119" s="204"/>
      <c r="AM119" s="204"/>
      <c r="AN119" s="204"/>
      <c r="AO119" s="204"/>
      <c r="AP119" s="204"/>
      <c r="AQ119" s="204"/>
      <c r="AR119" s="204"/>
      <c r="AS119" s="204"/>
      <c r="AT119" s="204"/>
      <c r="AU119" s="204"/>
    </row>
    <row r="120" spans="1:47" hidden="1" outlineLevel="1">
      <c r="A120" s="12"/>
      <c r="B120" s="12"/>
      <c r="C120" s="12"/>
      <c r="D120" s="12"/>
      <c r="E120" s="12"/>
      <c r="F120" s="177" t="str">
        <f>Asset12</f>
        <v>Transmission line assets - short life (10)</v>
      </c>
      <c r="G120" s="176">
        <f t="shared" ref="G120:Q120" si="20">(G52-G86)/G$246</f>
        <v>0</v>
      </c>
      <c r="H120" s="177">
        <f t="shared" si="20"/>
        <v>4.3916967509025264</v>
      </c>
      <c r="I120" s="177">
        <f t="shared" si="20"/>
        <v>2.2480350877192983</v>
      </c>
      <c r="J120" s="177">
        <f t="shared" si="20"/>
        <v>1.2575778155065083</v>
      </c>
      <c r="K120" s="177">
        <f t="shared" si="20"/>
        <v>1.8433871866295264</v>
      </c>
      <c r="L120" s="177">
        <f t="shared" si="20"/>
        <v>1.9650671244419391</v>
      </c>
      <c r="M120" s="177">
        <f t="shared" si="20"/>
        <v>0</v>
      </c>
      <c r="N120" s="177">
        <f t="shared" si="20"/>
        <v>0</v>
      </c>
      <c r="O120" s="177">
        <f t="shared" si="20"/>
        <v>0</v>
      </c>
      <c r="P120" s="177">
        <f t="shared" si="20"/>
        <v>0</v>
      </c>
      <c r="Q120" s="177">
        <f t="shared" si="20"/>
        <v>0</v>
      </c>
      <c r="R120" s="8"/>
      <c r="S120" s="8"/>
      <c r="T120" s="8"/>
      <c r="U120" s="8"/>
      <c r="V120" s="8"/>
      <c r="W120" s="42"/>
      <c r="X120" s="9"/>
      <c r="Y120" s="9"/>
      <c r="Z120" s="9"/>
      <c r="AA120" s="9"/>
      <c r="AB120" s="9"/>
      <c r="AC120" s="9"/>
      <c r="AD120" s="9"/>
      <c r="AE120" s="204"/>
      <c r="AF120" s="204"/>
      <c r="AG120" s="204"/>
      <c r="AH120" s="204"/>
      <c r="AI120" s="204"/>
      <c r="AJ120" s="204"/>
      <c r="AK120" s="204"/>
      <c r="AL120" s="204"/>
      <c r="AM120" s="204"/>
      <c r="AN120" s="204"/>
      <c r="AO120" s="204"/>
      <c r="AP120" s="204"/>
      <c r="AQ120" s="204"/>
      <c r="AR120" s="204"/>
      <c r="AS120" s="204"/>
      <c r="AT120" s="204"/>
      <c r="AU120" s="204"/>
    </row>
    <row r="121" spans="1:47" hidden="1" outlineLevel="1">
      <c r="A121" s="12"/>
      <c r="B121" s="12"/>
      <c r="C121" s="12"/>
      <c r="D121" s="12"/>
      <c r="E121" s="12"/>
      <c r="F121" s="177" t="str">
        <f>Asset13</f>
        <v>Substation assets - long life (60)</v>
      </c>
      <c r="G121" s="176">
        <f t="shared" ref="G121:Q121" si="21">(G53-G87)/G$246</f>
        <v>0</v>
      </c>
      <c r="H121" s="177">
        <f t="shared" si="21"/>
        <v>8.558929001203369</v>
      </c>
      <c r="I121" s="177">
        <f t="shared" si="21"/>
        <v>11.723929824561402</v>
      </c>
      <c r="J121" s="177">
        <f t="shared" si="21"/>
        <v>13.484538766270514</v>
      </c>
      <c r="K121" s="177">
        <f t="shared" si="21"/>
        <v>9.2982618384401103</v>
      </c>
      <c r="L121" s="177">
        <f t="shared" si="21"/>
        <v>9.4768955356639921</v>
      </c>
      <c r="M121" s="177">
        <f t="shared" si="21"/>
        <v>0</v>
      </c>
      <c r="N121" s="177">
        <f t="shared" si="21"/>
        <v>0</v>
      </c>
      <c r="O121" s="177">
        <f t="shared" si="21"/>
        <v>0</v>
      </c>
      <c r="P121" s="177">
        <f t="shared" si="21"/>
        <v>0</v>
      </c>
      <c r="Q121" s="177">
        <f t="shared" si="21"/>
        <v>0</v>
      </c>
      <c r="R121" s="8"/>
      <c r="S121" s="8"/>
      <c r="T121" s="8"/>
      <c r="U121" s="8"/>
      <c r="V121" s="8"/>
      <c r="W121" s="42"/>
      <c r="X121" s="9"/>
      <c r="Y121" s="9"/>
      <c r="Z121" s="9"/>
      <c r="AA121" s="9"/>
      <c r="AB121" s="9"/>
      <c r="AC121" s="9"/>
      <c r="AD121" s="9"/>
      <c r="AE121" s="204"/>
      <c r="AF121" s="204"/>
      <c r="AG121" s="204"/>
      <c r="AH121" s="204"/>
      <c r="AI121" s="204"/>
      <c r="AJ121" s="204"/>
      <c r="AK121" s="204"/>
      <c r="AL121" s="204"/>
      <c r="AM121" s="204"/>
      <c r="AN121" s="204"/>
      <c r="AO121" s="204"/>
      <c r="AP121" s="204"/>
      <c r="AQ121" s="204"/>
      <c r="AR121" s="204"/>
      <c r="AS121" s="204"/>
      <c r="AT121" s="204"/>
      <c r="AU121" s="204"/>
    </row>
    <row r="122" spans="1:47" hidden="1" outlineLevel="1">
      <c r="A122" s="12"/>
      <c r="B122" s="12"/>
      <c r="C122" s="12"/>
      <c r="D122" s="12"/>
      <c r="E122" s="12"/>
      <c r="F122" s="177" t="str">
        <f>Asset14</f>
        <v>Substation assets - medium life (45)</v>
      </c>
      <c r="G122" s="176">
        <f t="shared" ref="G122:Q122" si="22">(G54-G88)/G$246</f>
        <v>0</v>
      </c>
      <c r="H122" s="177">
        <f t="shared" si="22"/>
        <v>25.159542719614919</v>
      </c>
      <c r="I122" s="177">
        <f t="shared" si="22"/>
        <v>31.58631578947368</v>
      </c>
      <c r="J122" s="177">
        <f t="shared" si="22"/>
        <v>32.302308998302202</v>
      </c>
      <c r="K122" s="177">
        <f t="shared" si="22"/>
        <v>24.786328690807796</v>
      </c>
      <c r="L122" s="177">
        <f t="shared" si="22"/>
        <v>20.578694404905779</v>
      </c>
      <c r="M122" s="177">
        <f t="shared" si="22"/>
        <v>0</v>
      </c>
      <c r="N122" s="177">
        <f t="shared" si="22"/>
        <v>0</v>
      </c>
      <c r="O122" s="177">
        <f t="shared" si="22"/>
        <v>0</v>
      </c>
      <c r="P122" s="177">
        <f t="shared" si="22"/>
        <v>0</v>
      </c>
      <c r="Q122" s="177">
        <f t="shared" si="22"/>
        <v>0</v>
      </c>
      <c r="R122" s="8"/>
      <c r="S122" s="8"/>
      <c r="T122" s="8"/>
      <c r="U122" s="8"/>
      <c r="V122" s="8"/>
      <c r="W122" s="42"/>
      <c r="X122" s="9"/>
      <c r="Y122" s="9"/>
      <c r="Z122" s="9"/>
      <c r="AA122" s="9"/>
      <c r="AB122" s="9"/>
      <c r="AC122" s="9"/>
      <c r="AD122" s="9"/>
      <c r="AE122" s="204"/>
      <c r="AF122" s="204"/>
      <c r="AG122" s="204"/>
      <c r="AH122" s="204"/>
      <c r="AI122" s="204"/>
      <c r="AJ122" s="204"/>
      <c r="AK122" s="204"/>
      <c r="AL122" s="204"/>
      <c r="AM122" s="204"/>
      <c r="AN122" s="204"/>
      <c r="AO122" s="204"/>
      <c r="AP122" s="204"/>
      <c r="AQ122" s="204"/>
      <c r="AR122" s="204"/>
      <c r="AS122" s="204"/>
      <c r="AT122" s="204"/>
      <c r="AU122" s="204"/>
    </row>
    <row r="123" spans="1:47" hidden="1" outlineLevel="1">
      <c r="A123" s="12"/>
      <c r="B123" s="12"/>
      <c r="C123" s="12"/>
      <c r="D123" s="12"/>
      <c r="E123" s="12"/>
      <c r="F123" s="177" t="str">
        <f>Asset15</f>
        <v>Substation assets - short life (15)</v>
      </c>
      <c r="G123" s="176">
        <f t="shared" ref="G123:Q123" si="23">(G55-G89)/G$246</f>
        <v>0</v>
      </c>
      <c r="H123" s="177">
        <f t="shared" si="23"/>
        <v>3.5426353790613714</v>
      </c>
      <c r="I123" s="177">
        <f t="shared" si="23"/>
        <v>2.5610526315789475</v>
      </c>
      <c r="J123" s="177">
        <f t="shared" si="23"/>
        <v>2.7171024335031126</v>
      </c>
      <c r="K123" s="177">
        <f t="shared" si="23"/>
        <v>2.3855598885793872</v>
      </c>
      <c r="L123" s="177">
        <f t="shared" si="23"/>
        <v>4.594999566173473</v>
      </c>
      <c r="M123" s="177">
        <f t="shared" si="23"/>
        <v>0</v>
      </c>
      <c r="N123" s="177">
        <f t="shared" si="23"/>
        <v>0</v>
      </c>
      <c r="O123" s="177">
        <f t="shared" si="23"/>
        <v>0</v>
      </c>
      <c r="P123" s="177">
        <f t="shared" si="23"/>
        <v>0</v>
      </c>
      <c r="Q123" s="177">
        <f t="shared" si="23"/>
        <v>0</v>
      </c>
      <c r="R123" s="8"/>
      <c r="S123" s="8"/>
      <c r="T123" s="8"/>
      <c r="U123" s="8"/>
      <c r="V123" s="8"/>
      <c r="W123" s="42"/>
      <c r="X123" s="9"/>
      <c r="Y123" s="9"/>
      <c r="Z123" s="9"/>
      <c r="AA123" s="9"/>
      <c r="AB123" s="9"/>
      <c r="AC123" s="9"/>
      <c r="AD123" s="9"/>
      <c r="AE123" s="204"/>
      <c r="AF123" s="204"/>
      <c r="AG123" s="204"/>
      <c r="AH123" s="204"/>
      <c r="AI123" s="204"/>
      <c r="AJ123" s="204"/>
      <c r="AK123" s="204"/>
      <c r="AL123" s="204"/>
      <c r="AM123" s="204"/>
      <c r="AN123" s="204"/>
      <c r="AO123" s="204"/>
      <c r="AP123" s="204"/>
      <c r="AQ123" s="204"/>
      <c r="AR123" s="204"/>
      <c r="AS123" s="204"/>
      <c r="AT123" s="204"/>
      <c r="AU123" s="204"/>
    </row>
    <row r="124" spans="1:47" hidden="1" outlineLevel="1">
      <c r="A124" s="12"/>
      <c r="B124" s="12"/>
      <c r="C124" s="12"/>
      <c r="D124" s="12"/>
      <c r="E124" s="12"/>
      <c r="F124" s="177" t="str">
        <f>Asset16</f>
        <v>Protection and control - short life (15)</v>
      </c>
      <c r="G124" s="176">
        <f t="shared" ref="G124:Q124" si="24">(G56-G90)/G$246</f>
        <v>0</v>
      </c>
      <c r="H124" s="177">
        <f t="shared" si="24"/>
        <v>11.584320096269552</v>
      </c>
      <c r="I124" s="177">
        <f t="shared" si="24"/>
        <v>13.298502923976606</v>
      </c>
      <c r="J124" s="177">
        <f t="shared" si="24"/>
        <v>27.126045274476514</v>
      </c>
      <c r="K124" s="177">
        <f t="shared" si="24"/>
        <v>14.882640668523674</v>
      </c>
      <c r="L124" s="177">
        <f t="shared" si="24"/>
        <v>12.274708979501497</v>
      </c>
      <c r="M124" s="177">
        <f t="shared" si="24"/>
        <v>0</v>
      </c>
      <c r="N124" s="177">
        <f t="shared" si="24"/>
        <v>0</v>
      </c>
      <c r="O124" s="177">
        <f t="shared" si="24"/>
        <v>0</v>
      </c>
      <c r="P124" s="177">
        <f t="shared" si="24"/>
        <v>0</v>
      </c>
      <c r="Q124" s="177">
        <f t="shared" si="24"/>
        <v>0</v>
      </c>
      <c r="R124" s="8"/>
      <c r="S124" s="8"/>
      <c r="T124" s="8"/>
      <c r="U124" s="8"/>
      <c r="V124" s="8"/>
      <c r="W124" s="42"/>
      <c r="X124" s="9"/>
      <c r="Y124" s="9"/>
      <c r="Z124" s="9"/>
      <c r="AA124" s="9"/>
      <c r="AB124" s="9"/>
      <c r="AC124" s="9"/>
      <c r="AD124" s="9"/>
      <c r="AE124" s="204"/>
      <c r="AF124" s="204"/>
      <c r="AG124" s="204"/>
      <c r="AH124" s="204"/>
      <c r="AI124" s="204"/>
      <c r="AJ124" s="204"/>
      <c r="AK124" s="204"/>
      <c r="AL124" s="204"/>
      <c r="AM124" s="204"/>
      <c r="AN124" s="204"/>
      <c r="AO124" s="204"/>
      <c r="AP124" s="204"/>
      <c r="AQ124" s="204"/>
      <c r="AR124" s="204"/>
      <c r="AS124" s="204"/>
      <c r="AT124" s="204"/>
      <c r="AU124" s="204"/>
    </row>
    <row r="125" spans="1:47" hidden="1" outlineLevel="1">
      <c r="A125" s="12"/>
      <c r="B125" s="12"/>
      <c r="C125" s="12"/>
      <c r="D125" s="12"/>
      <c r="E125" s="12"/>
      <c r="F125" s="177" t="str">
        <f>Asset17</f>
        <v>Protection and control - short life (4)</v>
      </c>
      <c r="G125" s="176">
        <f t="shared" ref="G125:Q125" si="25">(G57-G91)/G$246</f>
        <v>0</v>
      </c>
      <c r="H125" s="177">
        <f t="shared" si="25"/>
        <v>0.24398315282791813</v>
      </c>
      <c r="I125" s="177">
        <f t="shared" si="25"/>
        <v>0.35095906432748536</v>
      </c>
      <c r="J125" s="177">
        <f t="shared" si="25"/>
        <v>0.87204301075268809</v>
      </c>
      <c r="K125" s="177">
        <f t="shared" si="25"/>
        <v>0</v>
      </c>
      <c r="L125" s="177">
        <f t="shared" si="25"/>
        <v>0</v>
      </c>
      <c r="M125" s="177">
        <f t="shared" si="25"/>
        <v>0</v>
      </c>
      <c r="N125" s="177">
        <f t="shared" si="25"/>
        <v>0</v>
      </c>
      <c r="O125" s="177">
        <f t="shared" si="25"/>
        <v>0</v>
      </c>
      <c r="P125" s="177">
        <f t="shared" si="25"/>
        <v>0</v>
      </c>
      <c r="Q125" s="177">
        <f t="shared" si="25"/>
        <v>0</v>
      </c>
      <c r="R125" s="8"/>
      <c r="S125" s="8"/>
      <c r="T125" s="8"/>
      <c r="U125" s="8"/>
      <c r="V125" s="8"/>
      <c r="W125" s="42"/>
      <c r="X125" s="9"/>
      <c r="Y125" s="9"/>
      <c r="Z125" s="9"/>
      <c r="AA125" s="9"/>
      <c r="AB125" s="9"/>
      <c r="AC125" s="9"/>
      <c r="AD125" s="9"/>
      <c r="AE125" s="204"/>
      <c r="AF125" s="204"/>
      <c r="AG125" s="204"/>
      <c r="AH125" s="204"/>
      <c r="AI125" s="204"/>
      <c r="AJ125" s="204"/>
      <c r="AK125" s="204"/>
      <c r="AL125" s="204"/>
      <c r="AM125" s="204"/>
      <c r="AN125" s="204"/>
      <c r="AO125" s="204"/>
      <c r="AP125" s="204"/>
      <c r="AQ125" s="204"/>
      <c r="AR125" s="204"/>
      <c r="AS125" s="204"/>
      <c r="AT125" s="204"/>
      <c r="AU125" s="204"/>
    </row>
    <row r="126" spans="1:47" hidden="1" outlineLevel="1">
      <c r="A126" s="12"/>
      <c r="B126" s="12"/>
      <c r="C126" s="12"/>
      <c r="D126" s="12"/>
      <c r="E126" s="12"/>
      <c r="F126" s="177" t="str">
        <f>Asset18</f>
        <v>Transmission operations - short life (10)</v>
      </c>
      <c r="G126" s="176">
        <f t="shared" ref="G126:Q126" si="26">(G58-G92)/G$246</f>
        <v>0</v>
      </c>
      <c r="H126" s="177">
        <f t="shared" si="26"/>
        <v>1.171119133574007</v>
      </c>
      <c r="I126" s="177">
        <f t="shared" si="26"/>
        <v>1.9255321637426899</v>
      </c>
      <c r="J126" s="177">
        <f t="shared" si="26"/>
        <v>1.9276740237691004</v>
      </c>
      <c r="K126" s="177">
        <f t="shared" si="26"/>
        <v>1.8343509749303617</v>
      </c>
      <c r="L126" s="177">
        <f t="shared" si="26"/>
        <v>0.77393131439219176</v>
      </c>
      <c r="M126" s="177">
        <f t="shared" si="26"/>
        <v>0</v>
      </c>
      <c r="N126" s="177">
        <f t="shared" si="26"/>
        <v>0</v>
      </c>
      <c r="O126" s="177">
        <f t="shared" si="26"/>
        <v>0</v>
      </c>
      <c r="P126" s="177">
        <f t="shared" si="26"/>
        <v>0</v>
      </c>
      <c r="Q126" s="177">
        <f t="shared" si="26"/>
        <v>0</v>
      </c>
      <c r="R126" s="8"/>
      <c r="S126" s="8"/>
      <c r="T126" s="8"/>
      <c r="U126" s="8"/>
      <c r="V126" s="8"/>
      <c r="W126" s="42"/>
      <c r="X126" s="9"/>
      <c r="Y126" s="9"/>
      <c r="Z126" s="9"/>
      <c r="AA126" s="9"/>
      <c r="AB126" s="9"/>
      <c r="AC126" s="9"/>
      <c r="AD126" s="9"/>
      <c r="AE126" s="204"/>
      <c r="AF126" s="204"/>
      <c r="AG126" s="204"/>
      <c r="AH126" s="204"/>
      <c r="AI126" s="204"/>
      <c r="AJ126" s="204"/>
      <c r="AK126" s="204"/>
      <c r="AL126" s="204"/>
      <c r="AM126" s="204"/>
      <c r="AN126" s="204"/>
      <c r="AO126" s="204"/>
      <c r="AP126" s="204"/>
      <c r="AQ126" s="204"/>
      <c r="AR126" s="204"/>
      <c r="AS126" s="204"/>
      <c r="AT126" s="204"/>
      <c r="AU126" s="204"/>
    </row>
    <row r="127" spans="1:47" hidden="1" outlineLevel="1">
      <c r="A127" s="12"/>
      <c r="B127" s="12"/>
      <c r="C127" s="12"/>
      <c r="D127" s="12"/>
      <c r="E127" s="12"/>
      <c r="F127" s="177" t="str">
        <f>Asset19</f>
        <v>Transmission operations - short life (4)</v>
      </c>
      <c r="G127" s="176">
        <f t="shared" ref="G127:Q127" si="27">(G59-G93)/G$246</f>
        <v>0</v>
      </c>
      <c r="H127" s="177">
        <f t="shared" si="27"/>
        <v>9.7593261131167265E-3</v>
      </c>
      <c r="I127" s="177">
        <f t="shared" si="27"/>
        <v>0</v>
      </c>
      <c r="J127" s="177">
        <f t="shared" si="27"/>
        <v>0.1285116015846067</v>
      </c>
      <c r="K127" s="177">
        <f t="shared" si="27"/>
        <v>0</v>
      </c>
      <c r="L127" s="177">
        <f t="shared" si="27"/>
        <v>0</v>
      </c>
      <c r="M127" s="177">
        <f t="shared" si="27"/>
        <v>0</v>
      </c>
      <c r="N127" s="177">
        <f t="shared" si="27"/>
        <v>0</v>
      </c>
      <c r="O127" s="177">
        <f t="shared" si="27"/>
        <v>0</v>
      </c>
      <c r="P127" s="177">
        <f t="shared" si="27"/>
        <v>0</v>
      </c>
      <c r="Q127" s="177">
        <f t="shared" si="27"/>
        <v>0</v>
      </c>
      <c r="R127" s="8"/>
      <c r="S127" s="8"/>
      <c r="T127" s="8"/>
      <c r="U127" s="8"/>
      <c r="V127" s="8"/>
      <c r="W127" s="42"/>
      <c r="X127" s="9"/>
      <c r="Y127" s="9"/>
      <c r="Z127" s="9"/>
      <c r="AA127" s="9"/>
      <c r="AB127" s="9"/>
      <c r="AC127" s="9"/>
      <c r="AD127" s="9"/>
      <c r="AE127" s="204"/>
      <c r="AF127" s="204"/>
      <c r="AG127" s="204"/>
      <c r="AH127" s="204"/>
      <c r="AI127" s="204"/>
      <c r="AJ127" s="204"/>
      <c r="AK127" s="204"/>
      <c r="AL127" s="204"/>
      <c r="AM127" s="204"/>
      <c r="AN127" s="204"/>
      <c r="AO127" s="204"/>
      <c r="AP127" s="204"/>
      <c r="AQ127" s="204"/>
      <c r="AR127" s="204"/>
      <c r="AS127" s="204"/>
      <c r="AT127" s="204"/>
      <c r="AU127" s="204"/>
    </row>
    <row r="128" spans="1:47" hidden="1" outlineLevel="1">
      <c r="A128" s="12"/>
      <c r="B128" s="12"/>
      <c r="C128" s="12"/>
      <c r="D128" s="12"/>
      <c r="E128" s="12"/>
      <c r="F128" s="311" t="str">
        <f>Asset20</f>
        <v>Other - medium life (40)</v>
      </c>
      <c r="G128" s="176">
        <f t="shared" ref="G128:Q128" si="28">(G60-G94)/G$246</f>
        <v>0</v>
      </c>
      <c r="H128" s="177">
        <f t="shared" si="28"/>
        <v>10.745018050541514</v>
      </c>
      <c r="I128" s="177">
        <f t="shared" si="28"/>
        <v>8.8783157894736835</v>
      </c>
      <c r="J128" s="177">
        <f t="shared" si="28"/>
        <v>0.63246066779852861</v>
      </c>
      <c r="K128" s="177">
        <f t="shared" si="28"/>
        <v>0.18976044568245123</v>
      </c>
      <c r="L128" s="177">
        <f t="shared" si="28"/>
        <v>2.150010496202559</v>
      </c>
      <c r="M128" s="177">
        <f t="shared" si="28"/>
        <v>0</v>
      </c>
      <c r="N128" s="177">
        <f t="shared" si="28"/>
        <v>0</v>
      </c>
      <c r="O128" s="177">
        <f t="shared" si="28"/>
        <v>0</v>
      </c>
      <c r="P128" s="177">
        <f t="shared" si="28"/>
        <v>0</v>
      </c>
      <c r="Q128" s="177">
        <f t="shared" si="28"/>
        <v>0</v>
      </c>
      <c r="R128" s="8"/>
      <c r="S128" s="8"/>
      <c r="T128" s="8"/>
      <c r="U128" s="8"/>
      <c r="V128" s="8"/>
      <c r="W128" s="42"/>
      <c r="X128" s="9"/>
      <c r="Y128" s="9"/>
      <c r="Z128" s="9"/>
      <c r="AA128" s="9"/>
      <c r="AB128" s="9"/>
      <c r="AC128" s="9"/>
      <c r="AD128" s="9"/>
      <c r="AE128" s="204"/>
      <c r="AF128" s="204"/>
      <c r="AG128" s="204"/>
      <c r="AH128" s="204"/>
      <c r="AI128" s="204"/>
      <c r="AJ128" s="204"/>
      <c r="AK128" s="204"/>
      <c r="AL128" s="204"/>
      <c r="AM128" s="204"/>
      <c r="AN128" s="204"/>
      <c r="AO128" s="204"/>
      <c r="AP128" s="204"/>
      <c r="AQ128" s="204"/>
      <c r="AR128" s="204"/>
      <c r="AS128" s="204"/>
      <c r="AT128" s="204"/>
      <c r="AU128" s="204"/>
    </row>
    <row r="129" spans="1:47" hidden="1" outlineLevel="1">
      <c r="A129" s="12"/>
      <c r="B129" s="12"/>
      <c r="C129" s="12"/>
      <c r="D129" s="12"/>
      <c r="E129" s="12"/>
      <c r="F129" s="311" t="str">
        <f>Asset21</f>
        <v>Other - short life (9)</v>
      </c>
      <c r="G129" s="176">
        <f t="shared" ref="G129:Q129" si="29">(G61-G95)/G$246</f>
        <v>0</v>
      </c>
      <c r="H129" s="177">
        <f t="shared" si="29"/>
        <v>0.37085439229843559</v>
      </c>
      <c r="I129" s="177">
        <f t="shared" si="29"/>
        <v>0.45529824561403504</v>
      </c>
      <c r="J129" s="177">
        <f t="shared" si="29"/>
        <v>0.63521448783248446</v>
      </c>
      <c r="K129" s="177">
        <f t="shared" si="29"/>
        <v>0.18524233983286909</v>
      </c>
      <c r="L129" s="177">
        <f t="shared" si="29"/>
        <v>0.44438034457259745</v>
      </c>
      <c r="M129" s="177">
        <f t="shared" si="29"/>
        <v>0</v>
      </c>
      <c r="N129" s="177">
        <f t="shared" si="29"/>
        <v>0</v>
      </c>
      <c r="O129" s="177">
        <f t="shared" si="29"/>
        <v>0</v>
      </c>
      <c r="P129" s="177">
        <f t="shared" si="29"/>
        <v>0</v>
      </c>
      <c r="Q129" s="177">
        <f t="shared" si="29"/>
        <v>0</v>
      </c>
      <c r="R129" s="8"/>
      <c r="S129" s="8"/>
      <c r="T129" s="8"/>
      <c r="U129" s="8"/>
      <c r="V129" s="8"/>
      <c r="W129" s="42"/>
      <c r="X129" s="9"/>
      <c r="Y129" s="9"/>
      <c r="Z129" s="9"/>
      <c r="AA129" s="9"/>
      <c r="AB129" s="9"/>
      <c r="AC129" s="9"/>
      <c r="AD129" s="9"/>
      <c r="AE129" s="204"/>
      <c r="AF129" s="204"/>
      <c r="AG129" s="204"/>
      <c r="AH129" s="204"/>
      <c r="AI129" s="204"/>
      <c r="AJ129" s="204"/>
      <c r="AK129" s="204"/>
      <c r="AL129" s="204"/>
      <c r="AM129" s="204"/>
      <c r="AN129" s="204"/>
      <c r="AO129" s="204"/>
      <c r="AP129" s="204"/>
      <c r="AQ129" s="204"/>
      <c r="AR129" s="204"/>
      <c r="AS129" s="204"/>
      <c r="AT129" s="204"/>
      <c r="AU129" s="204"/>
    </row>
    <row r="130" spans="1:47" hidden="1" outlineLevel="1">
      <c r="A130" s="12"/>
      <c r="B130" s="12"/>
      <c r="C130" s="12"/>
      <c r="D130" s="12"/>
      <c r="E130" s="12"/>
      <c r="F130" s="311" t="str">
        <f>Asset22</f>
        <v>Other - short life (4)</v>
      </c>
      <c r="G130" s="176">
        <f t="shared" ref="G130:Q130" si="30">(G62-G96)/G$246</f>
        <v>0</v>
      </c>
      <c r="H130" s="177">
        <f t="shared" si="30"/>
        <v>2.8887605294825507</v>
      </c>
      <c r="I130" s="177">
        <f t="shared" si="30"/>
        <v>3.2022643274853797</v>
      </c>
      <c r="J130" s="177">
        <f t="shared" si="30"/>
        <v>4.3510356536502552</v>
      </c>
      <c r="K130" s="177">
        <f t="shared" si="30"/>
        <v>1.7530250696378828</v>
      </c>
      <c r="L130" s="177">
        <f t="shared" si="30"/>
        <v>1.9481402843641187</v>
      </c>
      <c r="M130" s="177">
        <f t="shared" si="30"/>
        <v>0</v>
      </c>
      <c r="N130" s="177">
        <f t="shared" si="30"/>
        <v>0</v>
      </c>
      <c r="O130" s="177">
        <f t="shared" si="30"/>
        <v>0</v>
      </c>
      <c r="P130" s="177">
        <f t="shared" si="30"/>
        <v>0</v>
      </c>
      <c r="Q130" s="177">
        <f t="shared" si="30"/>
        <v>0</v>
      </c>
      <c r="R130" s="8"/>
      <c r="S130" s="8"/>
      <c r="T130" s="8"/>
      <c r="U130" s="8"/>
      <c r="V130" s="8"/>
      <c r="W130" s="42"/>
      <c r="X130" s="9"/>
      <c r="Y130" s="9"/>
      <c r="Z130" s="9"/>
      <c r="AA130" s="9"/>
      <c r="AB130" s="9"/>
      <c r="AC130" s="9"/>
      <c r="AD130" s="9"/>
      <c r="AE130" s="204"/>
      <c r="AF130" s="204"/>
      <c r="AG130" s="204"/>
      <c r="AH130" s="204"/>
      <c r="AI130" s="204"/>
      <c r="AJ130" s="204"/>
      <c r="AK130" s="204"/>
      <c r="AL130" s="204"/>
      <c r="AM130" s="204"/>
      <c r="AN130" s="204"/>
      <c r="AO130" s="204"/>
      <c r="AP130" s="204"/>
      <c r="AQ130" s="204"/>
      <c r="AR130" s="204"/>
      <c r="AS130" s="204"/>
      <c r="AT130" s="204"/>
      <c r="AU130" s="204"/>
    </row>
    <row r="131" spans="1:47" hidden="1" outlineLevel="1">
      <c r="A131" s="12"/>
      <c r="B131" s="12"/>
      <c r="C131" s="12"/>
      <c r="D131" s="12"/>
      <c r="E131" s="12"/>
      <c r="F131" s="311" t="str">
        <f>Asset23</f>
        <v>Land and Easements</v>
      </c>
      <c r="G131" s="176">
        <f t="shared" ref="G131:Q131" si="31">(G63-G97)/G$246</f>
        <v>0</v>
      </c>
      <c r="H131" s="177">
        <f t="shared" si="31"/>
        <v>0.51724428399518652</v>
      </c>
      <c r="I131" s="177">
        <f t="shared" si="31"/>
        <v>1.2615555555555555</v>
      </c>
      <c r="J131" s="177">
        <f t="shared" si="31"/>
        <v>2.1140158460667799</v>
      </c>
      <c r="K131" s="177">
        <f t="shared" si="31"/>
        <v>0.56928133704735373</v>
      </c>
      <c r="L131" s="177">
        <f t="shared" si="31"/>
        <v>1.0830816997253443</v>
      </c>
      <c r="M131" s="177">
        <f t="shared" si="31"/>
        <v>0</v>
      </c>
      <c r="N131" s="177">
        <f t="shared" si="31"/>
        <v>0</v>
      </c>
      <c r="O131" s="177">
        <f t="shared" si="31"/>
        <v>0</v>
      </c>
      <c r="P131" s="177">
        <f t="shared" si="31"/>
        <v>0</v>
      </c>
      <c r="Q131" s="177">
        <f t="shared" si="31"/>
        <v>0</v>
      </c>
      <c r="R131" s="8"/>
      <c r="S131" s="8"/>
      <c r="T131" s="8"/>
      <c r="U131" s="8"/>
      <c r="V131" s="8"/>
      <c r="W131" s="42"/>
      <c r="X131" s="9"/>
      <c r="Y131" s="9"/>
      <c r="Z131" s="9"/>
      <c r="AA131" s="9"/>
      <c r="AB131" s="9"/>
      <c r="AC131" s="9"/>
      <c r="AD131" s="9"/>
      <c r="AE131" s="204"/>
      <c r="AF131" s="204"/>
      <c r="AG131" s="204"/>
      <c r="AH131" s="204"/>
      <c r="AI131" s="204"/>
      <c r="AJ131" s="204"/>
      <c r="AK131" s="204"/>
      <c r="AL131" s="204"/>
      <c r="AM131" s="204"/>
      <c r="AN131" s="204"/>
      <c r="AO131" s="204"/>
      <c r="AP131" s="204"/>
      <c r="AQ131" s="204"/>
      <c r="AR131" s="204"/>
      <c r="AS131" s="204"/>
      <c r="AT131" s="204"/>
      <c r="AU131" s="204"/>
    </row>
    <row r="132" spans="1:47" hidden="1" outlineLevel="1">
      <c r="A132" s="12"/>
      <c r="B132" s="12"/>
      <c r="C132" s="12"/>
      <c r="D132" s="12"/>
      <c r="E132" s="12"/>
      <c r="F132" s="311" t="str">
        <f>Asset24</f>
        <v>Equity Raising</v>
      </c>
      <c r="G132" s="176">
        <f t="shared" ref="G132:Q132" si="32">(G64-G98)/G$246</f>
        <v>0</v>
      </c>
      <c r="H132" s="177">
        <f t="shared" si="32"/>
        <v>0.4130998253988622</v>
      </c>
      <c r="I132" s="177">
        <f t="shared" si="32"/>
        <v>0</v>
      </c>
      <c r="J132" s="177">
        <f t="shared" si="32"/>
        <v>0</v>
      </c>
      <c r="K132" s="177">
        <f t="shared" si="32"/>
        <v>0</v>
      </c>
      <c r="L132" s="177">
        <f t="shared" si="32"/>
        <v>0</v>
      </c>
      <c r="M132" s="177">
        <f t="shared" si="32"/>
        <v>0</v>
      </c>
      <c r="N132" s="177">
        <f t="shared" si="32"/>
        <v>0</v>
      </c>
      <c r="O132" s="177">
        <f t="shared" si="32"/>
        <v>0</v>
      </c>
      <c r="P132" s="177">
        <f t="shared" si="32"/>
        <v>0</v>
      </c>
      <c r="Q132" s="177">
        <f t="shared" si="32"/>
        <v>0</v>
      </c>
      <c r="R132" s="8"/>
      <c r="S132" s="8"/>
      <c r="T132" s="8"/>
      <c r="U132" s="8"/>
      <c r="V132" s="8"/>
      <c r="W132" s="42"/>
      <c r="X132" s="9"/>
      <c r="Y132" s="9"/>
      <c r="Z132" s="9"/>
      <c r="AA132" s="9"/>
      <c r="AB132" s="9"/>
      <c r="AC132" s="9"/>
      <c r="AD132" s="9"/>
      <c r="AE132" s="204"/>
      <c r="AF132" s="204"/>
      <c r="AG132" s="204"/>
      <c r="AH132" s="204"/>
      <c r="AI132" s="204"/>
      <c r="AJ132" s="204"/>
      <c r="AK132" s="204"/>
      <c r="AL132" s="204"/>
      <c r="AM132" s="204"/>
      <c r="AN132" s="204"/>
      <c r="AO132" s="204"/>
      <c r="AP132" s="204"/>
      <c r="AQ132" s="204"/>
      <c r="AR132" s="204"/>
      <c r="AS132" s="204"/>
      <c r="AT132" s="204"/>
      <c r="AU132" s="204"/>
    </row>
    <row r="133" spans="1:47" hidden="1" outlineLevel="1">
      <c r="A133" s="12"/>
      <c r="B133" s="12"/>
      <c r="C133" s="12"/>
      <c r="D133" s="12"/>
      <c r="E133" s="12"/>
      <c r="F133" s="311">
        <f>Asset25</f>
        <v>0</v>
      </c>
      <c r="G133" s="176">
        <f t="shared" ref="G133:Q133" si="33">(G65-G99)/G$246</f>
        <v>0</v>
      </c>
      <c r="H133" s="177">
        <f t="shared" si="33"/>
        <v>0</v>
      </c>
      <c r="I133" s="177">
        <f t="shared" si="33"/>
        <v>0</v>
      </c>
      <c r="J133" s="177">
        <f t="shared" si="33"/>
        <v>0</v>
      </c>
      <c r="K133" s="177">
        <f t="shared" si="33"/>
        <v>0</v>
      </c>
      <c r="L133" s="177">
        <f t="shared" si="33"/>
        <v>0</v>
      </c>
      <c r="M133" s="177">
        <f t="shared" si="33"/>
        <v>0</v>
      </c>
      <c r="N133" s="177">
        <f t="shared" si="33"/>
        <v>0</v>
      </c>
      <c r="O133" s="177">
        <f t="shared" si="33"/>
        <v>0</v>
      </c>
      <c r="P133" s="177">
        <f t="shared" si="33"/>
        <v>0</v>
      </c>
      <c r="Q133" s="177">
        <f t="shared" si="33"/>
        <v>0</v>
      </c>
      <c r="R133" s="8"/>
      <c r="S133" s="8"/>
      <c r="T133" s="8"/>
      <c r="U133" s="8"/>
      <c r="V133" s="8"/>
      <c r="W133" s="42"/>
      <c r="X133" s="9"/>
      <c r="Y133" s="9"/>
      <c r="Z133" s="9"/>
      <c r="AA133" s="9"/>
      <c r="AB133" s="9"/>
      <c r="AC133" s="9"/>
      <c r="AD133" s="9"/>
      <c r="AE133" s="204"/>
      <c r="AF133" s="204"/>
      <c r="AG133" s="204"/>
      <c r="AH133" s="204"/>
      <c r="AI133" s="204"/>
      <c r="AJ133" s="204"/>
      <c r="AK133" s="204"/>
      <c r="AL133" s="204"/>
      <c r="AM133" s="204"/>
      <c r="AN133" s="204"/>
      <c r="AO133" s="204"/>
      <c r="AP133" s="204"/>
      <c r="AQ133" s="204"/>
      <c r="AR133" s="204"/>
      <c r="AS133" s="204"/>
      <c r="AT133" s="204"/>
      <c r="AU133" s="204"/>
    </row>
    <row r="134" spans="1:47" hidden="1" outlineLevel="1">
      <c r="A134" s="12"/>
      <c r="B134" s="12"/>
      <c r="C134" s="12"/>
      <c r="D134" s="12"/>
      <c r="E134" s="12"/>
      <c r="F134" s="311">
        <f>Asset26</f>
        <v>0</v>
      </c>
      <c r="G134" s="176">
        <f t="shared" ref="G134:Q134" si="34">(G66-G100)/G$246</f>
        <v>0</v>
      </c>
      <c r="H134" s="177">
        <f t="shared" si="34"/>
        <v>0</v>
      </c>
      <c r="I134" s="177">
        <f t="shared" si="34"/>
        <v>0</v>
      </c>
      <c r="J134" s="177">
        <f t="shared" si="34"/>
        <v>0</v>
      </c>
      <c r="K134" s="177">
        <f t="shared" si="34"/>
        <v>0</v>
      </c>
      <c r="L134" s="177">
        <f t="shared" si="34"/>
        <v>0</v>
      </c>
      <c r="M134" s="177">
        <f t="shared" si="34"/>
        <v>0</v>
      </c>
      <c r="N134" s="177">
        <f t="shared" si="34"/>
        <v>0</v>
      </c>
      <c r="O134" s="177">
        <f t="shared" si="34"/>
        <v>0</v>
      </c>
      <c r="P134" s="177">
        <f t="shared" si="34"/>
        <v>0</v>
      </c>
      <c r="Q134" s="177">
        <f t="shared" si="34"/>
        <v>0</v>
      </c>
      <c r="R134" s="8"/>
      <c r="S134" s="8"/>
      <c r="T134" s="8"/>
      <c r="U134" s="8"/>
      <c r="V134" s="8"/>
      <c r="W134" s="42"/>
      <c r="X134" s="9"/>
      <c r="Y134" s="9"/>
      <c r="Z134" s="9"/>
      <c r="AA134" s="9"/>
      <c r="AB134" s="9"/>
      <c r="AC134" s="9"/>
      <c r="AD134" s="9"/>
      <c r="AE134" s="204"/>
      <c r="AF134" s="204"/>
      <c r="AG134" s="204"/>
      <c r="AH134" s="204"/>
      <c r="AI134" s="204"/>
      <c r="AJ134" s="204"/>
      <c r="AK134" s="204"/>
      <c r="AL134" s="204"/>
      <c r="AM134" s="204"/>
      <c r="AN134" s="204"/>
      <c r="AO134" s="204"/>
      <c r="AP134" s="204"/>
      <c r="AQ134" s="204"/>
      <c r="AR134" s="204"/>
      <c r="AS134" s="204"/>
      <c r="AT134" s="204"/>
      <c r="AU134" s="204"/>
    </row>
    <row r="135" spans="1:47" hidden="1" outlineLevel="1">
      <c r="A135" s="12"/>
      <c r="B135" s="12"/>
      <c r="C135" s="12"/>
      <c r="D135" s="12"/>
      <c r="E135" s="12"/>
      <c r="F135" s="311">
        <f>Asset27</f>
        <v>0</v>
      </c>
      <c r="G135" s="176">
        <f t="shared" ref="G135:Q135" si="35">(G67-G101)/G$246</f>
        <v>0</v>
      </c>
      <c r="H135" s="177">
        <f t="shared" si="35"/>
        <v>0</v>
      </c>
      <c r="I135" s="177">
        <f t="shared" si="35"/>
        <v>0</v>
      </c>
      <c r="J135" s="177">
        <f t="shared" si="35"/>
        <v>0</v>
      </c>
      <c r="K135" s="177">
        <f t="shared" si="35"/>
        <v>0</v>
      </c>
      <c r="L135" s="177">
        <f t="shared" si="35"/>
        <v>0</v>
      </c>
      <c r="M135" s="177">
        <f t="shared" si="35"/>
        <v>0</v>
      </c>
      <c r="N135" s="177">
        <f t="shared" si="35"/>
        <v>0</v>
      </c>
      <c r="O135" s="177">
        <f t="shared" si="35"/>
        <v>0</v>
      </c>
      <c r="P135" s="177">
        <f t="shared" si="35"/>
        <v>0</v>
      </c>
      <c r="Q135" s="177">
        <f t="shared" si="35"/>
        <v>0</v>
      </c>
      <c r="R135" s="8"/>
      <c r="S135" s="8"/>
      <c r="T135" s="8"/>
      <c r="U135" s="8"/>
      <c r="V135" s="8"/>
      <c r="W135" s="42"/>
      <c r="X135" s="9"/>
      <c r="Y135" s="9"/>
      <c r="Z135" s="9"/>
      <c r="AA135" s="9"/>
      <c r="AB135" s="9"/>
      <c r="AC135" s="9"/>
      <c r="AD135" s="9"/>
      <c r="AE135" s="204"/>
      <c r="AF135" s="204"/>
      <c r="AG135" s="204"/>
      <c r="AH135" s="204"/>
      <c r="AI135" s="204"/>
      <c r="AJ135" s="204"/>
      <c r="AK135" s="204"/>
      <c r="AL135" s="204"/>
      <c r="AM135" s="204"/>
      <c r="AN135" s="204"/>
      <c r="AO135" s="204"/>
      <c r="AP135" s="204"/>
      <c r="AQ135" s="204"/>
      <c r="AR135" s="204"/>
      <c r="AS135" s="204"/>
      <c r="AT135" s="204"/>
      <c r="AU135" s="204"/>
    </row>
    <row r="136" spans="1:47" hidden="1" outlineLevel="1">
      <c r="A136" s="12"/>
      <c r="B136" s="12"/>
      <c r="C136" s="12"/>
      <c r="D136" s="12"/>
      <c r="E136" s="12"/>
      <c r="F136" s="311">
        <f>Asset28</f>
        <v>0</v>
      </c>
      <c r="G136" s="176">
        <f t="shared" ref="G136:Q136" si="36">(G68-G102)/G$246</f>
        <v>0</v>
      </c>
      <c r="H136" s="177">
        <f t="shared" si="36"/>
        <v>0</v>
      </c>
      <c r="I136" s="177">
        <f t="shared" si="36"/>
        <v>0</v>
      </c>
      <c r="J136" s="177">
        <f t="shared" si="36"/>
        <v>0</v>
      </c>
      <c r="K136" s="177">
        <f t="shared" si="36"/>
        <v>0</v>
      </c>
      <c r="L136" s="177">
        <f t="shared" si="36"/>
        <v>0</v>
      </c>
      <c r="M136" s="177">
        <f t="shared" si="36"/>
        <v>0</v>
      </c>
      <c r="N136" s="177">
        <f t="shared" si="36"/>
        <v>0</v>
      </c>
      <c r="O136" s="177">
        <f t="shared" si="36"/>
        <v>0</v>
      </c>
      <c r="P136" s="177">
        <f t="shared" si="36"/>
        <v>0</v>
      </c>
      <c r="Q136" s="177">
        <f t="shared" si="36"/>
        <v>0</v>
      </c>
      <c r="R136" s="8"/>
      <c r="S136" s="8"/>
      <c r="T136" s="8"/>
      <c r="U136" s="8"/>
      <c r="V136" s="8"/>
      <c r="W136" s="42"/>
      <c r="X136" s="9"/>
      <c r="Y136" s="9"/>
      <c r="Z136" s="9"/>
      <c r="AA136" s="9"/>
      <c r="AB136" s="9"/>
      <c r="AC136" s="9"/>
      <c r="AD136" s="9"/>
      <c r="AE136" s="204"/>
      <c r="AF136" s="204"/>
      <c r="AG136" s="204"/>
      <c r="AH136" s="204"/>
      <c r="AI136" s="204"/>
      <c r="AJ136" s="204"/>
      <c r="AK136" s="204"/>
      <c r="AL136" s="204"/>
      <c r="AM136" s="204"/>
      <c r="AN136" s="204"/>
      <c r="AO136" s="204"/>
      <c r="AP136" s="204"/>
      <c r="AQ136" s="204"/>
      <c r="AR136" s="204"/>
      <c r="AS136" s="204"/>
      <c r="AT136" s="204"/>
      <c r="AU136" s="204"/>
    </row>
    <row r="137" spans="1:47" hidden="1" outlineLevel="1">
      <c r="A137" s="12"/>
      <c r="B137" s="12"/>
      <c r="C137" s="12"/>
      <c r="D137" s="12"/>
      <c r="E137" s="12"/>
      <c r="F137" s="311">
        <f>Asset29</f>
        <v>0</v>
      </c>
      <c r="G137" s="176">
        <f t="shared" ref="G137:Q137" si="37">(G69-G103)/G$246</f>
        <v>0</v>
      </c>
      <c r="H137" s="177">
        <f t="shared" si="37"/>
        <v>0</v>
      </c>
      <c r="I137" s="177">
        <f t="shared" si="37"/>
        <v>0</v>
      </c>
      <c r="J137" s="177">
        <f t="shared" si="37"/>
        <v>0</v>
      </c>
      <c r="K137" s="177">
        <f t="shared" si="37"/>
        <v>0</v>
      </c>
      <c r="L137" s="177">
        <f t="shared" si="37"/>
        <v>0</v>
      </c>
      <c r="M137" s="177">
        <f t="shared" si="37"/>
        <v>0</v>
      </c>
      <c r="N137" s="177">
        <f t="shared" si="37"/>
        <v>0</v>
      </c>
      <c r="O137" s="177">
        <f t="shared" si="37"/>
        <v>0</v>
      </c>
      <c r="P137" s="177">
        <f t="shared" si="37"/>
        <v>0</v>
      </c>
      <c r="Q137" s="177">
        <f t="shared" si="37"/>
        <v>0</v>
      </c>
      <c r="R137" s="8"/>
      <c r="S137" s="8"/>
      <c r="T137" s="8"/>
      <c r="U137" s="8"/>
      <c r="V137" s="8"/>
      <c r="W137" s="42"/>
      <c r="X137" s="9"/>
      <c r="Y137" s="9"/>
      <c r="Z137" s="9"/>
      <c r="AA137" s="9"/>
      <c r="AB137" s="9"/>
      <c r="AC137" s="9"/>
      <c r="AD137" s="9"/>
      <c r="AE137" s="204"/>
      <c r="AF137" s="204"/>
      <c r="AG137" s="204"/>
      <c r="AH137" s="204"/>
      <c r="AI137" s="204"/>
      <c r="AJ137" s="204"/>
      <c r="AK137" s="204"/>
      <c r="AL137" s="204"/>
      <c r="AM137" s="204"/>
      <c r="AN137" s="204"/>
      <c r="AO137" s="204"/>
      <c r="AP137" s="204"/>
      <c r="AQ137" s="204"/>
      <c r="AR137" s="204"/>
      <c r="AS137" s="204"/>
      <c r="AT137" s="204"/>
      <c r="AU137" s="204"/>
    </row>
    <row r="138" spans="1:47" hidden="1" outlineLevel="1">
      <c r="A138" s="12"/>
      <c r="B138" s="12"/>
      <c r="C138" s="12"/>
      <c r="D138" s="12"/>
      <c r="E138" s="12"/>
      <c r="F138" s="311">
        <f>Asset30</f>
        <v>0</v>
      </c>
      <c r="G138" s="176">
        <f>(G70-G104)/G$246</f>
        <v>0</v>
      </c>
      <c r="H138" s="177">
        <f t="shared" ref="H138:O138" si="38">(H70-H104)/H$246</f>
        <v>0</v>
      </c>
      <c r="I138" s="177">
        <f t="shared" si="38"/>
        <v>0</v>
      </c>
      <c r="J138" s="177">
        <f t="shared" si="38"/>
        <v>0</v>
      </c>
      <c r="K138" s="177">
        <f t="shared" si="38"/>
        <v>0</v>
      </c>
      <c r="L138" s="177">
        <f t="shared" si="38"/>
        <v>0</v>
      </c>
      <c r="M138" s="177">
        <f t="shared" si="38"/>
        <v>0</v>
      </c>
      <c r="N138" s="177">
        <f t="shared" si="38"/>
        <v>0</v>
      </c>
      <c r="O138" s="177">
        <f t="shared" si="38"/>
        <v>0</v>
      </c>
      <c r="P138" s="177">
        <f>(P70-P104)/P$246</f>
        <v>0</v>
      </c>
      <c r="Q138" s="177">
        <f>(Q70-Q104)/Q$246</f>
        <v>0</v>
      </c>
      <c r="R138" s="8"/>
      <c r="S138" s="8"/>
      <c r="T138" s="8"/>
      <c r="U138" s="8"/>
      <c r="V138" s="8"/>
      <c r="W138" s="42"/>
      <c r="X138" s="9"/>
      <c r="Y138" s="9"/>
      <c r="Z138" s="9"/>
      <c r="AA138" s="9"/>
      <c r="AB138" s="9"/>
      <c r="AC138" s="9"/>
      <c r="AD138" s="9"/>
      <c r="AE138" s="204"/>
      <c r="AF138" s="204"/>
      <c r="AG138" s="204"/>
      <c r="AH138" s="204"/>
      <c r="AI138" s="204"/>
      <c r="AJ138" s="204"/>
      <c r="AK138" s="204"/>
      <c r="AL138" s="204"/>
      <c r="AM138" s="204"/>
      <c r="AN138" s="204"/>
      <c r="AO138" s="204"/>
      <c r="AP138" s="204"/>
      <c r="AQ138" s="204"/>
      <c r="AR138" s="204"/>
      <c r="AS138" s="204"/>
      <c r="AT138" s="204"/>
      <c r="AU138" s="204"/>
    </row>
    <row r="139" spans="1:47" collapsed="1">
      <c r="A139" s="12"/>
      <c r="B139" s="12"/>
      <c r="C139" s="12"/>
      <c r="D139" s="12"/>
      <c r="E139" s="12"/>
      <c r="F139" s="177" t="s">
        <v>19</v>
      </c>
      <c r="G139" s="316">
        <f>SUM(G109:G138)</f>
        <v>66.566999999999993</v>
      </c>
      <c r="H139" s="316">
        <f t="shared" ref="H139:Q139" si="39">SUM(H109:H138)</f>
        <v>129.5680216063856</v>
      </c>
      <c r="I139" s="316">
        <f t="shared" si="39"/>
        <v>109.04962105263158</v>
      </c>
      <c r="J139" s="316">
        <f t="shared" si="39"/>
        <v>115.31621392190151</v>
      </c>
      <c r="K139" s="316">
        <f t="shared" si="39"/>
        <v>76.710208356545948</v>
      </c>
      <c r="L139" s="316">
        <f t="shared" si="39"/>
        <v>76.809947692805508</v>
      </c>
      <c r="M139" s="316">
        <f t="shared" si="39"/>
        <v>0</v>
      </c>
      <c r="N139" s="316">
        <f t="shared" si="39"/>
        <v>0</v>
      </c>
      <c r="O139" s="316">
        <f t="shared" si="39"/>
        <v>0</v>
      </c>
      <c r="P139" s="316">
        <f t="shared" si="39"/>
        <v>0</v>
      </c>
      <c r="Q139" s="316">
        <f t="shared" si="39"/>
        <v>0</v>
      </c>
      <c r="R139" s="36"/>
      <c r="S139" s="36"/>
      <c r="T139" s="36"/>
      <c r="U139" s="36"/>
      <c r="V139" s="36"/>
      <c r="W139" s="36"/>
      <c r="X139" s="93"/>
      <c r="Y139" s="8"/>
      <c r="Z139" s="8"/>
      <c r="AA139" s="42"/>
      <c r="AB139" s="9"/>
      <c r="AC139" s="9"/>
      <c r="AD139" s="9"/>
      <c r="AE139" s="204"/>
      <c r="AF139" s="204"/>
      <c r="AG139" s="204"/>
      <c r="AH139" s="204"/>
      <c r="AI139" s="204"/>
      <c r="AJ139" s="204"/>
      <c r="AK139" s="204"/>
      <c r="AL139" s="204"/>
      <c r="AM139" s="204"/>
      <c r="AN139" s="204"/>
      <c r="AO139" s="204"/>
      <c r="AP139" s="204"/>
      <c r="AQ139" s="204"/>
      <c r="AR139" s="204"/>
      <c r="AS139" s="204"/>
      <c r="AT139" s="204"/>
      <c r="AU139" s="204"/>
    </row>
    <row r="140" spans="1:47" ht="21" customHeight="1">
      <c r="A140" s="12"/>
      <c r="B140" s="12"/>
      <c r="C140" s="12"/>
      <c r="D140" s="12"/>
      <c r="E140" s="12"/>
      <c r="F140" s="38"/>
      <c r="G140" s="62"/>
      <c r="H140" s="62"/>
      <c r="I140" s="62"/>
      <c r="J140" s="62"/>
      <c r="K140" s="62"/>
      <c r="L140" s="62"/>
      <c r="M140" s="62"/>
      <c r="N140" s="36"/>
      <c r="O140" s="36"/>
      <c r="P140" s="36"/>
      <c r="Q140" s="36"/>
      <c r="R140" s="251">
        <f>SUM(G139:Q139)</f>
        <v>574.02101263027021</v>
      </c>
      <c r="S140" s="36"/>
      <c r="T140" s="36"/>
      <c r="U140" s="36"/>
      <c r="V140" s="36"/>
      <c r="W140" s="36"/>
      <c r="X140" s="36"/>
      <c r="Y140" s="8"/>
      <c r="Z140" s="8"/>
      <c r="AA140" s="42"/>
      <c r="AB140" s="9"/>
      <c r="AC140" s="9"/>
      <c r="AD140" s="9"/>
      <c r="AE140" s="204"/>
      <c r="AF140" s="204"/>
      <c r="AG140" s="204"/>
      <c r="AH140" s="204"/>
      <c r="AI140" s="204"/>
      <c r="AJ140" s="204"/>
      <c r="AK140" s="204"/>
      <c r="AL140" s="204"/>
      <c r="AM140" s="204"/>
      <c r="AN140" s="204"/>
      <c r="AO140" s="204"/>
      <c r="AP140" s="204"/>
      <c r="AQ140" s="204"/>
      <c r="AR140" s="204"/>
      <c r="AS140" s="204"/>
      <c r="AT140" s="204"/>
      <c r="AU140" s="204"/>
    </row>
    <row r="141" spans="1:47">
      <c r="A141" s="78"/>
      <c r="B141" s="78"/>
      <c r="C141" s="78"/>
      <c r="D141" s="78"/>
      <c r="E141" s="78"/>
      <c r="F141" s="382" t="s">
        <v>44</v>
      </c>
      <c r="G141" s="382"/>
      <c r="H141" s="382"/>
      <c r="I141" s="170"/>
      <c r="J141" s="170"/>
      <c r="K141" s="170"/>
      <c r="L141" s="170"/>
      <c r="M141" s="170"/>
      <c r="N141" s="171"/>
      <c r="O141" s="171"/>
      <c r="P141" s="171"/>
      <c r="Q141" s="171"/>
      <c r="R141" s="171"/>
      <c r="S141" s="171"/>
      <c r="T141" s="171"/>
      <c r="U141" s="171"/>
      <c r="V141" s="171"/>
      <c r="W141" s="171"/>
      <c r="X141" s="42"/>
      <c r="Y141" s="42"/>
      <c r="Z141" s="42"/>
      <c r="AA141" s="42"/>
      <c r="AB141" s="9"/>
      <c r="AC141" s="9"/>
      <c r="AD141" s="9"/>
      <c r="AE141" s="204"/>
      <c r="AF141" s="204"/>
      <c r="AG141" s="204"/>
      <c r="AH141" s="204"/>
      <c r="AI141" s="204"/>
      <c r="AJ141" s="204"/>
      <c r="AK141" s="204"/>
      <c r="AL141" s="204"/>
      <c r="AM141" s="204"/>
      <c r="AN141" s="204"/>
      <c r="AO141" s="204"/>
      <c r="AP141" s="204"/>
      <c r="AQ141" s="204"/>
      <c r="AR141" s="204"/>
      <c r="AS141" s="204"/>
      <c r="AT141" s="204"/>
      <c r="AU141" s="204"/>
    </row>
    <row r="142" spans="1:47">
      <c r="A142" s="12"/>
      <c r="B142" s="12"/>
      <c r="C142" s="12"/>
      <c r="D142" s="12"/>
      <c r="E142" s="12"/>
      <c r="F142" s="37" t="s">
        <v>3</v>
      </c>
      <c r="G142" s="250" t="str">
        <f>G40</f>
        <v>2008-09</v>
      </c>
      <c r="H142" s="250" t="str">
        <f t="shared" ref="H142:Q142" si="40">H40</f>
        <v>2009-10</v>
      </c>
      <c r="I142" s="250" t="str">
        <f t="shared" si="40"/>
        <v>2010-11</v>
      </c>
      <c r="J142" s="250" t="str">
        <f t="shared" si="40"/>
        <v>2011-12</v>
      </c>
      <c r="K142" s="250" t="str">
        <f t="shared" si="40"/>
        <v>2012-13</v>
      </c>
      <c r="L142" s="250" t="str">
        <f t="shared" si="40"/>
        <v>2013-14</v>
      </c>
      <c r="M142" s="250" t="str">
        <f t="shared" si="40"/>
        <v>2014-15</v>
      </c>
      <c r="N142" s="250" t="str">
        <f t="shared" si="40"/>
        <v>2015-16</v>
      </c>
      <c r="O142" s="250" t="str">
        <f t="shared" si="40"/>
        <v>2016-17</v>
      </c>
      <c r="P142" s="250" t="str">
        <f t="shared" si="40"/>
        <v>2017-18</v>
      </c>
      <c r="Q142" s="250" t="str">
        <f t="shared" si="40"/>
        <v>2018-19</v>
      </c>
      <c r="R142" s="36"/>
      <c r="S142" s="36"/>
      <c r="T142" s="36"/>
      <c r="U142" s="36"/>
      <c r="V142" s="36"/>
      <c r="W142" s="36"/>
      <c r="X142" s="36"/>
      <c r="Y142" s="8"/>
      <c r="Z142" s="8"/>
      <c r="AA142" s="42"/>
      <c r="AB142" s="9"/>
      <c r="AC142" s="9"/>
      <c r="AD142" s="9"/>
      <c r="AE142" s="204"/>
      <c r="AF142" s="204"/>
      <c r="AG142" s="204"/>
      <c r="AH142" s="204"/>
      <c r="AI142" s="204"/>
      <c r="AJ142" s="204"/>
      <c r="AK142" s="204"/>
      <c r="AL142" s="204"/>
      <c r="AM142" s="204"/>
      <c r="AN142" s="204"/>
      <c r="AO142" s="204"/>
      <c r="AP142" s="204"/>
      <c r="AQ142" s="204"/>
      <c r="AR142" s="204"/>
      <c r="AS142" s="204"/>
      <c r="AT142" s="204"/>
      <c r="AU142" s="204"/>
    </row>
    <row r="143" spans="1:47" outlineLevel="1">
      <c r="A143" s="12"/>
      <c r="B143" s="12"/>
      <c r="C143" s="12"/>
      <c r="D143" s="12"/>
      <c r="E143" s="12"/>
      <c r="F143" s="177" t="str">
        <f>Asset1</f>
        <v>Transmission Lines and Cables</v>
      </c>
      <c r="G143" s="166">
        <v>5.2439999999999998</v>
      </c>
      <c r="H143" s="65"/>
      <c r="I143" s="65"/>
      <c r="J143" s="65"/>
      <c r="K143" s="65"/>
      <c r="L143" s="65"/>
      <c r="M143" s="65"/>
      <c r="N143" s="65"/>
      <c r="O143" s="65"/>
      <c r="P143" s="65"/>
      <c r="Q143" s="65"/>
      <c r="R143" s="36"/>
      <c r="S143" s="36"/>
      <c r="T143" s="36"/>
      <c r="U143" s="36"/>
      <c r="V143" s="36"/>
      <c r="W143" s="36"/>
      <c r="X143" s="36"/>
      <c r="Y143" s="8"/>
      <c r="Z143" s="8"/>
      <c r="AA143" s="42"/>
      <c r="AB143" s="9"/>
      <c r="AC143" s="9"/>
      <c r="AD143" s="9"/>
      <c r="AE143" s="204"/>
      <c r="AF143" s="204"/>
      <c r="AG143" s="204"/>
      <c r="AH143" s="204"/>
      <c r="AI143" s="204"/>
      <c r="AJ143" s="204"/>
      <c r="AK143" s="204"/>
      <c r="AL143" s="204"/>
      <c r="AM143" s="204"/>
      <c r="AN143" s="204"/>
      <c r="AO143" s="204"/>
      <c r="AP143" s="204"/>
      <c r="AQ143" s="204"/>
      <c r="AR143" s="204"/>
      <c r="AS143" s="204"/>
      <c r="AT143" s="204"/>
      <c r="AU143" s="204"/>
    </row>
    <row r="144" spans="1:47" outlineLevel="1">
      <c r="A144" s="12"/>
      <c r="B144" s="12"/>
      <c r="C144" s="12"/>
      <c r="D144" s="12"/>
      <c r="E144" s="12"/>
      <c r="F144" s="177" t="str">
        <f>Asset2</f>
        <v>Transmission Substations</v>
      </c>
      <c r="G144" s="167">
        <v>37.643999999999998</v>
      </c>
      <c r="H144" s="66"/>
      <c r="I144" s="66"/>
      <c r="J144" s="66"/>
      <c r="K144" s="66"/>
      <c r="L144" s="66"/>
      <c r="M144" s="66"/>
      <c r="N144" s="66"/>
      <c r="O144" s="66"/>
      <c r="P144" s="66"/>
      <c r="Q144" s="66"/>
      <c r="R144" s="36"/>
      <c r="S144" s="36"/>
      <c r="T144" s="36"/>
      <c r="U144" s="36"/>
      <c r="V144" s="36"/>
      <c r="W144" s="36"/>
      <c r="X144" s="36"/>
      <c r="Y144" s="8"/>
      <c r="Z144" s="8"/>
      <c r="AA144" s="42"/>
      <c r="AB144" s="9"/>
      <c r="AC144" s="9"/>
      <c r="AD144" s="9"/>
      <c r="AE144" s="204"/>
      <c r="AF144" s="204"/>
      <c r="AG144" s="204"/>
      <c r="AH144" s="204"/>
      <c r="AI144" s="204"/>
      <c r="AJ144" s="204"/>
      <c r="AK144" s="204"/>
      <c r="AL144" s="204"/>
      <c r="AM144" s="204"/>
      <c r="AN144" s="204"/>
      <c r="AO144" s="204"/>
      <c r="AP144" s="204"/>
      <c r="AQ144" s="204"/>
      <c r="AR144" s="204"/>
      <c r="AS144" s="204"/>
      <c r="AT144" s="204"/>
      <c r="AU144" s="204"/>
    </row>
    <row r="145" spans="1:47" outlineLevel="1">
      <c r="A145" s="12"/>
      <c r="B145" s="12"/>
      <c r="C145" s="12"/>
      <c r="D145" s="12"/>
      <c r="E145" s="12"/>
      <c r="F145" s="177" t="str">
        <f>Asset3</f>
        <v>Protection and Control</v>
      </c>
      <c r="G145" s="167">
        <v>6.5339999999999998</v>
      </c>
      <c r="H145" s="66"/>
      <c r="I145" s="66"/>
      <c r="J145" s="66"/>
      <c r="K145" s="66"/>
      <c r="L145" s="66"/>
      <c r="M145" s="66"/>
      <c r="N145" s="66"/>
      <c r="O145" s="66"/>
      <c r="P145" s="66"/>
      <c r="Q145" s="66"/>
      <c r="R145" s="36"/>
      <c r="S145" s="36"/>
      <c r="T145" s="36"/>
      <c r="U145" s="36"/>
      <c r="V145" s="36"/>
      <c r="W145" s="36"/>
      <c r="X145" s="36"/>
      <c r="Y145" s="8"/>
      <c r="Z145" s="8"/>
      <c r="AA145" s="42"/>
      <c r="AB145" s="9"/>
      <c r="AC145" s="9"/>
      <c r="AD145" s="9"/>
      <c r="AE145" s="204"/>
      <c r="AF145" s="204"/>
      <c r="AG145" s="204"/>
      <c r="AH145" s="204"/>
      <c r="AI145" s="204"/>
      <c r="AJ145" s="204"/>
      <c r="AK145" s="204"/>
      <c r="AL145" s="204"/>
      <c r="AM145" s="204"/>
      <c r="AN145" s="204"/>
      <c r="AO145" s="204"/>
      <c r="AP145" s="204"/>
      <c r="AQ145" s="204"/>
      <c r="AR145" s="204"/>
      <c r="AS145" s="204"/>
      <c r="AT145" s="204"/>
      <c r="AU145" s="204"/>
    </row>
    <row r="146" spans="1:47" outlineLevel="1">
      <c r="A146" s="12"/>
      <c r="B146" s="12"/>
      <c r="C146" s="12"/>
      <c r="D146" s="12"/>
      <c r="E146" s="12"/>
      <c r="F146" s="177" t="str">
        <f>Asset4</f>
        <v>Refurbishment</v>
      </c>
      <c r="G146" s="167">
        <v>0</v>
      </c>
      <c r="H146" s="66"/>
      <c r="I146" s="66"/>
      <c r="J146" s="66"/>
      <c r="K146" s="66"/>
      <c r="L146" s="66"/>
      <c r="M146" s="202"/>
      <c r="N146" s="203"/>
      <c r="O146" s="203"/>
      <c r="P146" s="203"/>
      <c r="Q146" s="203"/>
      <c r="R146" s="36"/>
      <c r="S146" s="36"/>
      <c r="T146" s="36"/>
      <c r="U146" s="36"/>
      <c r="V146" s="36"/>
      <c r="W146" s="36"/>
      <c r="X146" s="36"/>
      <c r="Y146" s="8"/>
      <c r="Z146" s="8"/>
      <c r="AA146" s="42"/>
      <c r="AB146" s="9"/>
      <c r="AC146" s="9"/>
      <c r="AD146" s="9"/>
      <c r="AE146" s="204"/>
      <c r="AF146" s="204"/>
      <c r="AG146" s="204"/>
      <c r="AH146" s="204"/>
      <c r="AI146" s="204"/>
      <c r="AJ146" s="204"/>
      <c r="AK146" s="204"/>
      <c r="AL146" s="204"/>
      <c r="AM146" s="204"/>
      <c r="AN146" s="204"/>
      <c r="AO146" s="204"/>
      <c r="AP146" s="204"/>
      <c r="AQ146" s="204"/>
      <c r="AR146" s="204"/>
      <c r="AS146" s="204"/>
      <c r="AT146" s="204"/>
      <c r="AU146" s="204"/>
    </row>
    <row r="147" spans="1:47" outlineLevel="1">
      <c r="A147" s="12"/>
      <c r="B147" s="12"/>
      <c r="C147" s="12"/>
      <c r="D147" s="12"/>
      <c r="E147" s="12"/>
      <c r="F147" s="177" t="str">
        <f>Asset5</f>
        <v>Other</v>
      </c>
      <c r="G147" s="167">
        <v>0</v>
      </c>
      <c r="H147" s="66"/>
      <c r="I147" s="66"/>
      <c r="J147" s="66"/>
      <c r="K147" s="66"/>
      <c r="L147" s="66"/>
      <c r="M147" s="202"/>
      <c r="N147" s="203"/>
      <c r="O147" s="203"/>
      <c r="P147" s="203"/>
      <c r="Q147" s="203"/>
      <c r="R147" s="36"/>
      <c r="S147" s="36"/>
      <c r="T147" s="36"/>
      <c r="U147" s="36"/>
      <c r="V147" s="36"/>
      <c r="W147" s="36"/>
      <c r="X147" s="36"/>
      <c r="Y147" s="8"/>
      <c r="Z147" s="8"/>
      <c r="AA147" s="42"/>
      <c r="AB147" s="9"/>
      <c r="AC147" s="9"/>
      <c r="AD147" s="9"/>
      <c r="AE147" s="204"/>
      <c r="AF147" s="204"/>
      <c r="AG147" s="204"/>
      <c r="AH147" s="204"/>
      <c r="AI147" s="204"/>
      <c r="AJ147" s="204"/>
      <c r="AK147" s="204"/>
      <c r="AL147" s="204"/>
      <c r="AM147" s="204"/>
      <c r="AN147" s="204"/>
      <c r="AO147" s="204"/>
      <c r="AP147" s="204"/>
      <c r="AQ147" s="204"/>
      <c r="AR147" s="204"/>
      <c r="AS147" s="204"/>
      <c r="AT147" s="204"/>
      <c r="AU147" s="204"/>
    </row>
    <row r="148" spans="1:47" outlineLevel="1">
      <c r="A148" s="12"/>
      <c r="B148" s="12"/>
      <c r="C148" s="12"/>
      <c r="D148" s="12"/>
      <c r="E148" s="12"/>
      <c r="F148" s="177" t="str">
        <f>Asset6</f>
        <v>Other - IT</v>
      </c>
      <c r="G148" s="167">
        <v>9.6850000000000005</v>
      </c>
      <c r="H148" s="66"/>
      <c r="I148" s="66"/>
      <c r="J148" s="66"/>
      <c r="K148" s="66"/>
      <c r="L148" s="66"/>
      <c r="M148" s="202"/>
      <c r="N148" s="203"/>
      <c r="O148" s="203"/>
      <c r="P148" s="203"/>
      <c r="Q148" s="203"/>
      <c r="R148" s="36"/>
      <c r="S148" s="36"/>
      <c r="T148" s="36"/>
      <c r="U148" s="36"/>
      <c r="V148" s="36"/>
      <c r="W148" s="36"/>
      <c r="X148" s="36"/>
      <c r="Y148" s="8"/>
      <c r="Z148" s="8"/>
      <c r="AA148" s="42"/>
      <c r="AB148" s="9"/>
      <c r="AC148" s="9"/>
      <c r="AD148" s="9"/>
      <c r="AE148" s="204"/>
      <c r="AF148" s="204"/>
      <c r="AG148" s="204"/>
      <c r="AH148" s="204"/>
      <c r="AI148" s="204"/>
      <c r="AJ148" s="204"/>
      <c r="AK148" s="204"/>
      <c r="AL148" s="204"/>
      <c r="AM148" s="204"/>
      <c r="AN148" s="204"/>
      <c r="AO148" s="204"/>
      <c r="AP148" s="204"/>
      <c r="AQ148" s="204"/>
      <c r="AR148" s="204"/>
      <c r="AS148" s="204"/>
      <c r="AT148" s="204"/>
      <c r="AU148" s="204"/>
    </row>
    <row r="149" spans="1:47" outlineLevel="1">
      <c r="A149" s="12"/>
      <c r="B149" s="12"/>
      <c r="C149" s="12"/>
      <c r="D149" s="12"/>
      <c r="E149" s="12"/>
      <c r="F149" s="177" t="str">
        <f>Asset7</f>
        <v>Other - General</v>
      </c>
      <c r="G149" s="167">
        <v>1.5529999999999999</v>
      </c>
      <c r="H149" s="66"/>
      <c r="I149" s="66"/>
      <c r="J149" s="66"/>
      <c r="K149" s="66"/>
      <c r="L149" s="66"/>
      <c r="M149" s="202"/>
      <c r="N149" s="203"/>
      <c r="O149" s="203"/>
      <c r="P149" s="203"/>
      <c r="Q149" s="203"/>
      <c r="R149" s="36"/>
      <c r="S149" s="36"/>
      <c r="T149" s="36"/>
      <c r="U149" s="36"/>
      <c r="V149" s="36"/>
      <c r="W149" s="36"/>
      <c r="X149" s="36"/>
      <c r="Y149" s="8"/>
      <c r="Z149" s="8"/>
      <c r="AA149" s="42"/>
      <c r="AB149" s="9"/>
      <c r="AC149" s="9"/>
      <c r="AD149" s="9"/>
      <c r="AE149" s="204"/>
      <c r="AF149" s="204"/>
      <c r="AG149" s="204"/>
      <c r="AH149" s="204"/>
      <c r="AI149" s="204"/>
      <c r="AJ149" s="204"/>
      <c r="AK149" s="204"/>
      <c r="AL149" s="204"/>
      <c r="AM149" s="204"/>
      <c r="AN149" s="204"/>
      <c r="AO149" s="204"/>
      <c r="AP149" s="204"/>
      <c r="AQ149" s="204"/>
      <c r="AR149" s="204"/>
      <c r="AS149" s="204"/>
      <c r="AT149" s="204"/>
      <c r="AU149" s="204"/>
    </row>
    <row r="150" spans="1:47" outlineLevel="1">
      <c r="A150" s="12"/>
      <c r="B150" s="12"/>
      <c r="C150" s="12"/>
      <c r="D150" s="12"/>
      <c r="E150" s="12"/>
      <c r="F150" s="177" t="str">
        <f>Asset8</f>
        <v>Other - Buildings</v>
      </c>
      <c r="G150" s="167">
        <v>5.7990000000000004</v>
      </c>
      <c r="H150" s="66"/>
      <c r="I150" s="66"/>
      <c r="J150" s="66"/>
      <c r="K150" s="66"/>
      <c r="L150" s="66"/>
      <c r="M150" s="202"/>
      <c r="N150" s="203"/>
      <c r="O150" s="203"/>
      <c r="P150" s="203"/>
      <c r="Q150" s="203"/>
      <c r="R150" s="36"/>
      <c r="S150" s="36"/>
      <c r="T150" s="36"/>
      <c r="U150" s="36"/>
      <c r="V150" s="36"/>
      <c r="W150" s="36"/>
      <c r="X150" s="36"/>
      <c r="Y150" s="8"/>
      <c r="Z150" s="8"/>
      <c r="AA150" s="42"/>
      <c r="AB150" s="9"/>
      <c r="AC150" s="9"/>
      <c r="AD150" s="9"/>
      <c r="AE150" s="204"/>
      <c r="AF150" s="204"/>
      <c r="AG150" s="204"/>
      <c r="AH150" s="204"/>
      <c r="AI150" s="204"/>
      <c r="AJ150" s="204"/>
      <c r="AK150" s="204"/>
      <c r="AL150" s="204"/>
      <c r="AM150" s="204"/>
      <c r="AN150" s="204"/>
      <c r="AO150" s="204"/>
      <c r="AP150" s="204"/>
      <c r="AQ150" s="204"/>
      <c r="AR150" s="204"/>
      <c r="AS150" s="204"/>
      <c r="AT150" s="204"/>
      <c r="AU150" s="204"/>
    </row>
    <row r="151" spans="1:47" outlineLevel="1">
      <c r="A151" s="12"/>
      <c r="B151" s="12"/>
      <c r="C151" s="12"/>
      <c r="D151" s="12"/>
      <c r="E151" s="12"/>
      <c r="F151" s="177" t="str">
        <f>Asset9</f>
        <v>Land and Easements</v>
      </c>
      <c r="G151" s="167">
        <v>0.53</v>
      </c>
      <c r="H151" s="66"/>
      <c r="I151" s="66"/>
      <c r="J151" s="66"/>
      <c r="K151" s="66"/>
      <c r="L151" s="66"/>
      <c r="M151" s="202"/>
      <c r="N151" s="203"/>
      <c r="O151" s="203"/>
      <c r="P151" s="203"/>
      <c r="Q151" s="203"/>
      <c r="R151" s="36"/>
      <c r="S151" s="36"/>
      <c r="T151" s="36"/>
      <c r="U151" s="36"/>
      <c r="V151" s="36"/>
      <c r="W151" s="36"/>
      <c r="X151" s="36"/>
      <c r="Y151" s="8"/>
      <c r="Z151" s="8"/>
      <c r="AA151" s="42"/>
      <c r="AB151" s="9"/>
      <c r="AC151" s="9"/>
      <c r="AD151" s="9"/>
      <c r="AE151" s="204"/>
      <c r="AF151" s="204"/>
      <c r="AG151" s="204"/>
      <c r="AH151" s="204"/>
      <c r="AI151" s="204"/>
      <c r="AJ151" s="204"/>
      <c r="AK151" s="204"/>
      <c r="AL151" s="204"/>
      <c r="AM151" s="204"/>
      <c r="AN151" s="204"/>
      <c r="AO151" s="204"/>
      <c r="AP151" s="204"/>
      <c r="AQ151" s="204"/>
      <c r="AR151" s="204"/>
      <c r="AS151" s="204"/>
      <c r="AT151" s="204"/>
      <c r="AU151" s="204"/>
    </row>
    <row r="152" spans="1:47" outlineLevel="1">
      <c r="A152" s="12"/>
      <c r="B152" s="12"/>
      <c r="C152" s="12"/>
      <c r="D152" s="12"/>
      <c r="E152" s="12"/>
      <c r="F152" s="177" t="str">
        <f>Asset10</f>
        <v>Transmission line assets - long life (60)</v>
      </c>
      <c r="G152" s="167"/>
      <c r="H152" s="66">
        <v>1.197678</v>
      </c>
      <c r="I152" s="66">
        <v>110.66</v>
      </c>
      <c r="J152" s="66">
        <v>17.617999999999999</v>
      </c>
      <c r="K152" s="66">
        <v>9.7379999999999995</v>
      </c>
      <c r="L152" s="341">
        <v>41.308441065679425</v>
      </c>
      <c r="M152" s="202"/>
      <c r="N152" s="203"/>
      <c r="O152" s="203"/>
      <c r="P152" s="203"/>
      <c r="Q152" s="203"/>
      <c r="R152" s="36"/>
      <c r="S152" s="36"/>
      <c r="T152" s="36"/>
      <c r="U152" s="36"/>
      <c r="V152" s="36"/>
      <c r="W152" s="36"/>
      <c r="X152" s="36"/>
      <c r="Y152" s="8"/>
      <c r="Z152" s="8"/>
      <c r="AA152" s="42"/>
      <c r="AB152" s="9"/>
      <c r="AC152" s="9"/>
      <c r="AD152" s="9"/>
      <c r="AE152" s="204"/>
      <c r="AF152" s="204"/>
      <c r="AG152" s="204"/>
      <c r="AH152" s="204"/>
      <c r="AI152" s="204"/>
      <c r="AJ152" s="204"/>
      <c r="AK152" s="204"/>
      <c r="AL152" s="204"/>
      <c r="AM152" s="204"/>
      <c r="AN152" s="204"/>
      <c r="AO152" s="204"/>
      <c r="AP152" s="204"/>
      <c r="AQ152" s="204"/>
      <c r="AR152" s="204"/>
      <c r="AS152" s="204"/>
      <c r="AT152" s="204"/>
      <c r="AU152" s="204"/>
    </row>
    <row r="153" spans="1:47" outlineLevel="1">
      <c r="A153" s="12"/>
      <c r="B153" s="12"/>
      <c r="C153" s="12"/>
      <c r="D153" s="12"/>
      <c r="E153" s="12"/>
      <c r="F153" s="177" t="str">
        <f>Asset11</f>
        <v>Transmission line assets - medium life (45)</v>
      </c>
      <c r="G153" s="167"/>
      <c r="H153" s="66">
        <v>1.2855E-2</v>
      </c>
      <c r="I153" s="66">
        <v>0.03</v>
      </c>
      <c r="J153" s="66">
        <v>0.189</v>
      </c>
      <c r="K153" s="66">
        <v>0.38100000000000001</v>
      </c>
      <c r="L153" s="341">
        <v>0.151839</v>
      </c>
      <c r="M153" s="202"/>
      <c r="N153" s="203"/>
      <c r="O153" s="203"/>
      <c r="P153" s="203"/>
      <c r="Q153" s="203"/>
      <c r="R153" s="36"/>
      <c r="S153" s="36"/>
      <c r="T153" s="36"/>
      <c r="U153" s="36"/>
      <c r="V153" s="36"/>
      <c r="W153" s="36"/>
      <c r="X153" s="36"/>
      <c r="Y153" s="8"/>
      <c r="Z153" s="8"/>
      <c r="AA153" s="42"/>
      <c r="AB153" s="9"/>
      <c r="AC153" s="9"/>
      <c r="AD153" s="9"/>
      <c r="AE153" s="204"/>
      <c r="AF153" s="204"/>
      <c r="AG153" s="204"/>
      <c r="AH153" s="204"/>
      <c r="AI153" s="204"/>
      <c r="AJ153" s="204"/>
      <c r="AK153" s="204"/>
      <c r="AL153" s="204"/>
      <c r="AM153" s="204"/>
      <c r="AN153" s="204"/>
      <c r="AO153" s="204"/>
      <c r="AP153" s="204"/>
      <c r="AQ153" s="204"/>
      <c r="AR153" s="204"/>
      <c r="AS153" s="204"/>
      <c r="AT153" s="204"/>
      <c r="AU153" s="204"/>
    </row>
    <row r="154" spans="1:47" outlineLevel="1">
      <c r="A154" s="12"/>
      <c r="B154" s="12"/>
      <c r="C154" s="12"/>
      <c r="D154" s="12"/>
      <c r="E154" s="12"/>
      <c r="F154" s="177" t="str">
        <f>Asset12</f>
        <v>Transmission line assets - short life (10)</v>
      </c>
      <c r="G154" s="167"/>
      <c r="H154" s="66">
        <v>0.36027799999999999</v>
      </c>
      <c r="I154" s="66">
        <v>0.38300000000000001</v>
      </c>
      <c r="J154" s="66">
        <v>0.51700000000000002</v>
      </c>
      <c r="K154" s="66">
        <v>0.63800000000000001</v>
      </c>
      <c r="L154" s="341">
        <v>3.5146089782399499</v>
      </c>
      <c r="M154" s="202"/>
      <c r="N154" s="203"/>
      <c r="O154" s="203"/>
      <c r="P154" s="203"/>
      <c r="Q154" s="203"/>
      <c r="R154" s="36"/>
      <c r="S154" s="36"/>
      <c r="T154" s="36"/>
      <c r="U154" s="36"/>
      <c r="V154" s="36"/>
      <c r="W154" s="36"/>
      <c r="X154" s="36"/>
      <c r="Y154" s="8"/>
      <c r="Z154" s="8"/>
      <c r="AA154" s="42"/>
      <c r="AB154" s="9"/>
      <c r="AC154" s="9"/>
      <c r="AD154" s="9"/>
      <c r="AE154" s="204"/>
      <c r="AF154" s="204"/>
      <c r="AG154" s="204"/>
      <c r="AH154" s="204"/>
      <c r="AI154" s="204"/>
      <c r="AJ154" s="204"/>
      <c r="AK154" s="204"/>
      <c r="AL154" s="204"/>
      <c r="AM154" s="204"/>
      <c r="AN154" s="204"/>
      <c r="AO154" s="204"/>
      <c r="AP154" s="204"/>
      <c r="AQ154" s="204"/>
      <c r="AR154" s="204"/>
      <c r="AS154" s="204"/>
      <c r="AT154" s="204"/>
      <c r="AU154" s="204"/>
    </row>
    <row r="155" spans="1:47" outlineLevel="1">
      <c r="A155" s="12"/>
      <c r="B155" s="12"/>
      <c r="C155" s="12"/>
      <c r="D155" s="12"/>
      <c r="E155" s="12"/>
      <c r="F155" s="177" t="str">
        <f>Asset13</f>
        <v>Substation assets - long life (60)</v>
      </c>
      <c r="G155" s="167"/>
      <c r="H155" s="66">
        <v>2.3763049999999999</v>
      </c>
      <c r="I155" s="66">
        <v>21.908999999999999</v>
      </c>
      <c r="J155" s="66">
        <v>10.89</v>
      </c>
      <c r="K155" s="66">
        <v>7.984</v>
      </c>
      <c r="L155" s="341">
        <v>9.8515177112453429</v>
      </c>
      <c r="M155" s="202"/>
      <c r="N155" s="203"/>
      <c r="O155" s="203"/>
      <c r="P155" s="203"/>
      <c r="Q155" s="203"/>
      <c r="R155" s="36"/>
      <c r="S155" s="36"/>
      <c r="T155" s="36"/>
      <c r="U155" s="36"/>
      <c r="V155" s="36"/>
      <c r="W155" s="36"/>
      <c r="X155" s="36"/>
      <c r="Y155" s="8"/>
      <c r="Z155" s="8"/>
      <c r="AA155" s="42"/>
      <c r="AB155" s="9"/>
      <c r="AC155" s="9"/>
      <c r="AD155" s="9"/>
      <c r="AE155" s="204"/>
      <c r="AF155" s="204"/>
      <c r="AG155" s="204"/>
      <c r="AH155" s="204"/>
      <c r="AI155" s="204"/>
      <c r="AJ155" s="204"/>
      <c r="AK155" s="204"/>
      <c r="AL155" s="204"/>
      <c r="AM155" s="204"/>
      <c r="AN155" s="204"/>
      <c r="AO155" s="204"/>
      <c r="AP155" s="204"/>
      <c r="AQ155" s="204"/>
      <c r="AR155" s="204"/>
      <c r="AS155" s="204"/>
      <c r="AT155" s="204"/>
      <c r="AU155" s="204"/>
    </row>
    <row r="156" spans="1:47" outlineLevel="1">
      <c r="A156" s="12"/>
      <c r="B156" s="12"/>
      <c r="C156" s="12"/>
      <c r="D156" s="12"/>
      <c r="E156" s="12"/>
      <c r="F156" s="177" t="str">
        <f>Asset14</f>
        <v>Substation assets - medium life (45)</v>
      </c>
      <c r="G156" s="167"/>
      <c r="H156" s="66">
        <v>11.202597000000001</v>
      </c>
      <c r="I156" s="66">
        <v>53.4</v>
      </c>
      <c r="J156" s="66">
        <v>46.417000000000002</v>
      </c>
      <c r="K156" s="66">
        <v>37.405000000000001</v>
      </c>
      <c r="L156" s="341">
        <v>29.959985389171088</v>
      </c>
      <c r="M156" s="202"/>
      <c r="N156" s="203"/>
      <c r="O156" s="203"/>
      <c r="P156" s="203"/>
      <c r="Q156" s="203"/>
      <c r="R156" s="36"/>
      <c r="S156" s="36"/>
      <c r="T156" s="36"/>
      <c r="U156" s="36"/>
      <c r="V156" s="36"/>
      <c r="W156" s="36"/>
      <c r="X156" s="36"/>
      <c r="Y156" s="8"/>
      <c r="Z156" s="8"/>
      <c r="AA156" s="42"/>
      <c r="AB156" s="9"/>
      <c r="AC156" s="9"/>
      <c r="AD156" s="9"/>
      <c r="AE156" s="204"/>
      <c r="AF156" s="204"/>
      <c r="AG156" s="204"/>
      <c r="AH156" s="204"/>
      <c r="AI156" s="204"/>
      <c r="AJ156" s="204"/>
      <c r="AK156" s="204"/>
      <c r="AL156" s="204"/>
      <c r="AM156" s="204"/>
      <c r="AN156" s="204"/>
      <c r="AO156" s="204"/>
      <c r="AP156" s="204"/>
      <c r="AQ156" s="204"/>
      <c r="AR156" s="204"/>
      <c r="AS156" s="204"/>
      <c r="AT156" s="204"/>
      <c r="AU156" s="204"/>
    </row>
    <row r="157" spans="1:47" outlineLevel="1">
      <c r="A157" s="12"/>
      <c r="B157" s="12"/>
      <c r="C157" s="12"/>
      <c r="D157" s="12"/>
      <c r="E157" s="12"/>
      <c r="F157" s="177" t="str">
        <f>Asset15</f>
        <v>Substation assets - short life (15)</v>
      </c>
      <c r="G157" s="167"/>
      <c r="H157" s="66">
        <v>11.757999999999999</v>
      </c>
      <c r="I157" s="66">
        <v>1.536</v>
      </c>
      <c r="J157" s="66">
        <v>1.0780000000000001</v>
      </c>
      <c r="K157" s="66">
        <v>4.0460000000000003</v>
      </c>
      <c r="L157" s="341">
        <v>5.0111715769167811</v>
      </c>
      <c r="M157" s="202"/>
      <c r="N157" s="203"/>
      <c r="O157" s="203"/>
      <c r="P157" s="203"/>
      <c r="Q157" s="203"/>
      <c r="R157" s="36"/>
      <c r="S157" s="36"/>
      <c r="T157" s="36"/>
      <c r="U157" s="36"/>
      <c r="V157" s="36"/>
      <c r="W157" s="36"/>
      <c r="X157" s="36"/>
      <c r="Y157" s="8"/>
      <c r="Z157" s="8"/>
      <c r="AA157" s="42"/>
      <c r="AB157" s="9"/>
      <c r="AC157" s="9"/>
      <c r="AD157" s="9"/>
      <c r="AE157" s="204"/>
      <c r="AF157" s="204"/>
      <c r="AG157" s="204"/>
      <c r="AH157" s="204"/>
      <c r="AI157" s="204"/>
      <c r="AJ157" s="204"/>
      <c r="AK157" s="204"/>
      <c r="AL157" s="204"/>
      <c r="AM157" s="204"/>
      <c r="AN157" s="204"/>
      <c r="AO157" s="204"/>
      <c r="AP157" s="204"/>
      <c r="AQ157" s="204"/>
      <c r="AR157" s="204"/>
      <c r="AS157" s="204"/>
      <c r="AT157" s="204"/>
      <c r="AU157" s="204"/>
    </row>
    <row r="158" spans="1:47" outlineLevel="1">
      <c r="A158" s="12"/>
      <c r="B158" s="12"/>
      <c r="C158" s="12"/>
      <c r="D158" s="12"/>
      <c r="E158" s="12"/>
      <c r="F158" s="177" t="str">
        <f>Asset16</f>
        <v>Protection and control - short life (15)</v>
      </c>
      <c r="G158" s="167"/>
      <c r="H158" s="66">
        <v>10.477506</v>
      </c>
      <c r="I158" s="66">
        <v>13.577999999999999</v>
      </c>
      <c r="J158" s="66">
        <f>10.292+2.912+5.11+0.979+0.007+0.363+0.022</f>
        <v>19.684999999999999</v>
      </c>
      <c r="K158" s="66">
        <v>18.103000000000002</v>
      </c>
      <c r="L158" s="341">
        <v>20.029946675775253</v>
      </c>
      <c r="M158" s="202"/>
      <c r="N158" s="203"/>
      <c r="O158" s="203"/>
      <c r="P158" s="203"/>
      <c r="Q158" s="203"/>
      <c r="R158" s="36"/>
      <c r="S158" s="36"/>
      <c r="T158" s="36"/>
      <c r="U158" s="36"/>
      <c r="V158" s="36"/>
      <c r="W158" s="36"/>
      <c r="X158" s="36"/>
      <c r="Y158" s="8"/>
      <c r="Z158" s="8"/>
      <c r="AA158" s="42"/>
      <c r="AB158" s="9"/>
      <c r="AC158" s="9"/>
      <c r="AD158" s="9"/>
      <c r="AE158" s="204"/>
      <c r="AF158" s="204"/>
      <c r="AG158" s="204"/>
      <c r="AH158" s="204"/>
      <c r="AI158" s="204"/>
      <c r="AJ158" s="204"/>
      <c r="AK158" s="204"/>
      <c r="AL158" s="204"/>
      <c r="AM158" s="204"/>
      <c r="AN158" s="204"/>
      <c r="AO158" s="204"/>
      <c r="AP158" s="204"/>
      <c r="AQ158" s="204"/>
      <c r="AR158" s="204"/>
      <c r="AS158" s="204"/>
      <c r="AT158" s="204"/>
      <c r="AU158" s="204"/>
    </row>
    <row r="159" spans="1:47" outlineLevel="1">
      <c r="A159" s="12"/>
      <c r="B159" s="12"/>
      <c r="C159" s="12"/>
      <c r="D159" s="12"/>
      <c r="E159" s="12"/>
      <c r="F159" s="177" t="str">
        <f>Asset17</f>
        <v>Protection and control - short life (4)</v>
      </c>
      <c r="G159" s="167"/>
      <c r="H159" s="66">
        <v>4.1248E-2</v>
      </c>
      <c r="I159" s="66">
        <v>7.2999999999999995E-2</v>
      </c>
      <c r="J159" s="66">
        <v>1.264</v>
      </c>
      <c r="K159" s="66">
        <v>0.30099999999999999</v>
      </c>
      <c r="L159" s="341">
        <v>0</v>
      </c>
      <c r="M159" s="202"/>
      <c r="N159" s="203"/>
      <c r="O159" s="203"/>
      <c r="P159" s="203"/>
      <c r="Q159" s="203"/>
      <c r="R159" s="36"/>
      <c r="S159" s="36"/>
      <c r="T159" s="36"/>
      <c r="U159" s="36"/>
      <c r="V159" s="36"/>
      <c r="W159" s="36"/>
      <c r="X159" s="36"/>
      <c r="Y159" s="8"/>
      <c r="Z159" s="8"/>
      <c r="AA159" s="42"/>
      <c r="AB159" s="9"/>
      <c r="AC159" s="9"/>
      <c r="AD159" s="9"/>
      <c r="AE159" s="204"/>
      <c r="AF159" s="204"/>
      <c r="AG159" s="204"/>
      <c r="AH159" s="204"/>
      <c r="AI159" s="204"/>
      <c r="AJ159" s="204"/>
      <c r="AK159" s="204"/>
      <c r="AL159" s="204"/>
      <c r="AM159" s="204"/>
      <c r="AN159" s="204"/>
      <c r="AO159" s="204"/>
      <c r="AP159" s="204"/>
      <c r="AQ159" s="204"/>
      <c r="AR159" s="204"/>
      <c r="AS159" s="204"/>
      <c r="AT159" s="204"/>
      <c r="AU159" s="204"/>
    </row>
    <row r="160" spans="1:47" outlineLevel="1">
      <c r="A160" s="12"/>
      <c r="B160" s="12"/>
      <c r="C160" s="12"/>
      <c r="D160" s="12"/>
      <c r="E160" s="12"/>
      <c r="F160" s="177" t="str">
        <f>Asset18</f>
        <v>Transmission operations - short life (10)</v>
      </c>
      <c r="G160" s="167"/>
      <c r="H160" s="66">
        <v>1.1337280000000001</v>
      </c>
      <c r="I160" s="66">
        <v>1.59</v>
      </c>
      <c r="J160" s="66">
        <v>2.5539999999999998</v>
      </c>
      <c r="K160" s="66">
        <v>1.819</v>
      </c>
      <c r="L160" s="341">
        <v>1.49940999</v>
      </c>
      <c r="M160" s="202"/>
      <c r="N160" s="203"/>
      <c r="O160" s="203"/>
      <c r="P160" s="203"/>
      <c r="Q160" s="203"/>
      <c r="R160" s="36"/>
      <c r="S160" s="36"/>
      <c r="T160" s="36"/>
      <c r="U160" s="36"/>
      <c r="V160" s="36"/>
      <c r="W160" s="36"/>
      <c r="X160" s="36"/>
      <c r="Y160" s="8"/>
      <c r="Z160" s="8"/>
      <c r="AA160" s="42"/>
      <c r="AB160" s="9"/>
      <c r="AC160" s="9"/>
      <c r="AD160" s="9"/>
      <c r="AE160" s="204"/>
      <c r="AF160" s="204"/>
      <c r="AG160" s="204"/>
      <c r="AH160" s="204"/>
      <c r="AI160" s="204"/>
      <c r="AJ160" s="204"/>
      <c r="AK160" s="204"/>
      <c r="AL160" s="204"/>
      <c r="AM160" s="204"/>
      <c r="AN160" s="204"/>
      <c r="AO160" s="204"/>
      <c r="AP160" s="204"/>
      <c r="AQ160" s="204"/>
      <c r="AR160" s="204"/>
      <c r="AS160" s="204"/>
      <c r="AT160" s="204"/>
      <c r="AU160" s="204"/>
    </row>
    <row r="161" spans="1:47" outlineLevel="1">
      <c r="A161" s="12"/>
      <c r="B161" s="12"/>
      <c r="C161" s="12"/>
      <c r="D161" s="12"/>
      <c r="E161" s="12"/>
      <c r="F161" s="177" t="str">
        <f>Asset19</f>
        <v>Transmission operations - short life (4)</v>
      </c>
      <c r="G161" s="167"/>
      <c r="H161" s="66">
        <v>4.4516E-2</v>
      </c>
      <c r="I161" s="66">
        <v>6.4000000000000001E-2</v>
      </c>
      <c r="J161" s="66">
        <v>0</v>
      </c>
      <c r="K161" s="66">
        <v>0.159</v>
      </c>
      <c r="L161" s="341">
        <v>0</v>
      </c>
      <c r="M161" s="202"/>
      <c r="N161" s="203"/>
      <c r="O161" s="203"/>
      <c r="P161" s="203"/>
      <c r="Q161" s="203"/>
      <c r="R161" s="36"/>
      <c r="S161" s="36"/>
      <c r="T161" s="36"/>
      <c r="U161" s="36"/>
      <c r="V161" s="36"/>
      <c r="W161" s="36"/>
      <c r="X161" s="36"/>
      <c r="Y161" s="8"/>
      <c r="Z161" s="8"/>
      <c r="AA161" s="42"/>
      <c r="AB161" s="9"/>
      <c r="AC161" s="9"/>
      <c r="AD161" s="9"/>
      <c r="AE161" s="204"/>
      <c r="AF161" s="204"/>
      <c r="AG161" s="204"/>
      <c r="AH161" s="204"/>
      <c r="AI161" s="204"/>
      <c r="AJ161" s="204"/>
      <c r="AK161" s="204"/>
      <c r="AL161" s="204"/>
      <c r="AM161" s="204"/>
      <c r="AN161" s="204"/>
      <c r="AO161" s="204"/>
      <c r="AP161" s="204"/>
      <c r="AQ161" s="204"/>
      <c r="AR161" s="204"/>
      <c r="AS161" s="204"/>
      <c r="AT161" s="204"/>
      <c r="AU161" s="204"/>
    </row>
    <row r="162" spans="1:47" outlineLevel="1">
      <c r="A162" s="12"/>
      <c r="B162" s="12"/>
      <c r="C162" s="12"/>
      <c r="D162" s="12"/>
      <c r="E162" s="12"/>
      <c r="F162" s="313" t="str">
        <f>Asset20</f>
        <v>Other - medium life (40)</v>
      </c>
      <c r="G162" s="310"/>
      <c r="H162" s="66">
        <v>8.0919840000000001</v>
      </c>
      <c r="I162" s="66">
        <v>14.304</v>
      </c>
      <c r="J162" s="66">
        <f>0.414+1.219</f>
        <v>1.633</v>
      </c>
      <c r="K162" s="66">
        <v>0.121</v>
      </c>
      <c r="L162" s="341">
        <v>3.5054958330707402</v>
      </c>
      <c r="M162" s="202"/>
      <c r="N162" s="203"/>
      <c r="O162" s="203"/>
      <c r="P162" s="203"/>
      <c r="Q162" s="203"/>
      <c r="R162" s="36"/>
      <c r="S162" s="36"/>
      <c r="T162" s="36"/>
      <c r="U162" s="36"/>
      <c r="V162" s="36"/>
      <c r="W162" s="36"/>
      <c r="X162" s="36"/>
      <c r="Y162" s="8"/>
      <c r="Z162" s="8"/>
      <c r="AA162" s="42"/>
      <c r="AB162" s="9"/>
      <c r="AC162" s="9"/>
      <c r="AD162" s="9"/>
      <c r="AE162" s="204"/>
      <c r="AF162" s="204"/>
      <c r="AG162" s="204"/>
      <c r="AH162" s="204"/>
      <c r="AI162" s="204"/>
      <c r="AJ162" s="204"/>
      <c r="AK162" s="204"/>
      <c r="AL162" s="204"/>
      <c r="AM162" s="204"/>
      <c r="AN162" s="204"/>
      <c r="AO162" s="204"/>
      <c r="AP162" s="204"/>
      <c r="AQ162" s="204"/>
      <c r="AR162" s="204"/>
      <c r="AS162" s="204"/>
      <c r="AT162" s="204"/>
      <c r="AU162" s="204"/>
    </row>
    <row r="163" spans="1:47" outlineLevel="1">
      <c r="A163" s="12"/>
      <c r="B163" s="12"/>
      <c r="C163" s="12"/>
      <c r="D163" s="12"/>
      <c r="E163" s="12"/>
      <c r="F163" s="311" t="str">
        <f>Asset21</f>
        <v>Other - short life (9)</v>
      </c>
      <c r="G163" s="310"/>
      <c r="H163" s="66">
        <v>0.69179100000000004</v>
      </c>
      <c r="I163" s="66">
        <v>1</v>
      </c>
      <c r="J163" s="66">
        <f>0.7+0.449</f>
        <v>1.149</v>
      </c>
      <c r="K163" s="66">
        <v>0.246</v>
      </c>
      <c r="L163" s="341">
        <v>0.50408399999999998</v>
      </c>
      <c r="M163" s="202"/>
      <c r="N163" s="203"/>
      <c r="O163" s="203"/>
      <c r="P163" s="203"/>
      <c r="Q163" s="203"/>
      <c r="R163" s="36"/>
      <c r="S163" s="36"/>
      <c r="T163" s="36"/>
      <c r="U163" s="36"/>
      <c r="V163" s="36"/>
      <c r="W163" s="36"/>
      <c r="X163" s="36"/>
      <c r="Y163" s="8"/>
      <c r="Z163" s="8"/>
      <c r="AA163" s="42"/>
      <c r="AB163" s="9"/>
      <c r="AC163" s="9"/>
      <c r="AD163" s="9"/>
      <c r="AE163" s="204"/>
      <c r="AF163" s="204"/>
      <c r="AG163" s="204"/>
      <c r="AH163" s="204"/>
      <c r="AI163" s="204"/>
      <c r="AJ163" s="204"/>
      <c r="AK163" s="204"/>
      <c r="AL163" s="204"/>
      <c r="AM163" s="204"/>
      <c r="AN163" s="204"/>
      <c r="AO163" s="204"/>
      <c r="AP163" s="204"/>
      <c r="AQ163" s="204"/>
      <c r="AR163" s="204"/>
      <c r="AS163" s="204"/>
      <c r="AT163" s="204"/>
      <c r="AU163" s="204"/>
    </row>
    <row r="164" spans="1:47" outlineLevel="1">
      <c r="A164" s="12"/>
      <c r="B164" s="12"/>
      <c r="C164" s="12"/>
      <c r="D164" s="12"/>
      <c r="E164" s="12"/>
      <c r="F164" s="311" t="str">
        <f>Asset22</f>
        <v>Other - short life (4)</v>
      </c>
      <c r="G164" s="310"/>
      <c r="H164" s="66">
        <v>2.482577</v>
      </c>
      <c r="I164" s="66">
        <v>1.996</v>
      </c>
      <c r="J164" s="66">
        <f>1.815+0.03</f>
        <v>1.845</v>
      </c>
      <c r="K164" s="66">
        <v>5.2140000000000004</v>
      </c>
      <c r="L164" s="341">
        <v>2.3937119600000001</v>
      </c>
      <c r="M164" s="202"/>
      <c r="N164" s="203"/>
      <c r="O164" s="203"/>
      <c r="P164" s="203"/>
      <c r="Q164" s="203"/>
      <c r="R164" s="36"/>
      <c r="S164" s="36"/>
      <c r="T164" s="36"/>
      <c r="U164" s="36"/>
      <c r="V164" s="36"/>
      <c r="W164" s="36"/>
      <c r="X164" s="36"/>
      <c r="Y164" s="8"/>
      <c r="Z164" s="8"/>
      <c r="AA164" s="42"/>
      <c r="AB164" s="9"/>
      <c r="AC164" s="9"/>
      <c r="AD164" s="9"/>
      <c r="AE164" s="204"/>
      <c r="AF164" s="204"/>
      <c r="AG164" s="204"/>
      <c r="AH164" s="204"/>
      <c r="AI164" s="204"/>
      <c r="AJ164" s="204"/>
      <c r="AK164" s="204"/>
      <c r="AL164" s="204"/>
      <c r="AM164" s="204"/>
      <c r="AN164" s="204"/>
      <c r="AO164" s="204"/>
      <c r="AP164" s="204"/>
      <c r="AQ164" s="204"/>
      <c r="AR164" s="204"/>
      <c r="AS164" s="204"/>
      <c r="AT164" s="204"/>
      <c r="AU164" s="204"/>
    </row>
    <row r="165" spans="1:47" outlineLevel="1">
      <c r="A165" s="12"/>
      <c r="B165" s="12"/>
      <c r="C165" s="12"/>
      <c r="D165" s="12"/>
      <c r="E165" s="12"/>
      <c r="F165" s="311" t="str">
        <f>Asset23</f>
        <v>Land and Easements</v>
      </c>
      <c r="G165" s="310"/>
      <c r="H165" s="66"/>
      <c r="I165" s="66">
        <v>1.655</v>
      </c>
      <c r="J165" s="66">
        <v>0.46200000000000002</v>
      </c>
      <c r="K165" s="66">
        <v>1.2929999999999999</v>
      </c>
      <c r="L165" s="341">
        <v>1.0091213522901934</v>
      </c>
      <c r="M165" s="202"/>
      <c r="N165" s="203"/>
      <c r="O165" s="203"/>
      <c r="P165" s="203"/>
      <c r="Q165" s="203"/>
      <c r="R165" s="36"/>
      <c r="S165" s="36"/>
      <c r="T165" s="36"/>
      <c r="U165" s="36"/>
      <c r="V165" s="36"/>
      <c r="W165" s="36"/>
      <c r="X165" s="36"/>
      <c r="Y165" s="8"/>
      <c r="Z165" s="8"/>
      <c r="AA165" s="42"/>
      <c r="AB165" s="9"/>
      <c r="AC165" s="9"/>
      <c r="AD165" s="9"/>
      <c r="AE165" s="204"/>
      <c r="AF165" s="204"/>
      <c r="AG165" s="204"/>
      <c r="AH165" s="204"/>
      <c r="AI165" s="204"/>
      <c r="AJ165" s="204"/>
      <c r="AK165" s="204"/>
      <c r="AL165" s="204"/>
      <c r="AM165" s="204"/>
      <c r="AN165" s="204"/>
      <c r="AO165" s="204"/>
      <c r="AP165" s="204"/>
      <c r="AQ165" s="204"/>
      <c r="AR165" s="204"/>
      <c r="AS165" s="204"/>
      <c r="AT165" s="204"/>
      <c r="AU165" s="204"/>
    </row>
    <row r="166" spans="1:47" outlineLevel="1">
      <c r="A166" s="12"/>
      <c r="B166" s="12"/>
      <c r="C166" s="12"/>
      <c r="D166" s="12"/>
      <c r="E166" s="12"/>
      <c r="F166" s="311" t="str">
        <f>Asset24</f>
        <v>Equity Raising</v>
      </c>
      <c r="G166" s="310"/>
      <c r="H166" s="356">
        <f>0.417304084487205*(1+H245)^0.5</f>
        <v>0.42328724402768747</v>
      </c>
      <c r="I166" s="66"/>
      <c r="J166" s="66"/>
      <c r="K166" s="66"/>
      <c r="L166" s="66"/>
      <c r="M166" s="202"/>
      <c r="N166" s="203"/>
      <c r="O166" s="203"/>
      <c r="P166" s="203"/>
      <c r="Q166" s="203"/>
      <c r="R166" s="36"/>
      <c r="S166" s="36"/>
      <c r="T166" s="36"/>
      <c r="U166" s="36"/>
      <c r="V166" s="36"/>
      <c r="W166" s="36"/>
      <c r="X166" s="36"/>
      <c r="Y166" s="8"/>
      <c r="Z166" s="8"/>
      <c r="AA166" s="42"/>
      <c r="AB166" s="9"/>
      <c r="AC166" s="9"/>
      <c r="AD166" s="9"/>
      <c r="AE166" s="204"/>
      <c r="AF166" s="204"/>
      <c r="AG166" s="204"/>
      <c r="AH166" s="204"/>
      <c r="AI166" s="204"/>
      <c r="AJ166" s="204"/>
      <c r="AK166" s="204"/>
      <c r="AL166" s="204"/>
      <c r="AM166" s="204"/>
      <c r="AN166" s="204"/>
      <c r="AO166" s="204"/>
      <c r="AP166" s="204"/>
      <c r="AQ166" s="204"/>
      <c r="AR166" s="204"/>
      <c r="AS166" s="204"/>
      <c r="AT166" s="204"/>
      <c r="AU166" s="204"/>
    </row>
    <row r="167" spans="1:47" outlineLevel="1">
      <c r="A167" s="12"/>
      <c r="B167" s="12"/>
      <c r="C167" s="12"/>
      <c r="D167" s="12"/>
      <c r="E167" s="12"/>
      <c r="F167" s="311">
        <f>Asset25</f>
        <v>0</v>
      </c>
      <c r="G167" s="310"/>
      <c r="H167" s="66"/>
      <c r="I167" s="66"/>
      <c r="J167" s="66"/>
      <c r="K167" s="66"/>
      <c r="L167" s="66"/>
      <c r="M167" s="202"/>
      <c r="N167" s="203"/>
      <c r="O167" s="203"/>
      <c r="P167" s="203"/>
      <c r="Q167" s="203"/>
      <c r="R167" s="36"/>
      <c r="S167" s="36"/>
      <c r="T167" s="36"/>
      <c r="U167" s="36"/>
      <c r="V167" s="36"/>
      <c r="W167" s="36"/>
      <c r="X167" s="36"/>
      <c r="Y167" s="8"/>
      <c r="Z167" s="8"/>
      <c r="AA167" s="42"/>
      <c r="AB167" s="9"/>
      <c r="AC167" s="9"/>
      <c r="AD167" s="9"/>
      <c r="AE167" s="204"/>
      <c r="AF167" s="204"/>
      <c r="AG167" s="204"/>
      <c r="AH167" s="204"/>
      <c r="AI167" s="204"/>
      <c r="AJ167" s="204"/>
      <c r="AK167" s="204"/>
      <c r="AL167" s="204"/>
      <c r="AM167" s="204"/>
      <c r="AN167" s="204"/>
      <c r="AO167" s="204"/>
      <c r="AP167" s="204"/>
      <c r="AQ167" s="204"/>
      <c r="AR167" s="204"/>
      <c r="AS167" s="204"/>
      <c r="AT167" s="204"/>
      <c r="AU167" s="204"/>
    </row>
    <row r="168" spans="1:47" outlineLevel="1">
      <c r="A168" s="12"/>
      <c r="B168" s="12"/>
      <c r="C168" s="12"/>
      <c r="D168" s="12"/>
      <c r="E168" s="12"/>
      <c r="F168" s="311">
        <f>Asset26</f>
        <v>0</v>
      </c>
      <c r="G168" s="310"/>
      <c r="H168" s="66"/>
      <c r="I168" s="66"/>
      <c r="J168" s="66"/>
      <c r="K168" s="66"/>
      <c r="L168" s="66"/>
      <c r="M168" s="202"/>
      <c r="N168" s="203"/>
      <c r="O168" s="203"/>
      <c r="P168" s="203"/>
      <c r="Q168" s="203"/>
      <c r="R168" s="36"/>
      <c r="S168" s="36"/>
      <c r="T168" s="36"/>
      <c r="U168" s="36"/>
      <c r="V168" s="36"/>
      <c r="W168" s="36"/>
      <c r="X168" s="36"/>
      <c r="Y168" s="8"/>
      <c r="Z168" s="8"/>
      <c r="AA168" s="42"/>
      <c r="AB168" s="9"/>
      <c r="AC168" s="9"/>
      <c r="AD168" s="9"/>
      <c r="AE168" s="204"/>
      <c r="AF168" s="204"/>
      <c r="AG168" s="204"/>
      <c r="AH168" s="204"/>
      <c r="AI168" s="204"/>
      <c r="AJ168" s="204"/>
      <c r="AK168" s="204"/>
      <c r="AL168" s="204"/>
      <c r="AM168" s="204"/>
      <c r="AN168" s="204"/>
      <c r="AO168" s="204"/>
      <c r="AP168" s="204"/>
      <c r="AQ168" s="204"/>
      <c r="AR168" s="204"/>
      <c r="AS168" s="204"/>
      <c r="AT168" s="204"/>
      <c r="AU168" s="204"/>
    </row>
    <row r="169" spans="1:47" outlineLevel="1">
      <c r="A169" s="12"/>
      <c r="B169" s="12"/>
      <c r="C169" s="12"/>
      <c r="D169" s="12"/>
      <c r="E169" s="12"/>
      <c r="F169" s="311">
        <f>Asset27</f>
        <v>0</v>
      </c>
      <c r="G169" s="310"/>
      <c r="H169" s="66"/>
      <c r="I169" s="66"/>
      <c r="J169" s="66"/>
      <c r="K169" s="66"/>
      <c r="L169" s="66"/>
      <c r="M169" s="202"/>
      <c r="N169" s="203"/>
      <c r="O169" s="203"/>
      <c r="P169" s="203"/>
      <c r="Q169" s="203"/>
      <c r="R169" s="36"/>
      <c r="S169" s="36"/>
      <c r="T169" s="36"/>
      <c r="U169" s="36"/>
      <c r="V169" s="36"/>
      <c r="W169" s="36"/>
      <c r="X169" s="36"/>
      <c r="Y169" s="8"/>
      <c r="Z169" s="8"/>
      <c r="AA169" s="42"/>
      <c r="AB169" s="9"/>
      <c r="AC169" s="9"/>
      <c r="AD169" s="9"/>
      <c r="AE169" s="204"/>
      <c r="AF169" s="204"/>
      <c r="AG169" s="204"/>
      <c r="AH169" s="204"/>
      <c r="AI169" s="204"/>
      <c r="AJ169" s="204"/>
      <c r="AK169" s="204"/>
      <c r="AL169" s="204"/>
      <c r="AM169" s="204"/>
      <c r="AN169" s="204"/>
      <c r="AO169" s="204"/>
      <c r="AP169" s="204"/>
      <c r="AQ169" s="204"/>
      <c r="AR169" s="204"/>
      <c r="AS169" s="204"/>
      <c r="AT169" s="204"/>
      <c r="AU169" s="204"/>
    </row>
    <row r="170" spans="1:47" outlineLevel="1">
      <c r="A170" s="12"/>
      <c r="B170" s="12"/>
      <c r="C170" s="12"/>
      <c r="D170" s="12"/>
      <c r="E170" s="12"/>
      <c r="F170" s="311">
        <f>Asset28</f>
        <v>0</v>
      </c>
      <c r="G170" s="310"/>
      <c r="H170" s="66"/>
      <c r="I170" s="66"/>
      <c r="J170" s="66"/>
      <c r="K170" s="66"/>
      <c r="L170" s="66"/>
      <c r="M170" s="202"/>
      <c r="N170" s="203"/>
      <c r="O170" s="203"/>
      <c r="P170" s="203"/>
      <c r="Q170" s="203"/>
      <c r="R170" s="36"/>
      <c r="S170" s="36"/>
      <c r="T170" s="36"/>
      <c r="U170" s="36"/>
      <c r="V170" s="36"/>
      <c r="W170" s="36"/>
      <c r="X170" s="36"/>
      <c r="Y170" s="8"/>
      <c r="Z170" s="8"/>
      <c r="AA170" s="42"/>
      <c r="AB170" s="9"/>
      <c r="AC170" s="9"/>
      <c r="AD170" s="9"/>
      <c r="AE170" s="204"/>
      <c r="AF170" s="204"/>
      <c r="AG170" s="204"/>
      <c r="AH170" s="204"/>
      <c r="AI170" s="204"/>
      <c r="AJ170" s="204"/>
      <c r="AK170" s="204"/>
      <c r="AL170" s="204"/>
      <c r="AM170" s="204"/>
      <c r="AN170" s="204"/>
      <c r="AO170" s="204"/>
      <c r="AP170" s="204"/>
      <c r="AQ170" s="204"/>
      <c r="AR170" s="204"/>
      <c r="AS170" s="204"/>
      <c r="AT170" s="204"/>
      <c r="AU170" s="204"/>
    </row>
    <row r="171" spans="1:47" outlineLevel="1">
      <c r="A171" s="12"/>
      <c r="B171" s="12"/>
      <c r="C171" s="12"/>
      <c r="D171" s="12"/>
      <c r="E171" s="12"/>
      <c r="F171" s="311">
        <f>Asset29</f>
        <v>0</v>
      </c>
      <c r="G171" s="310"/>
      <c r="H171" s="66"/>
      <c r="I171" s="66"/>
      <c r="J171" s="66"/>
      <c r="K171" s="66"/>
      <c r="L171" s="66"/>
      <c r="M171" s="202"/>
      <c r="N171" s="203"/>
      <c r="O171" s="203"/>
      <c r="P171" s="203"/>
      <c r="Q171" s="203"/>
      <c r="R171" s="36"/>
      <c r="S171" s="36"/>
      <c r="T171" s="36"/>
      <c r="U171" s="36"/>
      <c r="V171" s="36"/>
      <c r="W171" s="36"/>
      <c r="X171" s="36"/>
      <c r="Y171" s="8"/>
      <c r="Z171" s="8"/>
      <c r="AA171" s="42"/>
      <c r="AB171" s="9"/>
      <c r="AC171" s="9"/>
      <c r="AD171" s="9"/>
      <c r="AE171" s="204"/>
      <c r="AF171" s="204"/>
      <c r="AG171" s="204"/>
      <c r="AH171" s="204"/>
      <c r="AI171" s="204"/>
      <c r="AJ171" s="204"/>
      <c r="AK171" s="204"/>
      <c r="AL171" s="204"/>
      <c r="AM171" s="204"/>
      <c r="AN171" s="204"/>
      <c r="AO171" s="204"/>
      <c r="AP171" s="204"/>
      <c r="AQ171" s="204"/>
      <c r="AR171" s="204"/>
      <c r="AS171" s="204"/>
      <c r="AT171" s="204"/>
      <c r="AU171" s="204"/>
    </row>
    <row r="172" spans="1:47" outlineLevel="1">
      <c r="A172" s="12"/>
      <c r="B172" s="12"/>
      <c r="C172" s="12"/>
      <c r="D172" s="12"/>
      <c r="E172" s="12"/>
      <c r="F172" s="311">
        <f>Asset30</f>
        <v>0</v>
      </c>
      <c r="G172" s="310"/>
      <c r="H172" s="66"/>
      <c r="I172" s="66"/>
      <c r="J172" s="66"/>
      <c r="K172" s="66"/>
      <c r="L172" s="66"/>
      <c r="M172" s="202"/>
      <c r="N172" s="203"/>
      <c r="O172" s="203"/>
      <c r="P172" s="203"/>
      <c r="Q172" s="203"/>
      <c r="R172" s="36"/>
      <c r="S172" s="36"/>
      <c r="T172" s="36"/>
      <c r="U172" s="36"/>
      <c r="V172" s="36"/>
      <c r="W172" s="36"/>
      <c r="X172" s="36"/>
      <c r="Y172" s="8"/>
      <c r="Z172" s="8"/>
      <c r="AA172" s="42"/>
      <c r="AB172" s="9"/>
      <c r="AC172" s="9"/>
      <c r="AD172" s="9"/>
      <c r="AE172" s="204"/>
      <c r="AF172" s="204"/>
      <c r="AG172" s="204"/>
      <c r="AH172" s="204"/>
      <c r="AI172" s="204"/>
      <c r="AJ172" s="204"/>
      <c r="AK172" s="204"/>
      <c r="AL172" s="204"/>
      <c r="AM172" s="204"/>
      <c r="AN172" s="204"/>
      <c r="AO172" s="204"/>
      <c r="AP172" s="204"/>
      <c r="AQ172" s="204"/>
      <c r="AR172" s="204"/>
      <c r="AS172" s="204"/>
      <c r="AT172" s="204"/>
      <c r="AU172" s="204"/>
    </row>
    <row r="173" spans="1:47">
      <c r="A173" s="12"/>
      <c r="B173" s="12"/>
      <c r="C173" s="12"/>
      <c r="D173" s="12"/>
      <c r="E173" s="12"/>
      <c r="F173" s="177" t="s">
        <v>19</v>
      </c>
      <c r="G173" s="316">
        <f>SUM(G143:G172)</f>
        <v>66.989000000000004</v>
      </c>
      <c r="H173" s="316">
        <f t="shared" ref="H173:Q173" si="41">SUM(H143:H172)</f>
        <v>50.294350244027697</v>
      </c>
      <c r="I173" s="316">
        <f t="shared" si="41"/>
        <v>222.17800000000003</v>
      </c>
      <c r="J173" s="316">
        <f t="shared" si="41"/>
        <v>105.301</v>
      </c>
      <c r="K173" s="316">
        <f t="shared" si="41"/>
        <v>87.448000000000008</v>
      </c>
      <c r="L173" s="316">
        <f t="shared" si="41"/>
        <v>118.73933353238878</v>
      </c>
      <c r="M173" s="316">
        <f>SUM(M143:M172)</f>
        <v>0</v>
      </c>
      <c r="N173" s="316">
        <f>SUM(N143:N172)</f>
        <v>0</v>
      </c>
      <c r="O173" s="316">
        <f t="shared" si="41"/>
        <v>0</v>
      </c>
      <c r="P173" s="316">
        <f t="shared" si="41"/>
        <v>0</v>
      </c>
      <c r="Q173" s="316">
        <f t="shared" si="41"/>
        <v>0</v>
      </c>
      <c r="R173" s="36"/>
      <c r="S173" s="36"/>
      <c r="T173" s="36"/>
      <c r="U173" s="36"/>
      <c r="V173" s="36"/>
      <c r="W173" s="36"/>
      <c r="X173" s="36"/>
      <c r="Y173" s="8"/>
      <c r="Z173" s="8"/>
      <c r="AA173" s="42"/>
      <c r="AB173" s="9"/>
      <c r="AC173" s="9"/>
      <c r="AD173" s="9"/>
      <c r="AE173" s="204"/>
      <c r="AF173" s="204"/>
      <c r="AG173" s="204"/>
      <c r="AH173" s="204"/>
      <c r="AI173" s="204"/>
      <c r="AJ173" s="204"/>
      <c r="AK173" s="204"/>
      <c r="AL173" s="204"/>
      <c r="AM173" s="204"/>
      <c r="AN173" s="204"/>
      <c r="AO173" s="204"/>
      <c r="AP173" s="204"/>
      <c r="AQ173" s="204"/>
      <c r="AR173" s="204"/>
      <c r="AS173" s="204"/>
      <c r="AT173" s="204"/>
      <c r="AU173" s="204"/>
    </row>
    <row r="174" spans="1:47" ht="21" customHeight="1">
      <c r="A174" s="12"/>
      <c r="B174" s="12"/>
      <c r="C174" s="12"/>
      <c r="D174" s="12"/>
      <c r="E174" s="12"/>
      <c r="F174" s="38"/>
      <c r="G174" s="62"/>
      <c r="H174" s="62"/>
      <c r="I174" s="62"/>
      <c r="J174" s="62"/>
      <c r="K174" s="62"/>
      <c r="L174" s="62"/>
      <c r="M174" s="62"/>
      <c r="N174" s="36"/>
      <c r="O174" s="36"/>
      <c r="P174" s="36"/>
      <c r="Q174" s="36"/>
      <c r="R174" s="251">
        <f>SUM(G173:Q173)</f>
        <v>650.94968377641646</v>
      </c>
      <c r="S174" s="36"/>
      <c r="T174" s="36"/>
      <c r="U174" s="36"/>
      <c r="V174" s="36"/>
      <c r="W174" s="36"/>
      <c r="X174" s="36"/>
      <c r="Y174" s="8"/>
      <c r="Z174" s="8"/>
      <c r="AA174" s="42"/>
      <c r="AB174" s="9"/>
      <c r="AC174" s="9"/>
      <c r="AD174" s="9"/>
      <c r="AE174" s="204"/>
      <c r="AF174" s="204"/>
      <c r="AG174" s="204"/>
      <c r="AH174" s="204"/>
      <c r="AI174" s="204"/>
      <c r="AJ174" s="204"/>
      <c r="AK174" s="204"/>
      <c r="AL174" s="204"/>
      <c r="AM174" s="204"/>
      <c r="AN174" s="204"/>
      <c r="AO174" s="204"/>
      <c r="AP174" s="204"/>
      <c r="AQ174" s="204"/>
      <c r="AR174" s="204"/>
      <c r="AS174" s="204"/>
      <c r="AT174" s="204"/>
      <c r="AU174" s="204"/>
    </row>
    <row r="175" spans="1:47">
      <c r="A175" s="78"/>
      <c r="B175" s="78"/>
      <c r="C175" s="78"/>
      <c r="D175" s="78"/>
      <c r="E175" s="78"/>
      <c r="F175" s="382" t="s">
        <v>61</v>
      </c>
      <c r="G175" s="382"/>
      <c r="H175" s="382"/>
      <c r="I175" s="170"/>
      <c r="J175" s="170"/>
      <c r="K175" s="170"/>
      <c r="L175" s="170"/>
      <c r="M175" s="170"/>
      <c r="N175" s="171"/>
      <c r="O175" s="171"/>
      <c r="P175" s="171"/>
      <c r="Q175" s="171"/>
      <c r="R175" s="171"/>
      <c r="S175" s="171"/>
      <c r="T175" s="171"/>
      <c r="U175" s="171"/>
      <c r="V175" s="171"/>
      <c r="W175" s="171"/>
      <c r="X175" s="36"/>
      <c r="Y175" s="8"/>
      <c r="Z175" s="8"/>
      <c r="AA175" s="42"/>
      <c r="AB175" s="9"/>
      <c r="AC175" s="9"/>
      <c r="AD175" s="9"/>
      <c r="AE175" s="204"/>
      <c r="AF175" s="204"/>
      <c r="AG175" s="204"/>
      <c r="AH175" s="204"/>
      <c r="AI175" s="204"/>
      <c r="AJ175" s="204"/>
      <c r="AK175" s="204"/>
      <c r="AL175" s="204"/>
      <c r="AM175" s="204"/>
      <c r="AN175" s="204"/>
      <c r="AO175" s="204"/>
      <c r="AP175" s="204"/>
      <c r="AQ175" s="204"/>
      <c r="AR175" s="204"/>
      <c r="AS175" s="204"/>
      <c r="AT175" s="204"/>
      <c r="AU175" s="204"/>
    </row>
    <row r="176" spans="1:47">
      <c r="A176" s="12"/>
      <c r="B176" s="12"/>
      <c r="C176" s="12"/>
      <c r="D176" s="12"/>
      <c r="E176" s="12"/>
      <c r="F176" s="37" t="s">
        <v>3</v>
      </c>
      <c r="G176" s="249" t="str">
        <f>G40</f>
        <v>2008-09</v>
      </c>
      <c r="H176" s="249" t="str">
        <f t="shared" ref="H176:Q176" si="42">H40</f>
        <v>2009-10</v>
      </c>
      <c r="I176" s="249" t="str">
        <f t="shared" si="42"/>
        <v>2010-11</v>
      </c>
      <c r="J176" s="249" t="str">
        <f t="shared" si="42"/>
        <v>2011-12</v>
      </c>
      <c r="K176" s="249" t="str">
        <f t="shared" si="42"/>
        <v>2012-13</v>
      </c>
      <c r="L176" s="249" t="str">
        <f t="shared" si="42"/>
        <v>2013-14</v>
      </c>
      <c r="M176" s="249" t="str">
        <f t="shared" si="42"/>
        <v>2014-15</v>
      </c>
      <c r="N176" s="249" t="str">
        <f t="shared" si="42"/>
        <v>2015-16</v>
      </c>
      <c r="O176" s="249" t="str">
        <f t="shared" si="42"/>
        <v>2016-17</v>
      </c>
      <c r="P176" s="249" t="str">
        <f t="shared" si="42"/>
        <v>2017-18</v>
      </c>
      <c r="Q176" s="249" t="str">
        <f t="shared" si="42"/>
        <v>2018-19</v>
      </c>
      <c r="R176" s="36"/>
      <c r="S176" s="36"/>
      <c r="T176" s="36"/>
      <c r="U176" s="36"/>
      <c r="V176" s="36"/>
      <c r="W176" s="36"/>
      <c r="X176" s="36"/>
      <c r="Y176" s="8"/>
      <c r="Z176" s="8"/>
      <c r="AA176" s="42"/>
      <c r="AB176" s="9"/>
      <c r="AC176" s="9"/>
      <c r="AD176" s="9"/>
      <c r="AE176" s="204"/>
      <c r="AF176" s="204"/>
      <c r="AG176" s="204"/>
      <c r="AH176" s="204"/>
      <c r="AI176" s="204"/>
      <c r="AJ176" s="204"/>
      <c r="AK176" s="204"/>
      <c r="AL176" s="204"/>
      <c r="AM176" s="204"/>
      <c r="AN176" s="204"/>
      <c r="AO176" s="204"/>
      <c r="AP176" s="204"/>
      <c r="AQ176" s="204"/>
      <c r="AR176" s="204"/>
      <c r="AS176" s="204"/>
      <c r="AT176" s="204"/>
      <c r="AU176" s="204"/>
    </row>
    <row r="177" spans="1:47" ht="12.75" customHeight="1" outlineLevel="1">
      <c r="A177" s="12"/>
      <c r="B177" s="12"/>
      <c r="C177" s="12"/>
      <c r="D177" s="12"/>
      <c r="E177" s="12"/>
      <c r="F177" s="177" t="str">
        <f>Asset1</f>
        <v>Transmission Lines and Cables</v>
      </c>
      <c r="G177" s="166">
        <v>0</v>
      </c>
      <c r="H177" s="65"/>
      <c r="I177" s="65"/>
      <c r="J177" s="65"/>
      <c r="K177" s="65">
        <v>0.223</v>
      </c>
      <c r="L177" s="65"/>
      <c r="M177" s="200"/>
      <c r="N177" s="201"/>
      <c r="O177" s="201"/>
      <c r="P177" s="201"/>
      <c r="Q177" s="201"/>
      <c r="R177" s="36"/>
      <c r="S177" s="36"/>
      <c r="T177" s="36"/>
      <c r="U177" s="36"/>
      <c r="V177" s="36"/>
      <c r="W177" s="36"/>
      <c r="X177" s="36"/>
      <c r="Y177" s="8"/>
      <c r="Z177" s="8"/>
      <c r="AA177" s="42"/>
      <c r="AB177" s="9"/>
      <c r="AC177" s="9"/>
      <c r="AD177" s="9"/>
      <c r="AE177" s="204"/>
      <c r="AF177" s="204"/>
      <c r="AG177" s="204"/>
      <c r="AH177" s="204"/>
      <c r="AI177" s="204"/>
      <c r="AJ177" s="204"/>
      <c r="AK177" s="204"/>
      <c r="AL177" s="204"/>
      <c r="AM177" s="204"/>
      <c r="AN177" s="204"/>
      <c r="AO177" s="204"/>
      <c r="AP177" s="204"/>
      <c r="AQ177" s="204"/>
      <c r="AR177" s="204"/>
      <c r="AS177" s="204"/>
      <c r="AT177" s="204"/>
      <c r="AU177" s="204"/>
    </row>
    <row r="178" spans="1:47" ht="12.75" customHeight="1" outlineLevel="1">
      <c r="A178" s="12"/>
      <c r="B178" s="12"/>
      <c r="C178" s="12"/>
      <c r="D178" s="12"/>
      <c r="E178" s="12"/>
      <c r="F178" s="177" t="str">
        <f>Asset2</f>
        <v>Transmission Substations</v>
      </c>
      <c r="G178" s="167">
        <v>7.6000000000000068E-2</v>
      </c>
      <c r="H178" s="66"/>
      <c r="I178" s="66">
        <v>0.53100000000000003</v>
      </c>
      <c r="J178" s="66"/>
      <c r="K178" s="66"/>
      <c r="L178" s="66"/>
      <c r="M178" s="202"/>
      <c r="N178" s="203"/>
      <c r="O178" s="203"/>
      <c r="P178" s="203"/>
      <c r="Q178" s="203"/>
      <c r="R178" s="36"/>
      <c r="S178" s="36"/>
      <c r="T178" s="36"/>
      <c r="U178" s="36"/>
      <c r="V178" s="36"/>
      <c r="W178" s="36"/>
      <c r="X178" s="36"/>
      <c r="Y178" s="8"/>
      <c r="Z178" s="8"/>
      <c r="AA178" s="42"/>
      <c r="AB178" s="9"/>
      <c r="AC178" s="9"/>
      <c r="AD178" s="9"/>
      <c r="AE178" s="204"/>
      <c r="AF178" s="204"/>
      <c r="AG178" s="204"/>
      <c r="AH178" s="204"/>
      <c r="AI178" s="204"/>
      <c r="AJ178" s="204"/>
      <c r="AK178" s="204"/>
      <c r="AL178" s="204"/>
      <c r="AM178" s="204"/>
      <c r="AN178" s="204"/>
      <c r="AO178" s="204"/>
      <c r="AP178" s="204"/>
      <c r="AQ178" s="204"/>
      <c r="AR178" s="204"/>
      <c r="AS178" s="204"/>
      <c r="AT178" s="204"/>
      <c r="AU178" s="204"/>
    </row>
    <row r="179" spans="1:47" ht="12.75" customHeight="1" outlineLevel="1">
      <c r="A179" s="12"/>
      <c r="B179" s="12"/>
      <c r="C179" s="12"/>
      <c r="D179" s="12"/>
      <c r="E179" s="12"/>
      <c r="F179" s="177" t="str">
        <f>Asset3</f>
        <v>Protection and Control</v>
      </c>
      <c r="G179" s="167">
        <v>0</v>
      </c>
      <c r="H179" s="66"/>
      <c r="I179" s="66">
        <v>4.4000000000000011E-2</v>
      </c>
      <c r="J179" s="66"/>
      <c r="K179" s="66"/>
      <c r="L179" s="66"/>
      <c r="M179" s="202"/>
      <c r="N179" s="203"/>
      <c r="O179" s="203"/>
      <c r="P179" s="203"/>
      <c r="Q179" s="203"/>
      <c r="R179" s="36"/>
      <c r="S179" s="36"/>
      <c r="T179" s="36"/>
      <c r="U179" s="36"/>
      <c r="V179" s="36"/>
      <c r="W179" s="36"/>
      <c r="X179" s="36"/>
      <c r="Y179" s="8"/>
      <c r="Z179" s="8"/>
      <c r="AA179" s="42"/>
      <c r="AB179" s="9"/>
      <c r="AC179" s="9"/>
      <c r="AD179" s="9"/>
      <c r="AE179" s="204"/>
      <c r="AF179" s="204"/>
      <c r="AG179" s="204"/>
      <c r="AH179" s="204"/>
      <c r="AI179" s="204"/>
      <c r="AJ179" s="204"/>
      <c r="AK179" s="204"/>
      <c r="AL179" s="204"/>
      <c r="AM179" s="204"/>
      <c r="AN179" s="204"/>
      <c r="AO179" s="204"/>
      <c r="AP179" s="204"/>
      <c r="AQ179" s="204"/>
      <c r="AR179" s="204"/>
      <c r="AS179" s="204"/>
      <c r="AT179" s="204"/>
      <c r="AU179" s="204"/>
    </row>
    <row r="180" spans="1:47" ht="12.75" customHeight="1" outlineLevel="1">
      <c r="A180" s="12"/>
      <c r="B180" s="12"/>
      <c r="C180" s="12"/>
      <c r="D180" s="12"/>
      <c r="E180" s="12"/>
      <c r="F180" s="177" t="str">
        <f>Asset4</f>
        <v>Refurbishment</v>
      </c>
      <c r="G180" s="167">
        <v>0</v>
      </c>
      <c r="H180" s="66"/>
      <c r="I180" s="66"/>
      <c r="J180" s="66"/>
      <c r="K180" s="66"/>
      <c r="L180" s="66"/>
      <c r="M180" s="202"/>
      <c r="N180" s="203"/>
      <c r="O180" s="203"/>
      <c r="P180" s="203"/>
      <c r="Q180" s="203"/>
      <c r="R180" s="36"/>
      <c r="S180" s="36"/>
      <c r="T180" s="36"/>
      <c r="U180" s="36"/>
      <c r="V180" s="36"/>
      <c r="W180" s="36"/>
      <c r="X180" s="36"/>
      <c r="Y180" s="8"/>
      <c r="Z180" s="8"/>
      <c r="AA180" s="42"/>
      <c r="AB180" s="9"/>
      <c r="AC180" s="9"/>
      <c r="AD180" s="9"/>
      <c r="AE180" s="204"/>
      <c r="AF180" s="204"/>
      <c r="AG180" s="204"/>
      <c r="AH180" s="204"/>
      <c r="AI180" s="204"/>
      <c r="AJ180" s="204"/>
      <c r="AK180" s="204"/>
      <c r="AL180" s="204"/>
      <c r="AM180" s="204"/>
      <c r="AN180" s="204"/>
      <c r="AO180" s="204"/>
      <c r="AP180" s="204"/>
      <c r="AQ180" s="204"/>
      <c r="AR180" s="204"/>
      <c r="AS180" s="204"/>
      <c r="AT180" s="204"/>
      <c r="AU180" s="204"/>
    </row>
    <row r="181" spans="1:47" ht="12.75" customHeight="1" outlineLevel="1">
      <c r="A181" s="12"/>
      <c r="B181" s="12"/>
      <c r="C181" s="12"/>
      <c r="D181" s="12"/>
      <c r="E181" s="12"/>
      <c r="F181" s="177" t="str">
        <f>Asset5</f>
        <v>Other</v>
      </c>
      <c r="G181" s="167">
        <v>4.9999999999999975E-3</v>
      </c>
      <c r="H181" s="66"/>
      <c r="I181" s="66"/>
      <c r="J181" s="66"/>
      <c r="K181" s="66"/>
      <c r="L181" s="66"/>
      <c r="M181" s="202"/>
      <c r="N181" s="203"/>
      <c r="O181" s="203"/>
      <c r="P181" s="203"/>
      <c r="Q181" s="203"/>
      <c r="R181" s="36"/>
      <c r="S181" s="36"/>
      <c r="T181" s="36"/>
      <c r="U181" s="36"/>
      <c r="V181" s="36"/>
      <c r="W181" s="36"/>
      <c r="X181" s="36"/>
      <c r="Y181" s="8"/>
      <c r="Z181" s="8"/>
      <c r="AA181" s="42"/>
      <c r="AB181" s="9"/>
      <c r="AC181" s="9"/>
      <c r="AD181" s="9"/>
      <c r="AE181" s="204"/>
      <c r="AF181" s="204"/>
      <c r="AG181" s="204"/>
      <c r="AH181" s="204"/>
      <c r="AI181" s="204"/>
      <c r="AJ181" s="204"/>
      <c r="AK181" s="204"/>
      <c r="AL181" s="204"/>
      <c r="AM181" s="204"/>
      <c r="AN181" s="204"/>
      <c r="AO181" s="204"/>
      <c r="AP181" s="204"/>
      <c r="AQ181" s="204"/>
      <c r="AR181" s="204"/>
      <c r="AS181" s="204"/>
      <c r="AT181" s="204"/>
      <c r="AU181" s="204"/>
    </row>
    <row r="182" spans="1:47" ht="12.75" customHeight="1" outlineLevel="1">
      <c r="A182" s="12"/>
      <c r="B182" s="12"/>
      <c r="C182" s="12"/>
      <c r="D182" s="12"/>
      <c r="E182" s="12"/>
      <c r="F182" s="177" t="str">
        <f>Asset6</f>
        <v>Other - IT</v>
      </c>
      <c r="G182" s="167">
        <v>1.0000000000000009E-3</v>
      </c>
      <c r="H182" s="66"/>
      <c r="I182" s="66">
        <v>5.0000000000000001E-3</v>
      </c>
      <c r="J182" s="66"/>
      <c r="K182" s="66"/>
      <c r="L182" s="66"/>
      <c r="M182" s="202"/>
      <c r="N182" s="203"/>
      <c r="O182" s="203"/>
      <c r="P182" s="203"/>
      <c r="Q182" s="203"/>
      <c r="R182" s="36"/>
      <c r="S182" s="36"/>
      <c r="T182" s="36"/>
      <c r="U182" s="36"/>
      <c r="V182" s="36"/>
      <c r="W182" s="36"/>
      <c r="X182" s="36"/>
      <c r="Y182" s="8"/>
      <c r="Z182" s="8"/>
      <c r="AA182" s="42"/>
      <c r="AB182" s="9"/>
      <c r="AC182" s="9"/>
      <c r="AD182" s="9"/>
      <c r="AE182" s="204"/>
      <c r="AF182" s="204"/>
      <c r="AG182" s="204"/>
      <c r="AH182" s="204"/>
      <c r="AI182" s="204"/>
      <c r="AJ182" s="204"/>
      <c r="AK182" s="204"/>
      <c r="AL182" s="204"/>
      <c r="AM182" s="204"/>
      <c r="AN182" s="204"/>
      <c r="AO182" s="204"/>
      <c r="AP182" s="204"/>
      <c r="AQ182" s="204"/>
      <c r="AR182" s="204"/>
      <c r="AS182" s="204"/>
      <c r="AT182" s="204"/>
      <c r="AU182" s="204"/>
    </row>
    <row r="183" spans="1:47" ht="12.75" customHeight="1" outlineLevel="1">
      <c r="A183" s="12"/>
      <c r="B183" s="12"/>
      <c r="C183" s="12"/>
      <c r="D183" s="12"/>
      <c r="E183" s="12"/>
      <c r="F183" s="177" t="str">
        <f>Asset7</f>
        <v>Other - General</v>
      </c>
      <c r="G183" s="167">
        <v>0.34000000000000008</v>
      </c>
      <c r="H183" s="66"/>
      <c r="I183" s="66"/>
      <c r="J183" s="66"/>
      <c r="K183" s="66"/>
      <c r="L183" s="66"/>
      <c r="M183" s="202"/>
      <c r="N183" s="203"/>
      <c r="O183" s="203"/>
      <c r="P183" s="203"/>
      <c r="Q183" s="203"/>
      <c r="R183" s="36"/>
      <c r="S183" s="36"/>
      <c r="T183" s="36"/>
      <c r="U183" s="36"/>
      <c r="V183" s="36"/>
      <c r="W183" s="36"/>
      <c r="X183" s="36"/>
      <c r="Y183" s="8"/>
      <c r="Z183" s="8"/>
      <c r="AA183" s="42"/>
      <c r="AB183" s="9"/>
      <c r="AC183" s="9"/>
      <c r="AD183" s="9"/>
      <c r="AE183" s="204"/>
      <c r="AF183" s="204"/>
      <c r="AG183" s="204"/>
      <c r="AH183" s="204"/>
      <c r="AI183" s="204"/>
      <c r="AJ183" s="204"/>
      <c r="AK183" s="204"/>
      <c r="AL183" s="204"/>
      <c r="AM183" s="204"/>
      <c r="AN183" s="204"/>
      <c r="AO183" s="204"/>
      <c r="AP183" s="204"/>
      <c r="AQ183" s="204"/>
      <c r="AR183" s="204"/>
      <c r="AS183" s="204"/>
      <c r="AT183" s="204"/>
      <c r="AU183" s="204"/>
    </row>
    <row r="184" spans="1:47" ht="12.75" customHeight="1" outlineLevel="1">
      <c r="A184" s="12"/>
      <c r="B184" s="12"/>
      <c r="C184" s="12"/>
      <c r="D184" s="12"/>
      <c r="E184" s="12"/>
      <c r="F184" s="177" t="str">
        <f>Asset8</f>
        <v>Other - Buildings</v>
      </c>
      <c r="G184" s="167">
        <v>0</v>
      </c>
      <c r="H184" s="66"/>
      <c r="I184" s="66"/>
      <c r="J184" s="66"/>
      <c r="K184" s="66"/>
      <c r="L184" s="66"/>
      <c r="M184" s="202"/>
      <c r="N184" s="203"/>
      <c r="O184" s="203"/>
      <c r="P184" s="203"/>
      <c r="Q184" s="203"/>
      <c r="R184" s="36"/>
      <c r="S184" s="36"/>
      <c r="T184" s="36"/>
      <c r="U184" s="36"/>
      <c r="V184" s="36"/>
      <c r="W184" s="36"/>
      <c r="X184" s="36"/>
      <c r="Y184" s="8"/>
      <c r="Z184" s="8"/>
      <c r="AA184" s="42"/>
      <c r="AB184" s="9"/>
      <c r="AC184" s="9"/>
      <c r="AD184" s="9"/>
      <c r="AE184" s="204"/>
      <c r="AF184" s="204"/>
      <c r="AG184" s="204"/>
      <c r="AH184" s="204"/>
      <c r="AI184" s="204"/>
      <c r="AJ184" s="204"/>
      <c r="AK184" s="204"/>
      <c r="AL184" s="204"/>
      <c r="AM184" s="204"/>
      <c r="AN184" s="204"/>
      <c r="AO184" s="204"/>
      <c r="AP184" s="204"/>
      <c r="AQ184" s="204"/>
      <c r="AR184" s="204"/>
      <c r="AS184" s="204"/>
      <c r="AT184" s="204"/>
      <c r="AU184" s="204"/>
    </row>
    <row r="185" spans="1:47" ht="12.75" customHeight="1" outlineLevel="1">
      <c r="A185" s="12"/>
      <c r="B185" s="12"/>
      <c r="C185" s="12"/>
      <c r="D185" s="12"/>
      <c r="E185" s="12"/>
      <c r="F185" s="177" t="str">
        <f>Asset9</f>
        <v>Land and Easements</v>
      </c>
      <c r="G185" s="167">
        <v>0</v>
      </c>
      <c r="H185" s="66"/>
      <c r="I185" s="66"/>
      <c r="J185" s="66"/>
      <c r="K185" s="66"/>
      <c r="L185" s="66"/>
      <c r="M185" s="202"/>
      <c r="N185" s="203"/>
      <c r="O185" s="203"/>
      <c r="P185" s="203"/>
      <c r="Q185" s="203"/>
      <c r="R185" s="36"/>
      <c r="S185" s="36"/>
      <c r="T185" s="36"/>
      <c r="U185" s="36"/>
      <c r="V185" s="36"/>
      <c r="W185" s="36"/>
      <c r="X185" s="36"/>
      <c r="Y185" s="8"/>
      <c r="Z185" s="8"/>
      <c r="AA185" s="42"/>
      <c r="AB185" s="9"/>
      <c r="AC185" s="9"/>
      <c r="AD185" s="9"/>
      <c r="AE185" s="204"/>
      <c r="AF185" s="204"/>
      <c r="AG185" s="204"/>
      <c r="AH185" s="204"/>
      <c r="AI185" s="204"/>
      <c r="AJ185" s="204"/>
      <c r="AK185" s="204"/>
      <c r="AL185" s="204"/>
      <c r="AM185" s="204"/>
      <c r="AN185" s="204"/>
      <c r="AO185" s="204"/>
      <c r="AP185" s="204"/>
      <c r="AQ185" s="204"/>
      <c r="AR185" s="204"/>
      <c r="AS185" s="204"/>
      <c r="AT185" s="204"/>
      <c r="AU185" s="204"/>
    </row>
    <row r="186" spans="1:47" ht="12.75" customHeight="1" outlineLevel="1">
      <c r="A186" s="12"/>
      <c r="B186" s="12"/>
      <c r="C186" s="12"/>
      <c r="D186" s="12"/>
      <c r="E186" s="12"/>
      <c r="F186" s="177" t="str">
        <f>Asset10</f>
        <v>Transmission line assets - long life (60)</v>
      </c>
      <c r="G186" s="167"/>
      <c r="H186" s="66"/>
      <c r="I186" s="66"/>
      <c r="J186" s="66"/>
      <c r="K186" s="66"/>
      <c r="L186" s="66"/>
      <c r="M186" s="202"/>
      <c r="N186" s="203"/>
      <c r="O186" s="203"/>
      <c r="P186" s="203"/>
      <c r="Q186" s="203"/>
      <c r="R186" s="36"/>
      <c r="S186" s="36"/>
      <c r="T186" s="36"/>
      <c r="U186" s="36"/>
      <c r="V186" s="36"/>
      <c r="W186" s="36"/>
      <c r="X186" s="36"/>
      <c r="Y186" s="8"/>
      <c r="Z186" s="8"/>
      <c r="AA186" s="42"/>
      <c r="AB186" s="9"/>
      <c r="AC186" s="9"/>
      <c r="AD186" s="9"/>
      <c r="AE186" s="204"/>
      <c r="AF186" s="204"/>
      <c r="AG186" s="204"/>
      <c r="AH186" s="204"/>
      <c r="AI186" s="204"/>
      <c r="AJ186" s="204"/>
      <c r="AK186" s="204"/>
      <c r="AL186" s="204"/>
      <c r="AM186" s="204"/>
      <c r="AN186" s="204"/>
      <c r="AO186" s="204"/>
      <c r="AP186" s="204"/>
      <c r="AQ186" s="204"/>
      <c r="AR186" s="204"/>
      <c r="AS186" s="204"/>
      <c r="AT186" s="204"/>
      <c r="AU186" s="204"/>
    </row>
    <row r="187" spans="1:47" ht="12.75" customHeight="1" outlineLevel="1">
      <c r="A187" s="12"/>
      <c r="B187" s="12"/>
      <c r="C187" s="12"/>
      <c r="D187" s="12"/>
      <c r="E187" s="12"/>
      <c r="F187" s="177" t="str">
        <f>Asset11</f>
        <v>Transmission line assets - medium life (45)</v>
      </c>
      <c r="G187" s="167"/>
      <c r="H187" s="66"/>
      <c r="I187" s="66"/>
      <c r="J187" s="66"/>
      <c r="K187" s="66"/>
      <c r="L187" s="66"/>
      <c r="M187" s="202"/>
      <c r="N187" s="203"/>
      <c r="O187" s="203"/>
      <c r="P187" s="203"/>
      <c r="Q187" s="203"/>
      <c r="R187" s="36"/>
      <c r="S187" s="36"/>
      <c r="T187" s="36"/>
      <c r="U187" s="36"/>
      <c r="V187" s="36"/>
      <c r="W187" s="36"/>
      <c r="X187" s="36"/>
      <c r="Y187" s="8"/>
      <c r="Z187" s="8"/>
      <c r="AA187" s="42"/>
      <c r="AB187" s="9"/>
      <c r="AC187" s="9"/>
      <c r="AD187" s="9"/>
      <c r="AE187" s="204"/>
      <c r="AF187" s="204"/>
      <c r="AG187" s="204"/>
      <c r="AH187" s="204"/>
      <c r="AI187" s="204"/>
      <c r="AJ187" s="204"/>
      <c r="AK187" s="204"/>
      <c r="AL187" s="204"/>
      <c r="AM187" s="204"/>
      <c r="AN187" s="204"/>
      <c r="AO187" s="204"/>
      <c r="AP187" s="204"/>
      <c r="AQ187" s="204"/>
      <c r="AR187" s="204"/>
      <c r="AS187" s="204"/>
      <c r="AT187" s="204"/>
      <c r="AU187" s="204"/>
    </row>
    <row r="188" spans="1:47" ht="12.75" customHeight="1" outlineLevel="1">
      <c r="A188" s="12"/>
      <c r="B188" s="12"/>
      <c r="C188" s="12"/>
      <c r="D188" s="12"/>
      <c r="E188" s="12"/>
      <c r="F188" s="177" t="str">
        <f>Asset12</f>
        <v>Transmission line assets - short life (10)</v>
      </c>
      <c r="G188" s="167"/>
      <c r="H188" s="66"/>
      <c r="I188" s="66"/>
      <c r="J188" s="66"/>
      <c r="K188" s="66"/>
      <c r="L188" s="66"/>
      <c r="M188" s="202"/>
      <c r="N188" s="203"/>
      <c r="O188" s="203"/>
      <c r="P188" s="203"/>
      <c r="Q188" s="203"/>
      <c r="R188" s="36"/>
      <c r="S188" s="36"/>
      <c r="T188" s="36"/>
      <c r="U188" s="36"/>
      <c r="V188" s="36"/>
      <c r="W188" s="36"/>
      <c r="X188" s="36"/>
      <c r="Y188" s="8"/>
      <c r="Z188" s="8"/>
      <c r="AA188" s="42"/>
      <c r="AB188" s="9"/>
      <c r="AC188" s="9"/>
      <c r="AD188" s="9"/>
      <c r="AE188" s="204"/>
      <c r="AF188" s="204"/>
      <c r="AG188" s="204"/>
      <c r="AH188" s="204"/>
      <c r="AI188" s="204"/>
      <c r="AJ188" s="204"/>
      <c r="AK188" s="204"/>
      <c r="AL188" s="204"/>
      <c r="AM188" s="204"/>
      <c r="AN188" s="204"/>
      <c r="AO188" s="204"/>
      <c r="AP188" s="204"/>
      <c r="AQ188" s="204"/>
      <c r="AR188" s="204"/>
      <c r="AS188" s="204"/>
      <c r="AT188" s="204"/>
      <c r="AU188" s="204"/>
    </row>
    <row r="189" spans="1:47" ht="12.75" customHeight="1" outlineLevel="1">
      <c r="A189" s="12"/>
      <c r="B189" s="12"/>
      <c r="C189" s="12"/>
      <c r="D189" s="12"/>
      <c r="E189" s="12"/>
      <c r="F189" s="177" t="str">
        <f>Asset13</f>
        <v>Substation assets - long life (60)</v>
      </c>
      <c r="G189" s="167"/>
      <c r="H189" s="66"/>
      <c r="I189" s="66"/>
      <c r="J189" s="66"/>
      <c r="K189" s="66"/>
      <c r="L189" s="66"/>
      <c r="M189" s="202"/>
      <c r="N189" s="203"/>
      <c r="O189" s="203"/>
      <c r="P189" s="203"/>
      <c r="Q189" s="203"/>
      <c r="R189" s="36"/>
      <c r="S189" s="36"/>
      <c r="T189" s="36"/>
      <c r="U189" s="36"/>
      <c r="V189" s="36"/>
      <c r="W189" s="36"/>
      <c r="X189" s="36"/>
      <c r="Y189" s="8"/>
      <c r="Z189" s="8"/>
      <c r="AA189" s="42"/>
      <c r="AB189" s="9"/>
      <c r="AC189" s="9"/>
      <c r="AD189" s="9"/>
      <c r="AE189" s="204"/>
      <c r="AF189" s="204"/>
      <c r="AG189" s="204"/>
      <c r="AH189" s="204"/>
      <c r="AI189" s="204"/>
      <c r="AJ189" s="204"/>
      <c r="AK189" s="204"/>
      <c r="AL189" s="204"/>
      <c r="AM189" s="204"/>
      <c r="AN189" s="204"/>
      <c r="AO189" s="204"/>
      <c r="AP189" s="204"/>
      <c r="AQ189" s="204"/>
      <c r="AR189" s="204"/>
      <c r="AS189" s="204"/>
      <c r="AT189" s="204"/>
      <c r="AU189" s="204"/>
    </row>
    <row r="190" spans="1:47" ht="12.75" customHeight="1" outlineLevel="1">
      <c r="A190" s="12"/>
      <c r="B190" s="12"/>
      <c r="C190" s="12"/>
      <c r="D190" s="12"/>
      <c r="E190" s="12"/>
      <c r="F190" s="177" t="str">
        <f>Asset14</f>
        <v>Substation assets - medium life (45)</v>
      </c>
      <c r="G190" s="167"/>
      <c r="H190" s="66"/>
      <c r="I190" s="66"/>
      <c r="J190" s="66"/>
      <c r="K190" s="66"/>
      <c r="L190" s="66"/>
      <c r="M190" s="202"/>
      <c r="N190" s="203"/>
      <c r="O190" s="203"/>
      <c r="P190" s="203"/>
      <c r="Q190" s="203"/>
      <c r="R190" s="36"/>
      <c r="S190" s="36"/>
      <c r="T190" s="36"/>
      <c r="U190" s="36"/>
      <c r="V190" s="36"/>
      <c r="W190" s="36"/>
      <c r="X190" s="36"/>
      <c r="Y190" s="8"/>
      <c r="Z190" s="8"/>
      <c r="AA190" s="42"/>
      <c r="AB190" s="9"/>
      <c r="AC190" s="9"/>
      <c r="AD190" s="9"/>
      <c r="AE190" s="204"/>
      <c r="AF190" s="204"/>
      <c r="AG190" s="204"/>
      <c r="AH190" s="204"/>
      <c r="AI190" s="204"/>
      <c r="AJ190" s="204"/>
      <c r="AK190" s="204"/>
      <c r="AL190" s="204"/>
      <c r="AM190" s="204"/>
      <c r="AN190" s="204"/>
      <c r="AO190" s="204"/>
      <c r="AP190" s="204"/>
      <c r="AQ190" s="204"/>
      <c r="AR190" s="204"/>
      <c r="AS190" s="204"/>
      <c r="AT190" s="204"/>
      <c r="AU190" s="204"/>
    </row>
    <row r="191" spans="1:47" ht="12.75" customHeight="1" outlineLevel="1">
      <c r="A191" s="12"/>
      <c r="B191" s="12"/>
      <c r="C191" s="12"/>
      <c r="D191" s="12"/>
      <c r="E191" s="12"/>
      <c r="F191" s="177" t="str">
        <f>Asset15</f>
        <v>Substation assets - short life (15)</v>
      </c>
      <c r="G191" s="167"/>
      <c r="H191" s="66"/>
      <c r="I191" s="66"/>
      <c r="J191" s="66"/>
      <c r="K191" s="66"/>
      <c r="L191" s="66"/>
      <c r="M191" s="202"/>
      <c r="N191" s="203"/>
      <c r="O191" s="203"/>
      <c r="P191" s="203"/>
      <c r="Q191" s="203"/>
      <c r="R191" s="36"/>
      <c r="S191" s="36"/>
      <c r="T191" s="36"/>
      <c r="U191" s="36"/>
      <c r="V191" s="36"/>
      <c r="W191" s="36"/>
      <c r="X191" s="36"/>
      <c r="Y191" s="8"/>
      <c r="Z191" s="8"/>
      <c r="AA191" s="42"/>
      <c r="AB191" s="9"/>
      <c r="AC191" s="9"/>
      <c r="AD191" s="9"/>
      <c r="AE191" s="204"/>
      <c r="AF191" s="204"/>
      <c r="AG191" s="204"/>
      <c r="AH191" s="204"/>
      <c r="AI191" s="204"/>
      <c r="AJ191" s="204"/>
      <c r="AK191" s="204"/>
      <c r="AL191" s="204"/>
      <c r="AM191" s="204"/>
      <c r="AN191" s="204"/>
      <c r="AO191" s="204"/>
      <c r="AP191" s="204"/>
      <c r="AQ191" s="204"/>
      <c r="AR191" s="204"/>
      <c r="AS191" s="204"/>
      <c r="AT191" s="204"/>
      <c r="AU191" s="204"/>
    </row>
    <row r="192" spans="1:47" ht="12.75" customHeight="1" outlineLevel="1">
      <c r="A192" s="12"/>
      <c r="B192" s="12"/>
      <c r="C192" s="12"/>
      <c r="D192" s="12"/>
      <c r="E192" s="12"/>
      <c r="F192" s="177" t="str">
        <f>Asset16</f>
        <v>Protection and control - short life (15)</v>
      </c>
      <c r="G192" s="167"/>
      <c r="H192" s="66"/>
      <c r="I192" s="66"/>
      <c r="J192" s="66"/>
      <c r="K192" s="66"/>
      <c r="L192" s="66"/>
      <c r="M192" s="202"/>
      <c r="N192" s="203"/>
      <c r="O192" s="203"/>
      <c r="P192" s="203"/>
      <c r="Q192" s="203"/>
      <c r="R192" s="36"/>
      <c r="S192" s="36"/>
      <c r="T192" s="36"/>
      <c r="U192" s="36"/>
      <c r="V192" s="36"/>
      <c r="W192" s="36"/>
      <c r="X192" s="36"/>
      <c r="Y192" s="8"/>
      <c r="Z192" s="8"/>
      <c r="AA192" s="42"/>
      <c r="AB192" s="9"/>
      <c r="AC192" s="9"/>
      <c r="AD192" s="9"/>
      <c r="AE192" s="204"/>
      <c r="AF192" s="204"/>
      <c r="AG192" s="204"/>
      <c r="AH192" s="204"/>
      <c r="AI192" s="204"/>
      <c r="AJ192" s="204"/>
      <c r="AK192" s="204"/>
      <c r="AL192" s="204"/>
      <c r="AM192" s="204"/>
      <c r="AN192" s="204"/>
      <c r="AO192" s="204"/>
      <c r="AP192" s="204"/>
      <c r="AQ192" s="204"/>
      <c r="AR192" s="204"/>
      <c r="AS192" s="204"/>
      <c r="AT192" s="204"/>
      <c r="AU192" s="204"/>
    </row>
    <row r="193" spans="1:47" ht="12.75" customHeight="1" outlineLevel="1">
      <c r="A193" s="12"/>
      <c r="B193" s="12"/>
      <c r="C193" s="12"/>
      <c r="D193" s="12"/>
      <c r="E193" s="12"/>
      <c r="F193" s="177" t="str">
        <f>Asset17</f>
        <v>Protection and control - short life (4)</v>
      </c>
      <c r="G193" s="167"/>
      <c r="H193" s="66"/>
      <c r="I193" s="66"/>
      <c r="J193" s="66"/>
      <c r="K193" s="66"/>
      <c r="L193" s="66"/>
      <c r="M193" s="202"/>
      <c r="N193" s="203"/>
      <c r="O193" s="203"/>
      <c r="P193" s="203"/>
      <c r="Q193" s="203"/>
      <c r="R193" s="36"/>
      <c r="S193" s="36"/>
      <c r="T193" s="36"/>
      <c r="U193" s="36"/>
      <c r="V193" s="36"/>
      <c r="W193" s="36"/>
      <c r="X193" s="36"/>
      <c r="Y193" s="8"/>
      <c r="Z193" s="8"/>
      <c r="AA193" s="42"/>
      <c r="AB193" s="9"/>
      <c r="AC193" s="9"/>
      <c r="AD193" s="9"/>
      <c r="AE193" s="204"/>
      <c r="AF193" s="204"/>
      <c r="AG193" s="204"/>
      <c r="AH193" s="204"/>
      <c r="AI193" s="204"/>
      <c r="AJ193" s="204"/>
      <c r="AK193" s="204"/>
      <c r="AL193" s="204"/>
      <c r="AM193" s="204"/>
      <c r="AN193" s="204"/>
      <c r="AO193" s="204"/>
      <c r="AP193" s="204"/>
      <c r="AQ193" s="204"/>
      <c r="AR193" s="204"/>
      <c r="AS193" s="204"/>
      <c r="AT193" s="204"/>
      <c r="AU193" s="204"/>
    </row>
    <row r="194" spans="1:47" ht="12.75" customHeight="1" outlineLevel="1">
      <c r="A194" s="12"/>
      <c r="B194" s="12"/>
      <c r="C194" s="12"/>
      <c r="D194" s="12"/>
      <c r="E194" s="12"/>
      <c r="F194" s="177" t="str">
        <f>Asset18</f>
        <v>Transmission operations - short life (10)</v>
      </c>
      <c r="G194" s="167"/>
      <c r="H194" s="66"/>
      <c r="I194" s="66"/>
      <c r="J194" s="66"/>
      <c r="K194" s="66"/>
      <c r="L194" s="66"/>
      <c r="M194" s="202"/>
      <c r="N194" s="203"/>
      <c r="O194" s="203"/>
      <c r="P194" s="203"/>
      <c r="Q194" s="203"/>
      <c r="R194" s="36"/>
      <c r="S194" s="36"/>
      <c r="T194" s="36"/>
      <c r="U194" s="36"/>
      <c r="V194" s="36"/>
      <c r="W194" s="36"/>
      <c r="X194" s="36"/>
      <c r="Y194" s="8"/>
      <c r="Z194" s="8"/>
      <c r="AA194" s="42"/>
      <c r="AB194" s="9"/>
      <c r="AC194" s="9"/>
      <c r="AD194" s="9"/>
      <c r="AE194" s="204"/>
      <c r="AF194" s="204"/>
      <c r="AG194" s="204"/>
      <c r="AH194" s="204"/>
      <c r="AI194" s="204"/>
      <c r="AJ194" s="204"/>
      <c r="AK194" s="204"/>
      <c r="AL194" s="204"/>
      <c r="AM194" s="204"/>
      <c r="AN194" s="204"/>
      <c r="AO194" s="204"/>
      <c r="AP194" s="204"/>
      <c r="AQ194" s="204"/>
      <c r="AR194" s="204"/>
      <c r="AS194" s="204"/>
      <c r="AT194" s="204"/>
      <c r="AU194" s="204"/>
    </row>
    <row r="195" spans="1:47" ht="12.75" customHeight="1" outlineLevel="1">
      <c r="A195" s="12"/>
      <c r="B195" s="12"/>
      <c r="C195" s="12"/>
      <c r="D195" s="12"/>
      <c r="E195" s="12"/>
      <c r="F195" s="177" t="str">
        <f>Asset19</f>
        <v>Transmission operations - short life (4)</v>
      </c>
      <c r="G195" s="167"/>
      <c r="H195" s="66"/>
      <c r="I195" s="66"/>
      <c r="J195" s="66"/>
      <c r="K195" s="66"/>
      <c r="L195" s="66"/>
      <c r="M195" s="202"/>
      <c r="N195" s="203"/>
      <c r="O195" s="203"/>
      <c r="P195" s="203"/>
      <c r="Q195" s="203"/>
      <c r="R195" s="36"/>
      <c r="S195" s="36"/>
      <c r="T195" s="36"/>
      <c r="U195" s="36"/>
      <c r="V195" s="36"/>
      <c r="W195" s="36"/>
      <c r="X195" s="36"/>
      <c r="Y195" s="8"/>
      <c r="Z195" s="8"/>
      <c r="AA195" s="42"/>
      <c r="AB195" s="9"/>
      <c r="AC195" s="9"/>
      <c r="AD195" s="9"/>
      <c r="AE195" s="204"/>
      <c r="AF195" s="204"/>
      <c r="AG195" s="204"/>
      <c r="AH195" s="204"/>
      <c r="AI195" s="204"/>
      <c r="AJ195" s="204"/>
      <c r="AK195" s="204"/>
      <c r="AL195" s="204"/>
      <c r="AM195" s="204"/>
      <c r="AN195" s="204"/>
      <c r="AO195" s="204"/>
      <c r="AP195" s="204"/>
      <c r="AQ195" s="204"/>
      <c r="AR195" s="204"/>
      <c r="AS195" s="204"/>
      <c r="AT195" s="204"/>
      <c r="AU195" s="204"/>
    </row>
    <row r="196" spans="1:47" ht="12.75" customHeight="1" outlineLevel="1">
      <c r="A196" s="12"/>
      <c r="B196" s="12"/>
      <c r="C196" s="12"/>
      <c r="D196" s="12"/>
      <c r="E196" s="12"/>
      <c r="F196" s="177" t="str">
        <f>Asset20</f>
        <v>Other - medium life (40)</v>
      </c>
      <c r="G196" s="167"/>
      <c r="H196" s="66"/>
      <c r="I196" s="66"/>
      <c r="J196" s="66"/>
      <c r="K196" s="66"/>
      <c r="L196" s="66"/>
      <c r="M196" s="202"/>
      <c r="N196" s="203"/>
      <c r="O196" s="203"/>
      <c r="P196" s="203"/>
      <c r="Q196" s="203"/>
      <c r="R196" s="36"/>
      <c r="S196" s="36"/>
      <c r="T196" s="36"/>
      <c r="U196" s="36"/>
      <c r="V196" s="36"/>
      <c r="W196" s="36"/>
      <c r="X196" s="36"/>
      <c r="Y196" s="8"/>
      <c r="Z196" s="8"/>
      <c r="AA196" s="42"/>
      <c r="AB196" s="9"/>
      <c r="AC196" s="9"/>
      <c r="AD196" s="9"/>
      <c r="AE196" s="204"/>
      <c r="AF196" s="204"/>
      <c r="AG196" s="204"/>
      <c r="AH196" s="204"/>
      <c r="AI196" s="204"/>
      <c r="AJ196" s="204"/>
      <c r="AK196" s="204"/>
      <c r="AL196" s="204"/>
      <c r="AM196" s="204"/>
      <c r="AN196" s="204"/>
      <c r="AO196" s="204"/>
      <c r="AP196" s="204"/>
      <c r="AQ196" s="204"/>
      <c r="AR196" s="204"/>
      <c r="AS196" s="204"/>
      <c r="AT196" s="204"/>
      <c r="AU196" s="204"/>
    </row>
    <row r="197" spans="1:47" ht="12.75" customHeight="1" outlineLevel="1">
      <c r="A197" s="12"/>
      <c r="B197" s="12"/>
      <c r="C197" s="12"/>
      <c r="D197" s="12"/>
      <c r="E197" s="12"/>
      <c r="F197" s="311" t="str">
        <f>Asset21</f>
        <v>Other - short life (9)</v>
      </c>
      <c r="G197" s="167"/>
      <c r="H197" s="66"/>
      <c r="I197" s="66"/>
      <c r="J197" s="66">
        <v>3.6999999999999998E-2</v>
      </c>
      <c r="K197" s="66">
        <v>1.4999999999999999E-2</v>
      </c>
      <c r="L197" s="66"/>
      <c r="M197" s="202"/>
      <c r="N197" s="203"/>
      <c r="O197" s="203"/>
      <c r="P197" s="203"/>
      <c r="Q197" s="203"/>
      <c r="R197" s="36"/>
      <c r="S197" s="36"/>
      <c r="T197" s="36"/>
      <c r="U197" s="36"/>
      <c r="V197" s="36"/>
      <c r="W197" s="36"/>
      <c r="X197" s="36"/>
      <c r="Y197" s="8"/>
      <c r="Z197" s="8"/>
      <c r="AA197" s="42"/>
      <c r="AB197" s="9"/>
      <c r="AC197" s="9"/>
      <c r="AD197" s="9"/>
      <c r="AE197" s="204"/>
      <c r="AF197" s="204"/>
      <c r="AG197" s="204"/>
      <c r="AH197" s="204"/>
      <c r="AI197" s="204"/>
      <c r="AJ197" s="204"/>
      <c r="AK197" s="204"/>
      <c r="AL197" s="204"/>
      <c r="AM197" s="204"/>
      <c r="AN197" s="204"/>
      <c r="AO197" s="204"/>
      <c r="AP197" s="204"/>
      <c r="AQ197" s="204"/>
      <c r="AR197" s="204"/>
      <c r="AS197" s="204"/>
      <c r="AT197" s="204"/>
      <c r="AU197" s="204"/>
    </row>
    <row r="198" spans="1:47" ht="12.75" customHeight="1" outlineLevel="1">
      <c r="A198" s="12"/>
      <c r="B198" s="12"/>
      <c r="C198" s="12"/>
      <c r="D198" s="12"/>
      <c r="E198" s="12"/>
      <c r="F198" s="311" t="str">
        <f>Asset22</f>
        <v>Other - short life (4)</v>
      </c>
      <c r="G198" s="167"/>
      <c r="H198" s="66"/>
      <c r="I198" s="66">
        <v>4.0000000000000001E-3</v>
      </c>
      <c r="J198" s="66"/>
      <c r="K198" s="66"/>
      <c r="L198" s="66"/>
      <c r="M198" s="202"/>
      <c r="N198" s="203"/>
      <c r="O198" s="203"/>
      <c r="P198" s="203"/>
      <c r="Q198" s="203"/>
      <c r="R198" s="36"/>
      <c r="S198" s="36"/>
      <c r="T198" s="36"/>
      <c r="U198" s="36"/>
      <c r="V198" s="36"/>
      <c r="W198" s="36"/>
      <c r="X198" s="36"/>
      <c r="Y198" s="8"/>
      <c r="Z198" s="8"/>
      <c r="AA198" s="42"/>
      <c r="AB198" s="9"/>
      <c r="AC198" s="9"/>
      <c r="AD198" s="9"/>
      <c r="AE198" s="204"/>
      <c r="AF198" s="204"/>
      <c r="AG198" s="204"/>
      <c r="AH198" s="204"/>
      <c r="AI198" s="204"/>
      <c r="AJ198" s="204"/>
      <c r="AK198" s="204"/>
      <c r="AL198" s="204"/>
      <c r="AM198" s="204"/>
      <c r="AN198" s="204"/>
      <c r="AO198" s="204"/>
      <c r="AP198" s="204"/>
      <c r="AQ198" s="204"/>
      <c r="AR198" s="204"/>
      <c r="AS198" s="204"/>
      <c r="AT198" s="204"/>
      <c r="AU198" s="204"/>
    </row>
    <row r="199" spans="1:47" ht="12.75" customHeight="1" outlineLevel="1">
      <c r="A199" s="12"/>
      <c r="B199" s="12"/>
      <c r="C199" s="12"/>
      <c r="D199" s="12"/>
      <c r="E199" s="12"/>
      <c r="F199" s="311" t="str">
        <f>Asset23</f>
        <v>Land and Easements</v>
      </c>
      <c r="G199" s="167"/>
      <c r="H199" s="66"/>
      <c r="I199" s="66"/>
      <c r="J199" s="66"/>
      <c r="K199" s="66"/>
      <c r="L199" s="66"/>
      <c r="M199" s="202"/>
      <c r="N199" s="203"/>
      <c r="O199" s="203"/>
      <c r="P199" s="203"/>
      <c r="Q199" s="203"/>
      <c r="R199" s="36"/>
      <c r="S199" s="36"/>
      <c r="T199" s="36"/>
      <c r="U199" s="36"/>
      <c r="V199" s="36"/>
      <c r="W199" s="36"/>
      <c r="X199" s="36"/>
      <c r="Y199" s="8"/>
      <c r="Z199" s="8"/>
      <c r="AA199" s="42"/>
      <c r="AB199" s="9"/>
      <c r="AC199" s="9"/>
      <c r="AD199" s="9"/>
      <c r="AE199" s="204"/>
      <c r="AF199" s="204"/>
      <c r="AG199" s="204"/>
      <c r="AH199" s="204"/>
      <c r="AI199" s="204"/>
      <c r="AJ199" s="204"/>
      <c r="AK199" s="204"/>
      <c r="AL199" s="204"/>
      <c r="AM199" s="204"/>
      <c r="AN199" s="204"/>
      <c r="AO199" s="204"/>
      <c r="AP199" s="204"/>
      <c r="AQ199" s="204"/>
      <c r="AR199" s="204"/>
      <c r="AS199" s="204"/>
      <c r="AT199" s="204"/>
      <c r="AU199" s="204"/>
    </row>
    <row r="200" spans="1:47" ht="12.75" customHeight="1" outlineLevel="1">
      <c r="A200" s="12"/>
      <c r="B200" s="12"/>
      <c r="C200" s="12"/>
      <c r="D200" s="12"/>
      <c r="E200" s="12"/>
      <c r="F200" s="311" t="str">
        <f>Asset24</f>
        <v>Equity Raising</v>
      </c>
      <c r="G200" s="167"/>
      <c r="H200" s="66"/>
      <c r="I200" s="66"/>
      <c r="J200" s="66"/>
      <c r="K200" s="66"/>
      <c r="L200" s="66"/>
      <c r="M200" s="202"/>
      <c r="N200" s="203"/>
      <c r="O200" s="203"/>
      <c r="P200" s="203"/>
      <c r="Q200" s="203"/>
      <c r="R200" s="36"/>
      <c r="S200" s="36"/>
      <c r="T200" s="36"/>
      <c r="U200" s="36"/>
      <c r="V200" s="36"/>
      <c r="W200" s="36"/>
      <c r="X200" s="36"/>
      <c r="Y200" s="8"/>
      <c r="Z200" s="8"/>
      <c r="AA200" s="42"/>
      <c r="AB200" s="9"/>
      <c r="AC200" s="9"/>
      <c r="AD200" s="9"/>
      <c r="AE200" s="204"/>
      <c r="AF200" s="204"/>
      <c r="AG200" s="204"/>
      <c r="AH200" s="204"/>
      <c r="AI200" s="204"/>
      <c r="AJ200" s="204"/>
      <c r="AK200" s="204"/>
      <c r="AL200" s="204"/>
      <c r="AM200" s="204"/>
      <c r="AN200" s="204"/>
      <c r="AO200" s="204"/>
      <c r="AP200" s="204"/>
      <c r="AQ200" s="204"/>
      <c r="AR200" s="204"/>
      <c r="AS200" s="204"/>
      <c r="AT200" s="204"/>
      <c r="AU200" s="204"/>
    </row>
    <row r="201" spans="1:47" ht="12.75" customHeight="1" outlineLevel="1">
      <c r="A201" s="12"/>
      <c r="B201" s="12"/>
      <c r="C201" s="12"/>
      <c r="D201" s="12"/>
      <c r="E201" s="12"/>
      <c r="F201" s="311">
        <f>Asset25</f>
        <v>0</v>
      </c>
      <c r="G201" s="167"/>
      <c r="H201" s="66"/>
      <c r="I201" s="66"/>
      <c r="J201" s="66"/>
      <c r="K201" s="66"/>
      <c r="L201" s="66"/>
      <c r="M201" s="202"/>
      <c r="N201" s="203"/>
      <c r="O201" s="203"/>
      <c r="P201" s="203"/>
      <c r="Q201" s="203"/>
      <c r="R201" s="36"/>
      <c r="S201" s="36"/>
      <c r="T201" s="36"/>
      <c r="U201" s="36"/>
      <c r="V201" s="36"/>
      <c r="W201" s="36"/>
      <c r="X201" s="36"/>
      <c r="Y201" s="8"/>
      <c r="Z201" s="8"/>
      <c r="AA201" s="42"/>
      <c r="AB201" s="9"/>
      <c r="AC201" s="9"/>
      <c r="AD201" s="9"/>
      <c r="AE201" s="204"/>
      <c r="AF201" s="204"/>
      <c r="AG201" s="204"/>
      <c r="AH201" s="204"/>
      <c r="AI201" s="204"/>
      <c r="AJ201" s="204"/>
      <c r="AK201" s="204"/>
      <c r="AL201" s="204"/>
      <c r="AM201" s="204"/>
      <c r="AN201" s="204"/>
      <c r="AO201" s="204"/>
      <c r="AP201" s="204"/>
      <c r="AQ201" s="204"/>
      <c r="AR201" s="204"/>
      <c r="AS201" s="204"/>
      <c r="AT201" s="204"/>
      <c r="AU201" s="204"/>
    </row>
    <row r="202" spans="1:47" ht="12.75" customHeight="1" outlineLevel="1">
      <c r="A202" s="12"/>
      <c r="B202" s="12"/>
      <c r="C202" s="12"/>
      <c r="D202" s="12"/>
      <c r="E202" s="12"/>
      <c r="F202" s="311">
        <f>Asset26</f>
        <v>0</v>
      </c>
      <c r="G202" s="167"/>
      <c r="H202" s="66"/>
      <c r="I202" s="66"/>
      <c r="J202" s="66"/>
      <c r="K202" s="66"/>
      <c r="L202" s="66"/>
      <c r="M202" s="202"/>
      <c r="N202" s="203"/>
      <c r="O202" s="203"/>
      <c r="P202" s="203"/>
      <c r="Q202" s="203"/>
      <c r="R202" s="36"/>
      <c r="S202" s="36"/>
      <c r="T202" s="36"/>
      <c r="U202" s="36"/>
      <c r="V202" s="36"/>
      <c r="W202" s="36"/>
      <c r="X202" s="36"/>
      <c r="Y202" s="8"/>
      <c r="Z202" s="8"/>
      <c r="AA202" s="42"/>
      <c r="AB202" s="9"/>
      <c r="AC202" s="9"/>
      <c r="AD202" s="9"/>
      <c r="AE202" s="204"/>
      <c r="AF202" s="204"/>
      <c r="AG202" s="204"/>
      <c r="AH202" s="204"/>
      <c r="AI202" s="204"/>
      <c r="AJ202" s="204"/>
      <c r="AK202" s="204"/>
      <c r="AL202" s="204"/>
      <c r="AM202" s="204"/>
      <c r="AN202" s="204"/>
      <c r="AO202" s="204"/>
      <c r="AP202" s="204"/>
      <c r="AQ202" s="204"/>
      <c r="AR202" s="204"/>
      <c r="AS202" s="204"/>
      <c r="AT202" s="204"/>
      <c r="AU202" s="204"/>
    </row>
    <row r="203" spans="1:47" ht="12.75" customHeight="1" outlineLevel="1">
      <c r="A203" s="12"/>
      <c r="B203" s="12"/>
      <c r="C203" s="12"/>
      <c r="D203" s="12"/>
      <c r="E203" s="12"/>
      <c r="F203" s="311">
        <f>Asset27</f>
        <v>0</v>
      </c>
      <c r="G203" s="167"/>
      <c r="H203" s="66"/>
      <c r="I203" s="66"/>
      <c r="J203" s="66"/>
      <c r="K203" s="66"/>
      <c r="L203" s="66"/>
      <c r="M203" s="202"/>
      <c r="N203" s="203"/>
      <c r="O203" s="203"/>
      <c r="P203" s="203"/>
      <c r="Q203" s="203"/>
      <c r="R203" s="36"/>
      <c r="S203" s="36"/>
      <c r="T203" s="36"/>
      <c r="U203" s="36"/>
      <c r="V203" s="36"/>
      <c r="W203" s="36"/>
      <c r="X203" s="36"/>
      <c r="Y203" s="8"/>
      <c r="Z203" s="8"/>
      <c r="AA203" s="42"/>
      <c r="AB203" s="9"/>
      <c r="AC203" s="9"/>
      <c r="AD203" s="9"/>
      <c r="AE203" s="204"/>
      <c r="AF203" s="204"/>
      <c r="AG203" s="204"/>
      <c r="AH203" s="204"/>
      <c r="AI203" s="204"/>
      <c r="AJ203" s="204"/>
      <c r="AK203" s="204"/>
      <c r="AL203" s="204"/>
      <c r="AM203" s="204"/>
      <c r="AN203" s="204"/>
      <c r="AO203" s="204"/>
      <c r="AP203" s="204"/>
      <c r="AQ203" s="204"/>
      <c r="AR203" s="204"/>
      <c r="AS203" s="204"/>
      <c r="AT203" s="204"/>
      <c r="AU203" s="204"/>
    </row>
    <row r="204" spans="1:47" ht="12.75" customHeight="1" outlineLevel="1">
      <c r="A204" s="12"/>
      <c r="B204" s="12"/>
      <c r="C204" s="12"/>
      <c r="D204" s="12"/>
      <c r="E204" s="12"/>
      <c r="F204" s="311">
        <f>Asset28</f>
        <v>0</v>
      </c>
      <c r="G204" s="167"/>
      <c r="H204" s="66"/>
      <c r="I204" s="66"/>
      <c r="J204" s="66"/>
      <c r="K204" s="66"/>
      <c r="L204" s="66"/>
      <c r="M204" s="202"/>
      <c r="N204" s="203"/>
      <c r="O204" s="203"/>
      <c r="P204" s="203"/>
      <c r="Q204" s="203"/>
      <c r="R204" s="36"/>
      <c r="S204" s="36"/>
      <c r="T204" s="36"/>
      <c r="U204" s="36"/>
      <c r="V204" s="36"/>
      <c r="W204" s="36"/>
      <c r="X204" s="36"/>
      <c r="Y204" s="8"/>
      <c r="Z204" s="8"/>
      <c r="AA204" s="42"/>
      <c r="AB204" s="9"/>
      <c r="AC204" s="9"/>
      <c r="AD204" s="9"/>
      <c r="AE204" s="204"/>
      <c r="AF204" s="204"/>
      <c r="AG204" s="204"/>
      <c r="AH204" s="204"/>
      <c r="AI204" s="204"/>
      <c r="AJ204" s="204"/>
      <c r="AK204" s="204"/>
      <c r="AL204" s="204"/>
      <c r="AM204" s="204"/>
      <c r="AN204" s="204"/>
      <c r="AO204" s="204"/>
      <c r="AP204" s="204"/>
      <c r="AQ204" s="204"/>
      <c r="AR204" s="204"/>
      <c r="AS204" s="204"/>
      <c r="AT204" s="204"/>
      <c r="AU204" s="204"/>
    </row>
    <row r="205" spans="1:47" ht="12.75" customHeight="1" outlineLevel="1">
      <c r="A205" s="12"/>
      <c r="B205" s="12"/>
      <c r="C205" s="12"/>
      <c r="D205" s="12"/>
      <c r="E205" s="12"/>
      <c r="F205" s="311">
        <f>Asset29</f>
        <v>0</v>
      </c>
      <c r="G205" s="167"/>
      <c r="H205" s="66"/>
      <c r="I205" s="66"/>
      <c r="J205" s="66"/>
      <c r="K205" s="66"/>
      <c r="L205" s="66"/>
      <c r="M205" s="202"/>
      <c r="N205" s="203"/>
      <c r="O205" s="203"/>
      <c r="P205" s="203"/>
      <c r="Q205" s="203"/>
      <c r="R205" s="36"/>
      <c r="S205" s="36"/>
      <c r="T205" s="36"/>
      <c r="U205" s="36"/>
      <c r="V205" s="36"/>
      <c r="W205" s="36"/>
      <c r="X205" s="36"/>
      <c r="Y205" s="8"/>
      <c r="Z205" s="8"/>
      <c r="AA205" s="42"/>
      <c r="AB205" s="9"/>
      <c r="AC205" s="9"/>
      <c r="AD205" s="9"/>
      <c r="AE205" s="204"/>
      <c r="AF205" s="204"/>
      <c r="AG205" s="204"/>
      <c r="AH205" s="204"/>
      <c r="AI205" s="204"/>
      <c r="AJ205" s="204"/>
      <c r="AK205" s="204"/>
      <c r="AL205" s="204"/>
      <c r="AM205" s="204"/>
      <c r="AN205" s="204"/>
      <c r="AO205" s="204"/>
      <c r="AP205" s="204"/>
      <c r="AQ205" s="204"/>
      <c r="AR205" s="204"/>
      <c r="AS205" s="204"/>
      <c r="AT205" s="204"/>
      <c r="AU205" s="204"/>
    </row>
    <row r="206" spans="1:47" ht="12.75" customHeight="1" outlineLevel="1">
      <c r="A206" s="12"/>
      <c r="B206" s="12"/>
      <c r="C206" s="12"/>
      <c r="D206" s="12"/>
      <c r="E206" s="12"/>
      <c r="F206" s="311">
        <f>Asset30</f>
        <v>0</v>
      </c>
      <c r="G206" s="167"/>
      <c r="H206" s="66"/>
      <c r="I206" s="66"/>
      <c r="J206" s="66"/>
      <c r="K206" s="66"/>
      <c r="L206" s="66"/>
      <c r="M206" s="202"/>
      <c r="N206" s="203"/>
      <c r="O206" s="203"/>
      <c r="P206" s="203"/>
      <c r="Q206" s="203"/>
      <c r="R206" s="36"/>
      <c r="S206" s="36"/>
      <c r="T206" s="36"/>
      <c r="U206" s="36"/>
      <c r="V206" s="36"/>
      <c r="W206" s="36"/>
      <c r="X206" s="36"/>
      <c r="Y206" s="8"/>
      <c r="Z206" s="8"/>
      <c r="AA206" s="42"/>
      <c r="AB206" s="9"/>
      <c r="AC206" s="9"/>
      <c r="AD206" s="9"/>
      <c r="AE206" s="204"/>
      <c r="AF206" s="204"/>
      <c r="AG206" s="204"/>
      <c r="AH206" s="204"/>
      <c r="AI206" s="204"/>
      <c r="AJ206" s="204"/>
      <c r="AK206" s="204"/>
      <c r="AL206" s="204"/>
      <c r="AM206" s="204"/>
      <c r="AN206" s="204"/>
      <c r="AO206" s="204"/>
      <c r="AP206" s="204"/>
      <c r="AQ206" s="204"/>
      <c r="AR206" s="204"/>
      <c r="AS206" s="204"/>
      <c r="AT206" s="204"/>
      <c r="AU206" s="204"/>
    </row>
    <row r="207" spans="1:47">
      <c r="A207" s="12"/>
      <c r="B207" s="12"/>
      <c r="C207" s="12"/>
      <c r="D207" s="12"/>
      <c r="E207" s="12"/>
      <c r="F207" s="177" t="s">
        <v>19</v>
      </c>
      <c r="G207" s="316">
        <f>SUM(G177:G206)</f>
        <v>0.42200000000000015</v>
      </c>
      <c r="H207" s="316">
        <f t="shared" ref="H207:Q207" si="43">SUM(H177:H206)</f>
        <v>0</v>
      </c>
      <c r="I207" s="316">
        <f t="shared" si="43"/>
        <v>0.58400000000000007</v>
      </c>
      <c r="J207" s="316">
        <f t="shared" si="43"/>
        <v>3.6999999999999998E-2</v>
      </c>
      <c r="K207" s="316">
        <f t="shared" si="43"/>
        <v>0.23799999999999999</v>
      </c>
      <c r="L207" s="316">
        <f t="shared" si="43"/>
        <v>0</v>
      </c>
      <c r="M207" s="316">
        <f>SUM(M177:M206)</f>
        <v>0</v>
      </c>
      <c r="N207" s="316">
        <f t="shared" si="43"/>
        <v>0</v>
      </c>
      <c r="O207" s="316">
        <f t="shared" si="43"/>
        <v>0</v>
      </c>
      <c r="P207" s="316">
        <f t="shared" si="43"/>
        <v>0</v>
      </c>
      <c r="Q207" s="316">
        <f t="shared" si="43"/>
        <v>0</v>
      </c>
      <c r="R207" s="36"/>
      <c r="S207" s="36"/>
      <c r="T207" s="36"/>
      <c r="U207" s="36"/>
      <c r="V207" s="36"/>
      <c r="W207" s="36"/>
      <c r="X207" s="36"/>
      <c r="Y207" s="8"/>
      <c r="Z207" s="8"/>
      <c r="AA207" s="42"/>
      <c r="AB207" s="9"/>
      <c r="AC207" s="9"/>
      <c r="AD207" s="9"/>
      <c r="AE207" s="204"/>
      <c r="AF207" s="204"/>
      <c r="AG207" s="204"/>
      <c r="AH207" s="204"/>
      <c r="AI207" s="204"/>
      <c r="AJ207" s="204"/>
      <c r="AK207" s="204"/>
      <c r="AL207" s="204"/>
      <c r="AM207" s="204"/>
      <c r="AN207" s="204"/>
      <c r="AO207" s="204"/>
      <c r="AP207" s="204"/>
      <c r="AQ207" s="204"/>
      <c r="AR207" s="204"/>
      <c r="AS207" s="204"/>
      <c r="AT207" s="204"/>
      <c r="AU207" s="204"/>
    </row>
    <row r="208" spans="1:47" ht="19.5" customHeight="1">
      <c r="A208" s="12"/>
      <c r="B208" s="12"/>
      <c r="C208" s="12"/>
      <c r="D208" s="12"/>
      <c r="E208" s="12"/>
      <c r="F208" s="38"/>
      <c r="G208" s="62"/>
      <c r="H208" s="62"/>
      <c r="I208" s="62"/>
      <c r="J208" s="62"/>
      <c r="K208" s="62"/>
      <c r="L208" s="62"/>
      <c r="M208" s="62"/>
      <c r="N208" s="36"/>
      <c r="O208" s="36"/>
      <c r="P208" s="36"/>
      <c r="Q208" s="36"/>
      <c r="R208" s="251">
        <f>SUM(G207:Q207)</f>
        <v>1.2810000000000001</v>
      </c>
      <c r="S208" s="36"/>
      <c r="T208" s="36"/>
      <c r="U208" s="36"/>
      <c r="V208" s="36"/>
      <c r="W208" s="36"/>
      <c r="X208" s="36"/>
      <c r="Y208" s="8"/>
      <c r="Z208" s="8"/>
      <c r="AA208" s="42"/>
      <c r="AB208" s="9"/>
      <c r="AC208" s="9"/>
      <c r="AD208" s="9"/>
      <c r="AE208" s="204"/>
      <c r="AF208" s="204"/>
      <c r="AG208" s="204"/>
      <c r="AH208" s="204"/>
      <c r="AI208" s="204"/>
      <c r="AJ208" s="204"/>
      <c r="AK208" s="204"/>
      <c r="AL208" s="204"/>
      <c r="AM208" s="204"/>
      <c r="AN208" s="204"/>
      <c r="AO208" s="204"/>
      <c r="AP208" s="204"/>
      <c r="AQ208" s="204"/>
      <c r="AR208" s="204"/>
      <c r="AS208" s="204"/>
      <c r="AT208" s="204"/>
      <c r="AU208" s="204"/>
    </row>
    <row r="209" spans="1:47">
      <c r="A209" s="78"/>
      <c r="B209" s="78"/>
      <c r="C209" s="78"/>
      <c r="D209" s="78"/>
      <c r="E209" s="78"/>
      <c r="F209" s="382" t="str">
        <f>"Actual Net Capital Expenditure – As Commissioned ($m Real "&amp;CONCATENATE(LEFT(V7, 4)-1 &amp;"-" &amp;IF(V7&gt;"2009-10",,"0") &amp;RIGHT(V7,2)-1)&amp;")"</f>
        <v>Actual Net Capital Expenditure – As Commissioned ($m Real 2008-09)</v>
      </c>
      <c r="G209" s="382"/>
      <c r="H209" s="382"/>
      <c r="I209" s="382"/>
      <c r="J209" s="170"/>
      <c r="K209" s="170"/>
      <c r="L209" s="170"/>
      <c r="M209" s="170"/>
      <c r="N209" s="171"/>
      <c r="O209" s="171"/>
      <c r="P209" s="171"/>
      <c r="Q209" s="171"/>
      <c r="R209" s="171"/>
      <c r="S209" s="171"/>
      <c r="T209" s="171"/>
      <c r="U209" s="171"/>
      <c r="V209" s="171"/>
      <c r="W209" s="171"/>
      <c r="X209" s="36"/>
      <c r="Y209" s="8"/>
      <c r="Z209" s="8"/>
      <c r="AA209" s="42"/>
      <c r="AB209" s="9"/>
      <c r="AC209" s="9"/>
      <c r="AD209" s="9"/>
      <c r="AE209" s="204"/>
      <c r="AF209" s="204"/>
      <c r="AG209" s="204"/>
      <c r="AH209" s="204"/>
      <c r="AI209" s="204"/>
      <c r="AJ209" s="204"/>
      <c r="AK209" s="204"/>
      <c r="AL209" s="204"/>
      <c r="AM209" s="204"/>
      <c r="AN209" s="204"/>
      <c r="AO209" s="204"/>
      <c r="AP209" s="204"/>
      <c r="AQ209" s="204"/>
      <c r="AR209" s="204"/>
      <c r="AS209" s="204"/>
      <c r="AT209" s="204"/>
      <c r="AU209" s="204"/>
    </row>
    <row r="210" spans="1:47">
      <c r="A210" s="12"/>
      <c r="B210" s="12"/>
      <c r="C210" s="12"/>
      <c r="D210" s="12"/>
      <c r="E210" s="12"/>
      <c r="F210" s="37" t="s">
        <v>3</v>
      </c>
      <c r="G210" s="249" t="str">
        <f>G40</f>
        <v>2008-09</v>
      </c>
      <c r="H210" s="249" t="str">
        <f t="shared" ref="H210:Q210" si="44">H40</f>
        <v>2009-10</v>
      </c>
      <c r="I210" s="249" t="str">
        <f t="shared" si="44"/>
        <v>2010-11</v>
      </c>
      <c r="J210" s="249" t="str">
        <f t="shared" si="44"/>
        <v>2011-12</v>
      </c>
      <c r="K210" s="249" t="str">
        <f t="shared" si="44"/>
        <v>2012-13</v>
      </c>
      <c r="L210" s="249" t="str">
        <f t="shared" si="44"/>
        <v>2013-14</v>
      </c>
      <c r="M210" s="249" t="str">
        <f t="shared" si="44"/>
        <v>2014-15</v>
      </c>
      <c r="N210" s="249" t="str">
        <f t="shared" si="44"/>
        <v>2015-16</v>
      </c>
      <c r="O210" s="249" t="str">
        <f t="shared" si="44"/>
        <v>2016-17</v>
      </c>
      <c r="P210" s="249" t="str">
        <f t="shared" si="44"/>
        <v>2017-18</v>
      </c>
      <c r="Q210" s="249" t="str">
        <f t="shared" si="44"/>
        <v>2018-19</v>
      </c>
      <c r="R210" s="36"/>
      <c r="S210" s="36"/>
      <c r="T210" s="36"/>
      <c r="U210" s="36"/>
      <c r="V210" s="36"/>
      <c r="W210" s="36"/>
      <c r="X210" s="36"/>
      <c r="Y210" s="8"/>
      <c r="Z210" s="8"/>
      <c r="AA210" s="42"/>
      <c r="AB210" s="9"/>
      <c r="AC210" s="9"/>
      <c r="AD210" s="9"/>
      <c r="AE210" s="204"/>
      <c r="AF210" s="204"/>
      <c r="AG210" s="204"/>
      <c r="AH210" s="204"/>
      <c r="AI210" s="204"/>
      <c r="AJ210" s="204"/>
      <c r="AK210" s="204"/>
      <c r="AL210" s="204"/>
      <c r="AM210" s="204"/>
      <c r="AN210" s="204"/>
      <c r="AO210" s="204"/>
      <c r="AP210" s="204"/>
      <c r="AQ210" s="204"/>
      <c r="AR210" s="204"/>
      <c r="AS210" s="204"/>
      <c r="AT210" s="204"/>
      <c r="AU210" s="204"/>
    </row>
    <row r="211" spans="1:47" hidden="1" outlineLevel="1">
      <c r="A211" s="12"/>
      <c r="B211" s="12"/>
      <c r="C211" s="12"/>
      <c r="D211" s="12"/>
      <c r="E211" s="12"/>
      <c r="F211" s="177" t="str">
        <f>Asset1</f>
        <v>Transmission Lines and Cables</v>
      </c>
      <c r="G211" s="179">
        <f t="shared" ref="G211:Q211" si="45">(G143-G177)/G$246</f>
        <v>5.2439999999999998</v>
      </c>
      <c r="H211" s="178">
        <f t="shared" si="45"/>
        <v>0</v>
      </c>
      <c r="I211" s="178">
        <f t="shared" si="45"/>
        <v>0</v>
      </c>
      <c r="J211" s="178">
        <f t="shared" si="45"/>
        <v>0</v>
      </c>
      <c r="K211" s="178">
        <f t="shared" si="45"/>
        <v>-0.20150752089136489</v>
      </c>
      <c r="L211" s="178">
        <f t="shared" si="45"/>
        <v>0</v>
      </c>
      <c r="M211" s="178">
        <f t="shared" si="45"/>
        <v>0</v>
      </c>
      <c r="N211" s="178">
        <f t="shared" si="45"/>
        <v>0</v>
      </c>
      <c r="O211" s="178">
        <f t="shared" si="45"/>
        <v>0</v>
      </c>
      <c r="P211" s="178">
        <f t="shared" si="45"/>
        <v>0</v>
      </c>
      <c r="Q211" s="178">
        <f t="shared" si="45"/>
        <v>0</v>
      </c>
      <c r="R211" s="36"/>
      <c r="S211" s="36"/>
      <c r="T211" s="36"/>
      <c r="U211" s="36"/>
      <c r="V211" s="36"/>
      <c r="W211" s="36"/>
      <c r="X211" s="36"/>
      <c r="Y211" s="8"/>
      <c r="Z211" s="8"/>
      <c r="AA211" s="42"/>
      <c r="AB211" s="9"/>
      <c r="AC211" s="9"/>
      <c r="AD211" s="9"/>
      <c r="AE211" s="204"/>
      <c r="AF211" s="204"/>
      <c r="AG211" s="204"/>
      <c r="AH211" s="204"/>
      <c r="AI211" s="204"/>
      <c r="AJ211" s="204"/>
      <c r="AK211" s="204"/>
      <c r="AL211" s="204"/>
      <c r="AM211" s="204"/>
      <c r="AN211" s="204"/>
      <c r="AO211" s="204"/>
      <c r="AP211" s="204"/>
      <c r="AQ211" s="204"/>
      <c r="AR211" s="204"/>
      <c r="AS211" s="204"/>
      <c r="AT211" s="204"/>
      <c r="AU211" s="204"/>
    </row>
    <row r="212" spans="1:47" hidden="1" outlineLevel="1">
      <c r="A212" s="12"/>
      <c r="B212" s="12"/>
      <c r="C212" s="12"/>
      <c r="D212" s="12"/>
      <c r="E212" s="12"/>
      <c r="F212" s="177" t="str">
        <f>Asset2</f>
        <v>Transmission Substations</v>
      </c>
      <c r="G212" s="180">
        <f t="shared" ref="G212:Q212" si="46">(G144-G178)/G$246</f>
        <v>37.567999999999998</v>
      </c>
      <c r="H212" s="96">
        <f t="shared" si="46"/>
        <v>0</v>
      </c>
      <c r="I212" s="96">
        <f t="shared" si="46"/>
        <v>-0.50367368421052627</v>
      </c>
      <c r="J212" s="96">
        <f t="shared" si="46"/>
        <v>0</v>
      </c>
      <c r="K212" s="96">
        <f t="shared" si="46"/>
        <v>0</v>
      </c>
      <c r="L212" s="96">
        <f t="shared" si="46"/>
        <v>0</v>
      </c>
      <c r="M212" s="96">
        <f t="shared" si="46"/>
        <v>0</v>
      </c>
      <c r="N212" s="96">
        <f t="shared" si="46"/>
        <v>0</v>
      </c>
      <c r="O212" s="96">
        <f t="shared" si="46"/>
        <v>0</v>
      </c>
      <c r="P212" s="96">
        <f t="shared" si="46"/>
        <v>0</v>
      </c>
      <c r="Q212" s="96">
        <f t="shared" si="46"/>
        <v>0</v>
      </c>
      <c r="R212" s="36"/>
      <c r="S212" s="36"/>
      <c r="T212" s="36"/>
      <c r="U212" s="36"/>
      <c r="V212" s="36"/>
      <c r="W212" s="36"/>
      <c r="X212" s="36"/>
      <c r="Y212" s="8"/>
      <c r="Z212" s="8"/>
      <c r="AA212" s="42"/>
      <c r="AB212" s="9"/>
      <c r="AC212" s="9"/>
      <c r="AD212" s="9"/>
      <c r="AE212" s="204"/>
      <c r="AF212" s="204"/>
      <c r="AG212" s="204"/>
      <c r="AH212" s="204"/>
      <c r="AI212" s="204"/>
      <c r="AJ212" s="204"/>
      <c r="AK212" s="204"/>
      <c r="AL212" s="204"/>
      <c r="AM212" s="204"/>
      <c r="AN212" s="204"/>
      <c r="AO212" s="204"/>
      <c r="AP212" s="204"/>
      <c r="AQ212" s="204"/>
      <c r="AR212" s="204"/>
      <c r="AS212" s="204"/>
      <c r="AT212" s="204"/>
      <c r="AU212" s="204"/>
    </row>
    <row r="213" spans="1:47" hidden="1" outlineLevel="1">
      <c r="A213" s="12"/>
      <c r="B213" s="12"/>
      <c r="C213" s="12"/>
      <c r="D213" s="12"/>
      <c r="E213" s="12"/>
      <c r="F213" s="177" t="str">
        <f>Asset3</f>
        <v>Protection and Control</v>
      </c>
      <c r="G213" s="180">
        <f t="shared" ref="G213:Q213" si="47">(G145-G179)/G$246</f>
        <v>6.5339999999999998</v>
      </c>
      <c r="H213" s="96">
        <f t="shared" si="47"/>
        <v>0</v>
      </c>
      <c r="I213" s="96">
        <f t="shared" si="47"/>
        <v>-4.173567251461989E-2</v>
      </c>
      <c r="J213" s="96">
        <f t="shared" si="47"/>
        <v>0</v>
      </c>
      <c r="K213" s="96">
        <f t="shared" si="47"/>
        <v>0</v>
      </c>
      <c r="L213" s="96">
        <f t="shared" si="47"/>
        <v>0</v>
      </c>
      <c r="M213" s="96">
        <f t="shared" si="47"/>
        <v>0</v>
      </c>
      <c r="N213" s="96">
        <f t="shared" si="47"/>
        <v>0</v>
      </c>
      <c r="O213" s="96">
        <f t="shared" si="47"/>
        <v>0</v>
      </c>
      <c r="P213" s="96">
        <f t="shared" si="47"/>
        <v>0</v>
      </c>
      <c r="Q213" s="96">
        <f t="shared" si="47"/>
        <v>0</v>
      </c>
      <c r="R213" s="36"/>
      <c r="S213" s="36"/>
      <c r="T213" s="36"/>
      <c r="U213" s="36"/>
      <c r="V213" s="36"/>
      <c r="W213" s="36"/>
      <c r="X213" s="36"/>
      <c r="Y213" s="8"/>
      <c r="Z213" s="8"/>
      <c r="AA213" s="42"/>
      <c r="AB213" s="9"/>
      <c r="AC213" s="9"/>
      <c r="AD213" s="9"/>
      <c r="AE213" s="204"/>
      <c r="AF213" s="204"/>
      <c r="AG213" s="204"/>
      <c r="AH213" s="204"/>
      <c r="AI213" s="204"/>
      <c r="AJ213" s="204"/>
      <c r="AK213" s="204"/>
      <c r="AL213" s="204"/>
      <c r="AM213" s="204"/>
      <c r="AN213" s="204"/>
      <c r="AO213" s="204"/>
      <c r="AP213" s="204"/>
      <c r="AQ213" s="204"/>
      <c r="AR213" s="204"/>
      <c r="AS213" s="204"/>
      <c r="AT213" s="204"/>
      <c r="AU213" s="204"/>
    </row>
    <row r="214" spans="1:47" hidden="1" outlineLevel="1">
      <c r="A214" s="12"/>
      <c r="B214" s="12"/>
      <c r="C214" s="12"/>
      <c r="D214" s="12"/>
      <c r="E214" s="12"/>
      <c r="F214" s="177" t="str">
        <f>Asset4</f>
        <v>Refurbishment</v>
      </c>
      <c r="G214" s="180">
        <f t="shared" ref="G214:Q214" si="48">(G146-G180)/G$246</f>
        <v>0</v>
      </c>
      <c r="H214" s="96">
        <f t="shared" si="48"/>
        <v>0</v>
      </c>
      <c r="I214" s="96">
        <f t="shared" si="48"/>
        <v>0</v>
      </c>
      <c r="J214" s="96">
        <f t="shared" si="48"/>
        <v>0</v>
      </c>
      <c r="K214" s="96">
        <f t="shared" si="48"/>
        <v>0</v>
      </c>
      <c r="L214" s="96">
        <f t="shared" si="48"/>
        <v>0</v>
      </c>
      <c r="M214" s="96">
        <f t="shared" si="48"/>
        <v>0</v>
      </c>
      <c r="N214" s="96">
        <f t="shared" si="48"/>
        <v>0</v>
      </c>
      <c r="O214" s="96">
        <f t="shared" si="48"/>
        <v>0</v>
      </c>
      <c r="P214" s="96">
        <f t="shared" si="48"/>
        <v>0</v>
      </c>
      <c r="Q214" s="96">
        <f t="shared" si="48"/>
        <v>0</v>
      </c>
      <c r="R214" s="36"/>
      <c r="S214" s="36"/>
      <c r="T214" s="36"/>
      <c r="U214" s="36"/>
      <c r="V214" s="36"/>
      <c r="W214" s="36"/>
      <c r="X214" s="36"/>
      <c r="Y214" s="8"/>
      <c r="Z214" s="8"/>
      <c r="AA214" s="42"/>
      <c r="AB214" s="9"/>
      <c r="AC214" s="9"/>
      <c r="AD214" s="9"/>
      <c r="AE214" s="204"/>
      <c r="AF214" s="204"/>
      <c r="AG214" s="204"/>
      <c r="AH214" s="204"/>
      <c r="AI214" s="204"/>
      <c r="AJ214" s="204"/>
      <c r="AK214" s="204"/>
      <c r="AL214" s="204"/>
      <c r="AM214" s="204"/>
      <c r="AN214" s="204"/>
      <c r="AO214" s="204"/>
      <c r="AP214" s="204"/>
      <c r="AQ214" s="204"/>
      <c r="AR214" s="204"/>
      <c r="AS214" s="204"/>
      <c r="AT214" s="204"/>
      <c r="AU214" s="204"/>
    </row>
    <row r="215" spans="1:47" hidden="1" outlineLevel="1">
      <c r="A215" s="12"/>
      <c r="B215" s="12"/>
      <c r="C215" s="12"/>
      <c r="D215" s="12"/>
      <c r="E215" s="12"/>
      <c r="F215" s="177" t="str">
        <f>Asset5</f>
        <v>Other</v>
      </c>
      <c r="G215" s="180">
        <f t="shared" ref="G215:Q215" si="49">(G147-G181)/G$246</f>
        <v>-4.9999999999999975E-3</v>
      </c>
      <c r="H215" s="96">
        <f t="shared" si="49"/>
        <v>0</v>
      </c>
      <c r="I215" s="96">
        <f t="shared" si="49"/>
        <v>0</v>
      </c>
      <c r="J215" s="96">
        <f t="shared" si="49"/>
        <v>0</v>
      </c>
      <c r="K215" s="96">
        <f t="shared" si="49"/>
        <v>0</v>
      </c>
      <c r="L215" s="96">
        <f t="shared" si="49"/>
        <v>0</v>
      </c>
      <c r="M215" s="96">
        <f t="shared" si="49"/>
        <v>0</v>
      </c>
      <c r="N215" s="96">
        <f t="shared" si="49"/>
        <v>0</v>
      </c>
      <c r="O215" s="96">
        <f t="shared" si="49"/>
        <v>0</v>
      </c>
      <c r="P215" s="96">
        <f t="shared" si="49"/>
        <v>0</v>
      </c>
      <c r="Q215" s="96">
        <f t="shared" si="49"/>
        <v>0</v>
      </c>
      <c r="R215" s="36"/>
      <c r="S215" s="36"/>
      <c r="T215" s="36"/>
      <c r="U215" s="36"/>
      <c r="V215" s="36"/>
      <c r="W215" s="36"/>
      <c r="X215" s="36"/>
      <c r="Y215" s="8"/>
      <c r="Z215" s="8"/>
      <c r="AA215" s="42"/>
      <c r="AB215" s="9"/>
      <c r="AC215" s="9"/>
      <c r="AD215" s="9"/>
      <c r="AE215" s="204"/>
      <c r="AF215" s="204"/>
      <c r="AG215" s="204"/>
      <c r="AH215" s="204"/>
      <c r="AI215" s="204"/>
      <c r="AJ215" s="204"/>
      <c r="AK215" s="204"/>
      <c r="AL215" s="204"/>
      <c r="AM215" s="204"/>
      <c r="AN215" s="204"/>
      <c r="AO215" s="204"/>
      <c r="AP215" s="204"/>
      <c r="AQ215" s="204"/>
      <c r="AR215" s="204"/>
      <c r="AS215" s="204"/>
      <c r="AT215" s="204"/>
      <c r="AU215" s="204"/>
    </row>
    <row r="216" spans="1:47" hidden="1" outlineLevel="1">
      <c r="A216" s="12"/>
      <c r="B216" s="12"/>
      <c r="C216" s="12"/>
      <c r="D216" s="12"/>
      <c r="E216" s="12"/>
      <c r="F216" s="177" t="str">
        <f>Asset6</f>
        <v>Other - IT</v>
      </c>
      <c r="G216" s="180">
        <f t="shared" ref="G216:Q216" si="50">(G148-G182)/G$246</f>
        <v>9.6840000000000011</v>
      </c>
      <c r="H216" s="96">
        <f t="shared" si="50"/>
        <v>0</v>
      </c>
      <c r="I216" s="96">
        <f t="shared" si="50"/>
        <v>-4.7426900584795319E-3</v>
      </c>
      <c r="J216" s="96">
        <f t="shared" si="50"/>
        <v>0</v>
      </c>
      <c r="K216" s="96">
        <f t="shared" si="50"/>
        <v>0</v>
      </c>
      <c r="L216" s="96">
        <f t="shared" si="50"/>
        <v>0</v>
      </c>
      <c r="M216" s="96">
        <f t="shared" si="50"/>
        <v>0</v>
      </c>
      <c r="N216" s="96">
        <f t="shared" si="50"/>
        <v>0</v>
      </c>
      <c r="O216" s="96">
        <f t="shared" si="50"/>
        <v>0</v>
      </c>
      <c r="P216" s="96">
        <f t="shared" si="50"/>
        <v>0</v>
      </c>
      <c r="Q216" s="96">
        <f t="shared" si="50"/>
        <v>0</v>
      </c>
      <c r="R216" s="36"/>
      <c r="S216" s="36"/>
      <c r="T216" s="36"/>
      <c r="U216" s="36"/>
      <c r="V216" s="36"/>
      <c r="W216" s="36"/>
      <c r="X216" s="36"/>
      <c r="Y216" s="8"/>
      <c r="Z216" s="8"/>
      <c r="AA216" s="42"/>
      <c r="AB216" s="9"/>
      <c r="AC216" s="9"/>
      <c r="AD216" s="9"/>
      <c r="AE216" s="204"/>
      <c r="AF216" s="204"/>
      <c r="AG216" s="204"/>
      <c r="AH216" s="204"/>
      <c r="AI216" s="204"/>
      <c r="AJ216" s="204"/>
      <c r="AK216" s="204"/>
      <c r="AL216" s="204"/>
      <c r="AM216" s="204"/>
      <c r="AN216" s="204"/>
      <c r="AO216" s="204"/>
      <c r="AP216" s="204"/>
      <c r="AQ216" s="204"/>
      <c r="AR216" s="204"/>
      <c r="AS216" s="204"/>
      <c r="AT216" s="204"/>
      <c r="AU216" s="204"/>
    </row>
    <row r="217" spans="1:47" hidden="1" outlineLevel="1">
      <c r="A217" s="12"/>
      <c r="B217" s="12"/>
      <c r="C217" s="12"/>
      <c r="D217" s="12"/>
      <c r="E217" s="12"/>
      <c r="F217" s="177" t="str">
        <f>Asset7</f>
        <v>Other - General</v>
      </c>
      <c r="G217" s="180">
        <f t="shared" ref="G217:Q217" si="51">(G149-G183)/G$246</f>
        <v>1.2129999999999999</v>
      </c>
      <c r="H217" s="96">
        <f t="shared" si="51"/>
        <v>0</v>
      </c>
      <c r="I217" s="96">
        <f t="shared" si="51"/>
        <v>0</v>
      </c>
      <c r="J217" s="96">
        <f t="shared" si="51"/>
        <v>0</v>
      </c>
      <c r="K217" s="96">
        <f t="shared" si="51"/>
        <v>0</v>
      </c>
      <c r="L217" s="96">
        <f t="shared" si="51"/>
        <v>0</v>
      </c>
      <c r="M217" s="96">
        <f t="shared" si="51"/>
        <v>0</v>
      </c>
      <c r="N217" s="96">
        <f t="shared" si="51"/>
        <v>0</v>
      </c>
      <c r="O217" s="96">
        <f t="shared" si="51"/>
        <v>0</v>
      </c>
      <c r="P217" s="96">
        <f t="shared" si="51"/>
        <v>0</v>
      </c>
      <c r="Q217" s="96">
        <f t="shared" si="51"/>
        <v>0</v>
      </c>
      <c r="R217" s="36"/>
      <c r="S217" s="36"/>
      <c r="T217" s="36"/>
      <c r="U217" s="36"/>
      <c r="V217" s="36"/>
      <c r="W217" s="36"/>
      <c r="X217" s="36"/>
      <c r="Y217" s="8"/>
      <c r="Z217" s="8"/>
      <c r="AA217" s="42"/>
      <c r="AB217" s="9"/>
      <c r="AC217" s="9"/>
      <c r="AD217" s="9"/>
      <c r="AE217" s="204"/>
      <c r="AF217" s="204"/>
      <c r="AG217" s="204"/>
      <c r="AH217" s="204"/>
      <c r="AI217" s="204"/>
      <c r="AJ217" s="204"/>
      <c r="AK217" s="204"/>
      <c r="AL217" s="204"/>
      <c r="AM217" s="204"/>
      <c r="AN217" s="204"/>
      <c r="AO217" s="204"/>
      <c r="AP217" s="204"/>
      <c r="AQ217" s="204"/>
      <c r="AR217" s="204"/>
      <c r="AS217" s="204"/>
      <c r="AT217" s="204"/>
      <c r="AU217" s="204"/>
    </row>
    <row r="218" spans="1:47" hidden="1" outlineLevel="1">
      <c r="A218" s="12"/>
      <c r="B218" s="12"/>
      <c r="C218" s="12"/>
      <c r="D218" s="12"/>
      <c r="E218" s="12"/>
      <c r="F218" s="177" t="str">
        <f>Asset8</f>
        <v>Other - Buildings</v>
      </c>
      <c r="G218" s="180">
        <f t="shared" ref="G218:Q218" si="52">(G150-G184)/G$246</f>
        <v>5.7990000000000004</v>
      </c>
      <c r="H218" s="96">
        <f t="shared" si="52"/>
        <v>0</v>
      </c>
      <c r="I218" s="96">
        <f t="shared" si="52"/>
        <v>0</v>
      </c>
      <c r="J218" s="96">
        <f t="shared" si="52"/>
        <v>0</v>
      </c>
      <c r="K218" s="96">
        <f t="shared" si="52"/>
        <v>0</v>
      </c>
      <c r="L218" s="96">
        <f t="shared" si="52"/>
        <v>0</v>
      </c>
      <c r="M218" s="96">
        <f t="shared" si="52"/>
        <v>0</v>
      </c>
      <c r="N218" s="96">
        <f t="shared" si="52"/>
        <v>0</v>
      </c>
      <c r="O218" s="96">
        <f t="shared" si="52"/>
        <v>0</v>
      </c>
      <c r="P218" s="96">
        <f t="shared" si="52"/>
        <v>0</v>
      </c>
      <c r="Q218" s="96">
        <f t="shared" si="52"/>
        <v>0</v>
      </c>
      <c r="R218" s="36"/>
      <c r="S218" s="36"/>
      <c r="T218" s="36"/>
      <c r="U218" s="36"/>
      <c r="V218" s="36"/>
      <c r="W218" s="36"/>
      <c r="X218" s="36"/>
      <c r="Y218" s="8"/>
      <c r="Z218" s="8"/>
      <c r="AA218" s="42"/>
      <c r="AB218" s="9"/>
      <c r="AC218" s="9"/>
      <c r="AD218" s="9"/>
      <c r="AE218" s="204"/>
      <c r="AF218" s="204"/>
      <c r="AG218" s="204"/>
      <c r="AH218" s="204"/>
      <c r="AI218" s="204"/>
      <c r="AJ218" s="204"/>
      <c r="AK218" s="204"/>
      <c r="AL218" s="204"/>
      <c r="AM218" s="204"/>
      <c r="AN218" s="204"/>
      <c r="AO218" s="204"/>
      <c r="AP218" s="204"/>
      <c r="AQ218" s="204"/>
      <c r="AR218" s="204"/>
      <c r="AS218" s="204"/>
      <c r="AT218" s="204"/>
      <c r="AU218" s="204"/>
    </row>
    <row r="219" spans="1:47" hidden="1" outlineLevel="1">
      <c r="A219" s="12"/>
      <c r="B219" s="12"/>
      <c r="C219" s="12"/>
      <c r="D219" s="12"/>
      <c r="E219" s="12"/>
      <c r="F219" s="177" t="str">
        <f>Asset9</f>
        <v>Land and Easements</v>
      </c>
      <c r="G219" s="180">
        <f t="shared" ref="G219:Q219" si="53">(G151-G185)/G$246</f>
        <v>0.53</v>
      </c>
      <c r="H219" s="96">
        <f t="shared" si="53"/>
        <v>0</v>
      </c>
      <c r="I219" s="96">
        <f t="shared" si="53"/>
        <v>0</v>
      </c>
      <c r="J219" s="96">
        <f t="shared" si="53"/>
        <v>0</v>
      </c>
      <c r="K219" s="96">
        <f t="shared" si="53"/>
        <v>0</v>
      </c>
      <c r="L219" s="96">
        <f t="shared" si="53"/>
        <v>0</v>
      </c>
      <c r="M219" s="96">
        <f t="shared" si="53"/>
        <v>0</v>
      </c>
      <c r="N219" s="96">
        <f t="shared" si="53"/>
        <v>0</v>
      </c>
      <c r="O219" s="96">
        <f t="shared" si="53"/>
        <v>0</v>
      </c>
      <c r="P219" s="96">
        <f t="shared" si="53"/>
        <v>0</v>
      </c>
      <c r="Q219" s="96">
        <f t="shared" si="53"/>
        <v>0</v>
      </c>
      <c r="R219" s="36"/>
      <c r="S219" s="36"/>
      <c r="T219" s="36"/>
      <c r="U219" s="36"/>
      <c r="V219" s="36"/>
      <c r="W219" s="36"/>
      <c r="X219" s="36"/>
      <c r="Y219" s="8"/>
      <c r="Z219" s="8"/>
      <c r="AA219" s="42"/>
      <c r="AB219" s="9"/>
      <c r="AC219" s="9"/>
      <c r="AD219" s="9"/>
      <c r="AE219" s="204"/>
      <c r="AF219" s="204"/>
      <c r="AG219" s="204"/>
      <c r="AH219" s="204"/>
      <c r="AI219" s="204"/>
      <c r="AJ219" s="204"/>
      <c r="AK219" s="204"/>
      <c r="AL219" s="204"/>
      <c r="AM219" s="204"/>
      <c r="AN219" s="204"/>
      <c r="AO219" s="204"/>
      <c r="AP219" s="204"/>
      <c r="AQ219" s="204"/>
      <c r="AR219" s="204"/>
      <c r="AS219" s="204"/>
      <c r="AT219" s="204"/>
      <c r="AU219" s="204"/>
    </row>
    <row r="220" spans="1:47" hidden="1" outlineLevel="1">
      <c r="A220" s="12"/>
      <c r="B220" s="12"/>
      <c r="C220" s="12"/>
      <c r="D220" s="12"/>
      <c r="E220" s="12"/>
      <c r="F220" s="177" t="str">
        <f>Asset10</f>
        <v>Transmission line assets - long life (60)</v>
      </c>
      <c r="G220" s="180">
        <f t="shared" ref="G220:Q220" si="54">(G152-G186)/G$246</f>
        <v>0</v>
      </c>
      <c r="H220" s="96">
        <f t="shared" si="54"/>
        <v>1.1688530180505414</v>
      </c>
      <c r="I220" s="96">
        <f t="shared" si="54"/>
        <v>104.96521637426899</v>
      </c>
      <c r="J220" s="96">
        <f t="shared" si="54"/>
        <v>16.17226711941143</v>
      </c>
      <c r="K220" s="96">
        <f t="shared" si="54"/>
        <v>8.7994629526462376</v>
      </c>
      <c r="L220" s="96">
        <f t="shared" si="54"/>
        <v>36.415873692724738</v>
      </c>
      <c r="M220" s="96">
        <f t="shared" si="54"/>
        <v>0</v>
      </c>
      <c r="N220" s="96">
        <f t="shared" si="54"/>
        <v>0</v>
      </c>
      <c r="O220" s="96">
        <f t="shared" si="54"/>
        <v>0</v>
      </c>
      <c r="P220" s="96">
        <f t="shared" si="54"/>
        <v>0</v>
      </c>
      <c r="Q220" s="96">
        <f t="shared" si="54"/>
        <v>0</v>
      </c>
      <c r="R220" s="36"/>
      <c r="S220" s="36"/>
      <c r="T220" s="36"/>
      <c r="U220" s="36"/>
      <c r="V220" s="36"/>
      <c r="W220" s="36"/>
      <c r="X220" s="36"/>
      <c r="Y220" s="8"/>
      <c r="Z220" s="8"/>
      <c r="AA220" s="42"/>
      <c r="AB220" s="9"/>
      <c r="AC220" s="9"/>
      <c r="AD220" s="9"/>
      <c r="AE220" s="204"/>
      <c r="AF220" s="204"/>
      <c r="AG220" s="204"/>
      <c r="AH220" s="204"/>
      <c r="AI220" s="204"/>
      <c r="AJ220" s="204"/>
      <c r="AK220" s="204"/>
      <c r="AL220" s="204"/>
      <c r="AM220" s="204"/>
      <c r="AN220" s="204"/>
      <c r="AO220" s="204"/>
      <c r="AP220" s="204"/>
      <c r="AQ220" s="204"/>
      <c r="AR220" s="204"/>
      <c r="AS220" s="204"/>
      <c r="AT220" s="204"/>
      <c r="AU220" s="204"/>
    </row>
    <row r="221" spans="1:47" hidden="1" outlineLevel="1">
      <c r="A221" s="12"/>
      <c r="B221" s="12"/>
      <c r="C221" s="12"/>
      <c r="D221" s="12"/>
      <c r="E221" s="12"/>
      <c r="F221" s="177" t="str">
        <f>Asset11</f>
        <v>Transmission line assets - medium life (45)</v>
      </c>
      <c r="G221" s="180">
        <f t="shared" ref="G221:Q221" si="55">(G153-G187)/G$246</f>
        <v>0</v>
      </c>
      <c r="H221" s="96">
        <f t="shared" si="55"/>
        <v>1.2545613718411551E-2</v>
      </c>
      <c r="I221" s="96">
        <f t="shared" si="55"/>
        <v>2.845614035087719E-2</v>
      </c>
      <c r="J221" s="96">
        <f t="shared" si="55"/>
        <v>0.17349066213921902</v>
      </c>
      <c r="K221" s="96">
        <f t="shared" si="55"/>
        <v>0.34427966573816154</v>
      </c>
      <c r="L221" s="96">
        <f t="shared" si="55"/>
        <v>0.13385520496496342</v>
      </c>
      <c r="M221" s="96">
        <f t="shared" si="55"/>
        <v>0</v>
      </c>
      <c r="N221" s="96">
        <f t="shared" si="55"/>
        <v>0</v>
      </c>
      <c r="O221" s="96">
        <f t="shared" si="55"/>
        <v>0</v>
      </c>
      <c r="P221" s="96">
        <f t="shared" si="55"/>
        <v>0</v>
      </c>
      <c r="Q221" s="96">
        <f t="shared" si="55"/>
        <v>0</v>
      </c>
      <c r="R221" s="36"/>
      <c r="S221" s="36"/>
      <c r="T221" s="36"/>
      <c r="U221" s="36"/>
      <c r="V221" s="36"/>
      <c r="W221" s="36"/>
      <c r="X221" s="36"/>
      <c r="Y221" s="8"/>
      <c r="Z221" s="8"/>
      <c r="AA221" s="42"/>
      <c r="AB221" s="9"/>
      <c r="AC221" s="9"/>
      <c r="AD221" s="9"/>
      <c r="AE221" s="204"/>
      <c r="AF221" s="204"/>
      <c r="AG221" s="204"/>
      <c r="AH221" s="204"/>
      <c r="AI221" s="204"/>
      <c r="AJ221" s="204"/>
      <c r="AK221" s="204"/>
      <c r="AL221" s="204"/>
      <c r="AM221" s="204"/>
      <c r="AN221" s="204"/>
      <c r="AO221" s="204"/>
      <c r="AP221" s="204"/>
      <c r="AQ221" s="204"/>
      <c r="AR221" s="204"/>
      <c r="AS221" s="204"/>
      <c r="AT221" s="204"/>
      <c r="AU221" s="204"/>
    </row>
    <row r="222" spans="1:47" hidden="1" outlineLevel="1">
      <c r="A222" s="12"/>
      <c r="B222" s="12"/>
      <c r="C222" s="12"/>
      <c r="D222" s="12"/>
      <c r="E222" s="12"/>
      <c r="F222" s="177" t="str">
        <f>Asset12</f>
        <v>Transmission line assets - short life (10)</v>
      </c>
      <c r="G222" s="180">
        <f t="shared" ref="G222:Q222" si="56">(G154-G188)/G$246</f>
        <v>0</v>
      </c>
      <c r="H222" s="96">
        <f t="shared" si="56"/>
        <v>0.35160704933814674</v>
      </c>
      <c r="I222" s="96">
        <f t="shared" si="56"/>
        <v>0.36329005847953216</v>
      </c>
      <c r="J222" s="96">
        <f t="shared" si="56"/>
        <v>0.47457498585172608</v>
      </c>
      <c r="K222" s="96">
        <f t="shared" si="56"/>
        <v>0.57651030640668521</v>
      </c>
      <c r="L222" s="96">
        <f t="shared" si="56"/>
        <v>3.0983390641008515</v>
      </c>
      <c r="M222" s="96">
        <f t="shared" si="56"/>
        <v>0</v>
      </c>
      <c r="N222" s="96">
        <f t="shared" si="56"/>
        <v>0</v>
      </c>
      <c r="O222" s="96">
        <f t="shared" si="56"/>
        <v>0</v>
      </c>
      <c r="P222" s="96">
        <f t="shared" si="56"/>
        <v>0</v>
      </c>
      <c r="Q222" s="96">
        <f t="shared" si="56"/>
        <v>0</v>
      </c>
      <c r="R222" s="36"/>
      <c r="S222" s="36"/>
      <c r="T222" s="36"/>
      <c r="U222" s="36"/>
      <c r="V222" s="36"/>
      <c r="W222" s="36"/>
      <c r="X222" s="36"/>
      <c r="Y222" s="8"/>
      <c r="Z222" s="8"/>
      <c r="AA222" s="42"/>
      <c r="AB222" s="9"/>
      <c r="AC222" s="9"/>
      <c r="AD222" s="9"/>
      <c r="AE222" s="204"/>
      <c r="AF222" s="204"/>
      <c r="AG222" s="204"/>
      <c r="AH222" s="204"/>
      <c r="AI222" s="204"/>
      <c r="AJ222" s="204"/>
      <c r="AK222" s="204"/>
      <c r="AL222" s="204"/>
      <c r="AM222" s="204"/>
      <c r="AN222" s="204"/>
      <c r="AO222" s="204"/>
      <c r="AP222" s="204"/>
      <c r="AQ222" s="204"/>
      <c r="AR222" s="204"/>
      <c r="AS222" s="204"/>
      <c r="AT222" s="204"/>
      <c r="AU222" s="204"/>
    </row>
    <row r="223" spans="1:47" hidden="1" outlineLevel="1">
      <c r="A223" s="12"/>
      <c r="B223" s="12"/>
      <c r="C223" s="12"/>
      <c r="D223" s="12"/>
      <c r="E223" s="12"/>
      <c r="F223" s="177" t="str">
        <f>Asset13</f>
        <v>Substation assets - long life (60)</v>
      </c>
      <c r="G223" s="180">
        <f t="shared" ref="G223:Q223" si="57">(G155-G189)/G$246</f>
        <v>0</v>
      </c>
      <c r="H223" s="96">
        <f>(H155-H189)/H$246</f>
        <v>2.3191135439229842</v>
      </c>
      <c r="I223" s="96">
        <f t="shared" si="57"/>
        <v>20.781519298245613</v>
      </c>
      <c r="J223" s="96">
        <f t="shared" si="57"/>
        <v>9.9963667232597633</v>
      </c>
      <c r="K223" s="96">
        <f t="shared" si="57"/>
        <v>7.2145114206128129</v>
      </c>
      <c r="L223" s="96">
        <f t="shared" si="57"/>
        <v>8.6847049997346719</v>
      </c>
      <c r="M223" s="96">
        <f t="shared" si="57"/>
        <v>0</v>
      </c>
      <c r="N223" s="96">
        <f t="shared" si="57"/>
        <v>0</v>
      </c>
      <c r="O223" s="96">
        <f t="shared" si="57"/>
        <v>0</v>
      </c>
      <c r="P223" s="96">
        <f t="shared" si="57"/>
        <v>0</v>
      </c>
      <c r="Q223" s="96">
        <f t="shared" si="57"/>
        <v>0</v>
      </c>
      <c r="R223" s="36"/>
      <c r="S223" s="36"/>
      <c r="T223" s="36"/>
      <c r="U223" s="36"/>
      <c r="V223" s="36"/>
      <c r="W223" s="36"/>
      <c r="X223" s="36"/>
      <c r="Y223" s="8"/>
      <c r="Z223" s="8"/>
      <c r="AA223" s="42"/>
      <c r="AB223" s="9"/>
      <c r="AC223" s="9"/>
      <c r="AD223" s="9"/>
      <c r="AE223" s="204"/>
      <c r="AF223" s="204"/>
      <c r="AG223" s="204"/>
      <c r="AH223" s="204"/>
      <c r="AI223" s="204"/>
      <c r="AJ223" s="204"/>
      <c r="AK223" s="204"/>
      <c r="AL223" s="204"/>
      <c r="AM223" s="204"/>
      <c r="AN223" s="204"/>
      <c r="AO223" s="204"/>
      <c r="AP223" s="204"/>
      <c r="AQ223" s="204"/>
      <c r="AR223" s="204"/>
      <c r="AS223" s="204"/>
      <c r="AT223" s="204"/>
      <c r="AU223" s="204"/>
    </row>
    <row r="224" spans="1:47" hidden="1" outlineLevel="1">
      <c r="A224" s="12"/>
      <c r="B224" s="12"/>
      <c r="C224" s="12"/>
      <c r="D224" s="12"/>
      <c r="E224" s="12"/>
      <c r="F224" s="177" t="str">
        <f>Asset14</f>
        <v>Substation assets - medium life (45)</v>
      </c>
      <c r="G224" s="180">
        <f t="shared" ref="G224:Q224" si="58">(G156-G190)/G$246</f>
        <v>0</v>
      </c>
      <c r="H224" s="96">
        <f t="shared" si="58"/>
        <v>10.93297974368231</v>
      </c>
      <c r="I224" s="96">
        <f t="shared" si="58"/>
        <v>50.6519298245614</v>
      </c>
      <c r="J224" s="96">
        <f t="shared" si="58"/>
        <v>42.608021505376342</v>
      </c>
      <c r="K224" s="96">
        <f t="shared" si="58"/>
        <v>33.799949860724233</v>
      </c>
      <c r="L224" s="96">
        <f t="shared" si="58"/>
        <v>26.411527901361346</v>
      </c>
      <c r="M224" s="96">
        <f t="shared" si="58"/>
        <v>0</v>
      </c>
      <c r="N224" s="96">
        <f t="shared" si="58"/>
        <v>0</v>
      </c>
      <c r="O224" s="96">
        <f t="shared" si="58"/>
        <v>0</v>
      </c>
      <c r="P224" s="96">
        <f t="shared" si="58"/>
        <v>0</v>
      </c>
      <c r="Q224" s="96">
        <f t="shared" si="58"/>
        <v>0</v>
      </c>
      <c r="R224" s="36"/>
      <c r="S224" s="36"/>
      <c r="T224" s="36"/>
      <c r="U224" s="36"/>
      <c r="V224" s="36"/>
      <c r="W224" s="36"/>
      <c r="X224" s="36"/>
      <c r="Y224" s="8"/>
      <c r="Z224" s="8"/>
      <c r="AA224" s="42"/>
      <c r="AB224" s="9"/>
      <c r="AC224" s="9"/>
      <c r="AD224" s="9"/>
      <c r="AE224" s="204"/>
      <c r="AF224" s="204"/>
      <c r="AG224" s="204"/>
      <c r="AH224" s="204"/>
      <c r="AI224" s="204"/>
      <c r="AJ224" s="204"/>
      <c r="AK224" s="204"/>
      <c r="AL224" s="204"/>
      <c r="AM224" s="204"/>
      <c r="AN224" s="204"/>
      <c r="AO224" s="204"/>
      <c r="AP224" s="204"/>
      <c r="AQ224" s="204"/>
      <c r="AR224" s="204"/>
      <c r="AS224" s="204"/>
      <c r="AT224" s="204"/>
      <c r="AU224" s="204"/>
    </row>
    <row r="225" spans="1:47" hidden="1" outlineLevel="1">
      <c r="A225" s="12"/>
      <c r="B225" s="12"/>
      <c r="C225" s="12"/>
      <c r="D225" s="12"/>
      <c r="E225" s="12"/>
      <c r="F225" s="177" t="str">
        <f>Asset15</f>
        <v>Substation assets - short life (15)</v>
      </c>
      <c r="G225" s="180">
        <f t="shared" ref="G225:Q225" si="59">(G157-G191)/G$246</f>
        <v>0</v>
      </c>
      <c r="H225" s="96">
        <f t="shared" si="59"/>
        <v>11.475015643802646</v>
      </c>
      <c r="I225" s="96">
        <f t="shared" si="59"/>
        <v>1.4569543859649123</v>
      </c>
      <c r="J225" s="96">
        <f t="shared" si="59"/>
        <v>0.9895393322014715</v>
      </c>
      <c r="K225" s="96">
        <f t="shared" si="59"/>
        <v>3.6560512534818939</v>
      </c>
      <c r="L225" s="96">
        <f t="shared" si="59"/>
        <v>4.4176489475220118</v>
      </c>
      <c r="M225" s="96">
        <f t="shared" si="59"/>
        <v>0</v>
      </c>
      <c r="N225" s="96">
        <f t="shared" si="59"/>
        <v>0</v>
      </c>
      <c r="O225" s="96">
        <f t="shared" si="59"/>
        <v>0</v>
      </c>
      <c r="P225" s="96">
        <f t="shared" si="59"/>
        <v>0</v>
      </c>
      <c r="Q225" s="96">
        <f t="shared" si="59"/>
        <v>0</v>
      </c>
      <c r="R225" s="36"/>
      <c r="S225" s="36"/>
      <c r="T225" s="36"/>
      <c r="U225" s="36"/>
      <c r="V225" s="36"/>
      <c r="W225" s="36"/>
      <c r="X225" s="36"/>
      <c r="Y225" s="8"/>
      <c r="Z225" s="8"/>
      <c r="AA225" s="42"/>
      <c r="AB225" s="9"/>
      <c r="AC225" s="9"/>
      <c r="AD225" s="9"/>
      <c r="AE225" s="204"/>
      <c r="AF225" s="204"/>
      <c r="AG225" s="204"/>
      <c r="AH225" s="204"/>
      <c r="AI225" s="204"/>
      <c r="AJ225" s="204"/>
      <c r="AK225" s="204"/>
      <c r="AL225" s="204"/>
      <c r="AM225" s="204"/>
      <c r="AN225" s="204"/>
      <c r="AO225" s="204"/>
      <c r="AP225" s="204"/>
      <c r="AQ225" s="204"/>
      <c r="AR225" s="204"/>
      <c r="AS225" s="204"/>
      <c r="AT225" s="204"/>
      <c r="AU225" s="204"/>
    </row>
    <row r="226" spans="1:47" hidden="1" outlineLevel="1">
      <c r="A226" s="12"/>
      <c r="B226" s="12"/>
      <c r="C226" s="12"/>
      <c r="D226" s="12"/>
      <c r="E226" s="12"/>
      <c r="F226" s="177" t="str">
        <f>Asset16</f>
        <v>Protection and control - short life (15)</v>
      </c>
      <c r="G226" s="180">
        <f t="shared" ref="G226:Q226" si="60">(G158-G192)/G$246</f>
        <v>0</v>
      </c>
      <c r="H226" s="96">
        <f t="shared" si="60"/>
        <v>10.225339790613717</v>
      </c>
      <c r="I226" s="96">
        <f t="shared" si="60"/>
        <v>12.879249122807016</v>
      </c>
      <c r="J226" s="96">
        <f t="shared" si="60"/>
        <v>18.069649122807018</v>
      </c>
      <c r="K226" s="96">
        <f t="shared" si="60"/>
        <v>16.358254038997213</v>
      </c>
      <c r="L226" s="96">
        <f t="shared" si="60"/>
        <v>17.657601918632132</v>
      </c>
      <c r="M226" s="96">
        <f t="shared" si="60"/>
        <v>0</v>
      </c>
      <c r="N226" s="96">
        <f t="shared" si="60"/>
        <v>0</v>
      </c>
      <c r="O226" s="96">
        <f t="shared" si="60"/>
        <v>0</v>
      </c>
      <c r="P226" s="96">
        <f t="shared" si="60"/>
        <v>0</v>
      </c>
      <c r="Q226" s="96">
        <f t="shared" si="60"/>
        <v>0</v>
      </c>
      <c r="R226" s="36"/>
      <c r="S226" s="36"/>
      <c r="T226" s="36"/>
      <c r="U226" s="36"/>
      <c r="V226" s="36"/>
      <c r="W226" s="36"/>
      <c r="X226" s="36"/>
      <c r="Y226" s="8"/>
      <c r="Z226" s="8"/>
      <c r="AA226" s="42"/>
      <c r="AB226" s="9"/>
      <c r="AC226" s="9"/>
      <c r="AD226" s="9"/>
      <c r="AE226" s="204"/>
      <c r="AF226" s="204"/>
      <c r="AG226" s="204"/>
      <c r="AH226" s="204"/>
      <c r="AI226" s="204"/>
      <c r="AJ226" s="204"/>
      <c r="AK226" s="204"/>
      <c r="AL226" s="204"/>
      <c r="AM226" s="204"/>
      <c r="AN226" s="204"/>
      <c r="AO226" s="204"/>
      <c r="AP226" s="204"/>
      <c r="AQ226" s="204"/>
      <c r="AR226" s="204"/>
      <c r="AS226" s="204"/>
      <c r="AT226" s="204"/>
      <c r="AU226" s="204"/>
    </row>
    <row r="227" spans="1:47" hidden="1" outlineLevel="1">
      <c r="A227" s="12"/>
      <c r="B227" s="12"/>
      <c r="C227" s="12"/>
      <c r="D227" s="12"/>
      <c r="E227" s="12"/>
      <c r="F227" s="177" t="str">
        <f>Asset17</f>
        <v>Protection and control - short life (4)</v>
      </c>
      <c r="G227" s="180">
        <f t="shared" ref="G227:Q227" si="61">(G159-G193)/G$246</f>
        <v>0</v>
      </c>
      <c r="H227" s="96">
        <f t="shared" si="61"/>
        <v>4.025526835138387E-2</v>
      </c>
      <c r="I227" s="96">
        <f t="shared" si="61"/>
        <v>6.9243274853801162E-2</v>
      </c>
      <c r="J227" s="96">
        <f t="shared" si="61"/>
        <v>1.1602761743067347</v>
      </c>
      <c r="K227" s="96">
        <f t="shared" si="61"/>
        <v>0.27198997214484677</v>
      </c>
      <c r="L227" s="96">
        <f t="shared" si="61"/>
        <v>0</v>
      </c>
      <c r="M227" s="96">
        <f t="shared" si="61"/>
        <v>0</v>
      </c>
      <c r="N227" s="96">
        <f t="shared" si="61"/>
        <v>0</v>
      </c>
      <c r="O227" s="96">
        <f t="shared" si="61"/>
        <v>0</v>
      </c>
      <c r="P227" s="96">
        <f t="shared" si="61"/>
        <v>0</v>
      </c>
      <c r="Q227" s="96">
        <f t="shared" si="61"/>
        <v>0</v>
      </c>
      <c r="R227" s="36"/>
      <c r="S227" s="36"/>
      <c r="T227" s="36"/>
      <c r="U227" s="36"/>
      <c r="V227" s="36"/>
      <c r="W227" s="36"/>
      <c r="X227" s="36"/>
      <c r="Y227" s="8"/>
      <c r="Z227" s="8"/>
      <c r="AA227" s="42"/>
      <c r="AB227" s="9"/>
      <c r="AC227" s="9"/>
      <c r="AD227" s="9"/>
      <c r="AE227" s="204"/>
      <c r="AF227" s="204"/>
      <c r="AG227" s="204"/>
      <c r="AH227" s="204"/>
      <c r="AI227" s="204"/>
      <c r="AJ227" s="204"/>
      <c r="AK227" s="204"/>
      <c r="AL227" s="204"/>
      <c r="AM227" s="204"/>
      <c r="AN227" s="204"/>
      <c r="AO227" s="204"/>
      <c r="AP227" s="204"/>
      <c r="AQ227" s="204"/>
      <c r="AR227" s="204"/>
      <c r="AS227" s="204"/>
      <c r="AT227" s="204"/>
      <c r="AU227" s="204"/>
    </row>
    <row r="228" spans="1:47" hidden="1" outlineLevel="1">
      <c r="A228" s="12"/>
      <c r="B228" s="12"/>
      <c r="C228" s="12"/>
      <c r="D228" s="12"/>
      <c r="E228" s="12"/>
      <c r="F228" s="177" t="str">
        <f>Asset18</f>
        <v>Transmission operations - short life (10)</v>
      </c>
      <c r="G228" s="180">
        <f t="shared" ref="G228:Q228" si="62">(G160-G194)/G$246</f>
        <v>0</v>
      </c>
      <c r="H228" s="96">
        <f t="shared" si="62"/>
        <v>1.1064421275571601</v>
      </c>
      <c r="I228" s="96">
        <f t="shared" si="62"/>
        <v>1.5081754385964912</v>
      </c>
      <c r="J228" s="96">
        <f t="shared" si="62"/>
        <v>2.344418788907753</v>
      </c>
      <c r="K228" s="96">
        <f t="shared" si="62"/>
        <v>1.6436869080779941</v>
      </c>
      <c r="L228" s="96">
        <f t="shared" si="62"/>
        <v>1.3218200300183995</v>
      </c>
      <c r="M228" s="96">
        <f t="shared" si="62"/>
        <v>0</v>
      </c>
      <c r="N228" s="96">
        <f t="shared" si="62"/>
        <v>0</v>
      </c>
      <c r="O228" s="96">
        <f t="shared" si="62"/>
        <v>0</v>
      </c>
      <c r="P228" s="96">
        <f t="shared" si="62"/>
        <v>0</v>
      </c>
      <c r="Q228" s="96">
        <f t="shared" si="62"/>
        <v>0</v>
      </c>
      <c r="R228" s="36"/>
      <c r="S228" s="36"/>
      <c r="T228" s="36"/>
      <c r="U228" s="36"/>
      <c r="V228" s="36"/>
      <c r="W228" s="36"/>
      <c r="X228" s="36"/>
      <c r="Y228" s="8"/>
      <c r="Z228" s="8"/>
      <c r="AA228" s="42"/>
      <c r="AB228" s="9"/>
      <c r="AC228" s="9"/>
      <c r="AD228" s="9"/>
      <c r="AE228" s="204"/>
      <c r="AF228" s="204"/>
      <c r="AG228" s="204"/>
      <c r="AH228" s="204"/>
      <c r="AI228" s="204"/>
      <c r="AJ228" s="204"/>
      <c r="AK228" s="204"/>
      <c r="AL228" s="204"/>
      <c r="AM228" s="204"/>
      <c r="AN228" s="204"/>
      <c r="AO228" s="204"/>
      <c r="AP228" s="204"/>
      <c r="AQ228" s="204"/>
      <c r="AR228" s="204"/>
      <c r="AS228" s="204"/>
      <c r="AT228" s="204"/>
      <c r="AU228" s="204"/>
    </row>
    <row r="229" spans="1:47" hidden="1" outlineLevel="1">
      <c r="A229" s="12"/>
      <c r="B229" s="12"/>
      <c r="C229" s="12"/>
      <c r="D229" s="12"/>
      <c r="E229" s="12"/>
      <c r="F229" s="177" t="str">
        <f>Asset19</f>
        <v>Transmission operations - short life (4)</v>
      </c>
      <c r="G229" s="180">
        <f t="shared" ref="G229:Q229" si="63">(G161-G195)/G$246</f>
        <v>0</v>
      </c>
      <c r="H229" s="96">
        <f t="shared" si="63"/>
        <v>4.3444616125150416E-2</v>
      </c>
      <c r="I229" s="96">
        <f t="shared" si="63"/>
        <v>6.0706432748538007E-2</v>
      </c>
      <c r="J229" s="96">
        <f t="shared" si="63"/>
        <v>0</v>
      </c>
      <c r="K229" s="96">
        <f t="shared" si="63"/>
        <v>0.14367576601671309</v>
      </c>
      <c r="L229" s="96">
        <f t="shared" si="63"/>
        <v>0</v>
      </c>
      <c r="M229" s="96">
        <f t="shared" si="63"/>
        <v>0</v>
      </c>
      <c r="N229" s="96">
        <f t="shared" si="63"/>
        <v>0</v>
      </c>
      <c r="O229" s="96">
        <f t="shared" si="63"/>
        <v>0</v>
      </c>
      <c r="P229" s="96">
        <f t="shared" si="63"/>
        <v>0</v>
      </c>
      <c r="Q229" s="96">
        <f t="shared" si="63"/>
        <v>0</v>
      </c>
      <c r="R229" s="36"/>
      <c r="S229" s="36"/>
      <c r="T229" s="36"/>
      <c r="U229" s="36"/>
      <c r="V229" s="36"/>
      <c r="W229" s="36"/>
      <c r="X229" s="36"/>
      <c r="Y229" s="8"/>
      <c r="Z229" s="8"/>
      <c r="AA229" s="42"/>
      <c r="AB229" s="9"/>
      <c r="AC229" s="9"/>
      <c r="AD229" s="9"/>
      <c r="AE229" s="204"/>
      <c r="AF229" s="204"/>
      <c r="AG229" s="204"/>
      <c r="AH229" s="204"/>
      <c r="AI229" s="204"/>
      <c r="AJ229" s="204"/>
      <c r="AK229" s="204"/>
      <c r="AL229" s="204"/>
      <c r="AM229" s="204"/>
      <c r="AN229" s="204"/>
      <c r="AO229" s="204"/>
      <c r="AP229" s="204"/>
      <c r="AQ229" s="204"/>
      <c r="AR229" s="204"/>
      <c r="AS229" s="204"/>
      <c r="AT229" s="204"/>
      <c r="AU229" s="204"/>
    </row>
    <row r="230" spans="1:47" hidden="1" outlineLevel="1">
      <c r="A230" s="12"/>
      <c r="B230" s="12"/>
      <c r="C230" s="12"/>
      <c r="D230" s="12"/>
      <c r="E230" s="12"/>
      <c r="F230" s="311" t="str">
        <f>Asset20</f>
        <v>Other - medium life (40)</v>
      </c>
      <c r="G230" s="312">
        <f t="shared" ref="G230:Q230" si="64">(G162-G196)/G$246</f>
        <v>0</v>
      </c>
      <c r="H230" s="96">
        <f t="shared" si="64"/>
        <v>7.8972310758122735</v>
      </c>
      <c r="I230" s="96">
        <f t="shared" si="64"/>
        <v>13.567887719298245</v>
      </c>
      <c r="J230" s="96">
        <f t="shared" si="64"/>
        <v>1.498996038483305</v>
      </c>
      <c r="K230" s="96">
        <f t="shared" si="64"/>
        <v>0.10933816155988857</v>
      </c>
      <c r="L230" s="96">
        <f t="shared" si="64"/>
        <v>3.090305278877687</v>
      </c>
      <c r="M230" s="96">
        <f t="shared" si="64"/>
        <v>0</v>
      </c>
      <c r="N230" s="96">
        <f t="shared" si="64"/>
        <v>0</v>
      </c>
      <c r="O230" s="96">
        <f t="shared" si="64"/>
        <v>0</v>
      </c>
      <c r="P230" s="96">
        <f t="shared" si="64"/>
        <v>0</v>
      </c>
      <c r="Q230" s="96">
        <f t="shared" si="64"/>
        <v>0</v>
      </c>
      <c r="R230" s="36"/>
      <c r="S230" s="36"/>
      <c r="T230" s="36"/>
      <c r="U230" s="36"/>
      <c r="V230" s="36"/>
      <c r="W230" s="36"/>
      <c r="X230" s="36"/>
      <c r="Y230" s="8"/>
      <c r="Z230" s="8"/>
      <c r="AA230" s="42"/>
      <c r="AB230" s="9"/>
      <c r="AC230" s="9"/>
      <c r="AD230" s="9"/>
      <c r="AE230" s="204"/>
      <c r="AF230" s="204"/>
      <c r="AG230" s="204"/>
      <c r="AH230" s="204"/>
      <c r="AI230" s="204"/>
      <c r="AJ230" s="204"/>
      <c r="AK230" s="204"/>
      <c r="AL230" s="204"/>
      <c r="AM230" s="204"/>
      <c r="AN230" s="204"/>
      <c r="AO230" s="204"/>
      <c r="AP230" s="204"/>
      <c r="AQ230" s="204"/>
      <c r="AR230" s="204"/>
      <c r="AS230" s="204"/>
      <c r="AT230" s="204"/>
      <c r="AU230" s="204"/>
    </row>
    <row r="231" spans="1:47" hidden="1" outlineLevel="1">
      <c r="A231" s="12"/>
      <c r="B231" s="12"/>
      <c r="C231" s="12"/>
      <c r="D231" s="12"/>
      <c r="E231" s="12"/>
      <c r="F231" s="311" t="str">
        <f>Asset21</f>
        <v>Other - short life (9)</v>
      </c>
      <c r="G231" s="312">
        <f t="shared" ref="G231:Q231" si="65">(G163-G197)/G$246</f>
        <v>0</v>
      </c>
      <c r="H231" s="96">
        <f t="shared" si="65"/>
        <v>0.67514139711191334</v>
      </c>
      <c r="I231" s="96">
        <f t="shared" si="65"/>
        <v>0.94853801169590635</v>
      </c>
      <c r="J231" s="96">
        <f t="shared" si="65"/>
        <v>1.0207492925863046</v>
      </c>
      <c r="K231" s="96">
        <f t="shared" si="65"/>
        <v>0.20873649025069635</v>
      </c>
      <c r="L231" s="96">
        <f t="shared" si="65"/>
        <v>0.44438034457259745</v>
      </c>
      <c r="M231" s="96">
        <f t="shared" si="65"/>
        <v>0</v>
      </c>
      <c r="N231" s="96">
        <f t="shared" si="65"/>
        <v>0</v>
      </c>
      <c r="O231" s="96">
        <f t="shared" si="65"/>
        <v>0</v>
      </c>
      <c r="P231" s="96">
        <f t="shared" si="65"/>
        <v>0</v>
      </c>
      <c r="Q231" s="96">
        <f t="shared" si="65"/>
        <v>0</v>
      </c>
      <c r="R231" s="36"/>
      <c r="S231" s="36"/>
      <c r="T231" s="36"/>
      <c r="U231" s="36"/>
      <c r="V231" s="36"/>
      <c r="W231" s="36"/>
      <c r="X231" s="36"/>
      <c r="Y231" s="8"/>
      <c r="Z231" s="8"/>
      <c r="AA231" s="42"/>
      <c r="AB231" s="9"/>
      <c r="AC231" s="9"/>
      <c r="AD231" s="9"/>
      <c r="AE231" s="204"/>
      <c r="AF231" s="204"/>
      <c r="AG231" s="204"/>
      <c r="AH231" s="204"/>
      <c r="AI231" s="204"/>
      <c r="AJ231" s="204"/>
      <c r="AK231" s="204"/>
      <c r="AL231" s="204"/>
      <c r="AM231" s="204"/>
      <c r="AN231" s="204"/>
      <c r="AO231" s="204"/>
      <c r="AP231" s="204"/>
      <c r="AQ231" s="204"/>
      <c r="AR231" s="204"/>
      <c r="AS231" s="204"/>
      <c r="AT231" s="204"/>
      <c r="AU231" s="204"/>
    </row>
    <row r="232" spans="1:47" hidden="1" outlineLevel="1">
      <c r="A232" s="12"/>
      <c r="B232" s="12"/>
      <c r="C232" s="12"/>
      <c r="D232" s="12"/>
      <c r="E232" s="12"/>
      <c r="F232" s="311" t="str">
        <f>Asset22</f>
        <v>Other - short life (4)</v>
      </c>
      <c r="G232" s="312">
        <f t="shared" ref="G232:Q232" si="66">(G164-G198)/G$246</f>
        <v>0</v>
      </c>
      <c r="H232" s="96">
        <f t="shared" si="66"/>
        <v>2.4228278543922981</v>
      </c>
      <c r="I232" s="96">
        <f t="shared" si="66"/>
        <v>1.8894877192982455</v>
      </c>
      <c r="J232" s="96">
        <f t="shared" si="66"/>
        <v>1.6935993208828524</v>
      </c>
      <c r="K232" s="96">
        <f t="shared" si="66"/>
        <v>4.7114807799442895</v>
      </c>
      <c r="L232" s="96">
        <f t="shared" si="66"/>
        <v>2.1102009696644757</v>
      </c>
      <c r="M232" s="96">
        <f t="shared" si="66"/>
        <v>0</v>
      </c>
      <c r="N232" s="96">
        <f t="shared" si="66"/>
        <v>0</v>
      </c>
      <c r="O232" s="96">
        <f t="shared" si="66"/>
        <v>0</v>
      </c>
      <c r="P232" s="96">
        <f t="shared" si="66"/>
        <v>0</v>
      </c>
      <c r="Q232" s="96">
        <f t="shared" si="66"/>
        <v>0</v>
      </c>
      <c r="R232" s="36"/>
      <c r="S232" s="36"/>
      <c r="T232" s="36"/>
      <c r="U232" s="36"/>
      <c r="V232" s="36"/>
      <c r="W232" s="36"/>
      <c r="X232" s="36"/>
      <c r="Y232" s="8"/>
      <c r="Z232" s="8"/>
      <c r="AA232" s="42"/>
      <c r="AB232" s="9"/>
      <c r="AC232" s="9"/>
      <c r="AD232" s="9"/>
      <c r="AE232" s="204"/>
      <c r="AF232" s="204"/>
      <c r="AG232" s="204"/>
      <c r="AH232" s="204"/>
      <c r="AI232" s="204"/>
      <c r="AJ232" s="204"/>
      <c r="AK232" s="204"/>
      <c r="AL232" s="204"/>
      <c r="AM232" s="204"/>
      <c r="AN232" s="204"/>
      <c r="AO232" s="204"/>
      <c r="AP232" s="204"/>
      <c r="AQ232" s="204"/>
      <c r="AR232" s="204"/>
      <c r="AS232" s="204"/>
      <c r="AT232" s="204"/>
      <c r="AU232" s="204"/>
    </row>
    <row r="233" spans="1:47" hidden="1" outlineLevel="1">
      <c r="A233" s="12"/>
      <c r="B233" s="12"/>
      <c r="C233" s="12"/>
      <c r="D233" s="12"/>
      <c r="E233" s="12"/>
      <c r="F233" s="311" t="str">
        <f>Asset23</f>
        <v>Land and Easements</v>
      </c>
      <c r="G233" s="312">
        <f t="shared" ref="G233:H240" si="67">(G165-G199)/G$246</f>
        <v>0</v>
      </c>
      <c r="H233" s="96">
        <f t="shared" si="67"/>
        <v>0</v>
      </c>
      <c r="I233" s="96">
        <f t="shared" ref="I233:Q240" si="68">(I165-I199)/I$246</f>
        <v>1.569830409356725</v>
      </c>
      <c r="J233" s="96">
        <f t="shared" si="68"/>
        <v>0.42408828522920206</v>
      </c>
      <c r="K233" s="96">
        <f t="shared" si="68"/>
        <v>1.1683821727019497</v>
      </c>
      <c r="L233" s="96">
        <f t="shared" si="68"/>
        <v>0.88960112649138168</v>
      </c>
      <c r="M233" s="96">
        <f t="shared" si="68"/>
        <v>0</v>
      </c>
      <c r="N233" s="96">
        <f t="shared" si="68"/>
        <v>0</v>
      </c>
      <c r="O233" s="96">
        <f t="shared" si="68"/>
        <v>0</v>
      </c>
      <c r="P233" s="96">
        <f t="shared" si="68"/>
        <v>0</v>
      </c>
      <c r="Q233" s="96">
        <f t="shared" si="68"/>
        <v>0</v>
      </c>
      <c r="R233" s="36"/>
      <c r="S233" s="36"/>
      <c r="T233" s="36"/>
      <c r="U233" s="36"/>
      <c r="V233" s="36"/>
      <c r="W233" s="36"/>
      <c r="X233" s="36"/>
      <c r="Y233" s="8"/>
      <c r="Z233" s="8"/>
      <c r="AA233" s="42"/>
      <c r="AB233" s="9"/>
      <c r="AC233" s="9"/>
      <c r="AD233" s="9"/>
      <c r="AE233" s="204"/>
      <c r="AF233" s="204"/>
      <c r="AG233" s="204"/>
      <c r="AH233" s="204"/>
      <c r="AI233" s="204"/>
      <c r="AJ233" s="204"/>
      <c r="AK233" s="204"/>
      <c r="AL233" s="204"/>
      <c r="AM233" s="204"/>
      <c r="AN233" s="204"/>
      <c r="AO233" s="204"/>
      <c r="AP233" s="204"/>
      <c r="AQ233" s="204"/>
      <c r="AR233" s="204"/>
      <c r="AS233" s="204"/>
      <c r="AT233" s="204"/>
      <c r="AU233" s="204"/>
    </row>
    <row r="234" spans="1:47" hidden="1" outlineLevel="1">
      <c r="A234" s="12"/>
      <c r="B234" s="12"/>
      <c r="C234" s="12"/>
      <c r="D234" s="12"/>
      <c r="E234" s="12"/>
      <c r="F234" s="311" t="str">
        <f>Asset24</f>
        <v>Equity Raising</v>
      </c>
      <c r="G234" s="312">
        <f t="shared" si="67"/>
        <v>0</v>
      </c>
      <c r="H234" s="96">
        <f t="shared" si="67"/>
        <v>0.4130998253988622</v>
      </c>
      <c r="I234" s="96">
        <f t="shared" si="68"/>
        <v>0</v>
      </c>
      <c r="J234" s="96">
        <f t="shared" si="68"/>
        <v>0</v>
      </c>
      <c r="K234" s="96">
        <f t="shared" si="68"/>
        <v>0</v>
      </c>
      <c r="L234" s="96">
        <f t="shared" si="68"/>
        <v>0</v>
      </c>
      <c r="M234" s="96">
        <f t="shared" si="68"/>
        <v>0</v>
      </c>
      <c r="N234" s="96">
        <f t="shared" si="68"/>
        <v>0</v>
      </c>
      <c r="O234" s="96">
        <f t="shared" si="68"/>
        <v>0</v>
      </c>
      <c r="P234" s="96">
        <f t="shared" si="68"/>
        <v>0</v>
      </c>
      <c r="Q234" s="96">
        <f t="shared" si="68"/>
        <v>0</v>
      </c>
      <c r="R234" s="36"/>
      <c r="S234" s="36"/>
      <c r="T234" s="36"/>
      <c r="U234" s="36"/>
      <c r="V234" s="36"/>
      <c r="W234" s="36"/>
      <c r="X234" s="36"/>
      <c r="Y234" s="8"/>
      <c r="Z234" s="8"/>
      <c r="AA234" s="42"/>
      <c r="AB234" s="9"/>
      <c r="AC234" s="9"/>
      <c r="AD234" s="9"/>
      <c r="AE234" s="204"/>
      <c r="AF234" s="204"/>
      <c r="AG234" s="204"/>
      <c r="AH234" s="204"/>
      <c r="AI234" s="204"/>
      <c r="AJ234" s="204"/>
      <c r="AK234" s="204"/>
      <c r="AL234" s="204"/>
      <c r="AM234" s="204"/>
      <c r="AN234" s="204"/>
      <c r="AO234" s="204"/>
      <c r="AP234" s="204"/>
      <c r="AQ234" s="204"/>
      <c r="AR234" s="204"/>
      <c r="AS234" s="204"/>
      <c r="AT234" s="204"/>
      <c r="AU234" s="204"/>
    </row>
    <row r="235" spans="1:47" hidden="1" outlineLevel="1">
      <c r="A235" s="12"/>
      <c r="B235" s="12"/>
      <c r="C235" s="12"/>
      <c r="D235" s="12"/>
      <c r="E235" s="12"/>
      <c r="F235" s="311">
        <f>Asset25</f>
        <v>0</v>
      </c>
      <c r="G235" s="312">
        <f t="shared" si="67"/>
        <v>0</v>
      </c>
      <c r="H235" s="96">
        <f t="shared" si="67"/>
        <v>0</v>
      </c>
      <c r="I235" s="96">
        <f t="shared" si="68"/>
        <v>0</v>
      </c>
      <c r="J235" s="96">
        <f t="shared" si="68"/>
        <v>0</v>
      </c>
      <c r="K235" s="96">
        <f t="shared" si="68"/>
        <v>0</v>
      </c>
      <c r="L235" s="96">
        <f t="shared" si="68"/>
        <v>0</v>
      </c>
      <c r="M235" s="96">
        <f t="shared" si="68"/>
        <v>0</v>
      </c>
      <c r="N235" s="96">
        <f t="shared" si="68"/>
        <v>0</v>
      </c>
      <c r="O235" s="96">
        <f t="shared" si="68"/>
        <v>0</v>
      </c>
      <c r="P235" s="96">
        <f t="shared" si="68"/>
        <v>0</v>
      </c>
      <c r="Q235" s="96">
        <f t="shared" si="68"/>
        <v>0</v>
      </c>
      <c r="R235" s="36"/>
      <c r="S235" s="36"/>
      <c r="T235" s="36"/>
      <c r="U235" s="36"/>
      <c r="V235" s="36"/>
      <c r="W235" s="36"/>
      <c r="X235" s="36"/>
      <c r="Y235" s="8"/>
      <c r="Z235" s="8"/>
      <c r="AA235" s="42"/>
      <c r="AB235" s="9"/>
      <c r="AC235" s="9"/>
      <c r="AD235" s="9"/>
      <c r="AE235" s="204"/>
      <c r="AF235" s="204"/>
      <c r="AG235" s="204"/>
      <c r="AH235" s="204"/>
      <c r="AI235" s="204"/>
      <c r="AJ235" s="204"/>
      <c r="AK235" s="204"/>
      <c r="AL235" s="204"/>
      <c r="AM235" s="204"/>
      <c r="AN235" s="204"/>
      <c r="AO235" s="204"/>
      <c r="AP235" s="204"/>
      <c r="AQ235" s="204"/>
      <c r="AR235" s="204"/>
      <c r="AS235" s="204"/>
      <c r="AT235" s="204"/>
      <c r="AU235" s="204"/>
    </row>
    <row r="236" spans="1:47" hidden="1" outlineLevel="1">
      <c r="A236" s="12"/>
      <c r="B236" s="12"/>
      <c r="C236" s="12"/>
      <c r="D236" s="12"/>
      <c r="E236" s="12"/>
      <c r="F236" s="311">
        <f>Asset26</f>
        <v>0</v>
      </c>
      <c r="G236" s="312">
        <f t="shared" si="67"/>
        <v>0</v>
      </c>
      <c r="H236" s="96">
        <f t="shared" si="67"/>
        <v>0</v>
      </c>
      <c r="I236" s="96">
        <f t="shared" si="68"/>
        <v>0</v>
      </c>
      <c r="J236" s="96">
        <f t="shared" si="68"/>
        <v>0</v>
      </c>
      <c r="K236" s="96">
        <f t="shared" si="68"/>
        <v>0</v>
      </c>
      <c r="L236" s="96">
        <f t="shared" si="68"/>
        <v>0</v>
      </c>
      <c r="M236" s="96">
        <f t="shared" si="68"/>
        <v>0</v>
      </c>
      <c r="N236" s="96">
        <f t="shared" si="68"/>
        <v>0</v>
      </c>
      <c r="O236" s="96">
        <f t="shared" si="68"/>
        <v>0</v>
      </c>
      <c r="P236" s="96">
        <f t="shared" si="68"/>
        <v>0</v>
      </c>
      <c r="Q236" s="96">
        <f t="shared" si="68"/>
        <v>0</v>
      </c>
      <c r="R236" s="36"/>
      <c r="S236" s="36"/>
      <c r="T236" s="36"/>
      <c r="U236" s="36"/>
      <c r="V236" s="36"/>
      <c r="W236" s="36"/>
      <c r="X236" s="36"/>
      <c r="Y236" s="8"/>
      <c r="Z236" s="8"/>
      <c r="AA236" s="42"/>
      <c r="AB236" s="9"/>
      <c r="AC236" s="9"/>
      <c r="AD236" s="9"/>
      <c r="AE236" s="204"/>
      <c r="AF236" s="204"/>
      <c r="AG236" s="204"/>
      <c r="AH236" s="204"/>
      <c r="AI236" s="204"/>
      <c r="AJ236" s="204"/>
      <c r="AK236" s="204"/>
      <c r="AL236" s="204"/>
      <c r="AM236" s="204"/>
      <c r="AN236" s="204"/>
      <c r="AO236" s="204"/>
      <c r="AP236" s="204"/>
      <c r="AQ236" s="204"/>
      <c r="AR236" s="204"/>
      <c r="AS236" s="204"/>
      <c r="AT236" s="204"/>
      <c r="AU236" s="204"/>
    </row>
    <row r="237" spans="1:47" hidden="1" outlineLevel="1">
      <c r="A237" s="12"/>
      <c r="B237" s="12"/>
      <c r="C237" s="12"/>
      <c r="D237" s="12"/>
      <c r="E237" s="12"/>
      <c r="F237" s="311">
        <f>Asset27</f>
        <v>0</v>
      </c>
      <c r="G237" s="312">
        <f t="shared" si="67"/>
        <v>0</v>
      </c>
      <c r="H237" s="96">
        <f t="shared" si="67"/>
        <v>0</v>
      </c>
      <c r="I237" s="96">
        <f t="shared" si="68"/>
        <v>0</v>
      </c>
      <c r="J237" s="96">
        <f t="shared" si="68"/>
        <v>0</v>
      </c>
      <c r="K237" s="96">
        <f t="shared" si="68"/>
        <v>0</v>
      </c>
      <c r="L237" s="96">
        <f t="shared" si="68"/>
        <v>0</v>
      </c>
      <c r="M237" s="96">
        <f t="shared" si="68"/>
        <v>0</v>
      </c>
      <c r="N237" s="96">
        <f t="shared" si="68"/>
        <v>0</v>
      </c>
      <c r="O237" s="96">
        <f t="shared" si="68"/>
        <v>0</v>
      </c>
      <c r="P237" s="96">
        <f t="shared" si="68"/>
        <v>0</v>
      </c>
      <c r="Q237" s="96">
        <f t="shared" si="68"/>
        <v>0</v>
      </c>
      <c r="R237" s="36"/>
      <c r="S237" s="36"/>
      <c r="T237" s="36"/>
      <c r="U237" s="36"/>
      <c r="V237" s="36"/>
      <c r="W237" s="36"/>
      <c r="X237" s="36"/>
      <c r="Y237" s="8"/>
      <c r="Z237" s="8"/>
      <c r="AA237" s="42"/>
      <c r="AB237" s="9"/>
      <c r="AC237" s="9"/>
      <c r="AD237" s="9"/>
      <c r="AE237" s="204"/>
      <c r="AF237" s="204"/>
      <c r="AG237" s="204"/>
      <c r="AH237" s="204"/>
      <c r="AI237" s="204"/>
      <c r="AJ237" s="204"/>
      <c r="AK237" s="204"/>
      <c r="AL237" s="204"/>
      <c r="AM237" s="204"/>
      <c r="AN237" s="204"/>
      <c r="AO237" s="204"/>
      <c r="AP237" s="204"/>
      <c r="AQ237" s="204"/>
      <c r="AR237" s="204"/>
      <c r="AS237" s="204"/>
      <c r="AT237" s="204"/>
      <c r="AU237" s="204"/>
    </row>
    <row r="238" spans="1:47" hidden="1" outlineLevel="1">
      <c r="A238" s="12"/>
      <c r="B238" s="12"/>
      <c r="C238" s="12"/>
      <c r="D238" s="12"/>
      <c r="E238" s="12"/>
      <c r="F238" s="311">
        <f>Asset28</f>
        <v>0</v>
      </c>
      <c r="G238" s="312">
        <f t="shared" si="67"/>
        <v>0</v>
      </c>
      <c r="H238" s="96">
        <f t="shared" si="67"/>
        <v>0</v>
      </c>
      <c r="I238" s="96">
        <f t="shared" si="68"/>
        <v>0</v>
      </c>
      <c r="J238" s="96">
        <f t="shared" si="68"/>
        <v>0</v>
      </c>
      <c r="K238" s="96">
        <f t="shared" si="68"/>
        <v>0</v>
      </c>
      <c r="L238" s="96">
        <f t="shared" si="68"/>
        <v>0</v>
      </c>
      <c r="M238" s="96">
        <f t="shared" si="68"/>
        <v>0</v>
      </c>
      <c r="N238" s="96">
        <f t="shared" si="68"/>
        <v>0</v>
      </c>
      <c r="O238" s="96">
        <f t="shared" si="68"/>
        <v>0</v>
      </c>
      <c r="P238" s="96">
        <f t="shared" si="68"/>
        <v>0</v>
      </c>
      <c r="Q238" s="96">
        <f t="shared" si="68"/>
        <v>0</v>
      </c>
      <c r="R238" s="36"/>
      <c r="S238" s="36"/>
      <c r="T238" s="36"/>
      <c r="U238" s="36"/>
      <c r="V238" s="36"/>
      <c r="W238" s="36"/>
      <c r="X238" s="36"/>
      <c r="Y238" s="8"/>
      <c r="Z238" s="8"/>
      <c r="AA238" s="42"/>
      <c r="AB238" s="9"/>
      <c r="AC238" s="9"/>
      <c r="AD238" s="9"/>
      <c r="AE238" s="204"/>
      <c r="AF238" s="204"/>
      <c r="AG238" s="204"/>
      <c r="AH238" s="204"/>
      <c r="AI238" s="204"/>
      <c r="AJ238" s="204"/>
      <c r="AK238" s="204"/>
      <c r="AL238" s="204"/>
      <c r="AM238" s="204"/>
      <c r="AN238" s="204"/>
      <c r="AO238" s="204"/>
      <c r="AP238" s="204"/>
      <c r="AQ238" s="204"/>
      <c r="AR238" s="204"/>
      <c r="AS238" s="204"/>
      <c r="AT238" s="204"/>
      <c r="AU238" s="204"/>
    </row>
    <row r="239" spans="1:47" hidden="1" outlineLevel="1">
      <c r="A239" s="12"/>
      <c r="B239" s="12"/>
      <c r="C239" s="12"/>
      <c r="D239" s="12"/>
      <c r="E239" s="12"/>
      <c r="F239" s="311">
        <f>Asset29</f>
        <v>0</v>
      </c>
      <c r="G239" s="312">
        <f t="shared" si="67"/>
        <v>0</v>
      </c>
      <c r="H239" s="96">
        <f t="shared" si="67"/>
        <v>0</v>
      </c>
      <c r="I239" s="96">
        <f t="shared" si="68"/>
        <v>0</v>
      </c>
      <c r="J239" s="96">
        <f t="shared" si="68"/>
        <v>0</v>
      </c>
      <c r="K239" s="96">
        <f t="shared" si="68"/>
        <v>0</v>
      </c>
      <c r="L239" s="96">
        <f t="shared" si="68"/>
        <v>0</v>
      </c>
      <c r="M239" s="96">
        <f t="shared" si="68"/>
        <v>0</v>
      </c>
      <c r="N239" s="96">
        <f t="shared" si="68"/>
        <v>0</v>
      </c>
      <c r="O239" s="96">
        <f t="shared" si="68"/>
        <v>0</v>
      </c>
      <c r="P239" s="96">
        <f t="shared" si="68"/>
        <v>0</v>
      </c>
      <c r="Q239" s="96">
        <f t="shared" si="68"/>
        <v>0</v>
      </c>
      <c r="R239" s="36"/>
      <c r="S239" s="36"/>
      <c r="T239" s="36"/>
      <c r="U239" s="36"/>
      <c r="V239" s="36"/>
      <c r="W239" s="36"/>
      <c r="X239" s="36"/>
      <c r="Y239" s="8"/>
      <c r="Z239" s="8"/>
      <c r="AA239" s="42"/>
      <c r="AB239" s="9"/>
      <c r="AC239" s="9"/>
      <c r="AD239" s="9"/>
      <c r="AE239" s="204"/>
      <c r="AF239" s="204"/>
      <c r="AG239" s="204"/>
      <c r="AH239" s="204"/>
      <c r="AI239" s="204"/>
      <c r="AJ239" s="204"/>
      <c r="AK239" s="204"/>
      <c r="AL239" s="204"/>
      <c r="AM239" s="204"/>
      <c r="AN239" s="204"/>
      <c r="AO239" s="204"/>
      <c r="AP239" s="204"/>
      <c r="AQ239" s="204"/>
      <c r="AR239" s="204"/>
      <c r="AS239" s="204"/>
      <c r="AT239" s="204"/>
      <c r="AU239" s="204"/>
    </row>
    <row r="240" spans="1:47" hidden="1" outlineLevel="1">
      <c r="A240" s="12"/>
      <c r="B240" s="12"/>
      <c r="C240" s="12"/>
      <c r="D240" s="12"/>
      <c r="E240" s="12"/>
      <c r="F240" s="311">
        <f>Asset30</f>
        <v>0</v>
      </c>
      <c r="G240" s="312">
        <f t="shared" si="67"/>
        <v>0</v>
      </c>
      <c r="H240" s="96">
        <f t="shared" si="67"/>
        <v>0</v>
      </c>
      <c r="I240" s="96">
        <f t="shared" si="68"/>
        <v>0</v>
      </c>
      <c r="J240" s="96">
        <f t="shared" si="68"/>
        <v>0</v>
      </c>
      <c r="K240" s="96">
        <f t="shared" si="68"/>
        <v>0</v>
      </c>
      <c r="L240" s="96">
        <f t="shared" si="68"/>
        <v>0</v>
      </c>
      <c r="M240" s="96">
        <f t="shared" si="68"/>
        <v>0</v>
      </c>
      <c r="N240" s="96">
        <f t="shared" si="68"/>
        <v>0</v>
      </c>
      <c r="O240" s="96">
        <f t="shared" si="68"/>
        <v>0</v>
      </c>
      <c r="P240" s="96">
        <f t="shared" si="68"/>
        <v>0</v>
      </c>
      <c r="Q240" s="96">
        <f t="shared" si="68"/>
        <v>0</v>
      </c>
      <c r="R240" s="36"/>
      <c r="S240" s="36"/>
      <c r="T240" s="36"/>
      <c r="U240" s="36"/>
      <c r="V240" s="36"/>
      <c r="W240" s="36"/>
      <c r="X240" s="36"/>
      <c r="Y240" s="8"/>
      <c r="Z240" s="8"/>
      <c r="AA240" s="42"/>
      <c r="AB240" s="9"/>
      <c r="AC240" s="9"/>
      <c r="AD240" s="9"/>
      <c r="AE240" s="204"/>
      <c r="AF240" s="204"/>
      <c r="AG240" s="204"/>
      <c r="AH240" s="204"/>
      <c r="AI240" s="204"/>
      <c r="AJ240" s="204"/>
      <c r="AK240" s="204"/>
      <c r="AL240" s="204"/>
      <c r="AM240" s="204"/>
      <c r="AN240" s="204"/>
      <c r="AO240" s="204"/>
      <c r="AP240" s="204"/>
      <c r="AQ240" s="204"/>
      <c r="AR240" s="204"/>
      <c r="AS240" s="204"/>
      <c r="AT240" s="204"/>
      <c r="AU240" s="204"/>
    </row>
    <row r="241" spans="1:47" collapsed="1">
      <c r="A241" s="12"/>
      <c r="B241" s="12"/>
      <c r="C241" s="12"/>
      <c r="D241" s="12"/>
      <c r="E241" s="12"/>
      <c r="F241" s="177" t="s">
        <v>19</v>
      </c>
      <c r="G241" s="316">
        <f>SUM(G211:G240)</f>
        <v>66.566999999999993</v>
      </c>
      <c r="H241" s="316">
        <f t="shared" ref="H241:Q241" si="69">SUM(H211:H240)</f>
        <v>49.083896567877787</v>
      </c>
      <c r="I241" s="316">
        <f t="shared" si="69"/>
        <v>210.19033216374265</v>
      </c>
      <c r="J241" s="316">
        <f t="shared" si="69"/>
        <v>96.626037351443117</v>
      </c>
      <c r="K241" s="316">
        <f t="shared" si="69"/>
        <v>78.804802228412271</v>
      </c>
      <c r="L241" s="316">
        <f t="shared" si="69"/>
        <v>104.67585947866526</v>
      </c>
      <c r="M241" s="316">
        <f t="shared" si="69"/>
        <v>0</v>
      </c>
      <c r="N241" s="316">
        <f t="shared" si="69"/>
        <v>0</v>
      </c>
      <c r="O241" s="316">
        <f t="shared" si="69"/>
        <v>0</v>
      </c>
      <c r="P241" s="316">
        <f t="shared" si="69"/>
        <v>0</v>
      </c>
      <c r="Q241" s="316">
        <f t="shared" si="69"/>
        <v>0</v>
      </c>
      <c r="R241" s="36"/>
      <c r="S241" s="36"/>
      <c r="T241" s="36"/>
      <c r="U241" s="36"/>
      <c r="V241" s="36"/>
      <c r="W241" s="36"/>
      <c r="X241" s="36"/>
      <c r="Y241" s="8"/>
      <c r="Z241" s="8"/>
      <c r="AA241" s="42"/>
      <c r="AB241" s="9"/>
      <c r="AC241" s="9"/>
      <c r="AD241" s="9"/>
      <c r="AE241" s="204"/>
      <c r="AF241" s="204"/>
      <c r="AG241" s="204"/>
      <c r="AH241" s="204"/>
      <c r="AI241" s="204"/>
      <c r="AJ241" s="204"/>
      <c r="AK241" s="204"/>
      <c r="AL241" s="204"/>
      <c r="AM241" s="204"/>
      <c r="AN241" s="204"/>
      <c r="AO241" s="204"/>
      <c r="AP241" s="204"/>
      <c r="AQ241" s="204"/>
      <c r="AR241" s="204"/>
      <c r="AS241" s="204"/>
      <c r="AT241" s="204"/>
      <c r="AU241" s="204"/>
    </row>
    <row r="242" spans="1:47" ht="21" customHeight="1">
      <c r="A242" s="12"/>
      <c r="B242" s="12"/>
      <c r="C242" s="12"/>
      <c r="D242" s="12"/>
      <c r="E242" s="12"/>
      <c r="F242" s="37"/>
      <c r="G242" s="37"/>
      <c r="H242" s="46"/>
      <c r="I242" s="46"/>
      <c r="J242" s="46"/>
      <c r="K242" s="46"/>
      <c r="L242" s="46"/>
      <c r="M242" s="46"/>
      <c r="N242" s="9"/>
      <c r="O242" s="9"/>
      <c r="P242" s="9"/>
      <c r="Q242" s="9"/>
      <c r="R242" s="251">
        <f>SUM(G241:Q241)</f>
        <v>605.94792779014108</v>
      </c>
      <c r="S242" s="9"/>
      <c r="T242" s="9"/>
      <c r="U242" s="9"/>
      <c r="V242" s="9"/>
      <c r="W242" s="9"/>
      <c r="X242" s="9"/>
      <c r="Y242" s="9"/>
      <c r="Z242" s="9"/>
      <c r="AA242" s="8"/>
      <c r="AB242" s="42"/>
      <c r="AC242" s="9"/>
      <c r="AD242" s="9"/>
      <c r="AE242" s="204"/>
      <c r="AF242" s="204"/>
      <c r="AG242" s="204"/>
      <c r="AH242" s="204"/>
      <c r="AI242" s="204"/>
      <c r="AJ242" s="204"/>
      <c r="AK242" s="204"/>
      <c r="AL242" s="204"/>
      <c r="AM242" s="204"/>
      <c r="AN242" s="204"/>
      <c r="AO242" s="204"/>
      <c r="AP242" s="204"/>
      <c r="AQ242" s="204"/>
      <c r="AR242" s="204"/>
      <c r="AS242" s="204"/>
      <c r="AT242" s="204"/>
      <c r="AU242" s="204"/>
    </row>
    <row r="243" spans="1:47" ht="14.25" customHeight="1">
      <c r="A243" s="82"/>
      <c r="B243" s="82"/>
      <c r="C243" s="82"/>
      <c r="D243" s="82"/>
      <c r="E243" s="82"/>
      <c r="F243" s="390" t="s">
        <v>25</v>
      </c>
      <c r="G243" s="390"/>
      <c r="H243" s="101"/>
      <c r="I243" s="101"/>
      <c r="J243" s="83"/>
      <c r="K243" s="84"/>
      <c r="L243" s="84"/>
      <c r="M243" s="84"/>
      <c r="N243" s="84"/>
      <c r="O243" s="84"/>
      <c r="P243" s="84"/>
      <c r="Q243" s="84"/>
      <c r="R243" s="84"/>
      <c r="S243" s="84"/>
      <c r="T243" s="84"/>
      <c r="U243" s="84"/>
      <c r="V243" s="84"/>
      <c r="W243" s="84"/>
      <c r="X243" s="9"/>
      <c r="Y243" s="9"/>
      <c r="Z243" s="9"/>
      <c r="AA243" s="43"/>
      <c r="AB243" s="9"/>
      <c r="AC243" s="9"/>
      <c r="AD243" s="9"/>
      <c r="AE243" s="204"/>
      <c r="AF243" s="204"/>
      <c r="AG243" s="204"/>
      <c r="AH243" s="204"/>
      <c r="AI243" s="204"/>
      <c r="AJ243" s="204"/>
      <c r="AK243" s="204"/>
      <c r="AL243" s="204"/>
      <c r="AM243" s="204"/>
      <c r="AN243" s="204"/>
      <c r="AO243" s="204"/>
      <c r="AP243" s="204"/>
      <c r="AQ243" s="204"/>
      <c r="AR243" s="204"/>
      <c r="AS243" s="204"/>
      <c r="AT243" s="204"/>
      <c r="AU243" s="204"/>
    </row>
    <row r="244" spans="1:47" ht="14.25" customHeight="1">
      <c r="A244" s="12"/>
      <c r="B244" s="12"/>
      <c r="C244" s="12"/>
      <c r="D244" s="12"/>
      <c r="E244" s="12"/>
      <c r="F244" s="15"/>
      <c r="G244" s="146" t="str">
        <f>G40</f>
        <v>2008-09</v>
      </c>
      <c r="H244" s="146" t="str">
        <f t="shared" ref="H244:Q244" si="70">H40</f>
        <v>2009-10</v>
      </c>
      <c r="I244" s="146" t="str">
        <f t="shared" si="70"/>
        <v>2010-11</v>
      </c>
      <c r="J244" s="146" t="str">
        <f t="shared" si="70"/>
        <v>2011-12</v>
      </c>
      <c r="K244" s="146" t="str">
        <f t="shared" si="70"/>
        <v>2012-13</v>
      </c>
      <c r="L244" s="146" t="str">
        <f t="shared" si="70"/>
        <v>2013-14</v>
      </c>
      <c r="M244" s="146" t="str">
        <f t="shared" si="70"/>
        <v>2014-15</v>
      </c>
      <c r="N244" s="146" t="str">
        <f t="shared" si="70"/>
        <v>2015-16</v>
      </c>
      <c r="O244" s="146" t="str">
        <f t="shared" si="70"/>
        <v>2016-17</v>
      </c>
      <c r="P244" s="146" t="str">
        <f t="shared" si="70"/>
        <v>2017-18</v>
      </c>
      <c r="Q244" s="146" t="str">
        <f t="shared" si="70"/>
        <v>2018-19</v>
      </c>
      <c r="R244" s="13"/>
      <c r="S244" s="13"/>
      <c r="T244" s="13"/>
      <c r="U244" s="13"/>
      <c r="V244" s="13"/>
      <c r="W244" s="13"/>
      <c r="X244" s="9"/>
      <c r="Y244" s="9"/>
      <c r="Z244" s="9"/>
      <c r="AA244" s="9"/>
      <c r="AB244" s="9"/>
      <c r="AC244" s="9"/>
      <c r="AD244" s="9"/>
      <c r="AE244" s="204"/>
      <c r="AF244" s="204"/>
      <c r="AG244" s="204"/>
      <c r="AH244" s="204"/>
      <c r="AI244" s="204"/>
      <c r="AJ244" s="204"/>
      <c r="AK244" s="204"/>
      <c r="AL244" s="204"/>
      <c r="AM244" s="204"/>
      <c r="AN244" s="204"/>
      <c r="AO244" s="204"/>
      <c r="AP244" s="204"/>
      <c r="AQ244" s="204"/>
      <c r="AR244" s="204"/>
      <c r="AS244" s="204"/>
      <c r="AT244" s="204"/>
      <c r="AU244" s="204"/>
    </row>
    <row r="245" spans="1:47" ht="12.75" customHeight="1">
      <c r="A245" s="12"/>
      <c r="B245" s="12"/>
      <c r="C245" s="12"/>
      <c r="D245" s="12"/>
      <c r="E245" s="12"/>
      <c r="F245" s="275" t="s">
        <v>32</v>
      </c>
      <c r="G245" s="334">
        <f>166.2/162.2-1</f>
        <v>2.4660912453760897E-2</v>
      </c>
      <c r="H245" s="335">
        <f>171/166.2-1</f>
        <v>2.8880866425992746E-2</v>
      </c>
      <c r="I245" s="335">
        <f>176.7/171-1</f>
        <v>3.3333333333333215E-2</v>
      </c>
      <c r="J245" s="335">
        <f>179.5/176.7-1</f>
        <v>1.5846066779853007E-2</v>
      </c>
      <c r="K245" s="335">
        <f>102.4/99.9-1</f>
        <v>2.5025025025025016E-2</v>
      </c>
      <c r="L245" s="336">
        <v>2.5000000000000001E-2</v>
      </c>
      <c r="M245" s="228"/>
      <c r="N245" s="229"/>
      <c r="O245" s="229"/>
      <c r="P245" s="229"/>
      <c r="Q245" s="229"/>
      <c r="R245" s="14"/>
      <c r="S245" s="14"/>
      <c r="T245" s="14"/>
      <c r="U245" s="14"/>
      <c r="V245" s="14"/>
      <c r="W245" s="14"/>
      <c r="X245" s="14"/>
      <c r="Y245" s="14"/>
      <c r="Z245" s="8"/>
      <c r="AA245" s="9"/>
      <c r="AB245" s="9"/>
      <c r="AC245" s="9"/>
      <c r="AD245" s="9"/>
      <c r="AE245" s="204"/>
      <c r="AF245" s="204"/>
      <c r="AG245" s="204"/>
      <c r="AH245" s="204"/>
      <c r="AI245" s="204"/>
      <c r="AJ245" s="204"/>
      <c r="AK245" s="204"/>
      <c r="AL245" s="204"/>
      <c r="AM245" s="204"/>
      <c r="AN245" s="204"/>
      <c r="AO245" s="204"/>
      <c r="AP245" s="204"/>
      <c r="AQ245" s="204"/>
      <c r="AR245" s="204"/>
      <c r="AS245" s="204"/>
      <c r="AT245" s="204"/>
      <c r="AU245" s="204"/>
    </row>
    <row r="246" spans="1:47" ht="13.5" customHeight="1">
      <c r="A246" s="12"/>
      <c r="B246" s="12"/>
      <c r="C246" s="12"/>
      <c r="D246" s="12"/>
      <c r="E246" s="12"/>
      <c r="F246" s="275" t="s">
        <v>73</v>
      </c>
      <c r="G246" s="248">
        <v>1</v>
      </c>
      <c r="H246" s="97">
        <f>G246*(1+G245)</f>
        <v>1.0246609124537609</v>
      </c>
      <c r="I246" s="97">
        <f t="shared" ref="I246:Q246" si="71">H246*(1+H245)</f>
        <v>1.0542540073982738</v>
      </c>
      <c r="J246" s="97">
        <f t="shared" si="71"/>
        <v>1.0893958076448829</v>
      </c>
      <c r="K246" s="97">
        <f t="shared" si="71"/>
        <v>1.1066584463625155</v>
      </c>
      <c r="L246" s="97">
        <f t="shared" si="71"/>
        <v>1.1343526016768928</v>
      </c>
      <c r="M246" s="97">
        <f t="shared" si="71"/>
        <v>1.1627114167188151</v>
      </c>
      <c r="N246" s="97">
        <f t="shared" si="71"/>
        <v>1.1627114167188151</v>
      </c>
      <c r="O246" s="97">
        <f t="shared" si="71"/>
        <v>1.1627114167188151</v>
      </c>
      <c r="P246" s="97">
        <f t="shared" si="71"/>
        <v>1.1627114167188151</v>
      </c>
      <c r="Q246" s="97">
        <f t="shared" si="71"/>
        <v>1.1627114167188151</v>
      </c>
      <c r="R246" s="14"/>
      <c r="S246" s="14"/>
      <c r="T246" s="14"/>
      <c r="U246" s="14"/>
      <c r="V246" s="14"/>
      <c r="W246" s="14"/>
      <c r="X246" s="14"/>
      <c r="Y246" s="14"/>
      <c r="Z246" s="8"/>
      <c r="AA246" s="9"/>
      <c r="AB246" s="9"/>
      <c r="AC246" s="9"/>
      <c r="AD246" s="9"/>
      <c r="AE246" s="204"/>
      <c r="AF246" s="204"/>
      <c r="AG246" s="204"/>
      <c r="AH246" s="204"/>
      <c r="AI246" s="204"/>
      <c r="AJ246" s="204"/>
      <c r="AK246" s="204"/>
      <c r="AL246" s="204"/>
      <c r="AM246" s="204"/>
      <c r="AN246" s="204"/>
      <c r="AO246" s="204"/>
      <c r="AP246" s="204"/>
      <c r="AQ246" s="204"/>
      <c r="AR246" s="204"/>
      <c r="AS246" s="204"/>
      <c r="AT246" s="204"/>
      <c r="AU246" s="204"/>
    </row>
    <row r="247" spans="1:47" ht="13.5" customHeight="1">
      <c r="A247" s="12"/>
      <c r="B247" s="12"/>
      <c r="C247" s="12"/>
      <c r="D247" s="12"/>
      <c r="E247" s="12"/>
      <c r="F247" s="275" t="s">
        <v>36</v>
      </c>
      <c r="G247" s="334">
        <v>2.265372168284796E-2</v>
      </c>
      <c r="H247" s="335">
        <v>2.4748502983200193E-2</v>
      </c>
      <c r="I247" s="50">
        <f>H247</f>
        <v>2.4748502983200193E-2</v>
      </c>
      <c r="J247" s="50">
        <f t="shared" ref="J247:Q247" si="72">I247</f>
        <v>2.4748502983200193E-2</v>
      </c>
      <c r="K247" s="50">
        <f t="shared" si="72"/>
        <v>2.4748502983200193E-2</v>
      </c>
      <c r="L247" s="50">
        <f t="shared" si="72"/>
        <v>2.4748502983200193E-2</v>
      </c>
      <c r="M247" s="50">
        <f t="shared" si="72"/>
        <v>2.4748502983200193E-2</v>
      </c>
      <c r="N247" s="50">
        <f t="shared" si="72"/>
        <v>2.4748502983200193E-2</v>
      </c>
      <c r="O247" s="50">
        <f t="shared" si="72"/>
        <v>2.4748502983200193E-2</v>
      </c>
      <c r="P247" s="50">
        <f t="shared" si="72"/>
        <v>2.4748502983200193E-2</v>
      </c>
      <c r="Q247" s="50">
        <f t="shared" si="72"/>
        <v>2.4748502983200193E-2</v>
      </c>
      <c r="R247" s="14"/>
      <c r="S247" s="14"/>
      <c r="T247" s="14"/>
      <c r="U247" s="14"/>
      <c r="V247" s="14"/>
      <c r="W247" s="14"/>
      <c r="X247" s="14"/>
      <c r="Y247" s="14"/>
      <c r="Z247" s="8"/>
      <c r="AA247" s="9"/>
      <c r="AB247" s="9"/>
      <c r="AC247" s="9"/>
      <c r="AD247" s="9"/>
      <c r="AE247" s="204"/>
      <c r="AF247" s="204"/>
      <c r="AG247" s="204"/>
      <c r="AH247" s="204"/>
      <c r="AI247" s="204"/>
      <c r="AJ247" s="204"/>
      <c r="AK247" s="204"/>
      <c r="AL247" s="204"/>
      <c r="AM247" s="204"/>
      <c r="AN247" s="204"/>
      <c r="AO247" s="204"/>
      <c r="AP247" s="204"/>
      <c r="AQ247" s="204"/>
      <c r="AR247" s="204"/>
      <c r="AS247" s="204"/>
      <c r="AT247" s="204"/>
      <c r="AU247" s="204"/>
    </row>
    <row r="248" spans="1:47" ht="12.75" customHeight="1">
      <c r="A248" s="12"/>
      <c r="B248" s="12"/>
      <c r="C248" s="12"/>
      <c r="D248" s="12"/>
      <c r="E248" s="12"/>
      <c r="F248" s="275" t="s">
        <v>35</v>
      </c>
      <c r="G248" s="248">
        <v>1</v>
      </c>
      <c r="H248" s="97">
        <f>G248*(1+H247)</f>
        <v>1.0247485029832002</v>
      </c>
      <c r="I248" s="97">
        <f t="shared" ref="I248:Q248" si="73">H248*(1+I247)</f>
        <v>1.0501094943663098</v>
      </c>
      <c r="J248" s="97">
        <f t="shared" si="73"/>
        <v>1.0760981323203214</v>
      </c>
      <c r="K248" s="97">
        <f t="shared" si="73"/>
        <v>1.102729950158267</v>
      </c>
      <c r="L248" s="97">
        <f t="shared" si="73"/>
        <v>1.1300208656194231</v>
      </c>
      <c r="M248" s="97">
        <f t="shared" si="73"/>
        <v>1.1579871903832839</v>
      </c>
      <c r="N248" s="97">
        <f t="shared" si="73"/>
        <v>1.1866456398189922</v>
      </c>
      <c r="O248" s="97">
        <f t="shared" si="73"/>
        <v>1.216013342976054</v>
      </c>
      <c r="P248" s="97">
        <f t="shared" si="73"/>
        <v>1.2461078528223082</v>
      </c>
      <c r="Q248" s="97">
        <f t="shared" si="73"/>
        <v>1.2769471567352704</v>
      </c>
      <c r="R248" s="14"/>
      <c r="S248" s="14"/>
      <c r="T248" s="14"/>
      <c r="U248" s="14"/>
      <c r="V248" s="14"/>
      <c r="W248" s="14"/>
      <c r="X248" s="14"/>
      <c r="Y248" s="14"/>
      <c r="Z248" s="8"/>
      <c r="AA248" s="9"/>
      <c r="AB248" s="9"/>
      <c r="AC248" s="9"/>
      <c r="AD248" s="9"/>
      <c r="AE248" s="204"/>
      <c r="AF248" s="204"/>
      <c r="AG248" s="204"/>
      <c r="AH248" s="204"/>
      <c r="AI248" s="204"/>
      <c r="AJ248" s="204"/>
      <c r="AK248" s="204"/>
      <c r="AL248" s="204"/>
      <c r="AM248" s="204"/>
      <c r="AN248" s="204"/>
      <c r="AO248" s="204"/>
      <c r="AP248" s="204"/>
      <c r="AQ248" s="204"/>
      <c r="AR248" s="204"/>
      <c r="AS248" s="204"/>
      <c r="AT248" s="204"/>
      <c r="AU248" s="204"/>
    </row>
    <row r="249" spans="1:47" ht="14.25" customHeight="1">
      <c r="A249" s="12"/>
      <c r="B249" s="12"/>
      <c r="C249" s="12"/>
      <c r="D249" s="12"/>
      <c r="E249" s="12"/>
      <c r="F249" s="144"/>
      <c r="G249" s="98"/>
      <c r="H249" s="98"/>
      <c r="I249" s="98"/>
      <c r="J249" s="98"/>
      <c r="K249" s="98"/>
      <c r="L249" s="98"/>
      <c r="M249" s="9"/>
      <c r="N249" s="14"/>
      <c r="O249" s="14"/>
      <c r="P249" s="14"/>
      <c r="Q249" s="14"/>
      <c r="R249" s="14"/>
      <c r="S249" s="14"/>
      <c r="T249" s="14"/>
      <c r="U249" s="14"/>
      <c r="V249" s="14"/>
      <c r="W249" s="14"/>
      <c r="X249" s="14"/>
      <c r="Y249" s="14"/>
      <c r="Z249" s="8"/>
      <c r="AA249" s="9"/>
      <c r="AB249" s="9"/>
      <c r="AC249" s="9"/>
      <c r="AD249" s="9"/>
      <c r="AE249" s="204"/>
      <c r="AF249" s="204"/>
      <c r="AG249" s="204"/>
      <c r="AH249" s="204"/>
      <c r="AI249" s="204"/>
      <c r="AJ249" s="204"/>
      <c r="AK249" s="204"/>
      <c r="AL249" s="204"/>
      <c r="AM249" s="204"/>
      <c r="AN249" s="204"/>
      <c r="AO249" s="204"/>
      <c r="AP249" s="204"/>
      <c r="AQ249" s="204"/>
      <c r="AR249" s="204"/>
      <c r="AS249" s="204"/>
      <c r="AT249" s="204"/>
      <c r="AU249" s="204"/>
    </row>
    <row r="250" spans="1:47" ht="14.25" customHeight="1">
      <c r="A250" s="12"/>
      <c r="B250" s="12"/>
      <c r="C250" s="12"/>
      <c r="D250" s="12"/>
      <c r="E250" s="12"/>
      <c r="F250" s="276" t="s">
        <v>37</v>
      </c>
      <c r="G250" s="334">
        <v>8.7960989745512586E-2</v>
      </c>
      <c r="H250" s="335">
        <v>0.10004344147395261</v>
      </c>
      <c r="I250" s="99">
        <f>H250</f>
        <v>0.10004344147395261</v>
      </c>
      <c r="J250" s="99">
        <f t="shared" ref="J250:Q250" si="74">I250</f>
        <v>0.10004344147395261</v>
      </c>
      <c r="K250" s="99">
        <f t="shared" si="74"/>
        <v>0.10004344147395261</v>
      </c>
      <c r="L250" s="99">
        <f t="shared" si="74"/>
        <v>0.10004344147395261</v>
      </c>
      <c r="M250" s="99">
        <f t="shared" si="74"/>
        <v>0.10004344147395261</v>
      </c>
      <c r="N250" s="99">
        <f t="shared" si="74"/>
        <v>0.10004344147395261</v>
      </c>
      <c r="O250" s="99">
        <f t="shared" si="74"/>
        <v>0.10004344147395261</v>
      </c>
      <c r="P250" s="99">
        <f t="shared" si="74"/>
        <v>0.10004344147395261</v>
      </c>
      <c r="Q250" s="99">
        <f t="shared" si="74"/>
        <v>0.10004344147395261</v>
      </c>
      <c r="R250" s="14"/>
      <c r="S250" s="14"/>
      <c r="T250" s="14"/>
      <c r="U250" s="14"/>
      <c r="V250" s="14"/>
      <c r="W250" s="14"/>
      <c r="X250" s="14"/>
      <c r="Y250" s="14"/>
      <c r="Z250" s="8"/>
      <c r="AA250" s="9"/>
      <c r="AB250" s="9"/>
      <c r="AC250" s="9"/>
      <c r="AD250" s="9"/>
      <c r="AE250" s="204"/>
      <c r="AF250" s="204"/>
      <c r="AG250" s="204"/>
      <c r="AH250" s="204"/>
      <c r="AI250" s="204"/>
      <c r="AJ250" s="204"/>
      <c r="AK250" s="204"/>
      <c r="AL250" s="204"/>
      <c r="AM250" s="204"/>
      <c r="AN250" s="204"/>
      <c r="AO250" s="204"/>
      <c r="AP250" s="204"/>
      <c r="AQ250" s="204"/>
      <c r="AR250" s="204"/>
      <c r="AS250" s="204"/>
      <c r="AT250" s="204"/>
      <c r="AU250" s="204"/>
    </row>
    <row r="251" spans="1:47">
      <c r="A251" s="12"/>
      <c r="B251" s="12"/>
      <c r="C251" s="12"/>
      <c r="D251" s="12"/>
      <c r="E251" s="12"/>
      <c r="F251" s="275" t="s">
        <v>34</v>
      </c>
      <c r="G251" s="206">
        <f>(1+G250)/(1+G247)-1</f>
        <v>6.3860588073934688E-2</v>
      </c>
      <c r="H251" s="39">
        <f>(1+H250)/(1+H247)-1</f>
        <v>7.3476504987865177E-2</v>
      </c>
      <c r="I251" s="39">
        <f>H251</f>
        <v>7.3476504987865177E-2</v>
      </c>
      <c r="J251" s="39">
        <f t="shared" ref="J251:Q251" si="75">I251</f>
        <v>7.3476504987865177E-2</v>
      </c>
      <c r="K251" s="39">
        <f t="shared" si="75"/>
        <v>7.3476504987865177E-2</v>
      </c>
      <c r="L251" s="39">
        <f t="shared" si="75"/>
        <v>7.3476504987865177E-2</v>
      </c>
      <c r="M251" s="39">
        <f>L251</f>
        <v>7.3476504987865177E-2</v>
      </c>
      <c r="N251" s="39">
        <f t="shared" si="75"/>
        <v>7.3476504987865177E-2</v>
      </c>
      <c r="O251" s="39">
        <f t="shared" si="75"/>
        <v>7.3476504987865177E-2</v>
      </c>
      <c r="P251" s="39">
        <f t="shared" si="75"/>
        <v>7.3476504987865177E-2</v>
      </c>
      <c r="Q251" s="39">
        <f t="shared" si="75"/>
        <v>7.3476504987865177E-2</v>
      </c>
      <c r="R251" s="9"/>
      <c r="S251" s="9"/>
      <c r="T251" s="9"/>
      <c r="U251" s="9"/>
      <c r="V251" s="9"/>
      <c r="W251" s="9"/>
      <c r="X251" s="9"/>
      <c r="Y251" s="9"/>
      <c r="Z251" s="19"/>
      <c r="AA251" s="9"/>
      <c r="AB251" s="9"/>
      <c r="AC251" s="9"/>
      <c r="AD251" s="9"/>
      <c r="AE251" s="204"/>
      <c r="AF251" s="204"/>
      <c r="AG251" s="204"/>
      <c r="AH251" s="204"/>
      <c r="AI251" s="204"/>
      <c r="AJ251" s="204"/>
      <c r="AK251" s="204"/>
      <c r="AL251" s="204"/>
      <c r="AM251" s="204"/>
      <c r="AN251" s="204"/>
      <c r="AO251" s="204"/>
      <c r="AP251" s="204"/>
      <c r="AQ251" s="204"/>
      <c r="AR251" s="204"/>
      <c r="AS251" s="204"/>
      <c r="AT251" s="204"/>
      <c r="AU251" s="204"/>
    </row>
    <row r="252" spans="1:47" ht="12.75" customHeight="1">
      <c r="A252" s="12"/>
      <c r="B252" s="12"/>
      <c r="C252" s="12"/>
      <c r="D252" s="12"/>
      <c r="E252" s="12"/>
      <c r="F252" s="277" t="s">
        <v>121</v>
      </c>
      <c r="G252" s="206">
        <f t="shared" ref="G252:L252" si="76">(1+G251)*(1+G245)-1</f>
        <v>9.0096360899432515E-2</v>
      </c>
      <c r="H252" s="39">
        <f t="shared" si="76"/>
        <v>0.10447943653986114</v>
      </c>
      <c r="I252" s="39">
        <f t="shared" si="76"/>
        <v>0.10925905515412726</v>
      </c>
      <c r="J252" s="39">
        <f t="shared" si="76"/>
        <v>9.0486885372506043E-2</v>
      </c>
      <c r="K252" s="39">
        <f t="shared" si="76"/>
        <v>0.10034028138896289</v>
      </c>
      <c r="L252" s="39">
        <f t="shared" si="76"/>
        <v>0.10031341761256174</v>
      </c>
      <c r="M252" s="39">
        <f>IF(M245=0,0,(1+M251)*(1+M245)-1)</f>
        <v>0</v>
      </c>
      <c r="N252" s="39">
        <f>IF(N245=0,0,(1+N251)*(1+N245)-1)</f>
        <v>0</v>
      </c>
      <c r="O252" s="39">
        <f>IF(O245=0,0,(1+O251)*(1+O245)-1)</f>
        <v>0</v>
      </c>
      <c r="P252" s="39">
        <f>IF(P245=0,0,(1+P251)*(1+P245)-1)</f>
        <v>0</v>
      </c>
      <c r="Q252" s="39">
        <f>IF(Q245=0,0,(1+Q251)*(1+Q245)-1)</f>
        <v>0</v>
      </c>
      <c r="R252" s="9"/>
      <c r="S252" s="9"/>
      <c r="T252" s="9"/>
      <c r="U252" s="9"/>
      <c r="V252" s="9"/>
      <c r="W252" s="9"/>
      <c r="X252" s="9"/>
      <c r="Y252" s="9"/>
      <c r="Z252" s="19"/>
      <c r="AA252" s="9"/>
      <c r="AB252" s="9"/>
      <c r="AC252" s="9"/>
      <c r="AD252" s="9"/>
      <c r="AE252" s="204"/>
      <c r="AF252" s="204"/>
      <c r="AG252" s="204"/>
      <c r="AH252" s="204"/>
      <c r="AI252" s="204"/>
      <c r="AJ252" s="204"/>
      <c r="AK252" s="204"/>
      <c r="AL252" s="204"/>
      <c r="AM252" s="204"/>
      <c r="AN252" s="204"/>
      <c r="AO252" s="204"/>
      <c r="AP252" s="204"/>
      <c r="AQ252" s="204"/>
      <c r="AR252" s="204"/>
      <c r="AS252" s="204"/>
      <c r="AT252" s="204"/>
      <c r="AU252" s="204"/>
    </row>
    <row r="253" spans="1:47">
      <c r="A253" s="12"/>
      <c r="B253" s="12"/>
      <c r="C253" s="12"/>
      <c r="D253" s="12"/>
      <c r="E253" s="12"/>
      <c r="F253" s="100"/>
      <c r="G253" s="100"/>
      <c r="H253" s="145"/>
      <c r="I253" s="145"/>
      <c r="J253" s="145"/>
      <c r="K253" s="145"/>
      <c r="L253" s="145"/>
      <c r="M253" s="145"/>
      <c r="N253" s="12"/>
      <c r="O253" s="12"/>
      <c r="P253" s="12"/>
      <c r="Q253" s="12"/>
      <c r="R253" s="12"/>
      <c r="S253" s="12"/>
      <c r="T253" s="12"/>
      <c r="U253" s="12"/>
      <c r="V253" s="9"/>
      <c r="W253" s="9"/>
      <c r="X253" s="9"/>
      <c r="Y253" s="9"/>
      <c r="Z253" s="9"/>
      <c r="AA253" s="19"/>
      <c r="AB253" s="9"/>
      <c r="AC253" s="9"/>
      <c r="AD253" s="9"/>
      <c r="AE253" s="204"/>
      <c r="AF253" s="204"/>
      <c r="AG253" s="204"/>
      <c r="AH253" s="204"/>
      <c r="AI253" s="204"/>
      <c r="AJ253" s="204"/>
      <c r="AK253" s="204"/>
      <c r="AL253" s="204"/>
      <c r="AM253" s="204"/>
      <c r="AN253" s="204"/>
      <c r="AO253" s="204"/>
      <c r="AP253" s="204"/>
      <c r="AQ253" s="204"/>
      <c r="AR253" s="204"/>
      <c r="AS253" s="204"/>
      <c r="AT253" s="204"/>
      <c r="AU253" s="204"/>
    </row>
    <row r="254" spans="1:47" s="9" customFormat="1" ht="22.5" customHeight="1">
      <c r="A254" s="12"/>
      <c r="B254" s="12"/>
      <c r="C254" s="12"/>
      <c r="D254" s="12"/>
      <c r="E254" s="12"/>
      <c r="H254" s="18"/>
      <c r="I254" s="20"/>
      <c r="AA254" s="19"/>
      <c r="AE254" s="204"/>
      <c r="AF254" s="204"/>
      <c r="AG254" s="204"/>
      <c r="AH254" s="204"/>
      <c r="AI254" s="204"/>
      <c r="AJ254" s="204"/>
      <c r="AK254" s="204"/>
      <c r="AL254" s="204"/>
      <c r="AM254" s="204"/>
      <c r="AN254" s="204"/>
      <c r="AO254" s="204"/>
      <c r="AP254" s="204"/>
      <c r="AQ254" s="204"/>
      <c r="AR254" s="204"/>
      <c r="AS254" s="204"/>
      <c r="AT254" s="204"/>
      <c r="AU254" s="204"/>
    </row>
    <row r="255" spans="1:47">
      <c r="A255" s="12"/>
      <c r="B255" s="12"/>
      <c r="C255" s="12"/>
      <c r="D255" s="12"/>
      <c r="E255" s="12"/>
      <c r="F255" s="9"/>
      <c r="G255" s="9"/>
      <c r="H255" s="18"/>
      <c r="I255" s="20"/>
      <c r="J255" s="9"/>
      <c r="K255" s="9"/>
      <c r="L255" s="9"/>
      <c r="M255" s="9"/>
      <c r="N255" s="9"/>
      <c r="O255" s="9"/>
      <c r="P255" s="9"/>
      <c r="Q255" s="9"/>
      <c r="R255" s="9"/>
      <c r="S255" s="9"/>
      <c r="T255" s="9"/>
      <c r="U255" s="9"/>
      <c r="V255" s="9"/>
      <c r="W255" s="9"/>
      <c r="X255" s="9"/>
      <c r="Y255" s="9"/>
      <c r="Z255" s="9"/>
      <c r="AA255" s="19"/>
      <c r="AB255" s="9"/>
      <c r="AC255" s="9"/>
      <c r="AD255" s="9"/>
      <c r="AE255" s="204"/>
      <c r="AF255" s="204"/>
      <c r="AG255" s="204"/>
      <c r="AH255" s="204"/>
      <c r="AI255" s="204"/>
      <c r="AJ255" s="204"/>
      <c r="AK255" s="204"/>
      <c r="AL255" s="204"/>
      <c r="AM255" s="204"/>
      <c r="AN255" s="204"/>
      <c r="AO255" s="204"/>
      <c r="AP255" s="204"/>
      <c r="AQ255" s="204"/>
      <c r="AR255" s="204"/>
      <c r="AS255" s="204"/>
      <c r="AT255" s="204"/>
      <c r="AU255" s="204"/>
    </row>
    <row r="256" spans="1:47">
      <c r="A256" s="12"/>
      <c r="B256" s="12"/>
      <c r="C256" s="12"/>
      <c r="D256" s="12"/>
      <c r="E256" s="12"/>
      <c r="F256" s="9"/>
      <c r="G256" s="9"/>
      <c r="H256" s="18"/>
      <c r="I256" s="20"/>
      <c r="J256" s="9"/>
      <c r="K256" s="9"/>
      <c r="L256" s="9"/>
      <c r="M256" s="9"/>
      <c r="N256" s="9"/>
      <c r="O256" s="9"/>
      <c r="P256" s="9"/>
      <c r="Q256" s="9"/>
      <c r="R256" s="9"/>
      <c r="S256" s="9"/>
      <c r="T256" s="9"/>
      <c r="U256" s="9"/>
      <c r="V256" s="9"/>
      <c r="W256" s="9"/>
      <c r="X256" s="9"/>
      <c r="Y256" s="9"/>
      <c r="Z256" s="9"/>
      <c r="AA256" s="19"/>
      <c r="AB256" s="9"/>
      <c r="AC256" s="9"/>
      <c r="AD256" s="9"/>
      <c r="AE256" s="204"/>
      <c r="AF256" s="204"/>
      <c r="AG256" s="204"/>
      <c r="AH256" s="204"/>
      <c r="AI256" s="204"/>
      <c r="AJ256" s="204"/>
      <c r="AK256" s="204"/>
      <c r="AL256" s="204"/>
      <c r="AM256" s="204"/>
      <c r="AN256" s="204"/>
      <c r="AO256" s="204"/>
      <c r="AP256" s="204"/>
      <c r="AQ256" s="204"/>
      <c r="AR256" s="204"/>
      <c r="AS256" s="204"/>
      <c r="AT256" s="204"/>
      <c r="AU256" s="204"/>
    </row>
    <row r="257" spans="1:47">
      <c r="A257" s="12"/>
      <c r="B257" s="12"/>
      <c r="C257" s="12"/>
      <c r="D257" s="12"/>
      <c r="E257" s="12"/>
      <c r="F257" s="9"/>
      <c r="G257" s="9"/>
      <c r="H257" s="18"/>
      <c r="I257" s="20"/>
      <c r="J257" s="9"/>
      <c r="K257" s="9"/>
      <c r="L257" s="9"/>
      <c r="M257" s="9"/>
      <c r="N257" s="9"/>
      <c r="O257" s="9"/>
      <c r="P257" s="9"/>
      <c r="Q257" s="9"/>
      <c r="R257" s="9"/>
      <c r="S257" s="9"/>
      <c r="T257" s="9"/>
      <c r="U257" s="9"/>
      <c r="V257" s="9"/>
      <c r="W257" s="9"/>
      <c r="X257" s="9"/>
      <c r="Y257" s="9"/>
      <c r="Z257" s="9"/>
      <c r="AA257" s="19"/>
      <c r="AB257" s="9"/>
      <c r="AC257" s="9"/>
      <c r="AD257" s="9"/>
      <c r="AE257" s="204"/>
      <c r="AF257" s="204"/>
      <c r="AG257" s="204"/>
      <c r="AH257" s="204"/>
      <c r="AI257" s="204"/>
      <c r="AJ257" s="204"/>
      <c r="AK257" s="204"/>
      <c r="AL257" s="204"/>
      <c r="AM257" s="204"/>
      <c r="AN257" s="204"/>
      <c r="AO257" s="204"/>
      <c r="AP257" s="204"/>
      <c r="AQ257" s="204"/>
      <c r="AR257" s="204"/>
      <c r="AS257" s="204"/>
      <c r="AT257" s="204"/>
      <c r="AU257" s="204"/>
    </row>
    <row r="258" spans="1:47">
      <c r="A258" s="12"/>
      <c r="B258" s="12"/>
      <c r="C258" s="12"/>
      <c r="D258" s="12"/>
      <c r="E258" s="12"/>
      <c r="F258" s="9"/>
      <c r="G258" s="9"/>
      <c r="H258" s="18"/>
      <c r="I258" s="20"/>
      <c r="J258" s="9"/>
      <c r="K258" s="9"/>
      <c r="L258" s="9"/>
      <c r="M258" s="9"/>
      <c r="N258" s="9"/>
      <c r="O258" s="9"/>
      <c r="P258" s="9"/>
      <c r="Q258" s="9"/>
      <c r="R258" s="9"/>
      <c r="S258" s="9"/>
      <c r="T258" s="9"/>
      <c r="U258" s="9"/>
      <c r="V258" s="9"/>
      <c r="W258" s="9"/>
      <c r="X258" s="9"/>
      <c r="Y258" s="9"/>
      <c r="Z258" s="9"/>
      <c r="AA258" s="19"/>
      <c r="AB258" s="9"/>
      <c r="AC258" s="9"/>
      <c r="AD258" s="9"/>
      <c r="AE258" s="204"/>
      <c r="AF258" s="204"/>
      <c r="AG258" s="204"/>
      <c r="AH258" s="204"/>
      <c r="AI258" s="204"/>
      <c r="AJ258" s="204"/>
      <c r="AK258" s="204"/>
      <c r="AL258" s="204"/>
      <c r="AM258" s="204"/>
      <c r="AN258" s="204"/>
      <c r="AO258" s="204"/>
      <c r="AP258" s="204"/>
      <c r="AQ258" s="204"/>
      <c r="AR258" s="204"/>
      <c r="AS258" s="204"/>
      <c r="AT258" s="204"/>
      <c r="AU258" s="204"/>
    </row>
    <row r="259" spans="1:47">
      <c r="A259" s="12"/>
      <c r="B259" s="12"/>
      <c r="C259" s="12"/>
      <c r="D259" s="12"/>
      <c r="E259" s="12"/>
      <c r="F259" s="9"/>
      <c r="G259" s="9"/>
      <c r="H259" s="18"/>
      <c r="I259" s="20"/>
      <c r="J259" s="9"/>
      <c r="K259" s="9"/>
      <c r="L259" s="9"/>
      <c r="M259" s="9"/>
      <c r="N259" s="9"/>
      <c r="O259" s="9"/>
      <c r="P259" s="9"/>
      <c r="Q259" s="9"/>
      <c r="R259" s="9"/>
      <c r="S259" s="9"/>
      <c r="T259" s="9"/>
      <c r="U259" s="9"/>
      <c r="V259" s="9"/>
      <c r="W259" s="9"/>
      <c r="X259" s="9"/>
      <c r="Y259" s="9"/>
      <c r="Z259" s="9"/>
      <c r="AA259" s="19"/>
      <c r="AB259" s="9"/>
      <c r="AC259" s="9"/>
      <c r="AD259" s="9"/>
      <c r="AE259" s="204"/>
      <c r="AF259" s="204"/>
      <c r="AG259" s="204"/>
      <c r="AH259" s="204"/>
      <c r="AI259" s="204"/>
      <c r="AJ259" s="204"/>
      <c r="AK259" s="204"/>
      <c r="AL259" s="204"/>
      <c r="AM259" s="204"/>
      <c r="AN259" s="204"/>
      <c r="AO259" s="204"/>
      <c r="AP259" s="204"/>
      <c r="AQ259" s="204"/>
      <c r="AR259" s="204"/>
      <c r="AS259" s="204"/>
      <c r="AT259" s="204"/>
      <c r="AU259" s="204"/>
    </row>
    <row r="260" spans="1:47">
      <c r="A260" s="12"/>
      <c r="B260" s="12"/>
      <c r="C260" s="12"/>
      <c r="D260" s="12"/>
      <c r="E260" s="12"/>
      <c r="F260" s="9"/>
      <c r="G260" s="9"/>
      <c r="H260" s="18"/>
      <c r="I260" s="20"/>
      <c r="J260" s="9"/>
      <c r="K260" s="9"/>
      <c r="L260" s="9"/>
      <c r="M260" s="9"/>
      <c r="N260" s="9"/>
      <c r="O260" s="9"/>
      <c r="P260" s="9"/>
      <c r="Q260" s="9"/>
      <c r="R260" s="9"/>
      <c r="S260" s="9"/>
      <c r="T260" s="9"/>
      <c r="U260" s="9"/>
      <c r="V260" s="9"/>
      <c r="W260" s="9"/>
      <c r="X260" s="9"/>
      <c r="Y260" s="9"/>
      <c r="Z260" s="9"/>
      <c r="AA260" s="19"/>
      <c r="AB260" s="9"/>
      <c r="AC260" s="9"/>
      <c r="AD260" s="9"/>
      <c r="AE260" s="204"/>
      <c r="AF260" s="204"/>
      <c r="AG260" s="204"/>
      <c r="AH260" s="204"/>
      <c r="AI260" s="204"/>
      <c r="AJ260" s="204"/>
      <c r="AK260" s="204"/>
      <c r="AL260" s="204"/>
      <c r="AM260" s="204"/>
      <c r="AN260" s="204"/>
      <c r="AO260" s="204"/>
      <c r="AP260" s="204"/>
      <c r="AQ260" s="204"/>
      <c r="AR260" s="204"/>
      <c r="AS260" s="204"/>
      <c r="AT260" s="204"/>
      <c r="AU260" s="204"/>
    </row>
    <row r="261" spans="1:47">
      <c r="A261" s="12"/>
      <c r="B261" s="12"/>
      <c r="C261" s="12"/>
      <c r="D261" s="12"/>
      <c r="E261" s="12"/>
      <c r="F261" s="9"/>
      <c r="G261" s="9"/>
      <c r="H261" s="18"/>
      <c r="I261" s="20"/>
      <c r="J261" s="9"/>
      <c r="K261" s="9"/>
      <c r="L261" s="9"/>
      <c r="M261" s="9"/>
      <c r="N261" s="9"/>
      <c r="O261" s="9"/>
      <c r="P261" s="9"/>
      <c r="Q261" s="9"/>
      <c r="R261" s="9"/>
      <c r="S261" s="9"/>
      <c r="T261" s="9"/>
      <c r="U261" s="9"/>
      <c r="V261" s="9"/>
      <c r="W261" s="9"/>
      <c r="X261" s="9"/>
      <c r="Y261" s="9"/>
      <c r="Z261" s="9"/>
      <c r="AA261" s="19"/>
      <c r="AB261" s="9"/>
      <c r="AC261" s="9"/>
      <c r="AD261" s="9"/>
      <c r="AE261" s="204"/>
      <c r="AF261" s="204"/>
      <c r="AG261" s="204"/>
      <c r="AH261" s="204"/>
      <c r="AI261" s="204"/>
      <c r="AJ261" s="204"/>
      <c r="AK261" s="204"/>
      <c r="AL261" s="204"/>
      <c r="AM261" s="204"/>
      <c r="AN261" s="204"/>
      <c r="AO261" s="204"/>
      <c r="AP261" s="204"/>
      <c r="AQ261" s="204"/>
      <c r="AR261" s="204"/>
      <c r="AS261" s="204"/>
      <c r="AT261" s="204"/>
      <c r="AU261" s="204"/>
    </row>
    <row r="262" spans="1:47">
      <c r="A262" s="12"/>
      <c r="B262" s="12"/>
      <c r="C262" s="12"/>
      <c r="D262" s="12"/>
      <c r="E262" s="12"/>
      <c r="F262" s="9"/>
      <c r="G262" s="9"/>
      <c r="H262" s="18"/>
      <c r="I262" s="20"/>
      <c r="J262" s="9"/>
      <c r="K262" s="9"/>
      <c r="L262" s="9"/>
      <c r="M262" s="9"/>
      <c r="N262" s="9"/>
      <c r="O262" s="9"/>
      <c r="P262" s="9"/>
      <c r="Q262" s="9"/>
      <c r="R262" s="9"/>
      <c r="S262" s="9"/>
      <c r="T262" s="9"/>
      <c r="U262" s="9"/>
      <c r="V262" s="9"/>
      <c r="W262" s="9"/>
      <c r="X262" s="9"/>
      <c r="Y262" s="9"/>
      <c r="Z262" s="9"/>
      <c r="AA262" s="19"/>
      <c r="AB262" s="9"/>
      <c r="AC262" s="9"/>
      <c r="AD262" s="9"/>
      <c r="AE262" s="204"/>
      <c r="AF262" s="204"/>
      <c r="AG262" s="204"/>
      <c r="AH262" s="204"/>
      <c r="AI262" s="204"/>
      <c r="AJ262" s="204"/>
      <c r="AK262" s="204"/>
      <c r="AL262" s="204"/>
      <c r="AM262" s="204"/>
      <c r="AN262" s="204"/>
      <c r="AO262" s="204"/>
      <c r="AP262" s="204"/>
      <c r="AQ262" s="204"/>
      <c r="AR262" s="204"/>
      <c r="AS262" s="204"/>
      <c r="AT262" s="204"/>
      <c r="AU262" s="204"/>
    </row>
    <row r="263" spans="1:47">
      <c r="A263" s="12"/>
      <c r="B263" s="12"/>
      <c r="C263" s="12"/>
      <c r="D263" s="12"/>
      <c r="E263" s="12"/>
      <c r="F263" s="9"/>
      <c r="G263" s="9"/>
      <c r="H263" s="18"/>
      <c r="I263" s="20"/>
      <c r="J263" s="9"/>
      <c r="K263" s="9"/>
      <c r="L263" s="9"/>
      <c r="M263" s="9"/>
      <c r="N263" s="9"/>
      <c r="O263" s="9"/>
      <c r="P263" s="9"/>
      <c r="Q263" s="9"/>
      <c r="R263" s="9"/>
      <c r="S263" s="9"/>
      <c r="T263" s="9"/>
      <c r="U263" s="9"/>
      <c r="V263" s="9"/>
      <c r="W263" s="9"/>
      <c r="X263" s="9"/>
      <c r="Y263" s="9"/>
      <c r="Z263" s="9"/>
      <c r="AA263" s="19"/>
      <c r="AB263" s="9"/>
      <c r="AC263" s="9"/>
      <c r="AD263" s="9"/>
      <c r="AE263" s="204"/>
      <c r="AF263" s="204"/>
      <c r="AG263" s="204"/>
      <c r="AH263" s="204"/>
      <c r="AI263" s="204"/>
      <c r="AJ263" s="204"/>
      <c r="AK263" s="204"/>
      <c r="AL263" s="204"/>
      <c r="AM263" s="204"/>
      <c r="AN263" s="204"/>
      <c r="AO263" s="204"/>
      <c r="AP263" s="204"/>
      <c r="AQ263" s="204"/>
      <c r="AR263" s="204"/>
      <c r="AS263" s="204"/>
      <c r="AT263" s="204"/>
      <c r="AU263" s="204"/>
    </row>
    <row r="264" spans="1:47">
      <c r="A264" s="12"/>
      <c r="B264" s="12"/>
      <c r="C264" s="12"/>
      <c r="D264" s="12"/>
      <c r="E264" s="12"/>
      <c r="F264" s="9"/>
      <c r="G264" s="9"/>
      <c r="H264" s="18"/>
      <c r="I264" s="20"/>
      <c r="J264" s="9"/>
      <c r="K264" s="9"/>
      <c r="L264" s="9"/>
      <c r="M264" s="9"/>
      <c r="N264" s="9"/>
      <c r="O264" s="9"/>
      <c r="P264" s="9"/>
      <c r="Q264" s="9"/>
      <c r="R264" s="9"/>
      <c r="S264" s="9"/>
      <c r="T264" s="9"/>
      <c r="U264" s="9"/>
      <c r="V264" s="9"/>
      <c r="W264" s="9"/>
      <c r="X264" s="9"/>
      <c r="Y264" s="9"/>
      <c r="Z264" s="9"/>
      <c r="AA264" s="19"/>
      <c r="AB264" s="9"/>
      <c r="AC264" s="9"/>
      <c r="AD264" s="9"/>
      <c r="AE264" s="204"/>
      <c r="AF264" s="204"/>
      <c r="AG264" s="204"/>
      <c r="AH264" s="204"/>
      <c r="AI264" s="204"/>
      <c r="AJ264" s="204"/>
      <c r="AK264" s="204"/>
      <c r="AL264" s="204"/>
      <c r="AM264" s="204"/>
      <c r="AN264" s="204"/>
      <c r="AO264" s="204"/>
      <c r="AP264" s="204"/>
      <c r="AQ264" s="204"/>
      <c r="AR264" s="204"/>
      <c r="AS264" s="204"/>
      <c r="AT264" s="204"/>
      <c r="AU264" s="204"/>
    </row>
    <row r="265" spans="1:47">
      <c r="A265" s="12"/>
      <c r="B265" s="12"/>
      <c r="C265" s="12"/>
      <c r="D265" s="12"/>
      <c r="E265" s="12"/>
      <c r="F265" s="9"/>
      <c r="G265" s="9"/>
      <c r="H265" s="18"/>
      <c r="I265" s="20"/>
      <c r="J265" s="9"/>
      <c r="K265" s="9"/>
      <c r="L265" s="9"/>
      <c r="M265" s="9"/>
      <c r="N265" s="9"/>
      <c r="O265" s="9"/>
      <c r="P265" s="9"/>
      <c r="Q265" s="9"/>
      <c r="R265" s="9"/>
      <c r="S265" s="9"/>
      <c r="T265" s="9"/>
      <c r="U265" s="9"/>
      <c r="V265" s="9"/>
      <c r="W265" s="9"/>
      <c r="X265" s="9"/>
      <c r="Y265" s="9"/>
      <c r="Z265" s="9"/>
      <c r="AA265" s="19"/>
      <c r="AB265" s="9"/>
      <c r="AC265" s="9"/>
      <c r="AD265" s="9"/>
      <c r="AE265" s="204"/>
      <c r="AF265" s="204"/>
      <c r="AG265" s="204"/>
      <c r="AH265" s="204"/>
      <c r="AI265" s="204"/>
      <c r="AJ265" s="204"/>
      <c r="AK265" s="204"/>
      <c r="AL265" s="204"/>
      <c r="AM265" s="204"/>
      <c r="AN265" s="204"/>
      <c r="AO265" s="204"/>
      <c r="AP265" s="204"/>
      <c r="AQ265" s="204"/>
      <c r="AR265" s="204"/>
      <c r="AS265" s="204"/>
      <c r="AT265" s="204"/>
      <c r="AU265" s="204"/>
    </row>
    <row r="266" spans="1:47">
      <c r="A266" s="12"/>
      <c r="B266" s="12"/>
      <c r="C266" s="12"/>
      <c r="D266" s="12"/>
      <c r="E266" s="12"/>
      <c r="F266" s="9"/>
      <c r="G266" s="9"/>
      <c r="H266" s="18"/>
      <c r="I266" s="20"/>
      <c r="J266" s="9"/>
      <c r="K266" s="9"/>
      <c r="L266" s="9"/>
      <c r="M266" s="9"/>
      <c r="N266" s="9"/>
      <c r="O266" s="9"/>
      <c r="P266" s="9"/>
      <c r="Q266" s="9"/>
      <c r="R266" s="9"/>
      <c r="S266" s="9"/>
      <c r="T266" s="9"/>
      <c r="U266" s="9"/>
      <c r="V266" s="9"/>
      <c r="W266" s="9"/>
      <c r="X266" s="9"/>
      <c r="Y266" s="9"/>
      <c r="Z266" s="9"/>
      <c r="AA266" s="19"/>
      <c r="AB266" s="9"/>
      <c r="AC266" s="9"/>
      <c r="AD266" s="9"/>
      <c r="AE266" s="204"/>
      <c r="AF266" s="204"/>
      <c r="AG266" s="204"/>
      <c r="AH266" s="204"/>
      <c r="AI266" s="204"/>
      <c r="AJ266" s="204"/>
      <c r="AK266" s="204"/>
      <c r="AL266" s="204"/>
      <c r="AM266" s="204"/>
      <c r="AN266" s="204"/>
      <c r="AO266" s="204"/>
      <c r="AP266" s="204"/>
      <c r="AQ266" s="204"/>
      <c r="AR266" s="204"/>
      <c r="AS266" s="204"/>
      <c r="AT266" s="204"/>
      <c r="AU266" s="204"/>
    </row>
    <row r="267" spans="1:47">
      <c r="A267" s="12"/>
      <c r="B267" s="12"/>
      <c r="C267" s="12"/>
      <c r="D267" s="12"/>
      <c r="E267" s="12"/>
      <c r="F267" s="9"/>
      <c r="G267" s="9"/>
      <c r="H267" s="18"/>
      <c r="I267" s="20"/>
      <c r="J267" s="9"/>
      <c r="K267" s="9"/>
      <c r="L267" s="9"/>
      <c r="M267" s="9"/>
      <c r="N267" s="9"/>
      <c r="O267" s="9"/>
      <c r="P267" s="9"/>
      <c r="Q267" s="9"/>
      <c r="R267" s="9"/>
      <c r="S267" s="9"/>
      <c r="T267" s="9"/>
      <c r="U267" s="9"/>
      <c r="V267" s="9"/>
      <c r="W267" s="9"/>
      <c r="X267" s="9"/>
      <c r="Y267" s="9"/>
      <c r="Z267" s="9"/>
      <c r="AA267" s="19"/>
      <c r="AB267" s="9"/>
      <c r="AC267" s="9"/>
      <c r="AD267" s="9"/>
      <c r="AE267" s="204"/>
      <c r="AF267" s="204"/>
      <c r="AG267" s="204"/>
      <c r="AH267" s="204"/>
      <c r="AI267" s="204"/>
      <c r="AJ267" s="204"/>
      <c r="AK267" s="204"/>
      <c r="AL267" s="204"/>
      <c r="AM267" s="204"/>
      <c r="AN267" s="204"/>
      <c r="AO267" s="204"/>
      <c r="AP267" s="204"/>
      <c r="AQ267" s="204"/>
      <c r="AR267" s="204"/>
      <c r="AS267" s="204"/>
      <c r="AT267" s="204"/>
      <c r="AU267" s="204"/>
    </row>
    <row r="268" spans="1:47">
      <c r="A268" s="12"/>
      <c r="B268" s="12"/>
      <c r="C268" s="12"/>
      <c r="D268" s="12"/>
      <c r="E268" s="12"/>
      <c r="F268" s="9"/>
      <c r="G268" s="9"/>
      <c r="H268" s="18"/>
      <c r="I268" s="20"/>
      <c r="J268" s="9"/>
      <c r="K268" s="9"/>
      <c r="L268" s="9"/>
      <c r="M268" s="9"/>
      <c r="N268" s="9"/>
      <c r="O268" s="9"/>
      <c r="P268" s="9"/>
      <c r="Q268" s="9"/>
      <c r="R268" s="9"/>
      <c r="S268" s="9"/>
      <c r="T268" s="9"/>
      <c r="U268" s="9"/>
      <c r="V268" s="9"/>
      <c r="W268" s="9"/>
      <c r="X268" s="9"/>
      <c r="Y268" s="9"/>
      <c r="Z268" s="9"/>
      <c r="AA268" s="19"/>
      <c r="AB268" s="9"/>
      <c r="AC268" s="9"/>
      <c r="AD268" s="9"/>
      <c r="AE268" s="204"/>
      <c r="AF268" s="204"/>
      <c r="AG268" s="204"/>
      <c r="AH268" s="204"/>
      <c r="AI268" s="204"/>
      <c r="AJ268" s="204"/>
      <c r="AK268" s="204"/>
      <c r="AL268" s="204"/>
      <c r="AM268" s="204"/>
      <c r="AN268" s="204"/>
      <c r="AO268" s="204"/>
      <c r="AP268" s="204"/>
      <c r="AQ268" s="204"/>
      <c r="AR268" s="204"/>
      <c r="AS268" s="204"/>
      <c r="AT268" s="204"/>
      <c r="AU268" s="204"/>
    </row>
    <row r="269" spans="1:47">
      <c r="A269" s="12"/>
      <c r="B269" s="12"/>
      <c r="C269" s="12"/>
      <c r="D269" s="12"/>
      <c r="E269" s="12"/>
      <c r="F269" s="9"/>
      <c r="G269" s="9"/>
      <c r="H269" s="18"/>
      <c r="I269" s="20"/>
      <c r="J269" s="9"/>
      <c r="K269" s="9"/>
      <c r="L269" s="9"/>
      <c r="M269" s="9"/>
      <c r="N269" s="9"/>
      <c r="O269" s="9"/>
      <c r="P269" s="9"/>
      <c r="Q269" s="9"/>
      <c r="R269" s="9"/>
      <c r="S269" s="9"/>
      <c r="T269" s="9"/>
      <c r="U269" s="9"/>
      <c r="V269" s="9"/>
      <c r="W269" s="9"/>
      <c r="X269" s="9"/>
      <c r="Y269" s="9"/>
      <c r="Z269" s="9"/>
      <c r="AA269" s="19"/>
      <c r="AB269" s="9"/>
      <c r="AC269" s="9"/>
      <c r="AD269" s="9"/>
      <c r="AE269" s="204"/>
      <c r="AF269" s="204"/>
      <c r="AG269" s="204"/>
      <c r="AH269" s="204"/>
      <c r="AI269" s="204"/>
      <c r="AJ269" s="204"/>
      <c r="AK269" s="204"/>
      <c r="AL269" s="204"/>
      <c r="AM269" s="204"/>
      <c r="AN269" s="204"/>
      <c r="AO269" s="204"/>
      <c r="AP269" s="204"/>
      <c r="AQ269" s="204"/>
      <c r="AR269" s="204"/>
      <c r="AS269" s="204"/>
      <c r="AT269" s="204"/>
      <c r="AU269" s="204"/>
    </row>
    <row r="270" spans="1:47">
      <c r="A270" s="12"/>
      <c r="B270" s="12"/>
      <c r="C270" s="12"/>
      <c r="D270" s="12"/>
      <c r="E270" s="12"/>
      <c r="F270" s="9"/>
      <c r="G270" s="9"/>
      <c r="H270" s="18"/>
      <c r="I270" s="20"/>
      <c r="J270" s="9"/>
      <c r="K270" s="9"/>
      <c r="L270" s="9"/>
      <c r="M270" s="9"/>
      <c r="N270" s="9"/>
      <c r="O270" s="9"/>
      <c r="P270" s="9"/>
      <c r="Q270" s="9"/>
      <c r="R270" s="9"/>
      <c r="S270" s="9"/>
      <c r="T270" s="9"/>
      <c r="U270" s="9"/>
      <c r="V270" s="9"/>
      <c r="W270" s="9"/>
      <c r="X270" s="9"/>
      <c r="Y270" s="9"/>
      <c r="Z270" s="9"/>
      <c r="AA270" s="19"/>
      <c r="AB270" s="9"/>
      <c r="AC270" s="9"/>
      <c r="AD270" s="9"/>
      <c r="AE270" s="204"/>
      <c r="AF270" s="204"/>
      <c r="AG270" s="204"/>
      <c r="AH270" s="204"/>
      <c r="AI270" s="204"/>
      <c r="AJ270" s="204"/>
      <c r="AK270" s="204"/>
      <c r="AL270" s="204"/>
      <c r="AM270" s="204"/>
      <c r="AN270" s="204"/>
      <c r="AO270" s="204"/>
      <c r="AP270" s="204"/>
      <c r="AQ270" s="204"/>
      <c r="AR270" s="204"/>
      <c r="AS270" s="204"/>
      <c r="AT270" s="204"/>
      <c r="AU270" s="204"/>
    </row>
    <row r="271" spans="1:47">
      <c r="A271" s="12"/>
      <c r="B271" s="12"/>
      <c r="C271" s="12"/>
      <c r="D271" s="12"/>
      <c r="E271" s="12"/>
      <c r="F271" s="9"/>
      <c r="G271" s="9"/>
      <c r="H271" s="18"/>
      <c r="I271" s="20"/>
      <c r="J271" s="9"/>
      <c r="K271" s="9"/>
      <c r="L271" s="9"/>
      <c r="M271" s="9"/>
      <c r="N271" s="9"/>
      <c r="O271" s="9"/>
      <c r="P271" s="9"/>
      <c r="Q271" s="9"/>
      <c r="R271" s="9"/>
      <c r="S271" s="9"/>
      <c r="T271" s="9"/>
      <c r="U271" s="9"/>
      <c r="V271" s="9"/>
      <c r="W271" s="9"/>
      <c r="X271" s="9"/>
      <c r="Y271" s="9"/>
      <c r="Z271" s="9"/>
      <c r="AA271" s="19"/>
      <c r="AB271" s="9"/>
      <c r="AC271" s="9"/>
      <c r="AD271" s="9"/>
      <c r="AE271" s="204"/>
      <c r="AF271" s="204"/>
      <c r="AG271" s="204"/>
      <c r="AH271" s="204"/>
      <c r="AI271" s="204"/>
      <c r="AJ271" s="204"/>
      <c r="AK271" s="204"/>
      <c r="AL271" s="204"/>
      <c r="AM271" s="204"/>
      <c r="AN271" s="204"/>
      <c r="AO271" s="204"/>
      <c r="AP271" s="204"/>
      <c r="AQ271" s="204"/>
      <c r="AR271" s="204"/>
      <c r="AS271" s="204"/>
      <c r="AT271" s="204"/>
      <c r="AU271" s="204"/>
    </row>
    <row r="272" spans="1:47">
      <c r="A272" s="12"/>
      <c r="B272" s="12"/>
      <c r="C272" s="12"/>
      <c r="D272" s="12"/>
      <c r="E272" s="12"/>
      <c r="F272" s="9"/>
      <c r="G272" s="9"/>
      <c r="H272" s="18"/>
      <c r="I272" s="20"/>
      <c r="J272" s="9"/>
      <c r="K272" s="9"/>
      <c r="L272" s="9"/>
      <c r="M272" s="9"/>
      <c r="N272" s="9"/>
      <c r="O272" s="9"/>
      <c r="P272" s="9"/>
      <c r="Q272" s="9"/>
      <c r="R272" s="9"/>
      <c r="S272" s="9"/>
      <c r="T272" s="9"/>
      <c r="U272" s="9"/>
      <c r="V272" s="9"/>
      <c r="W272" s="9"/>
      <c r="X272" s="9"/>
      <c r="Y272" s="9"/>
      <c r="Z272" s="9"/>
      <c r="AA272" s="19"/>
      <c r="AB272" s="9"/>
      <c r="AC272" s="9"/>
      <c r="AD272" s="9"/>
      <c r="AE272" s="204"/>
      <c r="AF272" s="204"/>
      <c r="AG272" s="204"/>
      <c r="AH272" s="204"/>
      <c r="AI272" s="204"/>
      <c r="AJ272" s="204"/>
      <c r="AK272" s="204"/>
      <c r="AL272" s="204"/>
      <c r="AM272" s="204"/>
      <c r="AN272" s="204"/>
      <c r="AO272" s="204"/>
      <c r="AP272" s="204"/>
      <c r="AQ272" s="204"/>
      <c r="AR272" s="204"/>
      <c r="AS272" s="204"/>
      <c r="AT272" s="204"/>
      <c r="AU272" s="204"/>
    </row>
    <row r="273" spans="1:30">
      <c r="A273" s="12"/>
      <c r="B273" s="12"/>
      <c r="C273" s="12"/>
      <c r="D273" s="12"/>
      <c r="E273" s="12"/>
      <c r="F273" s="9"/>
      <c r="G273" s="9"/>
      <c r="H273" s="18"/>
      <c r="I273" s="20"/>
      <c r="J273" s="9"/>
      <c r="K273" s="9"/>
      <c r="L273" s="9"/>
      <c r="M273" s="9"/>
      <c r="N273" s="9"/>
      <c r="O273" s="9"/>
      <c r="P273" s="9"/>
      <c r="Q273" s="9"/>
      <c r="R273" s="9"/>
      <c r="S273" s="9"/>
      <c r="T273" s="9"/>
      <c r="U273" s="9"/>
      <c r="V273" s="9"/>
      <c r="W273" s="9"/>
      <c r="X273" s="9"/>
      <c r="Y273" s="9"/>
      <c r="Z273" s="9"/>
      <c r="AA273" s="19"/>
      <c r="AB273" s="9"/>
      <c r="AC273" s="9"/>
      <c r="AD273" s="9"/>
    </row>
    <row r="274" spans="1:30">
      <c r="A274" s="12"/>
      <c r="B274" s="12"/>
      <c r="C274" s="12"/>
      <c r="D274" s="12"/>
      <c r="E274" s="12"/>
      <c r="F274" s="9"/>
      <c r="G274" s="9"/>
      <c r="H274" s="18"/>
      <c r="I274" s="20"/>
      <c r="J274" s="9"/>
      <c r="K274" s="9"/>
      <c r="L274" s="9"/>
      <c r="M274" s="9"/>
      <c r="N274" s="9"/>
      <c r="O274" s="9"/>
      <c r="P274" s="9"/>
      <c r="Q274" s="9"/>
      <c r="R274" s="9"/>
      <c r="S274" s="9"/>
      <c r="T274" s="9"/>
      <c r="U274" s="9"/>
      <c r="V274" s="9"/>
      <c r="W274" s="9"/>
      <c r="X274" s="9"/>
      <c r="Y274" s="9"/>
      <c r="Z274" s="9"/>
      <c r="AA274" s="19"/>
      <c r="AB274" s="9"/>
      <c r="AC274" s="9"/>
      <c r="AD274" s="9"/>
    </row>
    <row r="275" spans="1:30">
      <c r="A275" s="12"/>
      <c r="B275" s="12"/>
      <c r="C275" s="12"/>
      <c r="D275" s="12"/>
      <c r="E275" s="12"/>
      <c r="F275" s="9"/>
      <c r="G275" s="9"/>
      <c r="H275" s="18"/>
      <c r="I275" s="20"/>
      <c r="J275" s="9"/>
      <c r="K275" s="9"/>
      <c r="L275" s="9"/>
      <c r="M275" s="9"/>
      <c r="N275" s="9"/>
      <c r="O275" s="9"/>
      <c r="P275" s="9"/>
      <c r="Q275" s="9"/>
      <c r="R275" s="9"/>
      <c r="S275" s="9"/>
      <c r="T275" s="9"/>
      <c r="U275" s="9"/>
      <c r="V275" s="9"/>
      <c r="W275" s="9"/>
      <c r="X275" s="9"/>
      <c r="Y275" s="9"/>
      <c r="Z275" s="9"/>
      <c r="AA275" s="19"/>
      <c r="AB275" s="9"/>
      <c r="AC275" s="9"/>
      <c r="AD275" s="9"/>
    </row>
    <row r="276" spans="1:30">
      <c r="A276" s="12"/>
      <c r="B276" s="12"/>
      <c r="C276" s="12"/>
      <c r="D276" s="12"/>
      <c r="E276" s="12"/>
      <c r="F276" s="9"/>
      <c r="G276" s="9"/>
      <c r="H276" s="18"/>
      <c r="I276" s="20"/>
      <c r="J276" s="9"/>
      <c r="K276" s="9"/>
      <c r="L276" s="9"/>
      <c r="M276" s="9"/>
      <c r="N276" s="9"/>
      <c r="O276" s="9"/>
      <c r="P276" s="9"/>
      <c r="Q276" s="9"/>
      <c r="R276" s="9"/>
      <c r="S276" s="9"/>
      <c r="T276" s="9"/>
      <c r="U276" s="9"/>
      <c r="V276" s="9"/>
      <c r="W276" s="9"/>
      <c r="X276" s="9"/>
      <c r="Y276" s="9"/>
      <c r="Z276" s="9"/>
      <c r="AA276" s="19"/>
      <c r="AB276" s="9"/>
      <c r="AC276" s="9"/>
      <c r="AD276" s="9"/>
    </row>
    <row r="277" spans="1:30">
      <c r="A277" s="12"/>
      <c r="B277" s="12"/>
      <c r="C277" s="12"/>
      <c r="D277" s="12"/>
      <c r="E277" s="12"/>
      <c r="F277" s="9"/>
      <c r="G277" s="9"/>
      <c r="H277" s="18"/>
      <c r="I277" s="20"/>
      <c r="J277" s="9"/>
      <c r="K277" s="9"/>
      <c r="L277" s="9"/>
      <c r="M277" s="9"/>
      <c r="N277" s="9"/>
      <c r="O277" s="9"/>
      <c r="P277" s="9"/>
      <c r="Q277" s="9"/>
      <c r="R277" s="9"/>
      <c r="S277" s="9"/>
      <c r="T277" s="9"/>
      <c r="U277" s="9"/>
      <c r="V277" s="9"/>
      <c r="W277" s="9"/>
      <c r="X277" s="9"/>
      <c r="Y277" s="9"/>
      <c r="Z277" s="9"/>
      <c r="AA277" s="19"/>
      <c r="AB277" s="9"/>
      <c r="AC277" s="9"/>
      <c r="AD277" s="9"/>
    </row>
    <row r="278" spans="1:30">
      <c r="A278" s="12"/>
      <c r="B278" s="12"/>
      <c r="C278" s="12"/>
      <c r="D278" s="12"/>
      <c r="E278" s="12"/>
      <c r="F278" s="9"/>
      <c r="G278" s="9"/>
      <c r="H278" s="18"/>
      <c r="I278" s="20"/>
      <c r="J278" s="9"/>
      <c r="K278" s="9"/>
      <c r="L278" s="9"/>
      <c r="M278" s="9"/>
      <c r="N278" s="9"/>
      <c r="O278" s="9"/>
      <c r="P278" s="9"/>
      <c r="Q278" s="9"/>
      <c r="R278" s="9"/>
      <c r="S278" s="9"/>
      <c r="T278" s="9"/>
      <c r="U278" s="9"/>
      <c r="V278" s="9"/>
      <c r="W278" s="9"/>
      <c r="X278" s="9"/>
      <c r="Y278" s="9"/>
      <c r="Z278" s="9"/>
      <c r="AA278" s="19"/>
      <c r="AB278" s="9"/>
      <c r="AC278" s="9"/>
      <c r="AD278" s="9"/>
    </row>
    <row r="279" spans="1:30">
      <c r="A279" s="12"/>
      <c r="B279" s="12"/>
      <c r="C279" s="12"/>
      <c r="D279" s="12"/>
      <c r="E279" s="12"/>
      <c r="F279" s="9"/>
      <c r="G279" s="9"/>
      <c r="H279" s="18"/>
      <c r="I279" s="20"/>
      <c r="J279" s="9"/>
      <c r="K279" s="9"/>
      <c r="L279" s="9"/>
      <c r="M279" s="9"/>
      <c r="N279" s="9"/>
      <c r="O279" s="9"/>
      <c r="P279" s="9"/>
      <c r="Q279" s="9"/>
      <c r="R279" s="9"/>
      <c r="S279" s="9"/>
      <c r="T279" s="9"/>
      <c r="U279" s="9"/>
      <c r="V279" s="9"/>
      <c r="W279" s="9"/>
      <c r="X279" s="9"/>
      <c r="Y279" s="9"/>
      <c r="Z279" s="9"/>
      <c r="AA279" s="19"/>
      <c r="AB279" s="9"/>
      <c r="AC279" s="9"/>
      <c r="AD279" s="9"/>
    </row>
    <row r="280" spans="1:30">
      <c r="A280" s="12"/>
      <c r="B280" s="12"/>
      <c r="C280" s="12"/>
      <c r="D280" s="12"/>
      <c r="E280" s="12"/>
      <c r="F280" s="9"/>
      <c r="G280" s="9"/>
      <c r="H280" s="18"/>
      <c r="I280" s="20"/>
      <c r="J280" s="9"/>
      <c r="K280" s="9"/>
      <c r="L280" s="9"/>
      <c r="M280" s="9"/>
      <c r="N280" s="9"/>
      <c r="O280" s="9"/>
      <c r="P280" s="9"/>
      <c r="Q280" s="9"/>
      <c r="R280" s="9"/>
      <c r="S280" s="9"/>
      <c r="T280" s="9"/>
      <c r="U280" s="9"/>
      <c r="V280" s="9"/>
      <c r="W280" s="9"/>
      <c r="X280" s="9"/>
      <c r="Y280" s="9"/>
      <c r="Z280" s="9"/>
      <c r="AA280" s="19"/>
      <c r="AB280" s="9"/>
      <c r="AC280" s="9"/>
      <c r="AD280" s="9"/>
    </row>
    <row r="281" spans="1:30">
      <c r="A281" s="9"/>
      <c r="B281" s="9"/>
      <c r="C281" s="9"/>
      <c r="D281" s="9"/>
      <c r="E281" s="12"/>
      <c r="F281" s="9"/>
      <c r="G281" s="9"/>
      <c r="H281" s="18"/>
      <c r="I281" s="20"/>
      <c r="J281" s="9"/>
      <c r="K281" s="9"/>
      <c r="L281" s="9"/>
      <c r="M281" s="9"/>
      <c r="N281" s="9"/>
      <c r="O281" s="9"/>
      <c r="P281" s="9"/>
      <c r="Q281" s="9"/>
      <c r="R281" s="9"/>
      <c r="S281" s="9"/>
      <c r="T281" s="9"/>
      <c r="U281" s="9"/>
      <c r="V281" s="9"/>
      <c r="W281" s="9"/>
      <c r="X281" s="9"/>
      <c r="Y281" s="9"/>
      <c r="Z281" s="9"/>
      <c r="AA281" s="19"/>
      <c r="AB281" s="9"/>
      <c r="AC281" s="9"/>
      <c r="AD281" s="9"/>
    </row>
    <row r="282" spans="1:30">
      <c r="A282" s="9"/>
      <c r="B282" s="9"/>
      <c r="C282" s="9"/>
      <c r="D282" s="9"/>
      <c r="E282" s="12"/>
      <c r="F282" s="9"/>
      <c r="G282" s="9"/>
      <c r="H282" s="18"/>
      <c r="I282" s="20"/>
      <c r="J282" s="9"/>
      <c r="K282" s="9"/>
      <c r="L282" s="9"/>
      <c r="M282" s="9"/>
      <c r="N282" s="9"/>
      <c r="O282" s="9"/>
      <c r="P282" s="9"/>
      <c r="Q282" s="9"/>
      <c r="R282" s="9"/>
      <c r="S282" s="9"/>
      <c r="T282" s="9"/>
      <c r="U282" s="9"/>
      <c r="V282" s="9"/>
      <c r="W282" s="9"/>
      <c r="X282" s="9"/>
      <c r="Y282" s="9"/>
      <c r="Z282" s="9"/>
      <c r="AA282" s="19"/>
      <c r="AB282" s="9"/>
      <c r="AC282" s="9"/>
      <c r="AD282" s="9"/>
    </row>
    <row r="283" spans="1:30">
      <c r="A283" s="9"/>
      <c r="B283" s="9"/>
      <c r="C283" s="9"/>
      <c r="D283" s="9"/>
      <c r="E283" s="12"/>
      <c r="F283" s="9"/>
      <c r="G283" s="9"/>
      <c r="H283" s="18"/>
      <c r="I283" s="20"/>
      <c r="J283" s="9"/>
      <c r="K283" s="9"/>
      <c r="L283" s="9"/>
      <c r="M283" s="9"/>
      <c r="N283" s="9"/>
      <c r="O283" s="9"/>
      <c r="P283" s="9"/>
      <c r="Q283" s="9"/>
      <c r="R283" s="9"/>
      <c r="S283" s="9"/>
      <c r="T283" s="9"/>
      <c r="U283" s="9"/>
      <c r="V283" s="9"/>
      <c r="W283" s="9"/>
      <c r="X283" s="9"/>
      <c r="Y283" s="9"/>
      <c r="Z283" s="9"/>
      <c r="AA283" s="19"/>
      <c r="AB283" s="9"/>
      <c r="AC283" s="9"/>
      <c r="AD283" s="9"/>
    </row>
    <row r="284" spans="1:30">
      <c r="A284" s="9"/>
      <c r="B284" s="9"/>
      <c r="C284" s="9"/>
      <c r="D284" s="9"/>
      <c r="E284" s="12"/>
      <c r="F284" s="9"/>
      <c r="G284" s="9"/>
      <c r="H284" s="18"/>
      <c r="I284" s="20"/>
      <c r="J284" s="9"/>
      <c r="K284" s="9"/>
      <c r="L284" s="9"/>
      <c r="M284" s="9"/>
      <c r="N284" s="9"/>
      <c r="O284" s="9"/>
      <c r="P284" s="9"/>
      <c r="Q284" s="9"/>
      <c r="R284" s="9"/>
      <c r="S284" s="9"/>
      <c r="T284" s="9"/>
      <c r="U284" s="9"/>
      <c r="V284" s="9"/>
      <c r="W284" s="9"/>
      <c r="X284" s="9"/>
      <c r="Y284" s="9"/>
      <c r="Z284" s="9"/>
      <c r="AA284" s="19"/>
      <c r="AB284" s="9"/>
      <c r="AC284" s="9"/>
      <c r="AD284" s="9"/>
    </row>
    <row r="285" spans="1:30">
      <c r="A285" s="9"/>
      <c r="B285" s="9"/>
      <c r="C285" s="9"/>
      <c r="D285" s="9"/>
      <c r="E285" s="12"/>
      <c r="F285" s="9"/>
      <c r="G285" s="9"/>
      <c r="H285" s="18"/>
      <c r="I285" s="20"/>
      <c r="J285" s="9"/>
      <c r="K285" s="9"/>
      <c r="L285" s="9"/>
      <c r="M285" s="9"/>
      <c r="N285" s="9"/>
      <c r="O285" s="9"/>
      <c r="P285" s="9"/>
      <c r="Q285" s="9"/>
      <c r="R285" s="9"/>
      <c r="S285" s="9"/>
      <c r="T285" s="9"/>
      <c r="U285" s="9"/>
      <c r="V285" s="9"/>
      <c r="W285" s="9"/>
      <c r="X285" s="9"/>
      <c r="Y285" s="9"/>
      <c r="Z285" s="9"/>
      <c r="AA285" s="19"/>
      <c r="AB285" s="9"/>
      <c r="AC285" s="9"/>
      <c r="AD285" s="9"/>
    </row>
    <row r="286" spans="1:30">
      <c r="A286" s="9"/>
      <c r="B286" s="9"/>
      <c r="C286" s="9"/>
      <c r="D286" s="9"/>
      <c r="E286" s="12"/>
      <c r="F286" s="9"/>
      <c r="G286" s="9"/>
      <c r="H286" s="18"/>
      <c r="I286" s="20"/>
      <c r="J286" s="9"/>
      <c r="K286" s="9"/>
      <c r="L286" s="9"/>
      <c r="M286" s="9"/>
      <c r="N286" s="9"/>
      <c r="O286" s="9"/>
      <c r="P286" s="9"/>
      <c r="Q286" s="9"/>
      <c r="R286" s="9"/>
      <c r="S286" s="9"/>
      <c r="T286" s="9"/>
      <c r="U286" s="9"/>
      <c r="V286" s="9"/>
      <c r="W286" s="9"/>
      <c r="X286" s="9"/>
      <c r="Y286" s="9"/>
      <c r="Z286" s="9"/>
      <c r="AA286" s="19"/>
      <c r="AB286" s="9"/>
      <c r="AC286" s="9"/>
      <c r="AD286" s="9"/>
    </row>
    <row r="287" spans="1:30">
      <c r="A287" s="9"/>
      <c r="B287" s="9"/>
      <c r="C287" s="9"/>
      <c r="D287" s="9"/>
      <c r="E287" s="12"/>
      <c r="F287" s="9"/>
      <c r="G287" s="9"/>
      <c r="H287" s="18"/>
      <c r="I287" s="20"/>
      <c r="J287" s="9"/>
      <c r="K287" s="9"/>
      <c r="L287" s="9"/>
      <c r="M287" s="9"/>
      <c r="N287" s="9"/>
      <c r="O287" s="9"/>
      <c r="P287" s="9"/>
      <c r="Q287" s="9"/>
      <c r="R287" s="9"/>
      <c r="S287" s="9"/>
      <c r="T287" s="9"/>
      <c r="U287" s="9"/>
      <c r="V287" s="9"/>
      <c r="W287" s="9"/>
      <c r="X287" s="9"/>
      <c r="Y287" s="9"/>
      <c r="Z287" s="9"/>
      <c r="AA287" s="19"/>
      <c r="AB287" s="9"/>
      <c r="AC287" s="9"/>
      <c r="AD287" s="9"/>
    </row>
    <row r="288" spans="1:30">
      <c r="A288" s="9"/>
      <c r="B288" s="9"/>
      <c r="C288" s="9"/>
      <c r="D288" s="9"/>
      <c r="E288" s="12"/>
      <c r="F288" s="9"/>
      <c r="G288" s="9"/>
      <c r="H288" s="18"/>
      <c r="I288" s="20"/>
      <c r="J288" s="9"/>
      <c r="K288" s="9"/>
      <c r="L288" s="9"/>
      <c r="M288" s="9"/>
      <c r="N288" s="9"/>
      <c r="O288" s="9"/>
      <c r="P288" s="9"/>
      <c r="Q288" s="9"/>
      <c r="R288" s="9"/>
      <c r="S288" s="9"/>
      <c r="T288" s="9"/>
      <c r="U288" s="9"/>
      <c r="V288" s="9"/>
      <c r="W288" s="9"/>
      <c r="X288" s="9"/>
      <c r="Y288" s="9"/>
      <c r="Z288" s="9"/>
      <c r="AA288" s="19"/>
      <c r="AB288" s="9"/>
      <c r="AC288" s="9"/>
      <c r="AD288" s="9"/>
    </row>
    <row r="289" spans="1:30">
      <c r="A289" s="9"/>
      <c r="B289" s="9"/>
      <c r="C289" s="9"/>
      <c r="D289" s="9"/>
      <c r="E289" s="12"/>
      <c r="F289" s="9"/>
      <c r="G289" s="9"/>
      <c r="H289" s="18"/>
      <c r="I289" s="20"/>
      <c r="J289" s="9"/>
      <c r="K289" s="9"/>
      <c r="L289" s="9"/>
      <c r="M289" s="9"/>
      <c r="N289" s="9"/>
      <c r="O289" s="9"/>
      <c r="P289" s="9"/>
      <c r="Q289" s="9"/>
      <c r="R289" s="9"/>
      <c r="S289" s="9"/>
      <c r="T289" s="9"/>
      <c r="U289" s="9"/>
      <c r="V289" s="9"/>
      <c r="W289" s="9"/>
      <c r="X289" s="9"/>
      <c r="Y289" s="9"/>
      <c r="Z289" s="9"/>
      <c r="AA289" s="19"/>
      <c r="AB289" s="9"/>
      <c r="AC289" s="9"/>
      <c r="AD289" s="9"/>
    </row>
    <row r="290" spans="1:30">
      <c r="A290" s="9"/>
      <c r="B290" s="9"/>
      <c r="C290" s="9"/>
      <c r="D290" s="9"/>
      <c r="E290" s="12"/>
      <c r="F290" s="9"/>
      <c r="G290" s="9"/>
      <c r="H290" s="18"/>
      <c r="I290" s="20"/>
      <c r="J290" s="9"/>
      <c r="K290" s="9"/>
      <c r="L290" s="9"/>
      <c r="M290" s="9"/>
      <c r="N290" s="9"/>
      <c r="O290" s="9"/>
      <c r="P290" s="9"/>
      <c r="Q290" s="9"/>
      <c r="R290" s="9"/>
      <c r="S290" s="9"/>
      <c r="T290" s="9"/>
      <c r="U290" s="9"/>
      <c r="V290" s="9"/>
      <c r="W290" s="9"/>
      <c r="X290" s="9"/>
      <c r="Y290" s="9"/>
      <c r="Z290" s="9"/>
      <c r="AA290" s="19"/>
      <c r="AB290" s="9"/>
      <c r="AC290" s="9"/>
      <c r="AD290" s="9"/>
    </row>
    <row r="291" spans="1:30">
      <c r="A291" s="9"/>
      <c r="B291" s="9"/>
      <c r="C291" s="9"/>
      <c r="D291" s="9"/>
      <c r="E291" s="12"/>
      <c r="F291" s="9"/>
      <c r="G291" s="9"/>
      <c r="H291" s="18"/>
      <c r="I291" s="20"/>
      <c r="J291" s="9"/>
      <c r="K291" s="9"/>
      <c r="L291" s="9"/>
      <c r="M291" s="9"/>
      <c r="N291" s="9"/>
      <c r="O291" s="9"/>
      <c r="P291" s="9"/>
      <c r="Q291" s="9"/>
      <c r="R291" s="9"/>
      <c r="S291" s="9"/>
      <c r="T291" s="9"/>
      <c r="U291" s="9"/>
      <c r="V291" s="9"/>
      <c r="W291" s="9"/>
      <c r="X291" s="9"/>
      <c r="Y291" s="9"/>
      <c r="Z291" s="9"/>
      <c r="AA291" s="19"/>
      <c r="AB291" s="9"/>
      <c r="AC291" s="9"/>
      <c r="AD291" s="9"/>
    </row>
    <row r="292" spans="1:30">
      <c r="A292" s="9"/>
      <c r="B292" s="9"/>
      <c r="C292" s="9"/>
      <c r="D292" s="9"/>
      <c r="E292" s="12"/>
      <c r="F292" s="9"/>
      <c r="G292" s="9"/>
      <c r="H292" s="18"/>
      <c r="I292" s="20"/>
      <c r="J292" s="9"/>
      <c r="K292" s="9"/>
      <c r="L292" s="9"/>
      <c r="M292" s="9"/>
      <c r="N292" s="9"/>
      <c r="O292" s="9"/>
      <c r="P292" s="9"/>
      <c r="Q292" s="9"/>
      <c r="R292" s="9"/>
      <c r="S292" s="9"/>
      <c r="T292" s="9"/>
      <c r="U292" s="9"/>
      <c r="V292" s="9"/>
      <c r="W292" s="9"/>
      <c r="X292" s="9"/>
      <c r="Y292" s="9"/>
      <c r="Z292" s="9"/>
      <c r="AA292" s="19"/>
      <c r="AB292" s="9"/>
      <c r="AC292" s="9"/>
      <c r="AD292" s="9"/>
    </row>
    <row r="293" spans="1:30">
      <c r="A293" s="9"/>
      <c r="B293" s="9"/>
      <c r="C293" s="9"/>
      <c r="D293" s="9"/>
      <c r="E293" s="12"/>
      <c r="F293" s="9"/>
      <c r="G293" s="9"/>
      <c r="H293" s="18"/>
      <c r="I293" s="20"/>
      <c r="J293" s="9"/>
      <c r="K293" s="9"/>
      <c r="L293" s="9"/>
      <c r="M293" s="9"/>
      <c r="N293" s="9"/>
      <c r="O293" s="9"/>
      <c r="P293" s="9"/>
      <c r="Q293" s="9"/>
      <c r="R293" s="9"/>
      <c r="S293" s="9"/>
      <c r="T293" s="9"/>
      <c r="U293" s="9"/>
      <c r="V293" s="9"/>
      <c r="W293" s="9"/>
      <c r="X293" s="9"/>
      <c r="Y293" s="9"/>
      <c r="Z293" s="9"/>
      <c r="AA293" s="19"/>
      <c r="AB293" s="9"/>
      <c r="AC293" s="9"/>
      <c r="AD293" s="9"/>
    </row>
    <row r="294" spans="1:30">
      <c r="A294" s="9"/>
      <c r="B294" s="9"/>
      <c r="C294" s="9"/>
      <c r="D294" s="9"/>
      <c r="E294" s="12"/>
      <c r="F294" s="9"/>
      <c r="G294" s="9"/>
      <c r="H294" s="18"/>
      <c r="I294" s="20"/>
      <c r="J294" s="9"/>
      <c r="K294" s="9"/>
      <c r="L294" s="9"/>
      <c r="M294" s="9"/>
      <c r="N294" s="9"/>
      <c r="O294" s="9"/>
      <c r="P294" s="9"/>
      <c r="Q294" s="9"/>
      <c r="R294" s="9"/>
      <c r="S294" s="9"/>
      <c r="T294" s="9"/>
      <c r="U294" s="9"/>
      <c r="V294" s="9"/>
      <c r="W294" s="9"/>
      <c r="X294" s="9"/>
      <c r="Y294" s="9"/>
      <c r="Z294" s="9"/>
      <c r="AA294" s="19"/>
      <c r="AB294" s="9"/>
      <c r="AC294" s="9"/>
      <c r="AD294" s="9"/>
    </row>
    <row r="295" spans="1:30">
      <c r="A295" s="9"/>
      <c r="B295" s="9"/>
      <c r="C295" s="9"/>
      <c r="D295" s="9"/>
      <c r="E295" s="12"/>
      <c r="F295" s="9"/>
      <c r="G295" s="9"/>
      <c r="H295" s="18"/>
      <c r="I295" s="20"/>
      <c r="J295" s="9"/>
      <c r="K295" s="9"/>
      <c r="L295" s="9"/>
      <c r="M295" s="9"/>
      <c r="N295" s="9"/>
      <c r="O295" s="9"/>
      <c r="P295" s="9"/>
      <c r="Q295" s="9"/>
      <c r="R295" s="9"/>
      <c r="S295" s="9"/>
      <c r="T295" s="9"/>
      <c r="U295" s="9"/>
      <c r="V295" s="9"/>
      <c r="W295" s="9"/>
      <c r="X295" s="9"/>
      <c r="Y295" s="9"/>
      <c r="Z295" s="9"/>
      <c r="AA295" s="19"/>
      <c r="AB295" s="9"/>
      <c r="AC295" s="9"/>
      <c r="AD295" s="9"/>
    </row>
    <row r="296" spans="1:30">
      <c r="A296" s="9"/>
      <c r="B296" s="9"/>
      <c r="C296" s="9"/>
      <c r="D296" s="9"/>
      <c r="E296" s="12"/>
      <c r="F296" s="9"/>
      <c r="G296" s="9"/>
      <c r="H296" s="18"/>
      <c r="I296" s="20"/>
      <c r="J296" s="9"/>
      <c r="K296" s="9"/>
      <c r="L296" s="9"/>
      <c r="M296" s="9"/>
      <c r="N296" s="9"/>
      <c r="O296" s="9"/>
      <c r="P296" s="9"/>
      <c r="Q296" s="9"/>
      <c r="R296" s="9"/>
      <c r="S296" s="9"/>
      <c r="T296" s="9"/>
      <c r="U296" s="9"/>
      <c r="V296" s="9"/>
      <c r="W296" s="9"/>
      <c r="X296" s="9"/>
      <c r="Y296" s="9"/>
      <c r="Z296" s="9"/>
      <c r="AA296" s="19"/>
      <c r="AB296" s="9"/>
      <c r="AC296" s="9"/>
      <c r="AD296" s="9"/>
    </row>
    <row r="297" spans="1:30">
      <c r="A297" s="9"/>
      <c r="B297" s="9"/>
      <c r="C297" s="9"/>
      <c r="D297" s="9"/>
      <c r="E297" s="12"/>
      <c r="F297" s="9"/>
      <c r="G297" s="9"/>
      <c r="H297" s="18"/>
      <c r="I297" s="20"/>
      <c r="J297" s="9"/>
      <c r="K297" s="9"/>
      <c r="L297" s="9"/>
      <c r="M297" s="9"/>
      <c r="N297" s="9"/>
      <c r="O297" s="9"/>
      <c r="P297" s="9"/>
      <c r="Q297" s="9"/>
      <c r="R297" s="9"/>
      <c r="S297" s="9"/>
      <c r="T297" s="9"/>
      <c r="U297" s="9"/>
      <c r="V297" s="9"/>
      <c r="W297" s="9"/>
      <c r="X297" s="9"/>
      <c r="Y297" s="9"/>
      <c r="Z297" s="9"/>
      <c r="AA297" s="19"/>
      <c r="AB297" s="9"/>
      <c r="AC297" s="9"/>
      <c r="AD297" s="9"/>
    </row>
    <row r="298" spans="1:30">
      <c r="A298" s="9"/>
      <c r="B298" s="9"/>
      <c r="C298" s="9"/>
      <c r="D298" s="9"/>
      <c r="E298" s="12"/>
      <c r="F298" s="9"/>
      <c r="G298" s="9"/>
      <c r="H298" s="18"/>
      <c r="I298" s="20"/>
      <c r="J298" s="9"/>
      <c r="K298" s="9"/>
      <c r="L298" s="9"/>
      <c r="M298" s="9"/>
      <c r="N298" s="9"/>
      <c r="O298" s="9"/>
      <c r="P298" s="9"/>
      <c r="Q298" s="9"/>
      <c r="R298" s="9"/>
      <c r="S298" s="9"/>
      <c r="T298" s="9"/>
      <c r="U298" s="9"/>
      <c r="V298" s="9"/>
      <c r="W298" s="9"/>
      <c r="X298" s="9"/>
      <c r="Y298" s="9"/>
      <c r="Z298" s="9"/>
      <c r="AA298" s="19"/>
      <c r="AB298" s="9"/>
      <c r="AC298" s="9"/>
      <c r="AD298" s="9"/>
    </row>
    <row r="299" spans="1:30">
      <c r="A299" s="9"/>
      <c r="B299" s="9"/>
      <c r="C299" s="9"/>
      <c r="D299" s="9"/>
      <c r="E299" s="12"/>
      <c r="F299" s="9"/>
      <c r="G299" s="9"/>
      <c r="H299" s="18"/>
      <c r="I299" s="20"/>
      <c r="J299" s="9"/>
      <c r="K299" s="9"/>
      <c r="L299" s="9"/>
      <c r="M299" s="9"/>
      <c r="N299" s="9"/>
      <c r="O299" s="9"/>
      <c r="P299" s="9"/>
      <c r="Q299" s="9"/>
      <c r="R299" s="9"/>
      <c r="S299" s="9"/>
      <c r="T299" s="9"/>
      <c r="U299" s="9"/>
      <c r="V299" s="9"/>
      <c r="W299" s="9"/>
      <c r="X299" s="9"/>
      <c r="Y299" s="9"/>
      <c r="Z299" s="9"/>
      <c r="AA299" s="19"/>
      <c r="AB299" s="9"/>
      <c r="AC299" s="9"/>
      <c r="AD299" s="9"/>
    </row>
    <row r="300" spans="1:30">
      <c r="A300" s="9"/>
      <c r="B300" s="9"/>
      <c r="C300" s="9"/>
      <c r="D300" s="9"/>
      <c r="E300" s="12"/>
      <c r="F300" s="9"/>
      <c r="G300" s="9"/>
      <c r="H300" s="18"/>
      <c r="I300" s="20"/>
      <c r="J300" s="9"/>
      <c r="K300" s="9"/>
      <c r="L300" s="9"/>
      <c r="M300" s="9"/>
      <c r="N300" s="9"/>
      <c r="O300" s="9"/>
      <c r="P300" s="9"/>
      <c r="Q300" s="9"/>
      <c r="R300" s="9"/>
      <c r="S300" s="9"/>
      <c r="T300" s="9"/>
      <c r="U300" s="9"/>
      <c r="V300" s="9"/>
      <c r="W300" s="9"/>
      <c r="X300" s="9"/>
      <c r="Y300" s="9"/>
      <c r="Z300" s="9"/>
      <c r="AA300" s="19"/>
      <c r="AB300" s="9"/>
      <c r="AC300" s="9"/>
      <c r="AD300" s="9"/>
    </row>
    <row r="301" spans="1:30">
      <c r="A301" s="9"/>
      <c r="B301" s="9"/>
      <c r="C301" s="9"/>
      <c r="D301" s="9"/>
      <c r="E301" s="12"/>
      <c r="F301" s="9"/>
      <c r="G301" s="9"/>
      <c r="H301" s="18"/>
      <c r="I301" s="20"/>
      <c r="J301" s="9"/>
      <c r="K301" s="9"/>
      <c r="L301" s="9"/>
      <c r="M301" s="9"/>
      <c r="N301" s="9"/>
      <c r="O301" s="9"/>
      <c r="P301" s="9"/>
      <c r="Q301" s="9"/>
      <c r="R301" s="9"/>
      <c r="S301" s="9"/>
      <c r="T301" s="9"/>
      <c r="U301" s="9"/>
      <c r="V301" s="9"/>
      <c r="W301" s="9"/>
      <c r="X301" s="9"/>
      <c r="Y301" s="9"/>
      <c r="Z301" s="9"/>
      <c r="AA301" s="19"/>
      <c r="AB301" s="9"/>
      <c r="AC301" s="9"/>
      <c r="AD301" s="9"/>
    </row>
    <row r="302" spans="1:30">
      <c r="A302" s="9"/>
      <c r="B302" s="9"/>
      <c r="C302" s="9"/>
      <c r="D302" s="9"/>
      <c r="E302" s="12"/>
      <c r="F302" s="9"/>
      <c r="G302" s="9"/>
      <c r="H302" s="18"/>
      <c r="I302" s="20"/>
      <c r="J302" s="9"/>
      <c r="K302" s="9"/>
      <c r="L302" s="9"/>
      <c r="M302" s="9"/>
      <c r="N302" s="9"/>
      <c r="O302" s="9"/>
      <c r="P302" s="9"/>
      <c r="Q302" s="9"/>
      <c r="R302" s="9"/>
      <c r="S302" s="9"/>
      <c r="T302" s="9"/>
      <c r="U302" s="9"/>
      <c r="V302" s="9"/>
      <c r="W302" s="9"/>
      <c r="X302" s="9"/>
      <c r="Y302" s="9"/>
      <c r="Z302" s="9"/>
      <c r="AA302" s="19"/>
      <c r="AB302" s="9"/>
      <c r="AC302" s="9"/>
      <c r="AD302" s="9"/>
    </row>
    <row r="303" spans="1:30">
      <c r="A303" s="9"/>
      <c r="B303" s="9"/>
      <c r="C303" s="9"/>
      <c r="D303" s="9"/>
      <c r="E303" s="12"/>
      <c r="F303" s="9"/>
      <c r="G303" s="9"/>
      <c r="H303" s="18"/>
      <c r="I303" s="20"/>
      <c r="J303" s="9"/>
      <c r="K303" s="9"/>
      <c r="L303" s="9"/>
      <c r="M303" s="9"/>
      <c r="N303" s="9"/>
      <c r="O303" s="9"/>
      <c r="P303" s="9"/>
      <c r="Q303" s="9"/>
      <c r="R303" s="9"/>
      <c r="S303" s="9"/>
      <c r="T303" s="9"/>
      <c r="U303" s="9"/>
      <c r="V303" s="9"/>
      <c r="W303" s="9"/>
      <c r="X303" s="9"/>
      <c r="Y303" s="9"/>
      <c r="Z303" s="9"/>
      <c r="AA303" s="19"/>
      <c r="AB303" s="9"/>
      <c r="AC303" s="9"/>
      <c r="AD303" s="9"/>
    </row>
    <row r="304" spans="1:30">
      <c r="A304" s="9"/>
      <c r="B304" s="9"/>
      <c r="C304" s="9"/>
      <c r="D304" s="9"/>
      <c r="E304" s="12"/>
      <c r="F304" s="9"/>
      <c r="G304" s="9"/>
      <c r="H304" s="18"/>
      <c r="I304" s="20"/>
      <c r="J304" s="9"/>
      <c r="K304" s="9"/>
      <c r="L304" s="9"/>
      <c r="M304" s="9"/>
      <c r="N304" s="9"/>
      <c r="O304" s="9"/>
      <c r="P304" s="9"/>
      <c r="Q304" s="9"/>
      <c r="R304" s="9"/>
      <c r="S304" s="9"/>
      <c r="T304" s="9"/>
      <c r="U304" s="9"/>
      <c r="V304" s="9"/>
      <c r="W304" s="9"/>
      <c r="X304" s="9"/>
      <c r="Y304" s="9"/>
      <c r="Z304" s="9"/>
      <c r="AA304" s="19"/>
      <c r="AB304" s="9"/>
      <c r="AC304" s="9"/>
      <c r="AD304" s="9"/>
    </row>
    <row r="305" spans="1:30">
      <c r="A305" s="9"/>
      <c r="B305" s="9"/>
      <c r="C305" s="9"/>
      <c r="D305" s="9"/>
      <c r="E305" s="12"/>
      <c r="F305" s="9"/>
      <c r="G305" s="9"/>
      <c r="H305" s="18"/>
      <c r="I305" s="20"/>
      <c r="J305" s="9"/>
      <c r="K305" s="9"/>
      <c r="L305" s="9"/>
      <c r="M305" s="9"/>
      <c r="N305" s="9"/>
      <c r="O305" s="9"/>
      <c r="P305" s="9"/>
      <c r="Q305" s="9"/>
      <c r="R305" s="9"/>
      <c r="S305" s="9"/>
      <c r="T305" s="9"/>
      <c r="U305" s="9"/>
      <c r="V305" s="9"/>
      <c r="W305" s="9"/>
      <c r="X305" s="9"/>
      <c r="Y305" s="9"/>
      <c r="Z305" s="9"/>
      <c r="AA305" s="19"/>
      <c r="AB305" s="9"/>
      <c r="AC305" s="9"/>
      <c r="AD305" s="9"/>
    </row>
    <row r="306" spans="1:30">
      <c r="A306" s="9"/>
      <c r="B306" s="9"/>
      <c r="C306" s="9"/>
      <c r="D306" s="9"/>
      <c r="E306" s="12"/>
      <c r="F306" s="9"/>
      <c r="G306" s="9"/>
      <c r="H306" s="18"/>
      <c r="I306" s="20"/>
      <c r="J306" s="9"/>
      <c r="K306" s="9"/>
      <c r="L306" s="9"/>
      <c r="M306" s="9"/>
      <c r="N306" s="9"/>
      <c r="O306" s="9"/>
      <c r="P306" s="9"/>
      <c r="Q306" s="9"/>
      <c r="R306" s="9"/>
      <c r="S306" s="9"/>
      <c r="T306" s="9"/>
      <c r="U306" s="9"/>
      <c r="V306" s="9"/>
      <c r="W306" s="9"/>
      <c r="X306" s="9"/>
      <c r="Y306" s="9"/>
      <c r="Z306" s="9"/>
      <c r="AA306" s="19"/>
      <c r="AB306" s="9"/>
      <c r="AC306" s="9"/>
      <c r="AD306" s="9"/>
    </row>
    <row r="307" spans="1:30">
      <c r="A307" s="9"/>
      <c r="B307" s="9"/>
      <c r="C307" s="9"/>
      <c r="D307" s="9"/>
      <c r="E307" s="12"/>
      <c r="F307" s="9"/>
      <c r="G307" s="9"/>
      <c r="H307" s="18"/>
      <c r="I307" s="20"/>
      <c r="J307" s="9"/>
      <c r="K307" s="9"/>
      <c r="L307" s="9"/>
      <c r="M307" s="9"/>
      <c r="N307" s="9"/>
      <c r="O307" s="9"/>
      <c r="P307" s="9"/>
      <c r="Q307" s="9"/>
      <c r="R307" s="9"/>
      <c r="S307" s="9"/>
      <c r="T307" s="9"/>
      <c r="U307" s="9"/>
      <c r="V307" s="9"/>
      <c r="W307" s="9"/>
      <c r="X307" s="9"/>
      <c r="Y307" s="9"/>
      <c r="Z307" s="9"/>
      <c r="AA307" s="19"/>
      <c r="AB307" s="9"/>
      <c r="AC307" s="9"/>
      <c r="AD307" s="9"/>
    </row>
    <row r="308" spans="1:30">
      <c r="A308" s="9"/>
      <c r="B308" s="9"/>
      <c r="C308" s="9"/>
      <c r="D308" s="9"/>
      <c r="E308" s="12"/>
      <c r="F308" s="9"/>
      <c r="G308" s="9"/>
      <c r="H308" s="18"/>
      <c r="I308" s="20"/>
      <c r="J308" s="9"/>
      <c r="K308" s="9"/>
      <c r="L308" s="9"/>
      <c r="M308" s="9"/>
      <c r="N308" s="9"/>
      <c r="O308" s="9"/>
      <c r="P308" s="9"/>
      <c r="Q308" s="9"/>
      <c r="R308" s="9"/>
      <c r="S308" s="9"/>
      <c r="T308" s="9"/>
      <c r="U308" s="9"/>
      <c r="V308" s="9"/>
      <c r="W308" s="9"/>
      <c r="X308" s="9"/>
      <c r="Y308" s="9"/>
      <c r="Z308" s="9"/>
      <c r="AA308" s="19"/>
      <c r="AB308" s="9"/>
      <c r="AC308" s="9"/>
      <c r="AD308" s="9"/>
    </row>
    <row r="309" spans="1:30">
      <c r="A309" s="9"/>
      <c r="B309" s="9"/>
      <c r="C309" s="9"/>
      <c r="D309" s="9"/>
      <c r="E309" s="12"/>
      <c r="F309" s="9"/>
      <c r="G309" s="9"/>
      <c r="H309" s="18"/>
      <c r="I309" s="20"/>
      <c r="J309" s="9"/>
      <c r="K309" s="9"/>
      <c r="L309" s="9"/>
      <c r="M309" s="9"/>
      <c r="N309" s="9"/>
      <c r="O309" s="9"/>
      <c r="P309" s="9"/>
      <c r="Q309" s="9"/>
      <c r="R309" s="9"/>
      <c r="S309" s="9"/>
      <c r="T309" s="9"/>
      <c r="U309" s="9"/>
      <c r="V309" s="9"/>
      <c r="W309" s="9"/>
      <c r="X309" s="9"/>
      <c r="Y309" s="9"/>
      <c r="Z309" s="9"/>
      <c r="AA309" s="19"/>
      <c r="AB309" s="9"/>
      <c r="AC309" s="9"/>
      <c r="AD309" s="9"/>
    </row>
    <row r="310" spans="1:30">
      <c r="A310" s="9"/>
      <c r="B310" s="9"/>
      <c r="C310" s="9"/>
      <c r="D310" s="9"/>
      <c r="E310" s="12"/>
      <c r="F310" s="9"/>
      <c r="G310" s="9"/>
      <c r="H310" s="18"/>
      <c r="I310" s="20"/>
      <c r="J310" s="9"/>
      <c r="K310" s="9"/>
      <c r="L310" s="9"/>
      <c r="M310" s="9"/>
      <c r="N310" s="9"/>
      <c r="O310" s="9"/>
      <c r="P310" s="9"/>
      <c r="Q310" s="9"/>
      <c r="R310" s="9"/>
      <c r="S310" s="9"/>
      <c r="T310" s="9"/>
      <c r="U310" s="9"/>
      <c r="V310" s="9"/>
      <c r="W310" s="9"/>
      <c r="X310" s="9"/>
      <c r="Y310" s="9"/>
      <c r="Z310" s="9"/>
      <c r="AA310" s="19"/>
      <c r="AB310" s="9"/>
      <c r="AC310" s="9"/>
      <c r="AD310" s="9"/>
    </row>
    <row r="311" spans="1:30">
      <c r="A311" s="9"/>
      <c r="B311" s="9"/>
      <c r="C311" s="9"/>
      <c r="D311" s="9"/>
      <c r="E311" s="12"/>
      <c r="F311" s="9"/>
      <c r="G311" s="9"/>
      <c r="H311" s="18"/>
      <c r="I311" s="20"/>
      <c r="J311" s="9"/>
      <c r="K311" s="9"/>
      <c r="L311" s="9"/>
      <c r="M311" s="9"/>
      <c r="N311" s="9"/>
      <c r="O311" s="9"/>
      <c r="P311" s="9"/>
      <c r="Q311" s="9"/>
      <c r="R311" s="9"/>
      <c r="S311" s="9"/>
      <c r="T311" s="9"/>
      <c r="U311" s="9"/>
      <c r="V311" s="9"/>
      <c r="W311" s="9"/>
      <c r="X311" s="9"/>
      <c r="Y311" s="9"/>
      <c r="Z311" s="9"/>
      <c r="AA311" s="19"/>
      <c r="AB311" s="9"/>
      <c r="AC311" s="9"/>
      <c r="AD311" s="9"/>
    </row>
    <row r="312" spans="1:30">
      <c r="A312" s="9"/>
      <c r="B312" s="9"/>
      <c r="C312" s="9"/>
      <c r="D312" s="9"/>
      <c r="E312" s="12"/>
      <c r="F312" s="9"/>
      <c r="G312" s="9"/>
      <c r="H312" s="18"/>
      <c r="I312" s="20"/>
      <c r="J312" s="9"/>
      <c r="K312" s="9"/>
      <c r="L312" s="9"/>
      <c r="M312" s="9"/>
      <c r="N312" s="9"/>
      <c r="O312" s="9"/>
      <c r="P312" s="9"/>
      <c r="Q312" s="9"/>
      <c r="R312" s="9"/>
      <c r="S312" s="9"/>
      <c r="T312" s="9"/>
      <c r="U312" s="9"/>
      <c r="V312" s="9"/>
      <c r="W312" s="9"/>
      <c r="X312" s="9"/>
      <c r="Y312" s="9"/>
      <c r="Z312" s="9"/>
      <c r="AA312" s="19"/>
      <c r="AB312" s="9"/>
      <c r="AC312" s="9"/>
      <c r="AD312" s="9"/>
    </row>
    <row r="313" spans="1:30">
      <c r="A313" s="9"/>
      <c r="B313" s="9"/>
      <c r="C313" s="9"/>
      <c r="D313" s="9"/>
      <c r="E313" s="12"/>
      <c r="F313" s="9"/>
      <c r="G313" s="9"/>
      <c r="H313" s="18"/>
      <c r="I313" s="20"/>
      <c r="J313" s="9"/>
      <c r="K313" s="9"/>
      <c r="L313" s="9"/>
      <c r="M313" s="9"/>
      <c r="N313" s="9"/>
      <c r="O313" s="9"/>
      <c r="P313" s="9"/>
      <c r="Q313" s="9"/>
      <c r="R313" s="9"/>
      <c r="S313" s="9"/>
      <c r="T313" s="9"/>
      <c r="U313" s="9"/>
      <c r="V313" s="9"/>
      <c r="W313" s="9"/>
      <c r="X313" s="9"/>
      <c r="Y313" s="9"/>
      <c r="Z313" s="9"/>
      <c r="AA313" s="19"/>
      <c r="AB313" s="9"/>
      <c r="AC313" s="9"/>
      <c r="AD313" s="9"/>
    </row>
    <row r="314" spans="1:30">
      <c r="A314" s="9"/>
      <c r="B314" s="9"/>
      <c r="C314" s="9"/>
      <c r="D314" s="9"/>
      <c r="E314" s="12"/>
      <c r="F314" s="9"/>
      <c r="G314" s="9"/>
      <c r="H314" s="18"/>
      <c r="I314" s="20"/>
      <c r="J314" s="9"/>
      <c r="K314" s="9"/>
      <c r="L314" s="9"/>
      <c r="M314" s="9"/>
      <c r="N314" s="9"/>
      <c r="O314" s="9"/>
      <c r="P314" s="9"/>
      <c r="Q314" s="9"/>
      <c r="R314" s="9"/>
      <c r="S314" s="9"/>
      <c r="T314" s="9"/>
      <c r="U314" s="9"/>
      <c r="V314" s="9"/>
      <c r="W314" s="9"/>
      <c r="X314" s="9"/>
      <c r="Y314" s="9"/>
      <c r="Z314" s="9"/>
      <c r="AA314" s="19"/>
      <c r="AB314" s="9"/>
      <c r="AC314" s="9"/>
      <c r="AD314" s="9"/>
    </row>
    <row r="315" spans="1:30">
      <c r="A315" s="9"/>
      <c r="B315" s="9"/>
      <c r="C315" s="9"/>
      <c r="D315" s="9"/>
      <c r="E315" s="12"/>
      <c r="F315" s="9"/>
      <c r="G315" s="9"/>
      <c r="H315" s="18"/>
      <c r="I315" s="20"/>
      <c r="J315" s="9"/>
      <c r="K315" s="9"/>
      <c r="L315" s="9"/>
      <c r="M315" s="9"/>
      <c r="N315" s="9"/>
      <c r="O315" s="9"/>
      <c r="P315" s="9"/>
      <c r="Q315" s="9"/>
      <c r="R315" s="9"/>
      <c r="S315" s="9"/>
      <c r="T315" s="9"/>
      <c r="U315" s="9"/>
      <c r="V315" s="9"/>
      <c r="W315" s="9"/>
      <c r="X315" s="9"/>
      <c r="Y315" s="9"/>
      <c r="Z315" s="9"/>
      <c r="AA315" s="19"/>
      <c r="AB315" s="9"/>
      <c r="AC315" s="9"/>
      <c r="AD315" s="9"/>
    </row>
    <row r="316" spans="1:30">
      <c r="A316" s="9"/>
      <c r="B316" s="9"/>
      <c r="C316" s="9"/>
      <c r="D316" s="9"/>
      <c r="E316" s="12"/>
      <c r="F316" s="9"/>
      <c r="G316" s="9"/>
      <c r="H316" s="18"/>
      <c r="I316" s="20"/>
      <c r="J316" s="9"/>
      <c r="K316" s="9"/>
      <c r="L316" s="9"/>
      <c r="M316" s="9"/>
      <c r="N316" s="9"/>
      <c r="O316" s="9"/>
      <c r="P316" s="9"/>
      <c r="Q316" s="9"/>
      <c r="R316" s="9"/>
      <c r="S316" s="9"/>
      <c r="T316" s="9"/>
      <c r="U316" s="9"/>
      <c r="V316" s="9"/>
      <c r="W316" s="9"/>
      <c r="X316" s="9"/>
      <c r="Y316" s="9"/>
      <c r="Z316" s="9"/>
      <c r="AA316" s="19"/>
      <c r="AB316" s="9"/>
      <c r="AC316" s="9"/>
      <c r="AD316" s="9"/>
    </row>
    <row r="317" spans="1:30">
      <c r="A317" s="9"/>
      <c r="B317" s="9"/>
      <c r="C317" s="9"/>
      <c r="D317" s="9"/>
      <c r="E317" s="12"/>
      <c r="F317" s="9"/>
      <c r="G317" s="9"/>
      <c r="H317" s="18"/>
      <c r="I317" s="20"/>
      <c r="J317" s="9"/>
      <c r="K317" s="9"/>
      <c r="L317" s="9"/>
      <c r="M317" s="9"/>
      <c r="N317" s="9"/>
      <c r="O317" s="9"/>
      <c r="P317" s="9"/>
      <c r="Q317" s="9"/>
      <c r="R317" s="9"/>
      <c r="S317" s="9"/>
      <c r="T317" s="9"/>
      <c r="U317" s="9"/>
      <c r="V317" s="9"/>
      <c r="W317" s="9"/>
      <c r="X317" s="9"/>
      <c r="Y317" s="9"/>
      <c r="Z317" s="9"/>
      <c r="AA317" s="19"/>
      <c r="AB317" s="9"/>
      <c r="AC317" s="9"/>
      <c r="AD317" s="9"/>
    </row>
    <row r="318" spans="1:30">
      <c r="A318" s="9"/>
      <c r="B318" s="9"/>
      <c r="C318" s="9"/>
      <c r="D318" s="9"/>
      <c r="E318" s="12"/>
      <c r="F318" s="9"/>
      <c r="G318" s="9"/>
      <c r="H318" s="18"/>
      <c r="I318" s="20"/>
      <c r="J318" s="9"/>
      <c r="K318" s="9"/>
      <c r="L318" s="9"/>
      <c r="M318" s="9"/>
      <c r="N318" s="9"/>
      <c r="O318" s="9"/>
      <c r="P318" s="9"/>
      <c r="Q318" s="9"/>
      <c r="R318" s="9"/>
      <c r="S318" s="9"/>
      <c r="T318" s="9"/>
      <c r="U318" s="9"/>
      <c r="V318" s="9"/>
      <c r="W318" s="9"/>
      <c r="X318" s="9"/>
      <c r="Y318" s="9"/>
      <c r="Z318" s="9"/>
      <c r="AA318" s="19"/>
      <c r="AB318" s="9"/>
      <c r="AC318" s="9"/>
      <c r="AD318" s="9"/>
    </row>
    <row r="319" spans="1:30">
      <c r="A319" s="9"/>
      <c r="B319" s="9"/>
      <c r="C319" s="9"/>
      <c r="D319" s="9"/>
      <c r="E319" s="12"/>
      <c r="F319" s="9"/>
      <c r="G319" s="9"/>
      <c r="H319" s="18"/>
      <c r="I319" s="20"/>
      <c r="J319" s="9"/>
      <c r="K319" s="9"/>
      <c r="L319" s="9"/>
      <c r="M319" s="9"/>
      <c r="N319" s="9"/>
      <c r="O319" s="9"/>
      <c r="P319" s="9"/>
      <c r="Q319" s="9"/>
      <c r="R319" s="9"/>
      <c r="S319" s="9"/>
      <c r="T319" s="9"/>
      <c r="U319" s="9"/>
      <c r="V319" s="9"/>
      <c r="W319" s="9"/>
      <c r="X319" s="9"/>
      <c r="Y319" s="9"/>
      <c r="Z319" s="9"/>
      <c r="AA319" s="19"/>
      <c r="AB319" s="9"/>
      <c r="AC319" s="9"/>
      <c r="AD319" s="9"/>
    </row>
    <row r="320" spans="1:30">
      <c r="A320" s="9"/>
      <c r="B320" s="9"/>
      <c r="C320" s="9"/>
      <c r="D320" s="9"/>
      <c r="E320" s="12"/>
      <c r="F320" s="9"/>
      <c r="G320" s="9"/>
      <c r="H320" s="18"/>
      <c r="I320" s="20"/>
      <c r="J320" s="9"/>
      <c r="K320" s="9"/>
      <c r="L320" s="9"/>
      <c r="M320" s="9"/>
      <c r="N320" s="9"/>
      <c r="O320" s="9"/>
      <c r="P320" s="9"/>
      <c r="Q320" s="9"/>
      <c r="R320" s="9"/>
      <c r="S320" s="9"/>
      <c r="T320" s="9"/>
      <c r="U320" s="9"/>
      <c r="V320" s="9"/>
      <c r="W320" s="9"/>
      <c r="X320" s="9"/>
      <c r="Y320" s="9"/>
      <c r="Z320" s="9"/>
      <c r="AA320" s="19"/>
      <c r="AB320" s="9"/>
      <c r="AC320" s="9"/>
      <c r="AD320" s="9"/>
    </row>
    <row r="321" spans="1:30">
      <c r="A321" s="9"/>
      <c r="B321" s="9"/>
      <c r="C321" s="9"/>
      <c r="D321" s="9"/>
      <c r="E321" s="12"/>
      <c r="F321" s="9"/>
      <c r="G321" s="9"/>
      <c r="H321" s="18"/>
      <c r="I321" s="20"/>
      <c r="J321" s="9"/>
      <c r="K321" s="9"/>
      <c r="L321" s="9"/>
      <c r="M321" s="9"/>
      <c r="N321" s="9"/>
      <c r="O321" s="9"/>
      <c r="P321" s="9"/>
      <c r="Q321" s="9"/>
      <c r="R321" s="9"/>
      <c r="S321" s="9"/>
      <c r="T321" s="9"/>
      <c r="U321" s="9"/>
      <c r="V321" s="9"/>
      <c r="W321" s="9"/>
      <c r="X321" s="9"/>
      <c r="Y321" s="9"/>
      <c r="Z321" s="9"/>
      <c r="AA321" s="19"/>
      <c r="AB321" s="9"/>
      <c r="AC321" s="9"/>
      <c r="AD321" s="9"/>
    </row>
    <row r="322" spans="1:30">
      <c r="A322" s="9"/>
      <c r="B322" s="9"/>
      <c r="C322" s="9"/>
      <c r="D322" s="9"/>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row>
    <row r="323" spans="1:30">
      <c r="A323" s="9"/>
      <c r="B323" s="9"/>
      <c r="C323" s="9"/>
      <c r="D323" s="9"/>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row>
    <row r="324" spans="1:30">
      <c r="A324" s="9"/>
      <c r="B324" s="9"/>
      <c r="C324" s="9"/>
      <c r="D324" s="9"/>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row>
    <row r="325" spans="1:30">
      <c r="A325" s="9"/>
      <c r="B325" s="9"/>
      <c r="C325" s="9"/>
      <c r="D325" s="9"/>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row>
    <row r="326" spans="1:30">
      <c r="A326" s="9"/>
      <c r="B326" s="9"/>
      <c r="C326" s="9"/>
      <c r="D326" s="9"/>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row>
    <row r="327" spans="1:30">
      <c r="A327" s="9"/>
      <c r="B327" s="9"/>
      <c r="C327" s="9"/>
      <c r="D327" s="9"/>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row>
    <row r="328" spans="1:30">
      <c r="A328" s="9"/>
      <c r="B328" s="9"/>
      <c r="C328" s="9"/>
      <c r="D328" s="9"/>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row>
    <row r="329" spans="1:30">
      <c r="A329" s="9"/>
      <c r="B329" s="9"/>
      <c r="C329" s="9"/>
      <c r="D329" s="9"/>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row>
    <row r="330" spans="1:30">
      <c r="A330" s="9"/>
      <c r="B330" s="9"/>
      <c r="C330" s="9"/>
      <c r="D330" s="9"/>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row>
    <row r="331" spans="1:30">
      <c r="A331" s="9"/>
      <c r="B331" s="9"/>
      <c r="C331" s="9"/>
      <c r="D331" s="9"/>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row>
    <row r="332" spans="1:30">
      <c r="A332" s="9"/>
      <c r="B332" s="9"/>
      <c r="C332" s="9"/>
      <c r="D332" s="9"/>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row>
    <row r="333" spans="1:30">
      <c r="A333" s="9"/>
      <c r="B333" s="9"/>
      <c r="C333" s="9"/>
      <c r="D333" s="9"/>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row>
    <row r="334" spans="1:30">
      <c r="A334" s="9"/>
      <c r="B334" s="9"/>
      <c r="C334" s="9"/>
      <c r="D334" s="9"/>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row>
    <row r="335" spans="1:30">
      <c r="A335" s="9"/>
      <c r="B335" s="9"/>
      <c r="C335" s="9"/>
      <c r="D335" s="9"/>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row>
    <row r="336" spans="1:30">
      <c r="A336" s="9"/>
      <c r="B336" s="9"/>
      <c r="C336" s="9"/>
      <c r="D336" s="9"/>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row>
    <row r="337" spans="1:30">
      <c r="A337" s="9"/>
      <c r="B337" s="9"/>
      <c r="C337" s="9"/>
      <c r="D337" s="9"/>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row>
    <row r="338" spans="1:30">
      <c r="A338" s="9"/>
      <c r="B338" s="9"/>
      <c r="C338" s="9"/>
      <c r="D338" s="9"/>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row>
    <row r="339" spans="1:30">
      <c r="A339" s="9"/>
      <c r="B339" s="9"/>
      <c r="C339" s="9"/>
      <c r="D339" s="9"/>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row>
    <row r="340" spans="1:30">
      <c r="A340" s="9"/>
      <c r="B340" s="9"/>
      <c r="C340" s="9"/>
      <c r="D340" s="9"/>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30">
      <c r="A341" s="9"/>
      <c r="B341" s="9"/>
      <c r="C341" s="9"/>
      <c r="D341" s="9"/>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30">
      <c r="A342" s="9"/>
      <c r="B342" s="9"/>
      <c r="C342" s="9"/>
      <c r="D342" s="9"/>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30">
      <c r="A343" s="9"/>
      <c r="B343" s="9"/>
      <c r="C343" s="9"/>
      <c r="D343" s="9"/>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30">
      <c r="A344" s="9"/>
      <c r="B344" s="9"/>
      <c r="C344" s="9"/>
      <c r="D344" s="9"/>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30">
      <c r="A345" s="9"/>
      <c r="B345" s="9"/>
      <c r="C345" s="9"/>
      <c r="D345" s="9"/>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30">
      <c r="A346" s="9"/>
      <c r="B346" s="9"/>
      <c r="C346" s="9"/>
      <c r="D346" s="9"/>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30">
      <c r="A347" s="9"/>
      <c r="B347" s="9"/>
      <c r="C347" s="9"/>
      <c r="D347" s="9"/>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30">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30">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30">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30">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30">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sheetData>
  <mergeCells count="40">
    <mergeCell ref="G34:I34"/>
    <mergeCell ref="G35:I35"/>
    <mergeCell ref="G36:I36"/>
    <mergeCell ref="G30:I30"/>
    <mergeCell ref="G31:I31"/>
    <mergeCell ref="G32:I32"/>
    <mergeCell ref="G33:I33"/>
    <mergeCell ref="G16:I16"/>
    <mergeCell ref="G28:I28"/>
    <mergeCell ref="G25:I25"/>
    <mergeCell ref="G14:I14"/>
    <mergeCell ref="G29:I29"/>
    <mergeCell ref="F243:G243"/>
    <mergeCell ref="F73:G73"/>
    <mergeCell ref="F107:H107"/>
    <mergeCell ref="F141:H141"/>
    <mergeCell ref="F175:H175"/>
    <mergeCell ref="F209:I209"/>
    <mergeCell ref="G2:H2"/>
    <mergeCell ref="G6:I6"/>
    <mergeCell ref="G7:I7"/>
    <mergeCell ref="F5:K5"/>
    <mergeCell ref="G9:I9"/>
    <mergeCell ref="G8:I8"/>
    <mergeCell ref="F39:H39"/>
    <mergeCell ref="G21:I21"/>
    <mergeCell ref="G10:I10"/>
    <mergeCell ref="G17:I17"/>
    <mergeCell ref="G20:I20"/>
    <mergeCell ref="G26:I26"/>
    <mergeCell ref="G27:I27"/>
    <mergeCell ref="G19:I19"/>
    <mergeCell ref="G22:I22"/>
    <mergeCell ref="G23:I23"/>
    <mergeCell ref="G24:I24"/>
    <mergeCell ref="G11:I11"/>
    <mergeCell ref="G12:I12"/>
    <mergeCell ref="G13:I13"/>
    <mergeCell ref="G18:I18"/>
    <mergeCell ref="G15:I15"/>
  </mergeCells>
  <phoneticPr fontId="0" type="noConversion"/>
  <dataValidations count="1">
    <dataValidation type="custom" showInputMessage="1" showErrorMessage="1" error="Invalid input, please try again." sqref="K7:L36 T7:U36">
      <formula1>AND(K7&lt;&gt;"",OR(K7="n/a",AND(K7&gt;=0,K7&lt;=100)))</formula1>
    </dataValidation>
  </dataValidations>
  <printOptions headings="1"/>
  <pageMargins left="0.75" right="0.75" top="1" bottom="1" header="0.5" footer="0.5"/>
  <pageSetup paperSize="9" scale="47" orientation="landscape" horizontalDpi="4294967292" r:id="rId1"/>
  <headerFooter alignWithMargins="0"/>
  <rowBreaks count="2" manualBreakCount="2">
    <brk id="72" min="5" max="23" man="1"/>
    <brk id="174" min="5" max="23" man="1"/>
  </rowBreaks>
  <ignoredErrors>
    <ignoredError sqref="I247:L247 M247:Q247"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799"/>
  <sheetViews>
    <sheetView zoomScaleNormal="100" workbookViewId="0">
      <pane ySplit="4" topLeftCell="A5" activePane="bottomLeft" state="frozen"/>
      <selection pane="bottomLeft" activeCell="G180" sqref="G180"/>
    </sheetView>
  </sheetViews>
  <sheetFormatPr defaultRowHeight="13.2" outlineLevelRow="1"/>
  <cols>
    <col min="1" max="1" width="4.44140625" customWidth="1"/>
    <col min="2" max="2" width="22.88671875" customWidth="1"/>
    <col min="3" max="3" width="12.44140625" customWidth="1"/>
    <col min="5" max="5" width="6" customWidth="1"/>
    <col min="6" max="6" width="14.5546875" customWidth="1"/>
    <col min="7" max="7" width="10.44140625" customWidth="1"/>
    <col min="8" max="8" width="10.109375" customWidth="1"/>
    <col min="9" max="10" width="10" customWidth="1"/>
    <col min="11" max="13" width="10" bestFit="1" customWidth="1"/>
    <col min="14" max="61" width="9.5546875" bestFit="1" customWidth="1"/>
  </cols>
  <sheetData>
    <row r="1" spans="1:256">
      <c r="A1" s="9"/>
      <c r="B1" s="9"/>
      <c r="C1" s="9"/>
      <c r="D1" s="9"/>
      <c r="E1" s="9"/>
      <c r="F1" s="53"/>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27"/>
      <c r="BK1" s="227"/>
    </row>
    <row r="2" spans="1:256" ht="15.6">
      <c r="A2" s="9"/>
      <c r="B2" s="58" t="str">
        <f>"Adjustments for Previous Regulatory Control Period - RFM "&amp;Intro!L4</f>
        <v>Adjustments for Previous Regulatory Control Period - RFM Version: 2.0</v>
      </c>
      <c r="C2" s="9"/>
      <c r="D2" s="9"/>
      <c r="E2" s="9"/>
      <c r="F2" s="9"/>
      <c r="G2" s="9"/>
      <c r="H2" s="9"/>
      <c r="I2" s="9"/>
      <c r="J2" s="9"/>
      <c r="K2" s="9"/>
      <c r="L2" s="9"/>
      <c r="M2" s="9"/>
      <c r="N2" s="9"/>
      <c r="O2" s="9"/>
      <c r="P2" s="9"/>
      <c r="Q2" s="9"/>
      <c r="R2" s="12"/>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row>
    <row r="3" spans="1:256" s="1" customFormat="1">
      <c r="A3" s="59"/>
      <c r="B3" s="60"/>
      <c r="C3" s="59"/>
      <c r="D3" s="59"/>
      <c r="E3" s="59"/>
      <c r="F3" s="61"/>
      <c r="G3" s="61"/>
      <c r="H3" s="61"/>
      <c r="I3" s="61"/>
      <c r="J3" s="61"/>
      <c r="K3" s="61"/>
      <c r="L3" s="61"/>
      <c r="M3" s="61"/>
      <c r="N3" s="61"/>
      <c r="O3" s="61"/>
      <c r="P3" s="61"/>
      <c r="Q3" s="61"/>
      <c r="R3" s="61"/>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6">
      <c r="A4" s="86"/>
      <c r="B4" s="87" t="s">
        <v>3</v>
      </c>
      <c r="C4" s="86"/>
      <c r="D4" s="86"/>
      <c r="E4" s="86"/>
      <c r="F4" s="147" t="str">
        <f>CONCATENATE(LEFT(G4, 4)-1 &amp;"-" &amp;IF(G4&gt;"2009-10",,"0") &amp;RIGHT(G4,2)-1)</f>
        <v>2007-08</v>
      </c>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53"/>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27"/>
      <c r="BK4" s="227"/>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7"/>
      <c r="BK5" s="227"/>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32</v>
      </c>
      <c r="C6" s="9"/>
      <c r="D6" s="39"/>
      <c r="E6" s="9"/>
      <c r="F6" s="243">
        <f>162.2/155.6-1</f>
        <v>4.2416452442159303E-2</v>
      </c>
      <c r="G6" s="206">
        <f>Input!G245</f>
        <v>2.4660912453760897E-2</v>
      </c>
      <c r="H6" s="20"/>
      <c r="I6" s="20"/>
      <c r="J6" s="20"/>
      <c r="K6" s="20"/>
      <c r="L6" s="20"/>
      <c r="M6" s="20"/>
      <c r="N6" s="20"/>
      <c r="O6" s="20"/>
      <c r="P6" s="20"/>
      <c r="Q6" s="20"/>
      <c r="R6" s="39"/>
      <c r="S6" s="53"/>
      <c r="T6" s="39"/>
      <c r="U6" s="39"/>
      <c r="V6" s="39"/>
      <c r="W6" s="39"/>
      <c r="X6" s="39"/>
      <c r="Y6" s="39"/>
      <c r="Z6" s="39"/>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7"/>
      <c r="BK6" s="227"/>
    </row>
    <row r="7" spans="1:256">
      <c r="A7" s="9"/>
      <c r="B7" s="100" t="s">
        <v>80</v>
      </c>
      <c r="C7" s="9"/>
      <c r="D7" s="9"/>
      <c r="E7" s="9"/>
      <c r="F7" s="9"/>
      <c r="G7" s="206"/>
      <c r="H7" s="244">
        <f>vanilla1</f>
        <v>0.10447943653986114</v>
      </c>
      <c r="I7" s="99">
        <f>vanilla2</f>
        <v>0.10925905515412726</v>
      </c>
      <c r="J7" s="99">
        <f>vanilla3</f>
        <v>9.0486885372506043E-2</v>
      </c>
      <c r="K7" s="99">
        <f>vanilla4</f>
        <v>0.10034028138896289</v>
      </c>
      <c r="L7" s="99">
        <f>vanilla5</f>
        <v>0.10031341761256174</v>
      </c>
      <c r="M7" s="99">
        <f>vanilla6</f>
        <v>0</v>
      </c>
      <c r="N7" s="99">
        <f>vanilla7</f>
        <v>0</v>
      </c>
      <c r="O7" s="99">
        <f>vanilla8</f>
        <v>0</v>
      </c>
      <c r="P7" s="99">
        <f>vanilla9</f>
        <v>0</v>
      </c>
      <c r="Q7" s="99">
        <f>vanilla10</f>
        <v>0</v>
      </c>
      <c r="R7" s="99"/>
      <c r="S7" s="53"/>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7"/>
      <c r="BK7" s="227"/>
    </row>
    <row r="8" spans="1:256">
      <c r="A8" s="9"/>
      <c r="B8" s="100"/>
      <c r="C8" s="9"/>
      <c r="D8" s="9"/>
      <c r="E8" s="9"/>
      <c r="F8" s="9"/>
      <c r="G8" s="145"/>
      <c r="H8" s="145"/>
      <c r="I8" s="145"/>
      <c r="J8" s="145"/>
      <c r="K8" s="145"/>
      <c r="L8" s="145"/>
      <c r="M8" s="139"/>
      <c r="N8" s="139"/>
      <c r="O8" s="139"/>
      <c r="P8" s="139"/>
      <c r="Q8" s="139"/>
      <c r="R8" s="140"/>
      <c r="S8" s="12"/>
      <c r="T8" s="140"/>
      <c r="U8" s="140"/>
      <c r="V8" s="140"/>
      <c r="W8" s="140"/>
      <c r="X8" s="140"/>
      <c r="Y8" s="140"/>
      <c r="Z8" s="140"/>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7"/>
      <c r="BK8" s="227"/>
    </row>
    <row r="9" spans="1:256">
      <c r="A9" s="85"/>
      <c r="B9" s="85" t="s">
        <v>38</v>
      </c>
      <c r="C9" s="112"/>
      <c r="D9" s="112"/>
      <c r="E9" s="112"/>
      <c r="F9" s="112"/>
      <c r="G9" s="112"/>
      <c r="H9" s="78"/>
      <c r="I9" s="78"/>
      <c r="J9" s="78"/>
      <c r="K9" s="78"/>
      <c r="L9" s="78"/>
      <c r="M9" s="78"/>
      <c r="N9" s="78"/>
      <c r="O9" s="78"/>
      <c r="P9" s="78"/>
      <c r="Q9" s="78"/>
      <c r="R9" s="78"/>
      <c r="S9" s="53"/>
      <c r="T9" s="140"/>
      <c r="U9" s="140"/>
      <c r="V9" s="140"/>
      <c r="W9" s="140"/>
      <c r="X9" s="140"/>
      <c r="Y9" s="140"/>
      <c r="Z9" s="140"/>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7"/>
      <c r="BK9" s="227"/>
    </row>
    <row r="10" spans="1:256">
      <c r="A10" s="17"/>
      <c r="B10" s="17"/>
      <c r="C10" s="123"/>
      <c r="D10" s="123"/>
      <c r="E10" s="123"/>
      <c r="F10" s="123"/>
      <c r="G10" s="123"/>
      <c r="H10" s="12"/>
      <c r="I10" s="12"/>
      <c r="J10" s="12"/>
      <c r="K10" s="12"/>
      <c r="L10" s="12"/>
      <c r="M10" s="12"/>
      <c r="N10" s="12"/>
      <c r="O10" s="12"/>
      <c r="P10" s="12"/>
      <c r="Q10" s="12"/>
      <c r="R10" s="140"/>
      <c r="S10" s="53"/>
      <c r="T10" s="140"/>
      <c r="U10" s="140"/>
      <c r="V10" s="140"/>
      <c r="W10" s="140"/>
      <c r="X10" s="140"/>
      <c r="Y10" s="140"/>
      <c r="Z10" s="140"/>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7"/>
      <c r="BK10" s="227"/>
    </row>
    <row r="11" spans="1:256">
      <c r="A11" s="9"/>
      <c r="B11" s="44" t="s">
        <v>76</v>
      </c>
      <c r="C11" s="9"/>
      <c r="D11" s="9"/>
      <c r="E11" s="9"/>
      <c r="F11" s="9"/>
      <c r="G11" s="317">
        <f>SUM(G12:G41)</f>
        <v>83.128654385774468</v>
      </c>
      <c r="H11" s="145"/>
      <c r="I11" s="145"/>
      <c r="J11" s="145"/>
      <c r="K11" s="145"/>
      <c r="L11" s="145"/>
      <c r="M11" s="139"/>
      <c r="N11" s="139"/>
      <c r="O11" s="139"/>
      <c r="P11" s="139"/>
      <c r="Q11" s="139"/>
      <c r="R11" s="140"/>
      <c r="S11" s="12"/>
      <c r="T11" s="140"/>
      <c r="U11" s="140"/>
      <c r="V11" s="140"/>
      <c r="W11" s="140"/>
      <c r="X11" s="140"/>
      <c r="Y11" s="140"/>
      <c r="Z11" s="140"/>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7"/>
      <c r="BK11" s="227"/>
    </row>
    <row r="12" spans="1:256" ht="12.75" hidden="1" customHeight="1" outlineLevel="1">
      <c r="A12" s="9"/>
      <c r="B12" s="9"/>
      <c r="C12" s="278" t="str">
        <f>Asset1</f>
        <v>Transmission Lines and Cables</v>
      </c>
      <c r="D12" s="9"/>
      <c r="E12" s="9"/>
      <c r="F12" s="9"/>
      <c r="G12" s="207">
        <f>Input!M7</f>
        <v>3.4044998441965704</v>
      </c>
      <c r="H12" s="145"/>
      <c r="I12" s="145"/>
      <c r="J12" s="145"/>
      <c r="K12" s="145"/>
      <c r="L12" s="145"/>
      <c r="M12" s="139"/>
      <c r="N12" s="139"/>
      <c r="O12" s="139"/>
      <c r="P12" s="139"/>
      <c r="Q12" s="139"/>
      <c r="R12" s="140"/>
      <c r="S12" s="53"/>
      <c r="T12" s="140"/>
      <c r="U12" s="140"/>
      <c r="V12" s="140"/>
      <c r="W12" s="140"/>
      <c r="X12" s="140"/>
      <c r="Y12" s="140"/>
      <c r="Z12" s="140"/>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7"/>
      <c r="BK12" s="227"/>
    </row>
    <row r="13" spans="1:256" ht="12.75" hidden="1" customHeight="1" outlineLevel="1">
      <c r="A13" s="9"/>
      <c r="B13" s="44"/>
      <c r="C13" s="278" t="str">
        <f>Asset2</f>
        <v>Transmission Substations</v>
      </c>
      <c r="D13" s="9"/>
      <c r="E13" s="9"/>
      <c r="F13" s="142"/>
      <c r="G13" s="207">
        <f>Input!M8</f>
        <v>62.450138395488089</v>
      </c>
      <c r="H13" s="145"/>
      <c r="I13" s="145"/>
      <c r="J13" s="145"/>
      <c r="K13" s="145"/>
      <c r="L13" s="145"/>
      <c r="M13" s="139"/>
      <c r="N13" s="139"/>
      <c r="O13" s="139"/>
      <c r="P13" s="139"/>
      <c r="Q13" s="139"/>
      <c r="R13" s="140"/>
      <c r="S13" s="53"/>
      <c r="T13" s="140"/>
      <c r="U13" s="140"/>
      <c r="V13" s="140"/>
      <c r="W13" s="140"/>
      <c r="X13" s="140"/>
      <c r="Y13" s="140"/>
      <c r="Z13" s="140"/>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7"/>
      <c r="BK13" s="227"/>
    </row>
    <row r="14" spans="1:256" ht="12.75" hidden="1" customHeight="1" outlineLevel="1">
      <c r="A14" s="9"/>
      <c r="B14" s="44"/>
      <c r="C14" s="278" t="str">
        <f>Asset3</f>
        <v>Protection and Control</v>
      </c>
      <c r="D14" s="9"/>
      <c r="E14" s="9"/>
      <c r="F14" s="142"/>
      <c r="G14" s="207">
        <f>Input!M9</f>
        <v>9.4118856801581483</v>
      </c>
      <c r="H14" s="145"/>
      <c r="I14" s="145"/>
      <c r="J14" s="145"/>
      <c r="K14" s="145"/>
      <c r="L14" s="145"/>
      <c r="M14" s="139"/>
      <c r="N14" s="139"/>
      <c r="O14" s="139"/>
      <c r="P14" s="139"/>
      <c r="Q14" s="139"/>
      <c r="R14" s="140"/>
      <c r="S14" s="12"/>
      <c r="T14" s="140"/>
      <c r="U14" s="140"/>
      <c r="V14" s="140"/>
      <c r="W14" s="140"/>
      <c r="X14" s="140"/>
      <c r="Y14" s="140"/>
      <c r="Z14" s="140"/>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7"/>
      <c r="BK14" s="227"/>
    </row>
    <row r="15" spans="1:256" ht="12.75" hidden="1" customHeight="1" outlineLevel="1">
      <c r="A15" s="9"/>
      <c r="B15" s="44"/>
      <c r="C15" s="278" t="str">
        <f>Asset4</f>
        <v>Refurbishment</v>
      </c>
      <c r="D15" s="9"/>
      <c r="E15" s="9"/>
      <c r="F15" s="142"/>
      <c r="G15" s="207">
        <f>Input!M10</f>
        <v>0</v>
      </c>
      <c r="H15" s="145"/>
      <c r="I15" s="145"/>
      <c r="J15" s="145"/>
      <c r="K15" s="145"/>
      <c r="L15" s="145"/>
      <c r="M15" s="139"/>
      <c r="N15" s="139"/>
      <c r="O15" s="139"/>
      <c r="P15" s="139"/>
      <c r="Q15" s="139"/>
      <c r="R15" s="140"/>
      <c r="S15" s="53"/>
      <c r="T15" s="140"/>
      <c r="U15" s="140"/>
      <c r="V15" s="140"/>
      <c r="W15" s="140"/>
      <c r="X15" s="140"/>
      <c r="Y15" s="140"/>
      <c r="Z15" s="140"/>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7"/>
      <c r="BK15" s="227"/>
    </row>
    <row r="16" spans="1:256" ht="12.75" hidden="1" customHeight="1" outlineLevel="1">
      <c r="A16" s="9"/>
      <c r="B16" s="44"/>
      <c r="C16" s="278" t="str">
        <f>Asset5</f>
        <v>Other</v>
      </c>
      <c r="D16" s="9"/>
      <c r="E16" s="9"/>
      <c r="F16" s="169"/>
      <c r="G16" s="207">
        <f>Input!M11</f>
        <v>0</v>
      </c>
      <c r="H16" s="145"/>
      <c r="I16" s="145"/>
      <c r="J16" s="145"/>
      <c r="K16" s="145"/>
      <c r="L16" s="145"/>
      <c r="M16" s="139"/>
      <c r="N16" s="139"/>
      <c r="O16" s="139"/>
      <c r="P16" s="139"/>
      <c r="Q16" s="139"/>
      <c r="R16" s="140"/>
      <c r="S16" s="53"/>
      <c r="T16" s="140"/>
      <c r="U16" s="140"/>
      <c r="V16" s="140"/>
      <c r="W16" s="140"/>
      <c r="X16" s="140"/>
      <c r="Y16" s="140"/>
      <c r="Z16" s="140"/>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7"/>
      <c r="BK16" s="227"/>
    </row>
    <row r="17" spans="1:63" ht="12.75" hidden="1" customHeight="1" outlineLevel="1">
      <c r="A17" s="9"/>
      <c r="B17" s="44"/>
      <c r="C17" s="278" t="str">
        <f>Asset6</f>
        <v>Other - IT</v>
      </c>
      <c r="D17" s="9"/>
      <c r="E17" s="9"/>
      <c r="F17" s="142"/>
      <c r="G17" s="207">
        <f>Input!M12</f>
        <v>4.7021850436574333</v>
      </c>
      <c r="H17" s="145"/>
      <c r="I17" s="145"/>
      <c r="J17" s="145"/>
      <c r="K17" s="145"/>
      <c r="L17" s="145"/>
      <c r="M17" s="139"/>
      <c r="N17" s="139"/>
      <c r="O17" s="139"/>
      <c r="P17" s="139"/>
      <c r="Q17" s="139"/>
      <c r="R17" s="140"/>
      <c r="S17" s="12"/>
      <c r="T17" s="140"/>
      <c r="U17" s="140"/>
      <c r="V17" s="140"/>
      <c r="W17" s="140"/>
      <c r="X17" s="140"/>
      <c r="Y17" s="140"/>
      <c r="Z17" s="140"/>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7"/>
      <c r="BK17" s="227"/>
    </row>
    <row r="18" spans="1:63" ht="12.75" hidden="1" customHeight="1" outlineLevel="1">
      <c r="A18" s="9"/>
      <c r="B18" s="44"/>
      <c r="C18" s="278" t="str">
        <f>Asset7</f>
        <v>Other - General</v>
      </c>
      <c r="D18" s="9"/>
      <c r="E18" s="9"/>
      <c r="F18" s="142"/>
      <c r="G18" s="207">
        <f>Input!M13</f>
        <v>0</v>
      </c>
      <c r="H18" s="145"/>
      <c r="I18" s="145"/>
      <c r="J18" s="145"/>
      <c r="K18" s="145"/>
      <c r="L18" s="145"/>
      <c r="M18" s="139"/>
      <c r="N18" s="139"/>
      <c r="O18" s="139"/>
      <c r="P18" s="139"/>
      <c r="Q18" s="139"/>
      <c r="R18" s="140"/>
      <c r="S18" s="53"/>
      <c r="T18" s="140"/>
      <c r="U18" s="140"/>
      <c r="V18" s="140"/>
      <c r="W18" s="140"/>
      <c r="X18" s="140"/>
      <c r="Y18" s="140"/>
      <c r="Z18" s="140"/>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7"/>
      <c r="BK18" s="227"/>
    </row>
    <row r="19" spans="1:63" ht="12.75" hidden="1" customHeight="1" outlineLevel="1">
      <c r="A19" s="9"/>
      <c r="B19" s="44"/>
      <c r="C19" s="278" t="str">
        <f>Asset8</f>
        <v>Other - Buildings</v>
      </c>
      <c r="D19" s="9"/>
      <c r="E19" s="9"/>
      <c r="F19" s="142"/>
      <c r="G19" s="207">
        <f>Input!M14</f>
        <v>3.149271747091551</v>
      </c>
      <c r="H19" s="145"/>
      <c r="I19" s="145"/>
      <c r="J19" s="145"/>
      <c r="K19" s="145"/>
      <c r="L19" s="145"/>
      <c r="M19" s="139"/>
      <c r="N19" s="139"/>
      <c r="O19" s="139"/>
      <c r="P19" s="139"/>
      <c r="Q19" s="139"/>
      <c r="R19" s="140"/>
      <c r="S19" s="53"/>
      <c r="T19" s="140"/>
      <c r="U19" s="140"/>
      <c r="V19" s="140"/>
      <c r="W19" s="140"/>
      <c r="X19" s="140"/>
      <c r="Y19" s="140"/>
      <c r="Z19" s="140"/>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7"/>
      <c r="BK19" s="227"/>
    </row>
    <row r="20" spans="1:63" ht="12.75" hidden="1" customHeight="1" outlineLevel="1">
      <c r="A20" s="9"/>
      <c r="B20" s="44"/>
      <c r="C20" s="278" t="str">
        <f>Asset9</f>
        <v>Land and Easements</v>
      </c>
      <c r="D20" s="9"/>
      <c r="E20" s="9"/>
      <c r="F20" s="142"/>
      <c r="G20" s="207">
        <f>Input!M15</f>
        <v>1.0673675182676838E-2</v>
      </c>
      <c r="H20" s="145"/>
      <c r="I20" s="145"/>
      <c r="J20" s="145"/>
      <c r="K20" s="145"/>
      <c r="L20" s="145"/>
      <c r="M20" s="139"/>
      <c r="N20" s="139"/>
      <c r="O20" s="139"/>
      <c r="P20" s="139"/>
      <c r="Q20" s="139"/>
      <c r="R20" s="140"/>
      <c r="S20" s="12"/>
      <c r="T20" s="140"/>
      <c r="U20" s="140"/>
      <c r="V20" s="140"/>
      <c r="W20" s="140"/>
      <c r="X20" s="140"/>
      <c r="Y20" s="140"/>
      <c r="Z20" s="140"/>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7"/>
      <c r="BK20" s="227"/>
    </row>
    <row r="21" spans="1:63" ht="12.75" hidden="1" customHeight="1" outlineLevel="1">
      <c r="A21" s="9"/>
      <c r="B21" s="44"/>
      <c r="C21" s="278" t="str">
        <f>Asset10</f>
        <v>Transmission line assets - long life (60)</v>
      </c>
      <c r="D21" s="9"/>
      <c r="E21" s="9"/>
      <c r="F21" s="142"/>
      <c r="G21" s="207">
        <f>Input!M16</f>
        <v>0</v>
      </c>
      <c r="H21" s="145"/>
      <c r="I21" s="145"/>
      <c r="J21" s="145"/>
      <c r="K21" s="145"/>
      <c r="L21" s="145"/>
      <c r="M21" s="139"/>
      <c r="N21" s="139"/>
      <c r="O21" s="139"/>
      <c r="P21" s="139"/>
      <c r="Q21" s="139"/>
      <c r="R21" s="140"/>
      <c r="S21" s="53"/>
      <c r="T21" s="140"/>
      <c r="U21" s="140"/>
      <c r="V21" s="140"/>
      <c r="W21" s="140"/>
      <c r="X21" s="140"/>
      <c r="Y21" s="140"/>
      <c r="Z21" s="140"/>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7"/>
      <c r="BK21" s="227"/>
    </row>
    <row r="22" spans="1:63" ht="12.75" hidden="1" customHeight="1" outlineLevel="1">
      <c r="A22" s="9"/>
      <c r="B22" s="44"/>
      <c r="C22" s="278" t="str">
        <f>Asset11</f>
        <v>Transmission line assets - medium life (45)</v>
      </c>
      <c r="D22" s="9"/>
      <c r="E22" s="9"/>
      <c r="F22" s="142"/>
      <c r="G22" s="207">
        <f>Input!M17</f>
        <v>0</v>
      </c>
      <c r="H22" s="145"/>
      <c r="I22" s="145"/>
      <c r="J22" s="145"/>
      <c r="K22" s="145"/>
      <c r="L22" s="145"/>
      <c r="M22" s="139"/>
      <c r="N22" s="139"/>
      <c r="O22" s="139"/>
      <c r="P22" s="139"/>
      <c r="Q22" s="139"/>
      <c r="R22" s="140"/>
      <c r="S22" s="53"/>
      <c r="T22" s="140"/>
      <c r="U22" s="140"/>
      <c r="V22" s="140"/>
      <c r="W22" s="140"/>
      <c r="X22" s="140"/>
      <c r="Y22" s="140"/>
      <c r="Z22" s="140"/>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7"/>
      <c r="BK22" s="227"/>
    </row>
    <row r="23" spans="1:63" ht="12.75" hidden="1" customHeight="1" outlineLevel="1">
      <c r="A23" s="9"/>
      <c r="B23" s="44"/>
      <c r="C23" s="278" t="str">
        <f>Asset12</f>
        <v>Transmission line assets - short life (10)</v>
      </c>
      <c r="D23" s="9"/>
      <c r="E23" s="9"/>
      <c r="F23" s="142"/>
      <c r="G23" s="207">
        <f>Input!M18</f>
        <v>0</v>
      </c>
      <c r="H23" s="145"/>
      <c r="I23" s="145"/>
      <c r="J23" s="145"/>
      <c r="K23" s="145"/>
      <c r="L23" s="145"/>
      <c r="M23" s="139"/>
      <c r="N23" s="139"/>
      <c r="O23" s="139"/>
      <c r="P23" s="139"/>
      <c r="Q23" s="139"/>
      <c r="R23" s="140"/>
      <c r="S23" s="12"/>
      <c r="T23" s="140"/>
      <c r="U23" s="140"/>
      <c r="V23" s="140"/>
      <c r="W23" s="140"/>
      <c r="X23" s="140"/>
      <c r="Y23" s="140"/>
      <c r="Z23" s="140"/>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7"/>
      <c r="BK23" s="227"/>
    </row>
    <row r="24" spans="1:63" ht="12.75" hidden="1" customHeight="1" outlineLevel="1">
      <c r="A24" s="9"/>
      <c r="B24" s="44"/>
      <c r="C24" s="278" t="str">
        <f>Asset13</f>
        <v>Substation assets - long life (60)</v>
      </c>
      <c r="D24" s="9"/>
      <c r="E24" s="9"/>
      <c r="F24" s="142"/>
      <c r="G24" s="207">
        <f>Input!M19</f>
        <v>0</v>
      </c>
      <c r="H24" s="145"/>
      <c r="I24" s="145"/>
      <c r="J24" s="145"/>
      <c r="K24" s="145"/>
      <c r="L24" s="145"/>
      <c r="M24" s="139"/>
      <c r="N24" s="139"/>
      <c r="O24" s="139"/>
      <c r="P24" s="139"/>
      <c r="Q24" s="139"/>
      <c r="R24" s="140"/>
      <c r="S24" s="53"/>
      <c r="T24" s="140"/>
      <c r="U24" s="140"/>
      <c r="V24" s="140"/>
      <c r="W24" s="140"/>
      <c r="X24" s="140"/>
      <c r="Y24" s="140"/>
      <c r="Z24" s="140"/>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7"/>
      <c r="BK24" s="227"/>
    </row>
    <row r="25" spans="1:63" ht="12.75" hidden="1" customHeight="1" outlineLevel="1">
      <c r="A25" s="9"/>
      <c r="B25" s="44"/>
      <c r="C25" s="278" t="str">
        <f>Asset14</f>
        <v>Substation assets - medium life (45)</v>
      </c>
      <c r="D25" s="9"/>
      <c r="E25" s="9"/>
      <c r="F25" s="142"/>
      <c r="G25" s="207">
        <f>Input!M20</f>
        <v>0</v>
      </c>
      <c r="H25" s="145"/>
      <c r="I25" s="145"/>
      <c r="J25" s="145"/>
      <c r="K25" s="145"/>
      <c r="L25" s="145"/>
      <c r="M25" s="139"/>
      <c r="N25" s="139"/>
      <c r="O25" s="139"/>
      <c r="P25" s="139"/>
      <c r="Q25" s="139"/>
      <c r="R25" s="140"/>
      <c r="S25" s="53"/>
      <c r="T25" s="140"/>
      <c r="U25" s="140"/>
      <c r="V25" s="140"/>
      <c r="W25" s="140"/>
      <c r="X25" s="140"/>
      <c r="Y25" s="140"/>
      <c r="Z25" s="140"/>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7"/>
      <c r="BK25" s="227"/>
    </row>
    <row r="26" spans="1:63" ht="12.75" hidden="1" customHeight="1" outlineLevel="1">
      <c r="A26" s="9"/>
      <c r="B26" s="44"/>
      <c r="C26" s="278" t="str">
        <f>Asset15</f>
        <v>Substation assets - short life (15)</v>
      </c>
      <c r="D26" s="9"/>
      <c r="E26" s="9"/>
      <c r="F26" s="142"/>
      <c r="G26" s="207">
        <f>Input!M21</f>
        <v>0</v>
      </c>
      <c r="H26" s="145"/>
      <c r="I26" s="145"/>
      <c r="J26" s="145"/>
      <c r="K26" s="145"/>
      <c r="L26" s="145"/>
      <c r="M26" s="139"/>
      <c r="N26" s="139"/>
      <c r="O26" s="139"/>
      <c r="P26" s="139"/>
      <c r="Q26" s="139"/>
      <c r="R26" s="140"/>
      <c r="S26" s="12"/>
      <c r="T26" s="140"/>
      <c r="U26" s="140"/>
      <c r="V26" s="140"/>
      <c r="W26" s="140"/>
      <c r="X26" s="140"/>
      <c r="Y26" s="140"/>
      <c r="Z26" s="140"/>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7"/>
      <c r="BK26" s="227"/>
    </row>
    <row r="27" spans="1:63" ht="12.75" hidden="1" customHeight="1" outlineLevel="1">
      <c r="A27" s="9"/>
      <c r="B27" s="44"/>
      <c r="C27" s="278" t="str">
        <f>Asset16</f>
        <v>Protection and control - short life (15)</v>
      </c>
      <c r="D27" s="9"/>
      <c r="E27" s="9"/>
      <c r="F27" s="142"/>
      <c r="G27" s="207">
        <f>Input!M22</f>
        <v>0</v>
      </c>
      <c r="H27" s="145"/>
      <c r="I27" s="145"/>
      <c r="J27" s="145"/>
      <c r="K27" s="145"/>
      <c r="L27" s="145"/>
      <c r="M27" s="139"/>
      <c r="N27" s="139"/>
      <c r="O27" s="139"/>
      <c r="P27" s="139"/>
      <c r="Q27" s="139"/>
      <c r="R27" s="140"/>
      <c r="S27" s="53"/>
      <c r="T27" s="140"/>
      <c r="U27" s="140"/>
      <c r="V27" s="140"/>
      <c r="W27" s="140"/>
      <c r="X27" s="140"/>
      <c r="Y27" s="140"/>
      <c r="Z27" s="140"/>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7"/>
      <c r="BK27" s="227"/>
    </row>
    <row r="28" spans="1:63" ht="12.75" hidden="1" customHeight="1" outlineLevel="1">
      <c r="A28" s="9"/>
      <c r="B28" s="44"/>
      <c r="C28" s="278" t="str">
        <f>Asset17</f>
        <v>Protection and control - short life (4)</v>
      </c>
      <c r="D28" s="9"/>
      <c r="E28" s="9"/>
      <c r="F28" s="142"/>
      <c r="G28" s="207">
        <f>Input!M23</f>
        <v>0</v>
      </c>
      <c r="H28" s="145"/>
      <c r="I28" s="145"/>
      <c r="J28" s="145"/>
      <c r="K28" s="145"/>
      <c r="L28" s="145"/>
      <c r="M28" s="139"/>
      <c r="N28" s="139"/>
      <c r="O28" s="139"/>
      <c r="P28" s="139"/>
      <c r="Q28" s="139"/>
      <c r="R28" s="140"/>
      <c r="S28" s="53"/>
      <c r="T28" s="140"/>
      <c r="U28" s="140"/>
      <c r="V28" s="140"/>
      <c r="W28" s="140"/>
      <c r="X28" s="140"/>
      <c r="Y28" s="140"/>
      <c r="Z28" s="140"/>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7"/>
      <c r="BK28" s="227"/>
    </row>
    <row r="29" spans="1:63" ht="12.75" hidden="1" customHeight="1" outlineLevel="1">
      <c r="A29" s="9"/>
      <c r="B29" s="44"/>
      <c r="C29" s="278" t="str">
        <f>Asset18</f>
        <v>Transmission operations - short life (10)</v>
      </c>
      <c r="D29" s="9"/>
      <c r="E29" s="9"/>
      <c r="F29" s="142"/>
      <c r="G29" s="207">
        <f>Input!M24</f>
        <v>0</v>
      </c>
      <c r="H29" s="145"/>
      <c r="I29" s="145"/>
      <c r="J29" s="145"/>
      <c r="K29" s="145"/>
      <c r="L29" s="145"/>
      <c r="M29" s="139"/>
      <c r="N29" s="139"/>
      <c r="O29" s="139"/>
      <c r="P29" s="139"/>
      <c r="Q29" s="139"/>
      <c r="R29" s="140"/>
      <c r="S29" s="12"/>
      <c r="T29" s="140"/>
      <c r="U29" s="140"/>
      <c r="V29" s="140"/>
      <c r="W29" s="140"/>
      <c r="X29" s="140"/>
      <c r="Y29" s="140"/>
      <c r="Z29" s="140"/>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7"/>
      <c r="BK29" s="227"/>
    </row>
    <row r="30" spans="1:63" ht="12.75" hidden="1" customHeight="1" outlineLevel="1">
      <c r="A30" s="9"/>
      <c r="B30" s="44"/>
      <c r="C30" s="278" t="str">
        <f>Asset19</f>
        <v>Transmission operations - short life (4)</v>
      </c>
      <c r="D30" s="9"/>
      <c r="E30" s="9"/>
      <c r="F30" s="142"/>
      <c r="G30" s="207">
        <f>Input!M25</f>
        <v>0</v>
      </c>
      <c r="H30" s="145"/>
      <c r="I30" s="145"/>
      <c r="J30" s="145"/>
      <c r="K30" s="145"/>
      <c r="L30" s="145"/>
      <c r="M30" s="139"/>
      <c r="N30" s="139"/>
      <c r="O30" s="139"/>
      <c r="P30" s="139"/>
      <c r="Q30" s="139"/>
      <c r="R30" s="140"/>
      <c r="S30" s="53"/>
      <c r="T30" s="140"/>
      <c r="U30" s="140"/>
      <c r="V30" s="140"/>
      <c r="W30" s="140"/>
      <c r="X30" s="140"/>
      <c r="Y30" s="140"/>
      <c r="Z30" s="140"/>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7"/>
      <c r="BK30" s="227"/>
    </row>
    <row r="31" spans="1:63" ht="12.75" hidden="1" customHeight="1" outlineLevel="1">
      <c r="A31" s="9"/>
      <c r="B31" s="44"/>
      <c r="C31" s="278" t="str">
        <f>Asset20</f>
        <v>Other - medium life (40)</v>
      </c>
      <c r="D31" s="9"/>
      <c r="E31" s="9"/>
      <c r="F31" s="142"/>
      <c r="G31" s="207">
        <f>Input!M26</f>
        <v>0</v>
      </c>
      <c r="H31" s="145"/>
      <c r="I31" s="145"/>
      <c r="J31" s="145"/>
      <c r="K31" s="145"/>
      <c r="L31" s="145"/>
      <c r="M31" s="139"/>
      <c r="N31" s="139"/>
      <c r="O31" s="139"/>
      <c r="P31" s="139"/>
      <c r="Q31" s="139"/>
      <c r="R31" s="140"/>
      <c r="S31" s="53"/>
      <c r="T31" s="140"/>
      <c r="U31" s="140"/>
      <c r="V31" s="140"/>
      <c r="W31" s="140"/>
      <c r="X31" s="140"/>
      <c r="Y31" s="140"/>
      <c r="Z31" s="140"/>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7"/>
      <c r="BK31" s="227"/>
    </row>
    <row r="32" spans="1:63" ht="12.75" hidden="1" customHeight="1" outlineLevel="1">
      <c r="A32" s="9"/>
      <c r="B32" s="44"/>
      <c r="C32" s="278" t="str">
        <f>Asset21</f>
        <v>Other - short life (9)</v>
      </c>
      <c r="D32" s="9"/>
      <c r="E32" s="9"/>
      <c r="F32" s="142"/>
      <c r="G32" s="207">
        <f>Input!M27</f>
        <v>0</v>
      </c>
      <c r="H32" s="145"/>
      <c r="I32" s="145"/>
      <c r="J32" s="145"/>
      <c r="K32" s="145"/>
      <c r="L32" s="145"/>
      <c r="M32" s="139"/>
      <c r="N32" s="139"/>
      <c r="O32" s="139"/>
      <c r="P32" s="139"/>
      <c r="Q32" s="139"/>
      <c r="R32" s="140"/>
      <c r="S32" s="53"/>
      <c r="T32" s="140"/>
      <c r="U32" s="140"/>
      <c r="V32" s="140"/>
      <c r="W32" s="140"/>
      <c r="X32" s="140"/>
      <c r="Y32" s="140"/>
      <c r="Z32" s="140"/>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7"/>
      <c r="BK32" s="227"/>
    </row>
    <row r="33" spans="1:63" ht="12.75" hidden="1" customHeight="1" outlineLevel="1">
      <c r="A33" s="9"/>
      <c r="B33" s="44"/>
      <c r="C33" s="278" t="str">
        <f>Asset22</f>
        <v>Other - short life (4)</v>
      </c>
      <c r="D33" s="9"/>
      <c r="E33" s="9"/>
      <c r="F33" s="142"/>
      <c r="G33" s="207">
        <f>Input!M28</f>
        <v>0</v>
      </c>
      <c r="H33" s="145"/>
      <c r="I33" s="145"/>
      <c r="J33" s="145"/>
      <c r="K33" s="145"/>
      <c r="L33" s="145"/>
      <c r="M33" s="139"/>
      <c r="N33" s="139"/>
      <c r="O33" s="139"/>
      <c r="P33" s="139"/>
      <c r="Q33" s="139"/>
      <c r="R33" s="140"/>
      <c r="S33" s="53"/>
      <c r="T33" s="140"/>
      <c r="U33" s="140"/>
      <c r="V33" s="140"/>
      <c r="W33" s="140"/>
      <c r="X33" s="140"/>
      <c r="Y33" s="140"/>
      <c r="Z33" s="140"/>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7"/>
      <c r="BK33" s="227"/>
    </row>
    <row r="34" spans="1:63" ht="12.75" hidden="1" customHeight="1" outlineLevel="1">
      <c r="A34" s="9"/>
      <c r="B34" s="44"/>
      <c r="C34" s="278" t="str">
        <f>Asset23</f>
        <v>Land and Easements</v>
      </c>
      <c r="D34" s="9"/>
      <c r="E34" s="9"/>
      <c r="F34" s="142"/>
      <c r="G34" s="207">
        <f>Input!M29</f>
        <v>0</v>
      </c>
      <c r="H34" s="145"/>
      <c r="I34" s="145"/>
      <c r="J34" s="145"/>
      <c r="K34" s="145"/>
      <c r="L34" s="145"/>
      <c r="M34" s="139"/>
      <c r="N34" s="139"/>
      <c r="O34" s="139"/>
      <c r="P34" s="139"/>
      <c r="Q34" s="139"/>
      <c r="R34" s="140"/>
      <c r="S34" s="53"/>
      <c r="T34" s="140"/>
      <c r="U34" s="140"/>
      <c r="V34" s="140"/>
      <c r="W34" s="140"/>
      <c r="X34" s="140"/>
      <c r="Y34" s="140"/>
      <c r="Z34" s="140"/>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7"/>
      <c r="BK34" s="227"/>
    </row>
    <row r="35" spans="1:63" ht="12.75" hidden="1" customHeight="1" outlineLevel="1">
      <c r="A35" s="9"/>
      <c r="B35" s="44"/>
      <c r="C35" s="278" t="str">
        <f>Asset24</f>
        <v>Equity Raising</v>
      </c>
      <c r="D35" s="9"/>
      <c r="E35" s="9"/>
      <c r="F35" s="142"/>
      <c r="G35" s="207">
        <f>Input!M30</f>
        <v>0</v>
      </c>
      <c r="H35" s="145"/>
      <c r="I35" s="145"/>
      <c r="J35" s="145"/>
      <c r="K35" s="145"/>
      <c r="L35" s="145"/>
      <c r="M35" s="139"/>
      <c r="N35" s="139"/>
      <c r="O35" s="139"/>
      <c r="P35" s="139"/>
      <c r="Q35" s="139"/>
      <c r="R35" s="140"/>
      <c r="S35" s="53"/>
      <c r="T35" s="140"/>
      <c r="U35" s="140"/>
      <c r="V35" s="140"/>
      <c r="W35" s="140"/>
      <c r="X35" s="140"/>
      <c r="Y35" s="140"/>
      <c r="Z35" s="140"/>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7"/>
      <c r="BK35" s="227"/>
    </row>
    <row r="36" spans="1:63" ht="12.75" hidden="1" customHeight="1" outlineLevel="1">
      <c r="A36" s="9"/>
      <c r="B36" s="44"/>
      <c r="C36" s="278">
        <f>Asset25</f>
        <v>0</v>
      </c>
      <c r="D36" s="9"/>
      <c r="E36" s="9"/>
      <c r="F36" s="142"/>
      <c r="G36" s="207">
        <f>Input!M31</f>
        <v>0</v>
      </c>
      <c r="H36" s="145"/>
      <c r="I36" s="145"/>
      <c r="J36" s="145"/>
      <c r="K36" s="145"/>
      <c r="L36" s="145"/>
      <c r="M36" s="139"/>
      <c r="N36" s="139"/>
      <c r="O36" s="139"/>
      <c r="P36" s="139"/>
      <c r="Q36" s="139"/>
      <c r="R36" s="140"/>
      <c r="S36" s="53"/>
      <c r="T36" s="140"/>
      <c r="U36" s="140"/>
      <c r="V36" s="140"/>
      <c r="W36" s="140"/>
      <c r="X36" s="140"/>
      <c r="Y36" s="140"/>
      <c r="Z36" s="140"/>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7"/>
      <c r="BK36" s="227"/>
    </row>
    <row r="37" spans="1:63" ht="12.75" hidden="1" customHeight="1" outlineLevel="1">
      <c r="A37" s="9"/>
      <c r="B37" s="44"/>
      <c r="C37" s="278">
        <f>Asset26</f>
        <v>0</v>
      </c>
      <c r="D37" s="9"/>
      <c r="E37" s="9"/>
      <c r="F37" s="142"/>
      <c r="G37" s="207">
        <f>Input!M32</f>
        <v>0</v>
      </c>
      <c r="H37" s="145"/>
      <c r="I37" s="145"/>
      <c r="J37" s="145"/>
      <c r="K37" s="145"/>
      <c r="L37" s="145"/>
      <c r="M37" s="139"/>
      <c r="N37" s="139"/>
      <c r="O37" s="139"/>
      <c r="P37" s="139"/>
      <c r="Q37" s="139"/>
      <c r="R37" s="140"/>
      <c r="S37" s="53"/>
      <c r="T37" s="140"/>
      <c r="U37" s="140"/>
      <c r="V37" s="140"/>
      <c r="W37" s="140"/>
      <c r="X37" s="140"/>
      <c r="Y37" s="140"/>
      <c r="Z37" s="140"/>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7"/>
      <c r="BK37" s="227"/>
    </row>
    <row r="38" spans="1:63" ht="12.75" hidden="1" customHeight="1" outlineLevel="1">
      <c r="A38" s="9"/>
      <c r="B38" s="44"/>
      <c r="C38" s="278">
        <f>Asset27</f>
        <v>0</v>
      </c>
      <c r="D38" s="9"/>
      <c r="E38" s="9"/>
      <c r="F38" s="142"/>
      <c r="G38" s="207">
        <f>Input!M33</f>
        <v>0</v>
      </c>
      <c r="H38" s="145"/>
      <c r="I38" s="145"/>
      <c r="J38" s="145"/>
      <c r="K38" s="145"/>
      <c r="L38" s="145"/>
      <c r="M38" s="139"/>
      <c r="N38" s="139"/>
      <c r="O38" s="139"/>
      <c r="P38" s="139"/>
      <c r="Q38" s="139"/>
      <c r="R38" s="140"/>
      <c r="S38" s="53"/>
      <c r="T38" s="140"/>
      <c r="U38" s="140"/>
      <c r="V38" s="140"/>
      <c r="W38" s="140"/>
      <c r="X38" s="140"/>
      <c r="Y38" s="140"/>
      <c r="Z38" s="140"/>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7"/>
      <c r="BK38" s="227"/>
    </row>
    <row r="39" spans="1:63" ht="12.75" hidden="1" customHeight="1" outlineLevel="1">
      <c r="A39" s="9"/>
      <c r="B39" s="44"/>
      <c r="C39" s="278">
        <f>Asset28</f>
        <v>0</v>
      </c>
      <c r="D39" s="9"/>
      <c r="E39" s="9"/>
      <c r="F39" s="142"/>
      <c r="G39" s="207">
        <f>Input!M34</f>
        <v>0</v>
      </c>
      <c r="H39" s="145"/>
      <c r="I39" s="145"/>
      <c r="J39" s="145"/>
      <c r="K39" s="145"/>
      <c r="L39" s="145"/>
      <c r="M39" s="139"/>
      <c r="N39" s="139"/>
      <c r="O39" s="139"/>
      <c r="P39" s="139"/>
      <c r="Q39" s="139"/>
      <c r="R39" s="140"/>
      <c r="S39" s="53"/>
      <c r="T39" s="140"/>
      <c r="U39" s="140"/>
      <c r="V39" s="140"/>
      <c r="W39" s="140"/>
      <c r="X39" s="140"/>
      <c r="Y39" s="140"/>
      <c r="Z39" s="140"/>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7"/>
      <c r="BK39" s="227"/>
    </row>
    <row r="40" spans="1:63" ht="12.75" hidden="1" customHeight="1" outlineLevel="1">
      <c r="A40" s="9"/>
      <c r="B40" s="44"/>
      <c r="C40" s="278">
        <f>Asset29</f>
        <v>0</v>
      </c>
      <c r="D40" s="9"/>
      <c r="E40" s="9"/>
      <c r="F40" s="142"/>
      <c r="G40" s="207">
        <f>Input!M35</f>
        <v>0</v>
      </c>
      <c r="H40" s="145"/>
      <c r="I40" s="145"/>
      <c r="J40" s="145"/>
      <c r="K40" s="145"/>
      <c r="L40" s="145"/>
      <c r="M40" s="139"/>
      <c r="N40" s="139"/>
      <c r="O40" s="139"/>
      <c r="P40" s="139"/>
      <c r="Q40" s="139"/>
      <c r="R40" s="140"/>
      <c r="S40" s="53"/>
      <c r="T40" s="140"/>
      <c r="U40" s="140"/>
      <c r="V40" s="140"/>
      <c r="W40" s="140"/>
      <c r="X40" s="140"/>
      <c r="Y40" s="140"/>
      <c r="Z40" s="140"/>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7"/>
      <c r="BK40" s="227"/>
    </row>
    <row r="41" spans="1:63" ht="12.75" hidden="1" customHeight="1" outlineLevel="1">
      <c r="A41" s="9"/>
      <c r="B41" s="44"/>
      <c r="C41" s="278">
        <f>Asset30</f>
        <v>0</v>
      </c>
      <c r="D41" s="9"/>
      <c r="E41" s="9"/>
      <c r="F41" s="142"/>
      <c r="G41" s="207">
        <f>Input!M36</f>
        <v>0</v>
      </c>
      <c r="H41" s="145"/>
      <c r="I41" s="145"/>
      <c r="J41" s="145"/>
      <c r="K41" s="145"/>
      <c r="L41" s="145"/>
      <c r="M41" s="139"/>
      <c r="N41" s="139"/>
      <c r="O41" s="139"/>
      <c r="P41" s="139"/>
      <c r="Q41" s="139"/>
      <c r="R41" s="140"/>
      <c r="S41" s="53"/>
      <c r="T41" s="140"/>
      <c r="U41" s="140"/>
      <c r="V41" s="140"/>
      <c r="W41" s="140"/>
      <c r="X41" s="140"/>
      <c r="Y41" s="140"/>
      <c r="Z41" s="140"/>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7"/>
      <c r="BK41" s="227"/>
    </row>
    <row r="42" spans="1:63" collapsed="1">
      <c r="A42" s="9"/>
      <c r="B42" s="44"/>
      <c r="C42" s="130"/>
      <c r="D42" s="9"/>
      <c r="E42" s="9"/>
      <c r="F42" s="142"/>
      <c r="G42" s="207"/>
      <c r="H42" s="145"/>
      <c r="I42" s="145"/>
      <c r="J42" s="145"/>
      <c r="K42" s="145"/>
      <c r="L42" s="145"/>
      <c r="M42" s="139"/>
      <c r="N42" s="139"/>
      <c r="O42" s="139"/>
      <c r="P42" s="139"/>
      <c r="Q42" s="139"/>
      <c r="R42" s="140"/>
      <c r="S42" s="12"/>
      <c r="T42" s="140"/>
      <c r="U42" s="140"/>
      <c r="V42" s="140"/>
      <c r="W42" s="140"/>
      <c r="X42" s="140"/>
      <c r="Y42" s="140"/>
      <c r="Z42" s="140"/>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7"/>
      <c r="BK42" s="227"/>
    </row>
    <row r="43" spans="1:63">
      <c r="A43" s="9"/>
      <c r="B43" s="44" t="s">
        <v>31</v>
      </c>
      <c r="C43" s="9"/>
      <c r="D43" s="9"/>
      <c r="E43" s="9"/>
      <c r="F43" s="9"/>
      <c r="G43" s="317">
        <f>SUM(G44:G73)</f>
        <v>69.501060237251451</v>
      </c>
      <c r="H43" s="141"/>
      <c r="I43" s="141"/>
      <c r="J43" s="141"/>
      <c r="K43" s="141"/>
      <c r="L43" s="141"/>
      <c r="M43" s="141"/>
      <c r="N43" s="139"/>
      <c r="O43" s="139"/>
      <c r="P43" s="139"/>
      <c r="Q43" s="139"/>
      <c r="R43" s="140"/>
      <c r="S43" s="140"/>
      <c r="T43" s="140"/>
      <c r="U43" s="140"/>
      <c r="V43" s="140"/>
      <c r="W43" s="140"/>
      <c r="X43" s="140"/>
      <c r="Y43" s="140"/>
      <c r="Z43" s="140"/>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7"/>
      <c r="BK43" s="227"/>
    </row>
    <row r="44" spans="1:63" hidden="1" outlineLevel="1">
      <c r="A44" s="9"/>
      <c r="B44" s="9"/>
      <c r="C44" s="278" t="str">
        <f>Asset1</f>
        <v>Transmission Lines and Cables</v>
      </c>
      <c r="D44" s="9"/>
      <c r="E44" s="9"/>
      <c r="F44" s="9"/>
      <c r="G44" s="207">
        <f>Input!G109*(1+previous_vanilla)^0.5</f>
        <v>5.4751387306645425</v>
      </c>
      <c r="H44" s="114"/>
      <c r="I44" s="114"/>
      <c r="J44" s="114"/>
      <c r="K44" s="114"/>
      <c r="L44" s="114"/>
      <c r="M44" s="114"/>
      <c r="N44" s="9"/>
      <c r="O44" s="9"/>
      <c r="P44" s="9"/>
      <c r="Q44" s="9"/>
      <c r="R44" s="9"/>
      <c r="S44" s="9"/>
      <c r="T44" s="9"/>
      <c r="U44" s="9"/>
      <c r="V44" s="9"/>
      <c r="W44" s="9"/>
      <c r="X44" s="9"/>
      <c r="Y44" s="9"/>
      <c r="Z44" s="9"/>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row>
    <row r="45" spans="1:63" hidden="1" outlineLevel="1">
      <c r="A45" s="9"/>
      <c r="B45" s="44"/>
      <c r="C45" s="278" t="str">
        <f>Asset2</f>
        <v>Transmission Substations</v>
      </c>
      <c r="D45" s="9"/>
      <c r="E45" s="9"/>
      <c r="F45" s="142"/>
      <c r="G45" s="207">
        <f>Input!G110*(1+previous_vanilla)^0.5</f>
        <v>39.223877161252013</v>
      </c>
      <c r="H45" s="114"/>
      <c r="I45" s="114"/>
      <c r="J45" s="114"/>
      <c r="K45" s="114"/>
      <c r="L45" s="114"/>
      <c r="M45" s="114"/>
      <c r="N45" s="29"/>
      <c r="O45" s="29"/>
      <c r="P45" s="29"/>
      <c r="Q45" s="29"/>
      <c r="R45" s="104"/>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7"/>
      <c r="BK45" s="227"/>
    </row>
    <row r="46" spans="1:63" hidden="1" outlineLevel="1">
      <c r="A46" s="9"/>
      <c r="B46" s="44"/>
      <c r="C46" s="278" t="str">
        <f>Asset3</f>
        <v>Protection and Control</v>
      </c>
      <c r="D46" s="9"/>
      <c r="E46" s="9"/>
      <c r="F46" s="142"/>
      <c r="G46" s="207">
        <f>Input!G111*(1+previous_vanilla)^0.5</f>
        <v>6.8219978005648594</v>
      </c>
      <c r="H46" s="114"/>
      <c r="I46" s="114"/>
      <c r="J46" s="114"/>
      <c r="K46" s="114"/>
      <c r="L46" s="114"/>
      <c r="M46" s="114"/>
      <c r="N46" s="29"/>
      <c r="O46" s="29"/>
      <c r="P46" s="29"/>
      <c r="Q46" s="29"/>
      <c r="R46" s="104"/>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7"/>
      <c r="BK46" s="227"/>
    </row>
    <row r="47" spans="1:63" hidden="1" outlineLevel="1">
      <c r="A47" s="9"/>
      <c r="B47" s="44"/>
      <c r="C47" s="278" t="str">
        <f>Asset4</f>
        <v>Refurbishment</v>
      </c>
      <c r="D47" s="9"/>
      <c r="E47" s="9"/>
      <c r="F47" s="142"/>
      <c r="G47" s="207">
        <f>Input!G112*(1+previous_vanilla)^0.5</f>
        <v>0</v>
      </c>
      <c r="H47" s="114"/>
      <c r="I47" s="114"/>
      <c r="J47" s="114"/>
      <c r="K47" s="114"/>
      <c r="L47" s="114"/>
      <c r="M47" s="114"/>
      <c r="N47" s="29"/>
      <c r="O47" s="29"/>
      <c r="P47" s="29"/>
      <c r="Q47" s="29"/>
      <c r="R47" s="104"/>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7"/>
      <c r="BK47" s="227"/>
    </row>
    <row r="48" spans="1:63" hidden="1" outlineLevel="1">
      <c r="A48" s="9"/>
      <c r="B48" s="44"/>
      <c r="C48" s="278" t="str">
        <f>Asset5</f>
        <v>Other</v>
      </c>
      <c r="D48" s="9"/>
      <c r="E48" s="9"/>
      <c r="F48" s="142"/>
      <c r="G48" s="207">
        <f>Input!G113*(1+previous_vanilla)^0.5</f>
        <v>-5.2203839918616895E-3</v>
      </c>
      <c r="H48" s="114"/>
      <c r="I48" s="114"/>
      <c r="J48" s="114"/>
      <c r="K48" s="114"/>
      <c r="L48" s="114"/>
      <c r="M48" s="114"/>
      <c r="N48" s="29"/>
      <c r="O48" s="29"/>
      <c r="P48" s="29"/>
      <c r="Q48" s="29"/>
      <c r="R48" s="104"/>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7"/>
      <c r="BK48" s="227"/>
    </row>
    <row r="49" spans="1:63" hidden="1" outlineLevel="1">
      <c r="A49" s="9"/>
      <c r="B49" s="44"/>
      <c r="C49" s="278" t="str">
        <f>Asset6</f>
        <v>Other - IT</v>
      </c>
      <c r="D49" s="9"/>
      <c r="E49" s="9"/>
      <c r="F49" s="142"/>
      <c r="G49" s="207">
        <f>Input!G114*(1+previous_vanilla)^0.5</f>
        <v>10.110839715437727</v>
      </c>
      <c r="H49" s="114"/>
      <c r="I49" s="114"/>
      <c r="J49" s="114"/>
      <c r="K49" s="114"/>
      <c r="L49" s="114"/>
      <c r="M49" s="114"/>
      <c r="N49" s="29"/>
      <c r="O49" s="29"/>
      <c r="P49" s="29"/>
      <c r="Q49" s="29"/>
      <c r="R49" s="104"/>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7"/>
      <c r="BK49" s="227"/>
    </row>
    <row r="50" spans="1:63" hidden="1" outlineLevel="1">
      <c r="A50" s="9"/>
      <c r="B50" s="44"/>
      <c r="C50" s="278" t="str">
        <f>Asset7</f>
        <v>Other - General</v>
      </c>
      <c r="D50" s="9"/>
      <c r="E50" s="9"/>
      <c r="F50" s="142"/>
      <c r="G50" s="207">
        <f>Input!G115*(1+previous_vanilla)^0.5</f>
        <v>1.2664651564256464</v>
      </c>
      <c r="H50" s="114"/>
      <c r="I50" s="114"/>
      <c r="J50" s="114"/>
      <c r="K50" s="114"/>
      <c r="L50" s="114"/>
      <c r="M50" s="114"/>
      <c r="N50" s="29"/>
      <c r="O50" s="29"/>
      <c r="P50" s="29"/>
      <c r="Q50" s="29"/>
      <c r="R50" s="104"/>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7"/>
      <c r="BK50" s="227"/>
    </row>
    <row r="51" spans="1:63" hidden="1" outlineLevel="1">
      <c r="A51" s="9"/>
      <c r="B51" s="44"/>
      <c r="C51" s="278" t="str">
        <f>Asset8</f>
        <v>Other - Buildings</v>
      </c>
      <c r="D51" s="9"/>
      <c r="E51" s="9"/>
      <c r="F51" s="142"/>
      <c r="G51" s="207">
        <f>Input!G116*(1+previous_vanilla)^0.5</f>
        <v>6.0546013537611909</v>
      </c>
      <c r="H51" s="114"/>
      <c r="I51" s="114"/>
      <c r="J51" s="114"/>
      <c r="K51" s="114"/>
      <c r="L51" s="114"/>
      <c r="M51" s="114"/>
      <c r="N51" s="29"/>
      <c r="O51" s="29"/>
      <c r="P51" s="29"/>
      <c r="Q51" s="29"/>
      <c r="R51" s="104"/>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7"/>
      <c r="BK51" s="227"/>
    </row>
    <row r="52" spans="1:63" hidden="1" outlineLevel="1">
      <c r="A52" s="9"/>
      <c r="B52" s="44"/>
      <c r="C52" s="278" t="str">
        <f>Asset9</f>
        <v>Land and Easements</v>
      </c>
      <c r="D52" s="9"/>
      <c r="E52" s="9"/>
      <c r="F52" s="142"/>
      <c r="G52" s="207">
        <f>Input!G117*(1+previous_vanilla)^0.5</f>
        <v>0.55336070313733943</v>
      </c>
      <c r="H52" s="114"/>
      <c r="I52" s="114"/>
      <c r="J52" s="114"/>
      <c r="K52" s="114"/>
      <c r="L52" s="114"/>
      <c r="M52" s="114"/>
      <c r="N52" s="29"/>
      <c r="O52" s="29"/>
      <c r="P52" s="29"/>
      <c r="Q52" s="29"/>
      <c r="R52" s="104"/>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7"/>
      <c r="BK52" s="227"/>
    </row>
    <row r="53" spans="1:63" hidden="1" outlineLevel="1">
      <c r="A53" s="9"/>
      <c r="B53" s="44"/>
      <c r="C53" s="278" t="str">
        <f>Asset10</f>
        <v>Transmission line assets - long life (60)</v>
      </c>
      <c r="D53" s="9"/>
      <c r="E53" s="9"/>
      <c r="F53" s="142"/>
      <c r="G53" s="207">
        <f>Input!G118*(1+previous_vanilla)^0.5</f>
        <v>0</v>
      </c>
      <c r="H53" s="114"/>
      <c r="I53" s="114"/>
      <c r="J53" s="114"/>
      <c r="K53" s="114"/>
      <c r="L53" s="114"/>
      <c r="M53" s="114"/>
      <c r="N53" s="29"/>
      <c r="O53" s="29"/>
      <c r="P53" s="29"/>
      <c r="Q53" s="29"/>
      <c r="R53" s="104"/>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7"/>
      <c r="BK53" s="227"/>
    </row>
    <row r="54" spans="1:63" hidden="1" outlineLevel="1">
      <c r="A54" s="9"/>
      <c r="B54" s="44"/>
      <c r="C54" s="278" t="str">
        <f>Asset11</f>
        <v>Transmission line assets - medium life (45)</v>
      </c>
      <c r="D54" s="9"/>
      <c r="E54" s="9"/>
      <c r="F54" s="142"/>
      <c r="G54" s="207">
        <f>Input!G119*(1+previous_vanilla)^0.5</f>
        <v>0</v>
      </c>
      <c r="H54" s="114"/>
      <c r="I54" s="114"/>
      <c r="J54" s="114"/>
      <c r="K54" s="114"/>
      <c r="L54" s="114"/>
      <c r="M54" s="114"/>
      <c r="N54" s="29"/>
      <c r="O54" s="29"/>
      <c r="P54" s="29"/>
      <c r="Q54" s="29"/>
      <c r="R54" s="104"/>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7"/>
      <c r="BK54" s="227"/>
    </row>
    <row r="55" spans="1:63" hidden="1" outlineLevel="1">
      <c r="A55" s="9"/>
      <c r="B55" s="44"/>
      <c r="C55" s="278" t="str">
        <f>Asset12</f>
        <v>Transmission line assets - short life (10)</v>
      </c>
      <c r="D55" s="9"/>
      <c r="E55" s="9"/>
      <c r="F55" s="142"/>
      <c r="G55" s="207">
        <f>Input!G120*(1+previous_vanilla)^0.5</f>
        <v>0</v>
      </c>
      <c r="H55" s="114"/>
      <c r="I55" s="114"/>
      <c r="J55" s="114"/>
      <c r="K55" s="114"/>
      <c r="L55" s="114"/>
      <c r="M55" s="114"/>
      <c r="N55" s="29"/>
      <c r="O55" s="29"/>
      <c r="P55" s="29"/>
      <c r="Q55" s="29"/>
      <c r="R55" s="104"/>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7"/>
      <c r="BK55" s="227"/>
    </row>
    <row r="56" spans="1:63" hidden="1" outlineLevel="1">
      <c r="A56" s="9"/>
      <c r="B56" s="44"/>
      <c r="C56" s="278" t="str">
        <f>Asset13</f>
        <v>Substation assets - long life (60)</v>
      </c>
      <c r="D56" s="9"/>
      <c r="E56" s="9"/>
      <c r="F56" s="142"/>
      <c r="G56" s="207">
        <f>Input!G121*(1+previous_vanilla)^0.5</f>
        <v>0</v>
      </c>
      <c r="H56" s="114"/>
      <c r="I56" s="114"/>
      <c r="J56" s="114"/>
      <c r="K56" s="114"/>
      <c r="L56" s="114"/>
      <c r="M56" s="114"/>
      <c r="N56" s="29"/>
      <c r="O56" s="29"/>
      <c r="P56" s="29"/>
      <c r="Q56" s="29"/>
      <c r="R56" s="104"/>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7"/>
      <c r="BK56" s="227"/>
    </row>
    <row r="57" spans="1:63" hidden="1" outlineLevel="1">
      <c r="A57" s="9"/>
      <c r="B57" s="44"/>
      <c r="C57" s="278" t="str">
        <f>Asset14</f>
        <v>Substation assets - medium life (45)</v>
      </c>
      <c r="D57" s="9"/>
      <c r="E57" s="9"/>
      <c r="F57" s="142"/>
      <c r="G57" s="207">
        <f>Input!G122*(1+previous_vanilla)^0.5</f>
        <v>0</v>
      </c>
      <c r="H57" s="114"/>
      <c r="I57" s="114"/>
      <c r="J57" s="114"/>
      <c r="K57" s="114"/>
      <c r="L57" s="114"/>
      <c r="M57" s="114"/>
      <c r="N57" s="29"/>
      <c r="O57" s="29"/>
      <c r="P57" s="29"/>
      <c r="Q57" s="29"/>
      <c r="R57" s="104"/>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7"/>
      <c r="BK57" s="227"/>
    </row>
    <row r="58" spans="1:63" hidden="1" outlineLevel="1">
      <c r="A58" s="9"/>
      <c r="B58" s="44"/>
      <c r="C58" s="278" t="str">
        <f>Asset15</f>
        <v>Substation assets - short life (15)</v>
      </c>
      <c r="D58" s="9"/>
      <c r="E58" s="9"/>
      <c r="F58" s="142"/>
      <c r="G58" s="207">
        <f>Input!G123*(1+previous_vanilla)^0.5</f>
        <v>0</v>
      </c>
      <c r="H58" s="114"/>
      <c r="I58" s="114"/>
      <c r="J58" s="114"/>
      <c r="K58" s="114"/>
      <c r="L58" s="114"/>
      <c r="M58" s="114"/>
      <c r="N58" s="29"/>
      <c r="O58" s="29"/>
      <c r="P58" s="29"/>
      <c r="Q58" s="29"/>
      <c r="R58" s="104"/>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7"/>
      <c r="BK58" s="227"/>
    </row>
    <row r="59" spans="1:63" hidden="1" outlineLevel="1">
      <c r="A59" s="9"/>
      <c r="B59" s="44"/>
      <c r="C59" s="278" t="str">
        <f>Asset16</f>
        <v>Protection and control - short life (15)</v>
      </c>
      <c r="D59" s="9"/>
      <c r="E59" s="9"/>
      <c r="F59" s="142"/>
      <c r="G59" s="207">
        <f>Input!G124*(1+previous_vanilla)^0.5</f>
        <v>0</v>
      </c>
      <c r="H59" s="114"/>
      <c r="I59" s="114"/>
      <c r="J59" s="114"/>
      <c r="K59" s="114"/>
      <c r="L59" s="114"/>
      <c r="M59" s="114"/>
      <c r="N59" s="29"/>
      <c r="O59" s="29"/>
      <c r="P59" s="29"/>
      <c r="Q59" s="29"/>
      <c r="R59" s="104"/>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7"/>
      <c r="BK59" s="227"/>
    </row>
    <row r="60" spans="1:63" hidden="1" outlineLevel="1">
      <c r="A60" s="9"/>
      <c r="B60" s="44"/>
      <c r="C60" s="278" t="str">
        <f>Asset17</f>
        <v>Protection and control - short life (4)</v>
      </c>
      <c r="D60" s="9"/>
      <c r="E60" s="9"/>
      <c r="F60" s="142"/>
      <c r="G60" s="207">
        <f>Input!G125*(1+previous_vanilla)^0.5</f>
        <v>0</v>
      </c>
      <c r="H60" s="114"/>
      <c r="I60" s="114"/>
      <c r="J60" s="114"/>
      <c r="K60" s="114"/>
      <c r="L60" s="114"/>
      <c r="M60" s="114"/>
      <c r="N60" s="29"/>
      <c r="O60" s="29"/>
      <c r="P60" s="29"/>
      <c r="Q60" s="29"/>
      <c r="R60" s="104"/>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7"/>
      <c r="BK60" s="227"/>
    </row>
    <row r="61" spans="1:63" hidden="1" outlineLevel="1">
      <c r="A61" s="9"/>
      <c r="B61" s="44"/>
      <c r="C61" s="278" t="str">
        <f>Asset18</f>
        <v>Transmission operations - short life (10)</v>
      </c>
      <c r="D61" s="9"/>
      <c r="E61" s="9"/>
      <c r="F61" s="142"/>
      <c r="G61" s="207">
        <f>Input!G126*(1+previous_vanilla)^0.5</f>
        <v>0</v>
      </c>
      <c r="H61" s="114"/>
      <c r="I61" s="114"/>
      <c r="J61" s="114"/>
      <c r="K61" s="114"/>
      <c r="L61" s="114"/>
      <c r="M61" s="114"/>
      <c r="N61" s="29"/>
      <c r="O61" s="29"/>
      <c r="P61" s="29"/>
      <c r="Q61" s="29"/>
      <c r="R61" s="104"/>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7"/>
      <c r="BK61" s="227"/>
    </row>
    <row r="62" spans="1:63" hidden="1" outlineLevel="1">
      <c r="A62" s="9"/>
      <c r="B62" s="44"/>
      <c r="C62" s="278" t="str">
        <f>Asset19</f>
        <v>Transmission operations - short life (4)</v>
      </c>
      <c r="D62" s="9"/>
      <c r="E62" s="9"/>
      <c r="F62" s="142"/>
      <c r="G62" s="207">
        <f>Input!G127*(1+previous_vanilla)^0.5</f>
        <v>0</v>
      </c>
      <c r="H62" s="114"/>
      <c r="I62" s="114"/>
      <c r="J62" s="114"/>
      <c r="K62" s="114"/>
      <c r="L62" s="114"/>
      <c r="M62" s="114"/>
      <c r="N62" s="29"/>
      <c r="O62" s="29"/>
      <c r="P62" s="29"/>
      <c r="Q62" s="29"/>
      <c r="R62" s="104"/>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7"/>
      <c r="BK62" s="227"/>
    </row>
    <row r="63" spans="1:63" hidden="1" outlineLevel="1">
      <c r="A63" s="9"/>
      <c r="B63" s="44"/>
      <c r="C63" s="278" t="str">
        <f>Asset20</f>
        <v>Other - medium life (40)</v>
      </c>
      <c r="D63" s="9"/>
      <c r="E63" s="9"/>
      <c r="F63" s="142"/>
      <c r="G63" s="207">
        <f>Input!G128*(1+previous_vanilla)^0.5</f>
        <v>0</v>
      </c>
      <c r="H63" s="114"/>
      <c r="I63" s="114"/>
      <c r="J63" s="114"/>
      <c r="K63" s="114"/>
      <c r="L63" s="114"/>
      <c r="M63" s="114"/>
      <c r="N63" s="29"/>
      <c r="O63" s="29"/>
      <c r="P63" s="29"/>
      <c r="Q63" s="29"/>
      <c r="R63" s="104"/>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7"/>
      <c r="BK63" s="227"/>
    </row>
    <row r="64" spans="1:63" hidden="1" outlineLevel="1">
      <c r="A64" s="9"/>
      <c r="B64" s="44"/>
      <c r="C64" s="278" t="str">
        <f>Asset21</f>
        <v>Other - short life (9)</v>
      </c>
      <c r="D64" s="9"/>
      <c r="E64" s="9"/>
      <c r="F64" s="142"/>
      <c r="G64" s="207">
        <f>Input!G129*(1+previous_vanilla)^0.5</f>
        <v>0</v>
      </c>
      <c r="H64" s="114"/>
      <c r="I64" s="114"/>
      <c r="J64" s="114"/>
      <c r="K64" s="114"/>
      <c r="L64" s="114"/>
      <c r="M64" s="114"/>
      <c r="N64" s="29"/>
      <c r="O64" s="29"/>
      <c r="P64" s="29"/>
      <c r="Q64" s="29"/>
      <c r="R64" s="104"/>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7"/>
      <c r="BK64" s="227"/>
    </row>
    <row r="65" spans="1:63" hidden="1" outlineLevel="1">
      <c r="A65" s="9"/>
      <c r="B65" s="44"/>
      <c r="C65" s="278" t="str">
        <f>Asset22</f>
        <v>Other - short life (4)</v>
      </c>
      <c r="D65" s="9"/>
      <c r="E65" s="9"/>
      <c r="F65" s="142"/>
      <c r="G65" s="207">
        <f>Input!G130*(1+previous_vanilla)^0.5</f>
        <v>0</v>
      </c>
      <c r="H65" s="114"/>
      <c r="I65" s="114"/>
      <c r="J65" s="114"/>
      <c r="K65" s="114"/>
      <c r="L65" s="114"/>
      <c r="M65" s="114"/>
      <c r="N65" s="29"/>
      <c r="O65" s="29"/>
      <c r="P65" s="29"/>
      <c r="Q65" s="29"/>
      <c r="R65" s="104"/>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7"/>
      <c r="BK65" s="227"/>
    </row>
    <row r="66" spans="1:63" hidden="1" outlineLevel="1">
      <c r="A66" s="9"/>
      <c r="B66" s="44"/>
      <c r="C66" s="278" t="str">
        <f>Asset23</f>
        <v>Land and Easements</v>
      </c>
      <c r="D66" s="9"/>
      <c r="E66" s="9"/>
      <c r="F66" s="142"/>
      <c r="G66" s="207">
        <f>Input!G131*(1+previous_vanilla)^0.5</f>
        <v>0</v>
      </c>
      <c r="H66" s="114"/>
      <c r="I66" s="114"/>
      <c r="J66" s="114"/>
      <c r="K66" s="114"/>
      <c r="L66" s="114"/>
      <c r="M66" s="114"/>
      <c r="N66" s="29"/>
      <c r="O66" s="29"/>
      <c r="P66" s="29"/>
      <c r="Q66" s="29"/>
      <c r="R66" s="104"/>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7"/>
      <c r="BK66" s="227"/>
    </row>
    <row r="67" spans="1:63" hidden="1" outlineLevel="1">
      <c r="A67" s="9"/>
      <c r="B67" s="44"/>
      <c r="C67" s="278" t="str">
        <f>Asset24</f>
        <v>Equity Raising</v>
      </c>
      <c r="D67" s="9"/>
      <c r="E67" s="9"/>
      <c r="F67" s="142"/>
      <c r="G67" s="207">
        <f>Input!G132*(1+previous_vanilla)^0.5</f>
        <v>0</v>
      </c>
      <c r="H67" s="114"/>
      <c r="I67" s="114"/>
      <c r="J67" s="114"/>
      <c r="K67" s="114"/>
      <c r="L67" s="114"/>
      <c r="M67" s="114"/>
      <c r="N67" s="29"/>
      <c r="O67" s="29"/>
      <c r="P67" s="29"/>
      <c r="Q67" s="29"/>
      <c r="R67" s="104"/>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7"/>
      <c r="BK67" s="227"/>
    </row>
    <row r="68" spans="1:63" hidden="1" outlineLevel="1">
      <c r="A68" s="9"/>
      <c r="B68" s="44"/>
      <c r="C68" s="278">
        <f>Asset25</f>
        <v>0</v>
      </c>
      <c r="D68" s="9"/>
      <c r="E68" s="9"/>
      <c r="F68" s="142"/>
      <c r="G68" s="207">
        <f>Input!G133*(1+previous_vanilla)^0.5</f>
        <v>0</v>
      </c>
      <c r="H68" s="114"/>
      <c r="I68" s="114"/>
      <c r="J68" s="114"/>
      <c r="K68" s="114"/>
      <c r="L68" s="114"/>
      <c r="M68" s="114"/>
      <c r="N68" s="29"/>
      <c r="O68" s="29"/>
      <c r="P68" s="29"/>
      <c r="Q68" s="29"/>
      <c r="R68" s="104"/>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7"/>
      <c r="BK68" s="227"/>
    </row>
    <row r="69" spans="1:63" hidden="1" outlineLevel="1">
      <c r="A69" s="9"/>
      <c r="B69" s="44"/>
      <c r="C69" s="278">
        <f>Asset26</f>
        <v>0</v>
      </c>
      <c r="D69" s="9"/>
      <c r="E69" s="9"/>
      <c r="F69" s="142"/>
      <c r="G69" s="207">
        <f>Input!G134*(1+previous_vanilla)^0.5</f>
        <v>0</v>
      </c>
      <c r="H69" s="114"/>
      <c r="I69" s="114"/>
      <c r="J69" s="114"/>
      <c r="K69" s="114"/>
      <c r="L69" s="114"/>
      <c r="M69" s="114"/>
      <c r="N69" s="29"/>
      <c r="O69" s="29"/>
      <c r="P69" s="29"/>
      <c r="Q69" s="29"/>
      <c r="R69" s="104"/>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7"/>
      <c r="BK69" s="227"/>
    </row>
    <row r="70" spans="1:63" hidden="1" outlineLevel="1">
      <c r="A70" s="9"/>
      <c r="B70" s="44"/>
      <c r="C70" s="278">
        <f>Asset27</f>
        <v>0</v>
      </c>
      <c r="D70" s="9"/>
      <c r="E70" s="9"/>
      <c r="F70" s="142"/>
      <c r="G70" s="207">
        <f>Input!G135*(1+previous_vanilla)^0.5</f>
        <v>0</v>
      </c>
      <c r="H70" s="114"/>
      <c r="I70" s="114"/>
      <c r="J70" s="114"/>
      <c r="K70" s="114"/>
      <c r="L70" s="114"/>
      <c r="M70" s="114"/>
      <c r="N70" s="29"/>
      <c r="O70" s="29"/>
      <c r="P70" s="29"/>
      <c r="Q70" s="29"/>
      <c r="R70" s="104"/>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7"/>
      <c r="BK70" s="227"/>
    </row>
    <row r="71" spans="1:63" hidden="1" outlineLevel="1">
      <c r="A71" s="9"/>
      <c r="B71" s="44"/>
      <c r="C71" s="278">
        <f>Asset28</f>
        <v>0</v>
      </c>
      <c r="D71" s="9"/>
      <c r="E71" s="9"/>
      <c r="F71" s="142"/>
      <c r="G71" s="207">
        <f>Input!G136*(1+previous_vanilla)^0.5</f>
        <v>0</v>
      </c>
      <c r="H71" s="114"/>
      <c r="I71" s="114"/>
      <c r="J71" s="114"/>
      <c r="K71" s="114"/>
      <c r="L71" s="114"/>
      <c r="M71" s="114"/>
      <c r="N71" s="29"/>
      <c r="O71" s="29"/>
      <c r="P71" s="29"/>
      <c r="Q71" s="29"/>
      <c r="R71" s="104"/>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7"/>
      <c r="BK71" s="227"/>
    </row>
    <row r="72" spans="1:63" hidden="1" outlineLevel="1">
      <c r="A72" s="9"/>
      <c r="B72" s="44"/>
      <c r="C72" s="278">
        <f>Asset29</f>
        <v>0</v>
      </c>
      <c r="D72" s="9"/>
      <c r="E72" s="9"/>
      <c r="F72" s="142"/>
      <c r="G72" s="207">
        <f>Input!G137*(1+previous_vanilla)^0.5</f>
        <v>0</v>
      </c>
      <c r="H72" s="114"/>
      <c r="I72" s="114"/>
      <c r="J72" s="114"/>
      <c r="K72" s="114"/>
      <c r="L72" s="114"/>
      <c r="M72" s="114"/>
      <c r="N72" s="29"/>
      <c r="O72" s="29"/>
      <c r="P72" s="29"/>
      <c r="Q72" s="29"/>
      <c r="R72" s="104"/>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7"/>
      <c r="BK72" s="227"/>
    </row>
    <row r="73" spans="1:63" hidden="1" outlineLevel="1">
      <c r="A73" s="9"/>
      <c r="B73" s="44"/>
      <c r="C73" s="278">
        <f>Asset30</f>
        <v>0</v>
      </c>
      <c r="D73" s="9"/>
      <c r="E73" s="9"/>
      <c r="F73" s="142"/>
      <c r="G73" s="207">
        <f>Input!G138*(1+previous_vanilla)^0.5</f>
        <v>0</v>
      </c>
      <c r="H73" s="114"/>
      <c r="I73" s="114"/>
      <c r="J73" s="114"/>
      <c r="K73" s="114"/>
      <c r="L73" s="114"/>
      <c r="M73" s="114"/>
      <c r="N73" s="29"/>
      <c r="O73" s="29"/>
      <c r="P73" s="29"/>
      <c r="Q73" s="29"/>
      <c r="R73" s="104"/>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7"/>
      <c r="BK73" s="227"/>
    </row>
    <row r="74" spans="1:63" collapsed="1">
      <c r="A74" s="9"/>
      <c r="B74" s="44"/>
      <c r="C74" s="116"/>
      <c r="D74" s="9"/>
      <c r="E74" s="9"/>
      <c r="F74" s="142"/>
      <c r="G74" s="208"/>
      <c r="H74" s="35"/>
      <c r="I74" s="35"/>
      <c r="J74" s="35"/>
      <c r="K74" s="35"/>
      <c r="L74" s="35"/>
      <c r="M74" s="35"/>
      <c r="N74" s="29"/>
      <c r="O74" s="29"/>
      <c r="P74" s="29"/>
      <c r="Q74" s="29"/>
      <c r="R74" s="104"/>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7"/>
      <c r="BK74" s="227"/>
    </row>
    <row r="75" spans="1:63">
      <c r="A75" s="9"/>
      <c r="B75" s="44" t="s">
        <v>39</v>
      </c>
      <c r="C75" s="9"/>
      <c r="D75" s="9"/>
      <c r="E75" s="9"/>
      <c r="F75" s="142"/>
      <c r="G75" s="208">
        <f>SUM(G76:G105)</f>
        <v>-12.423265146332945</v>
      </c>
      <c r="H75" s="35"/>
      <c r="I75" s="35"/>
      <c r="J75" s="35"/>
      <c r="K75" s="35"/>
      <c r="L75" s="35"/>
      <c r="M75" s="113"/>
      <c r="N75" s="29"/>
      <c r="O75" s="29"/>
      <c r="P75" s="29"/>
      <c r="Q75" s="29"/>
      <c r="R75" s="104"/>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7"/>
      <c r="BK75" s="227"/>
    </row>
    <row r="76" spans="1:63" hidden="1" outlineLevel="1">
      <c r="A76" s="9"/>
      <c r="B76" s="44"/>
      <c r="C76" s="278" t="str">
        <f>Asset1</f>
        <v>Transmission Lines and Cables</v>
      </c>
      <c r="D76" s="9"/>
      <c r="E76" s="9"/>
      <c r="F76" s="142"/>
      <c r="G76" s="207">
        <f t="shared" ref="G76:G94" si="0">G44*(1+$F$6)/(1+$G$6)-G12</f>
        <v>2.1655132429431734</v>
      </c>
      <c r="H76" s="118"/>
      <c r="I76" s="118"/>
      <c r="J76" s="118"/>
      <c r="K76" s="118"/>
      <c r="L76" s="118"/>
      <c r="M76" s="152"/>
      <c r="N76" s="153"/>
      <c r="O76" s="153"/>
      <c r="P76" s="153"/>
      <c r="Q76" s="153"/>
      <c r="R76" s="104"/>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7"/>
      <c r="BK76" s="227"/>
    </row>
    <row r="77" spans="1:63" hidden="1" outlineLevel="1">
      <c r="A77" s="9"/>
      <c r="B77" s="44"/>
      <c r="C77" s="278" t="str">
        <f>Asset2</f>
        <v>Transmission Substations</v>
      </c>
      <c r="D77" s="9"/>
      <c r="E77" s="9"/>
      <c r="F77" s="142"/>
      <c r="G77" s="207">
        <f t="shared" si="0"/>
        <v>-22.546581633919459</v>
      </c>
      <c r="H77" s="118"/>
      <c r="I77" s="118"/>
      <c r="J77" s="118"/>
      <c r="K77" s="118"/>
      <c r="L77" s="118"/>
      <c r="M77" s="152"/>
      <c r="N77" s="153"/>
      <c r="O77" s="153"/>
      <c r="P77" s="153"/>
      <c r="Q77" s="153"/>
      <c r="R77" s="104"/>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7"/>
      <c r="BK77" s="227"/>
    </row>
    <row r="78" spans="1:63" hidden="1" outlineLevel="1">
      <c r="A78" s="9"/>
      <c r="B78" s="44"/>
      <c r="C78" s="278" t="str">
        <f>Asset3</f>
        <v>Protection and Control</v>
      </c>
      <c r="D78" s="9"/>
      <c r="E78" s="9"/>
      <c r="F78" s="142"/>
      <c r="G78" s="207">
        <f t="shared" si="0"/>
        <v>-2.4716748656327692</v>
      </c>
      <c r="H78" s="118"/>
      <c r="I78" s="118"/>
      <c r="J78" s="118"/>
      <c r="K78" s="118"/>
      <c r="L78" s="118"/>
      <c r="M78" s="152"/>
      <c r="N78" s="153"/>
      <c r="O78" s="153"/>
      <c r="P78" s="153"/>
      <c r="Q78" s="153"/>
      <c r="R78" s="104"/>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7"/>
      <c r="BK78" s="227"/>
    </row>
    <row r="79" spans="1:63" hidden="1" outlineLevel="1">
      <c r="A79" s="9"/>
      <c r="B79" s="44"/>
      <c r="C79" s="278" t="str">
        <f>Asset4</f>
        <v>Refurbishment</v>
      </c>
      <c r="D79" s="9"/>
      <c r="E79" s="9"/>
      <c r="F79" s="142"/>
      <c r="G79" s="207">
        <f t="shared" si="0"/>
        <v>0</v>
      </c>
      <c r="H79" s="118"/>
      <c r="I79" s="118"/>
      <c r="J79" s="118"/>
      <c r="K79" s="118"/>
      <c r="L79" s="118"/>
      <c r="M79" s="152"/>
      <c r="N79" s="153"/>
      <c r="O79" s="153"/>
      <c r="P79" s="153"/>
      <c r="Q79" s="153"/>
      <c r="R79" s="104"/>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7"/>
      <c r="BK79" s="227"/>
    </row>
    <row r="80" spans="1:63" hidden="1" outlineLevel="1">
      <c r="A80" s="9"/>
      <c r="B80" s="44"/>
      <c r="C80" s="278" t="str">
        <f>Asset5</f>
        <v>Other</v>
      </c>
      <c r="D80" s="9"/>
      <c r="E80" s="9"/>
      <c r="F80" s="142"/>
      <c r="G80" s="207">
        <f t="shared" si="0"/>
        <v>-5.3108439045954818E-3</v>
      </c>
      <c r="H80" s="118"/>
      <c r="I80" s="118"/>
      <c r="J80" s="118"/>
      <c r="K80" s="118"/>
      <c r="L80" s="118"/>
      <c r="M80" s="152"/>
      <c r="N80" s="153"/>
      <c r="O80" s="153"/>
      <c r="P80" s="153"/>
      <c r="Q80" s="153"/>
      <c r="R80" s="104"/>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7"/>
      <c r="BK80" s="227"/>
    </row>
    <row r="81" spans="1:63" hidden="1" outlineLevel="1">
      <c r="A81" s="9"/>
      <c r="B81" s="44"/>
      <c r="C81" s="278" t="str">
        <f>Asset6</f>
        <v>Other - IT</v>
      </c>
      <c r="D81" s="9"/>
      <c r="E81" s="9"/>
      <c r="F81" s="142"/>
      <c r="G81" s="207">
        <f t="shared" si="0"/>
        <v>5.5838574307631035</v>
      </c>
      <c r="H81" s="118"/>
      <c r="I81" s="118"/>
      <c r="J81" s="118"/>
      <c r="K81" s="118"/>
      <c r="L81" s="118"/>
      <c r="M81" s="152"/>
      <c r="N81" s="153"/>
      <c r="O81" s="153"/>
      <c r="P81" s="153"/>
      <c r="Q81" s="153"/>
      <c r="R81" s="104"/>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7"/>
      <c r="BK81" s="227"/>
    </row>
    <row r="82" spans="1:63" hidden="1" outlineLevel="1">
      <c r="A82" s="9"/>
      <c r="B82" s="44"/>
      <c r="C82" s="278" t="str">
        <f>Asset7</f>
        <v>Other - General</v>
      </c>
      <c r="D82" s="9"/>
      <c r="E82" s="9"/>
      <c r="F82" s="142"/>
      <c r="G82" s="207">
        <f t="shared" si="0"/>
        <v>1.2884107312548645</v>
      </c>
      <c r="H82" s="118"/>
      <c r="I82" s="118"/>
      <c r="J82" s="118"/>
      <c r="K82" s="118"/>
      <c r="L82" s="118"/>
      <c r="M82" s="152"/>
      <c r="N82" s="153"/>
      <c r="O82" s="153"/>
      <c r="P82" s="153"/>
      <c r="Q82" s="153"/>
      <c r="R82" s="104"/>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7"/>
      <c r="BK82" s="227"/>
    </row>
    <row r="83" spans="1:63" hidden="1" outlineLevel="1">
      <c r="A83" s="9"/>
      <c r="B83" s="44"/>
      <c r="C83" s="278" t="str">
        <f>Asset8</f>
        <v>Other - Buildings</v>
      </c>
      <c r="D83" s="9"/>
      <c r="E83" s="9"/>
      <c r="F83" s="142"/>
      <c r="G83" s="207">
        <f t="shared" si="0"/>
        <v>3.0102450134582917</v>
      </c>
      <c r="H83" s="118"/>
      <c r="I83" s="118"/>
      <c r="J83" s="118"/>
      <c r="K83" s="118"/>
      <c r="L83" s="118"/>
      <c r="M83" s="152"/>
      <c r="N83" s="153"/>
      <c r="O83" s="153"/>
      <c r="P83" s="153"/>
      <c r="Q83" s="153"/>
      <c r="R83" s="104"/>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7"/>
      <c r="BK83" s="227"/>
    </row>
    <row r="84" spans="1:63" hidden="1" outlineLevel="1">
      <c r="A84" s="9"/>
      <c r="B84" s="44"/>
      <c r="C84" s="278" t="str">
        <f>Asset9</f>
        <v>Land and Easements</v>
      </c>
      <c r="D84" s="9"/>
      <c r="E84" s="9"/>
      <c r="F84" s="142"/>
      <c r="G84" s="207">
        <f t="shared" si="0"/>
        <v>0.55227577870444466</v>
      </c>
      <c r="H84" s="118"/>
      <c r="I84" s="118"/>
      <c r="J84" s="118"/>
      <c r="K84" s="118"/>
      <c r="L84" s="118"/>
      <c r="M84" s="152"/>
      <c r="N84" s="153"/>
      <c r="O84" s="153"/>
      <c r="P84" s="153"/>
      <c r="Q84" s="153"/>
      <c r="R84" s="104"/>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7"/>
      <c r="BK84" s="227"/>
    </row>
    <row r="85" spans="1:63" hidden="1" outlineLevel="1">
      <c r="A85" s="9"/>
      <c r="B85" s="44"/>
      <c r="C85" s="278" t="str">
        <f>Asset10</f>
        <v>Transmission line assets - long life (60)</v>
      </c>
      <c r="D85" s="9"/>
      <c r="E85" s="9"/>
      <c r="F85" s="142"/>
      <c r="G85" s="207">
        <f t="shared" si="0"/>
        <v>0</v>
      </c>
      <c r="H85" s="118"/>
      <c r="I85" s="118"/>
      <c r="J85" s="118"/>
      <c r="K85" s="118"/>
      <c r="L85" s="118"/>
      <c r="M85" s="152"/>
      <c r="N85" s="153"/>
      <c r="O85" s="153"/>
      <c r="P85" s="153"/>
      <c r="Q85" s="153"/>
      <c r="R85" s="104"/>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7"/>
      <c r="BK85" s="227"/>
    </row>
    <row r="86" spans="1:63" hidden="1" outlineLevel="1">
      <c r="A86" s="9"/>
      <c r="B86" s="44"/>
      <c r="C86" s="278" t="str">
        <f>Asset11</f>
        <v>Transmission line assets - medium life (45)</v>
      </c>
      <c r="D86" s="9"/>
      <c r="E86" s="9"/>
      <c r="F86" s="142"/>
      <c r="G86" s="207">
        <f t="shared" si="0"/>
        <v>0</v>
      </c>
      <c r="H86" s="118"/>
      <c r="I86" s="118"/>
      <c r="J86" s="118"/>
      <c r="K86" s="118"/>
      <c r="L86" s="118"/>
      <c r="M86" s="152"/>
      <c r="N86" s="153"/>
      <c r="O86" s="153"/>
      <c r="P86" s="153"/>
      <c r="Q86" s="153"/>
      <c r="R86" s="104"/>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7"/>
      <c r="BK86" s="227"/>
    </row>
    <row r="87" spans="1:63" hidden="1" outlineLevel="1">
      <c r="A87" s="9"/>
      <c r="B87" s="44"/>
      <c r="C87" s="278" t="str">
        <f>Asset12</f>
        <v>Transmission line assets - short life (10)</v>
      </c>
      <c r="D87" s="9"/>
      <c r="E87" s="9"/>
      <c r="F87" s="142"/>
      <c r="G87" s="207">
        <f t="shared" si="0"/>
        <v>0</v>
      </c>
      <c r="H87" s="118"/>
      <c r="I87" s="118"/>
      <c r="J87" s="118"/>
      <c r="K87" s="118"/>
      <c r="L87" s="118"/>
      <c r="M87" s="152"/>
      <c r="N87" s="153"/>
      <c r="O87" s="153"/>
      <c r="P87" s="153"/>
      <c r="Q87" s="153"/>
      <c r="R87" s="104"/>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7"/>
      <c r="BK87" s="227"/>
    </row>
    <row r="88" spans="1:63" hidden="1" outlineLevel="1">
      <c r="A88" s="9"/>
      <c r="B88" s="44"/>
      <c r="C88" s="278" t="str">
        <f>Asset13</f>
        <v>Substation assets - long life (60)</v>
      </c>
      <c r="D88" s="9"/>
      <c r="E88" s="9"/>
      <c r="F88" s="142"/>
      <c r="G88" s="207">
        <f t="shared" si="0"/>
        <v>0</v>
      </c>
      <c r="H88" s="118"/>
      <c r="I88" s="118"/>
      <c r="J88" s="118"/>
      <c r="K88" s="118"/>
      <c r="L88" s="118"/>
      <c r="M88" s="152"/>
      <c r="N88" s="153"/>
      <c r="O88" s="153"/>
      <c r="P88" s="153"/>
      <c r="Q88" s="153"/>
      <c r="R88" s="104"/>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7"/>
      <c r="BK88" s="227"/>
    </row>
    <row r="89" spans="1:63" hidden="1" outlineLevel="1">
      <c r="A89" s="9"/>
      <c r="B89" s="44"/>
      <c r="C89" s="278" t="str">
        <f>Asset14</f>
        <v>Substation assets - medium life (45)</v>
      </c>
      <c r="D89" s="9"/>
      <c r="E89" s="9"/>
      <c r="F89" s="142"/>
      <c r="G89" s="207">
        <f t="shared" si="0"/>
        <v>0</v>
      </c>
      <c r="H89" s="118"/>
      <c r="I89" s="118"/>
      <c r="J89" s="118"/>
      <c r="K89" s="118"/>
      <c r="L89" s="118"/>
      <c r="M89" s="152"/>
      <c r="N89" s="153"/>
      <c r="O89" s="153"/>
      <c r="P89" s="153"/>
      <c r="Q89" s="153"/>
      <c r="R89" s="104"/>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7"/>
      <c r="BK89" s="227"/>
    </row>
    <row r="90" spans="1:63" hidden="1" outlineLevel="1">
      <c r="A90" s="9"/>
      <c r="B90" s="44"/>
      <c r="C90" s="278" t="str">
        <f>Asset15</f>
        <v>Substation assets - short life (15)</v>
      </c>
      <c r="D90" s="9"/>
      <c r="E90" s="9"/>
      <c r="F90" s="142"/>
      <c r="G90" s="207">
        <f t="shared" si="0"/>
        <v>0</v>
      </c>
      <c r="H90" s="118"/>
      <c r="I90" s="118"/>
      <c r="J90" s="118"/>
      <c r="K90" s="118"/>
      <c r="L90" s="118"/>
      <c r="M90" s="152"/>
      <c r="N90" s="153"/>
      <c r="O90" s="153"/>
      <c r="P90" s="153"/>
      <c r="Q90" s="153"/>
      <c r="R90" s="104"/>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7"/>
      <c r="BK90" s="227"/>
    </row>
    <row r="91" spans="1:63" hidden="1" outlineLevel="1">
      <c r="A91" s="9"/>
      <c r="B91" s="44"/>
      <c r="C91" s="278" t="str">
        <f>Asset16</f>
        <v>Protection and control - short life (15)</v>
      </c>
      <c r="D91" s="9"/>
      <c r="E91" s="9"/>
      <c r="F91" s="142"/>
      <c r="G91" s="207">
        <f t="shared" si="0"/>
        <v>0</v>
      </c>
      <c r="H91" s="118"/>
      <c r="I91" s="118"/>
      <c r="J91" s="118"/>
      <c r="K91" s="118"/>
      <c r="L91" s="118"/>
      <c r="M91" s="152"/>
      <c r="N91" s="153"/>
      <c r="O91" s="153"/>
      <c r="P91" s="153"/>
      <c r="Q91" s="153"/>
      <c r="R91" s="104"/>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7"/>
      <c r="BK91" s="227"/>
    </row>
    <row r="92" spans="1:63" hidden="1" outlineLevel="1">
      <c r="A92" s="9"/>
      <c r="B92" s="44"/>
      <c r="C92" s="278" t="str">
        <f>Asset17</f>
        <v>Protection and control - short life (4)</v>
      </c>
      <c r="D92" s="9"/>
      <c r="E92" s="9"/>
      <c r="F92" s="142"/>
      <c r="G92" s="207">
        <f t="shared" si="0"/>
        <v>0</v>
      </c>
      <c r="H92" s="118"/>
      <c r="I92" s="118"/>
      <c r="J92" s="118"/>
      <c r="K92" s="118"/>
      <c r="L92" s="118"/>
      <c r="M92" s="152"/>
      <c r="N92" s="153"/>
      <c r="O92" s="153"/>
      <c r="P92" s="153"/>
      <c r="Q92" s="153"/>
      <c r="R92" s="104"/>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7"/>
      <c r="BK92" s="227"/>
    </row>
    <row r="93" spans="1:63" hidden="1" outlineLevel="1">
      <c r="A93" s="9"/>
      <c r="B93" s="44"/>
      <c r="C93" s="278" t="str">
        <f>Asset18</f>
        <v>Transmission operations - short life (10)</v>
      </c>
      <c r="D93" s="9"/>
      <c r="E93" s="9"/>
      <c r="F93" s="142"/>
      <c r="G93" s="207">
        <f t="shared" si="0"/>
        <v>0</v>
      </c>
      <c r="H93" s="118"/>
      <c r="I93" s="118"/>
      <c r="J93" s="118"/>
      <c r="K93" s="118"/>
      <c r="L93" s="118"/>
      <c r="M93" s="152"/>
      <c r="N93" s="153"/>
      <c r="O93" s="153"/>
      <c r="P93" s="153"/>
      <c r="Q93" s="153"/>
      <c r="R93" s="104"/>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7"/>
      <c r="BK93" s="227"/>
    </row>
    <row r="94" spans="1:63" hidden="1" outlineLevel="1">
      <c r="A94" s="9"/>
      <c r="B94" s="44"/>
      <c r="C94" s="278" t="str">
        <f>Asset19</f>
        <v>Transmission operations - short life (4)</v>
      </c>
      <c r="D94" s="9"/>
      <c r="E94" s="9"/>
      <c r="F94" s="142"/>
      <c r="G94" s="207">
        <f t="shared" si="0"/>
        <v>0</v>
      </c>
      <c r="H94" s="118"/>
      <c r="I94" s="118"/>
      <c r="J94" s="118"/>
      <c r="K94" s="118"/>
      <c r="L94" s="118"/>
      <c r="M94" s="152"/>
      <c r="N94" s="153"/>
      <c r="O94" s="153"/>
      <c r="P94" s="153"/>
      <c r="Q94" s="153"/>
      <c r="R94" s="104"/>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7"/>
      <c r="BK94" s="227"/>
    </row>
    <row r="95" spans="1:63" hidden="1" outlineLevel="1">
      <c r="A95" s="9"/>
      <c r="B95" s="44"/>
      <c r="C95" s="278" t="str">
        <f>Asset20</f>
        <v>Other - medium life (40)</v>
      </c>
      <c r="D95" s="9"/>
      <c r="E95" s="9"/>
      <c r="F95" s="142"/>
      <c r="G95" s="207">
        <f t="shared" ref="G95:G105" si="1">G63*(1+$F$6)/(1+$G$6)-G31</f>
        <v>0</v>
      </c>
      <c r="H95" s="118"/>
      <c r="I95" s="118"/>
      <c r="J95" s="118"/>
      <c r="K95" s="118"/>
      <c r="L95" s="118"/>
      <c r="M95" s="152"/>
      <c r="N95" s="153"/>
      <c r="O95" s="153"/>
      <c r="P95" s="153"/>
      <c r="Q95" s="153"/>
      <c r="R95" s="104"/>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7"/>
      <c r="BK95" s="227"/>
    </row>
    <row r="96" spans="1:63" hidden="1" outlineLevel="1">
      <c r="A96" s="9"/>
      <c r="B96" s="44"/>
      <c r="C96" s="278" t="str">
        <f>Asset21</f>
        <v>Other - short life (9)</v>
      </c>
      <c r="D96" s="9"/>
      <c r="E96" s="9"/>
      <c r="F96" s="142"/>
      <c r="G96" s="207">
        <f t="shared" si="1"/>
        <v>0</v>
      </c>
      <c r="H96" s="118"/>
      <c r="I96" s="118"/>
      <c r="J96" s="118"/>
      <c r="K96" s="118"/>
      <c r="L96" s="118"/>
      <c r="M96" s="152"/>
      <c r="N96" s="153"/>
      <c r="O96" s="153"/>
      <c r="P96" s="153"/>
      <c r="Q96" s="153"/>
      <c r="R96" s="104"/>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7"/>
      <c r="BK96" s="227"/>
    </row>
    <row r="97" spans="1:63" hidden="1" outlineLevel="1">
      <c r="A97" s="9"/>
      <c r="B97" s="44"/>
      <c r="C97" s="278" t="str">
        <f>Asset22</f>
        <v>Other - short life (4)</v>
      </c>
      <c r="D97" s="9"/>
      <c r="E97" s="9"/>
      <c r="F97" s="142"/>
      <c r="G97" s="207">
        <f t="shared" si="1"/>
        <v>0</v>
      </c>
      <c r="H97" s="118"/>
      <c r="I97" s="118"/>
      <c r="J97" s="118"/>
      <c r="K97" s="118"/>
      <c r="L97" s="118"/>
      <c r="M97" s="152"/>
      <c r="N97" s="153"/>
      <c r="O97" s="153"/>
      <c r="P97" s="153"/>
      <c r="Q97" s="153"/>
      <c r="R97" s="104"/>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7"/>
      <c r="BK97" s="227"/>
    </row>
    <row r="98" spans="1:63" hidden="1" outlineLevel="1">
      <c r="A98" s="9"/>
      <c r="B98" s="44"/>
      <c r="C98" s="278" t="str">
        <f>Asset23</f>
        <v>Land and Easements</v>
      </c>
      <c r="D98" s="9"/>
      <c r="E98" s="9"/>
      <c r="F98" s="142"/>
      <c r="G98" s="207">
        <f t="shared" si="1"/>
        <v>0</v>
      </c>
      <c r="H98" s="118"/>
      <c r="I98" s="118"/>
      <c r="J98" s="118"/>
      <c r="K98" s="118"/>
      <c r="L98" s="118"/>
      <c r="M98" s="152"/>
      <c r="N98" s="153"/>
      <c r="O98" s="153"/>
      <c r="P98" s="153"/>
      <c r="Q98" s="153"/>
      <c r="R98" s="104"/>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7"/>
      <c r="BK98" s="227"/>
    </row>
    <row r="99" spans="1:63" hidden="1" outlineLevel="1">
      <c r="A99" s="9"/>
      <c r="B99" s="44"/>
      <c r="C99" s="278" t="str">
        <f>Asset24</f>
        <v>Equity Raising</v>
      </c>
      <c r="D99" s="9"/>
      <c r="E99" s="9"/>
      <c r="F99" s="142"/>
      <c r="G99" s="207">
        <f t="shared" si="1"/>
        <v>0</v>
      </c>
      <c r="H99" s="118"/>
      <c r="I99" s="118"/>
      <c r="J99" s="118"/>
      <c r="K99" s="118"/>
      <c r="L99" s="118"/>
      <c r="M99" s="152"/>
      <c r="N99" s="153"/>
      <c r="O99" s="153"/>
      <c r="P99" s="153"/>
      <c r="Q99" s="153"/>
      <c r="R99" s="104"/>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7"/>
      <c r="BK99" s="227"/>
    </row>
    <row r="100" spans="1:63" hidden="1" outlineLevel="1">
      <c r="A100" s="9"/>
      <c r="B100" s="44"/>
      <c r="C100" s="278">
        <f>Asset25</f>
        <v>0</v>
      </c>
      <c r="D100" s="9"/>
      <c r="E100" s="9"/>
      <c r="F100" s="142"/>
      <c r="G100" s="207">
        <f t="shared" si="1"/>
        <v>0</v>
      </c>
      <c r="H100" s="118"/>
      <c r="I100" s="118"/>
      <c r="J100" s="118"/>
      <c r="K100" s="118"/>
      <c r="L100" s="118"/>
      <c r="M100" s="152"/>
      <c r="N100" s="153"/>
      <c r="O100" s="153"/>
      <c r="P100" s="153"/>
      <c r="Q100" s="153"/>
      <c r="R100" s="104"/>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7"/>
      <c r="BK100" s="227"/>
    </row>
    <row r="101" spans="1:63" hidden="1" outlineLevel="1">
      <c r="A101" s="9"/>
      <c r="B101" s="44"/>
      <c r="C101" s="278">
        <f>Asset26</f>
        <v>0</v>
      </c>
      <c r="D101" s="9"/>
      <c r="E101" s="9"/>
      <c r="F101" s="142"/>
      <c r="G101" s="207">
        <f t="shared" si="1"/>
        <v>0</v>
      </c>
      <c r="H101" s="118"/>
      <c r="I101" s="118"/>
      <c r="J101" s="118"/>
      <c r="K101" s="118"/>
      <c r="L101" s="118"/>
      <c r="M101" s="152"/>
      <c r="N101" s="153"/>
      <c r="O101" s="153"/>
      <c r="P101" s="153"/>
      <c r="Q101" s="153"/>
      <c r="R101" s="104"/>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7"/>
      <c r="BK101" s="227"/>
    </row>
    <row r="102" spans="1:63" hidden="1" outlineLevel="1">
      <c r="A102" s="9"/>
      <c r="B102" s="44"/>
      <c r="C102" s="278">
        <f>Asset27</f>
        <v>0</v>
      </c>
      <c r="D102" s="9"/>
      <c r="E102" s="9"/>
      <c r="F102" s="142"/>
      <c r="G102" s="207">
        <f t="shared" si="1"/>
        <v>0</v>
      </c>
      <c r="H102" s="118"/>
      <c r="I102" s="118"/>
      <c r="J102" s="118"/>
      <c r="K102" s="118"/>
      <c r="L102" s="118"/>
      <c r="M102" s="152"/>
      <c r="N102" s="153"/>
      <c r="O102" s="153"/>
      <c r="P102" s="153"/>
      <c r="Q102" s="153"/>
      <c r="R102" s="104"/>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7"/>
      <c r="BK102" s="227"/>
    </row>
    <row r="103" spans="1:63" hidden="1" outlineLevel="1">
      <c r="A103" s="9"/>
      <c r="B103" s="44"/>
      <c r="C103" s="278">
        <f>Asset28</f>
        <v>0</v>
      </c>
      <c r="D103" s="9"/>
      <c r="E103" s="9"/>
      <c r="F103" s="142"/>
      <c r="G103" s="207">
        <f t="shared" si="1"/>
        <v>0</v>
      </c>
      <c r="H103" s="118"/>
      <c r="I103" s="118"/>
      <c r="J103" s="118"/>
      <c r="K103" s="118"/>
      <c r="L103" s="118"/>
      <c r="M103" s="152"/>
      <c r="N103" s="153"/>
      <c r="O103" s="153"/>
      <c r="P103" s="153"/>
      <c r="Q103" s="153"/>
      <c r="R103" s="104"/>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7"/>
      <c r="BK103" s="227"/>
    </row>
    <row r="104" spans="1:63" hidden="1" outlineLevel="1">
      <c r="A104" s="9"/>
      <c r="B104" s="44"/>
      <c r="C104" s="278">
        <f>Asset29</f>
        <v>0</v>
      </c>
      <c r="D104" s="9"/>
      <c r="E104" s="9"/>
      <c r="F104" s="142"/>
      <c r="G104" s="207">
        <f t="shared" si="1"/>
        <v>0</v>
      </c>
      <c r="H104" s="118"/>
      <c r="I104" s="118"/>
      <c r="J104" s="118"/>
      <c r="K104" s="118"/>
      <c r="L104" s="118"/>
      <c r="M104" s="152"/>
      <c r="N104" s="153"/>
      <c r="O104" s="153"/>
      <c r="P104" s="153"/>
      <c r="Q104" s="153"/>
      <c r="R104" s="104"/>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7"/>
      <c r="BK104" s="227"/>
    </row>
    <row r="105" spans="1:63" hidden="1" outlineLevel="1">
      <c r="A105" s="9"/>
      <c r="B105" s="44"/>
      <c r="C105" s="278">
        <f>Asset30</f>
        <v>0</v>
      </c>
      <c r="D105" s="9"/>
      <c r="E105" s="9"/>
      <c r="F105" s="142"/>
      <c r="G105" s="207">
        <f t="shared" si="1"/>
        <v>0</v>
      </c>
      <c r="H105" s="118"/>
      <c r="I105" s="118"/>
      <c r="J105" s="118"/>
      <c r="K105" s="118"/>
      <c r="L105" s="118"/>
      <c r="M105" s="152"/>
      <c r="N105" s="153"/>
      <c r="O105" s="153"/>
      <c r="P105" s="153"/>
      <c r="Q105" s="153"/>
      <c r="R105" s="104"/>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7"/>
      <c r="BK105" s="227"/>
    </row>
    <row r="106" spans="1:63" collapsed="1">
      <c r="A106" s="9"/>
      <c r="B106" s="44"/>
      <c r="C106" s="130"/>
      <c r="D106" s="9"/>
      <c r="E106" s="9"/>
      <c r="F106" s="142"/>
      <c r="G106" s="207"/>
      <c r="H106" s="118"/>
      <c r="I106" s="118"/>
      <c r="J106" s="118"/>
      <c r="K106" s="118"/>
      <c r="L106" s="118"/>
      <c r="M106" s="152"/>
      <c r="N106" s="153"/>
      <c r="O106" s="153"/>
      <c r="P106" s="153"/>
      <c r="Q106" s="153"/>
      <c r="R106" s="104"/>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7"/>
      <c r="BK106" s="227"/>
    </row>
    <row r="107" spans="1:63">
      <c r="A107" s="9"/>
      <c r="B107" s="44" t="s">
        <v>56</v>
      </c>
      <c r="C107" s="9"/>
      <c r="D107" s="9"/>
      <c r="E107" s="9"/>
      <c r="F107" s="142"/>
      <c r="G107" s="208"/>
      <c r="H107" s="35">
        <f t="shared" ref="H107:Q107" si="2">SUM(H108,H110,H112,H114,H116,H118,H120,H122,H124,H126,H128,H130,H132,H134,H136,H138,H140,H142,H144,H146,H148,H150,H152,H154,H156,H158,H160,H162,H164,H166)</f>
        <v>-1.2979757424741618</v>
      </c>
      <c r="I107" s="35">
        <f t="shared" si="2"/>
        <v>-1.4991698150532418</v>
      </c>
      <c r="J107" s="35">
        <f t="shared" si="2"/>
        <v>-1.3772475586826758</v>
      </c>
      <c r="K107" s="35">
        <f t="shared" si="2"/>
        <v>-1.665413700461412</v>
      </c>
      <c r="L107" s="35">
        <f t="shared" si="2"/>
        <v>-1.8320311647131318</v>
      </c>
      <c r="M107" s="35">
        <f t="shared" si="2"/>
        <v>0</v>
      </c>
      <c r="N107" s="35">
        <f t="shared" si="2"/>
        <v>0</v>
      </c>
      <c r="O107" s="35">
        <f t="shared" si="2"/>
        <v>0</v>
      </c>
      <c r="P107" s="35">
        <f t="shared" si="2"/>
        <v>0</v>
      </c>
      <c r="Q107" s="35">
        <f t="shared" si="2"/>
        <v>0</v>
      </c>
      <c r="R107" s="104"/>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7"/>
      <c r="BK107" s="227"/>
    </row>
    <row r="108" spans="1:63" hidden="1" outlineLevel="1">
      <c r="A108" s="9"/>
      <c r="B108" s="44"/>
      <c r="C108" s="278" t="str">
        <f>Asset1</f>
        <v>Transmission Lines and Cables</v>
      </c>
      <c r="D108" s="9"/>
      <c r="E108" s="9"/>
      <c r="F108" s="142"/>
      <c r="G108" s="207"/>
      <c r="H108" s="114">
        <f>($G76+(SUM($G108:G108)))*H$7</f>
        <v>0.22625160344231018</v>
      </c>
      <c r="I108" s="114">
        <f>($G76+(SUM($G108:H108)))*I$7</f>
        <v>0.2613219672669343</v>
      </c>
      <c r="J108" s="114">
        <f>($G76+(SUM($G108:I108)))*J$7</f>
        <v>0.24006956239027363</v>
      </c>
      <c r="K108" s="114">
        <f>($G76+(SUM($G108:J108)))*K$7</f>
        <v>0.29030012487439583</v>
      </c>
      <c r="L108" s="114">
        <f>($G76+(SUM($G108:K108)))*L$7</f>
        <v>0.31934340142792034</v>
      </c>
      <c r="M108" s="114">
        <f>IF(COUNT($H108:L108)&gt;=Input!$W$7,0,($G76+(SUM($G108:L108)))*M$7)</f>
        <v>0</v>
      </c>
      <c r="N108" s="114">
        <f>IF(COUNT($H108:M108)&gt;=Input!$W$7,0,($G76+(SUM($G108:M108)))*N$7)</f>
        <v>0</v>
      </c>
      <c r="O108" s="114">
        <f>IF(COUNT($H108:N108)&gt;=Input!$W$7,0,($G76+(SUM($G108:N108)))*O$7)</f>
        <v>0</v>
      </c>
      <c r="P108" s="114">
        <f>IF(COUNT($H108:O108)&gt;=Input!$W$7,0,($G76+(SUM($G108:O108)))*P$7)</f>
        <v>0</v>
      </c>
      <c r="Q108" s="114">
        <f>IF(COUNT($H108:P108)&gt;=Input!$W$7,0,($G76+(SUM($G108:P108)))*Q$7)</f>
        <v>0</v>
      </c>
      <c r="R108" s="104"/>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7"/>
      <c r="BK108" s="227"/>
    </row>
    <row r="109" spans="1:63" hidden="1" outlineLevel="1">
      <c r="A109" s="9"/>
      <c r="B109" s="44"/>
      <c r="C109" s="290" t="s">
        <v>27</v>
      </c>
      <c r="D109" s="9"/>
      <c r="E109" s="9"/>
      <c r="F109" s="142"/>
      <c r="G109" s="207"/>
      <c r="H109" s="114"/>
      <c r="I109" s="114"/>
      <c r="J109" s="114"/>
      <c r="K109" s="114"/>
      <c r="L109" s="114">
        <f>IF(COUNT($H108:L108)=Input!$W$7,SUM($G108:L108),0)</f>
        <v>1.3372866594018344</v>
      </c>
      <c r="M109" s="114">
        <f>IF(COUNT($H108:M108)=Input!$W$7,SUM($G108:M108),0)</f>
        <v>0</v>
      </c>
      <c r="N109" s="114">
        <f>IF(COUNT($H108:N108)=Input!$W$7,SUM($G108:N108),0)</f>
        <v>0</v>
      </c>
      <c r="O109" s="114">
        <f>IF(COUNT($H108:O108)=Input!$W$7,SUM($G108:O108),0)</f>
        <v>0</v>
      </c>
      <c r="P109" s="114">
        <f>IF(COUNT($H108:P108)=Input!$W$7,SUM($G108:P108),0)</f>
        <v>0</v>
      </c>
      <c r="Q109" s="114">
        <f>IF(COUNT($H108:Q108)=Input!$W$7,SUM($G108:Q108),0)</f>
        <v>0</v>
      </c>
      <c r="R109" s="104"/>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7"/>
      <c r="BK109" s="227"/>
    </row>
    <row r="110" spans="1:63" hidden="1" outlineLevel="1">
      <c r="A110" s="9"/>
      <c r="B110" s="44"/>
      <c r="C110" s="278" t="str">
        <f>Asset2</f>
        <v>Transmission Substations</v>
      </c>
      <c r="D110" s="9"/>
      <c r="E110" s="9"/>
      <c r="F110" s="142"/>
      <c r="G110" s="207"/>
      <c r="H110" s="114">
        <f>($G77+(SUM($G110:G110)))*H$7</f>
        <v>-2.3556541450118869</v>
      </c>
      <c r="I110" s="114">
        <f>($G77+(SUM($G110:H110)))*I$7</f>
        <v>-2.7207947524313409</v>
      </c>
      <c r="J110" s="114">
        <f>($G77+(SUM($G110:I110)))*J$7</f>
        <v>-2.4995219973326503</v>
      </c>
      <c r="K110" s="114">
        <f>($G77+(SUM($G110:J110)))*K$7</f>
        <v>-3.0225053968831057</v>
      </c>
      <c r="L110" s="114">
        <f>($G77+(SUM($G110:K110)))*L$7</f>
        <v>-3.3248940374810996</v>
      </c>
      <c r="M110" s="114">
        <f>IF(COUNT($H110:L110)&gt;=Input!$W$7,0,($G77+(SUM($G110:L110)))*M$7)</f>
        <v>0</v>
      </c>
      <c r="N110" s="114">
        <f>IF(COUNT($H110:M110)&gt;=Input!$W$7,0,($G77+(SUM($G110:M110)))*N$7)</f>
        <v>0</v>
      </c>
      <c r="O110" s="114">
        <f>IF(COUNT($H110:N110)&gt;=Input!$W$7,0,($G77+(SUM($G110:N110)))*O$7)</f>
        <v>0</v>
      </c>
      <c r="P110" s="114">
        <f>IF(COUNT($H110:O110)&gt;=Input!$W$7,0,($G77+(SUM($G110:O110)))*P$7)</f>
        <v>0</v>
      </c>
      <c r="Q110" s="114">
        <f>IF(COUNT($H110:P110)&gt;=Input!$W$7,0,($G77+(SUM($G110:P110)))*Q$7)</f>
        <v>0</v>
      </c>
      <c r="R110" s="104"/>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7"/>
      <c r="BK110" s="227"/>
    </row>
    <row r="111" spans="1:63" hidden="1" outlineLevel="1">
      <c r="A111" s="9"/>
      <c r="B111" s="44"/>
      <c r="C111" s="290" t="s">
        <v>27</v>
      </c>
      <c r="D111" s="9"/>
      <c r="E111" s="9"/>
      <c r="F111" s="142"/>
      <c r="G111" s="207"/>
      <c r="H111" s="114"/>
      <c r="I111" s="114"/>
      <c r="J111" s="114"/>
      <c r="K111" s="114"/>
      <c r="L111" s="114">
        <f>IF(COUNT($H110:L110)=Input!$W$7,SUM($G110:L110),0)</f>
        <v>-13.923370329140083</v>
      </c>
      <c r="M111" s="114">
        <f>IF(COUNT($H110:M110)=Input!$W$7,SUM($G110:M110),0)</f>
        <v>0</v>
      </c>
      <c r="N111" s="114">
        <f>IF(COUNT($H110:N110)=Input!$W$7,SUM($G110:N110),0)</f>
        <v>0</v>
      </c>
      <c r="O111" s="114">
        <f>IF(COUNT($H110:O110)=Input!$W$7,SUM($G110:O110),0)</f>
        <v>0</v>
      </c>
      <c r="P111" s="114">
        <f>IF(COUNT($H110:P110)=Input!$W$7,SUM($G110:P110),0)</f>
        <v>0</v>
      </c>
      <c r="Q111" s="114">
        <f>IF(COUNT($H110:Q110)=Input!$W$7,SUM($G110:Q110),0)</f>
        <v>0</v>
      </c>
      <c r="R111" s="104"/>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7"/>
      <c r="BK111" s="227"/>
    </row>
    <row r="112" spans="1:63" hidden="1" outlineLevel="1">
      <c r="A112" s="9"/>
      <c r="B112" s="44"/>
      <c r="C112" s="278" t="str">
        <f>Asset3</f>
        <v>Protection and Control</v>
      </c>
      <c r="D112" s="9"/>
      <c r="E112" s="9"/>
      <c r="F112" s="142"/>
      <c r="G112" s="207"/>
      <c r="H112" s="114">
        <f>($G78+(SUM($G112:G112)))*H$7</f>
        <v>-0.25823919727104871</v>
      </c>
      <c r="I112" s="114">
        <f>($G78+(SUM($G112:H112)))*I$7</f>
        <v>-0.29826783116483591</v>
      </c>
      <c r="J112" s="114">
        <f>($G78+(SUM($G112:I112)))*J$7</f>
        <v>-0.27401074793568853</v>
      </c>
      <c r="K112" s="114">
        <f>($G78+(SUM($G112:J112)))*K$7</f>
        <v>-0.33134293889927852</v>
      </c>
      <c r="L112" s="114">
        <f>($G78+(SUM($G112:K112)))*L$7</f>
        <v>-0.36449237213728702</v>
      </c>
      <c r="M112" s="114">
        <f>IF(COUNT($H112:L112)&gt;=Input!$W$7,0,($G78+(SUM($G112:L112)))*M$7)</f>
        <v>0</v>
      </c>
      <c r="N112" s="114">
        <f>IF(COUNT($H112:M112)&gt;=Input!$W$7,0,($G78+(SUM($G112:M112)))*N$7)</f>
        <v>0</v>
      </c>
      <c r="O112" s="114">
        <f>IF(COUNT($H112:N112)&gt;=Input!$W$7,0,($G78+(SUM($G112:N112)))*O$7)</f>
        <v>0</v>
      </c>
      <c r="P112" s="114">
        <f>IF(COUNT($H112:O112)&gt;=Input!$W$7,0,($G78+(SUM($G112:O112)))*P$7)</f>
        <v>0</v>
      </c>
      <c r="Q112" s="114">
        <f>IF(COUNT($H112:P112)&gt;=Input!$W$7,0,($G78+(SUM($G112:P112)))*Q$7)</f>
        <v>0</v>
      </c>
      <c r="R112" s="104"/>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7"/>
      <c r="BK112" s="227"/>
    </row>
    <row r="113" spans="1:63" hidden="1" outlineLevel="1">
      <c r="A113" s="9"/>
      <c r="B113" s="44"/>
      <c r="C113" s="290" t="s">
        <v>27</v>
      </c>
      <c r="D113" s="9"/>
      <c r="E113" s="9"/>
      <c r="F113" s="142"/>
      <c r="G113" s="207"/>
      <c r="H113" s="114"/>
      <c r="I113" s="114"/>
      <c r="J113" s="114"/>
      <c r="K113" s="114"/>
      <c r="L113" s="114">
        <f>IF(COUNT($H112:L112)=Input!$W$7,SUM($G112:L112),0)</f>
        <v>-1.5263530874081388</v>
      </c>
      <c r="M113" s="114">
        <f>IF(COUNT($H112:M112)=Input!$W$7,SUM($G112:M112),0)</f>
        <v>0</v>
      </c>
      <c r="N113" s="114">
        <f>IF(COUNT($H112:N112)=Input!$W$7,SUM($G112:N112),0)</f>
        <v>0</v>
      </c>
      <c r="O113" s="114">
        <f>IF(COUNT($H112:O112)=Input!$W$7,SUM($G112:O112),0)</f>
        <v>0</v>
      </c>
      <c r="P113" s="114">
        <f>IF(COUNT($H112:P112)=Input!$W$7,SUM($G112:P112),0)</f>
        <v>0</v>
      </c>
      <c r="Q113" s="114">
        <f>IF(COUNT($H112:Q112)=Input!$W$7,SUM($G112:Q112),0)</f>
        <v>0</v>
      </c>
      <c r="R113" s="104"/>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7"/>
      <c r="BK113" s="227"/>
    </row>
    <row r="114" spans="1:63" hidden="1" outlineLevel="1">
      <c r="A114" s="9"/>
      <c r="B114" s="44"/>
      <c r="C114" s="278" t="str">
        <f>Asset4</f>
        <v>Refurbishment</v>
      </c>
      <c r="D114" s="9"/>
      <c r="E114" s="9"/>
      <c r="F114" s="142"/>
      <c r="G114" s="207"/>
      <c r="H114" s="114">
        <f>($G79+(SUM($G114:G114)))*H$7</f>
        <v>0</v>
      </c>
      <c r="I114" s="114">
        <f>($G79+(SUM($G114:H114)))*I$7</f>
        <v>0</v>
      </c>
      <c r="J114" s="114">
        <f>($G79+(SUM($G114:I114)))*J$7</f>
        <v>0</v>
      </c>
      <c r="K114" s="114">
        <f>($G79+(SUM($G114:J114)))*K$7</f>
        <v>0</v>
      </c>
      <c r="L114" s="114">
        <f>($G79+(SUM($G114:K114)))*L$7</f>
        <v>0</v>
      </c>
      <c r="M114" s="114">
        <f>IF(COUNT($H114:L114)&gt;=Input!$W$7,0,($G79+(SUM($G114:L114)))*M$7)</f>
        <v>0</v>
      </c>
      <c r="N114" s="114">
        <f>IF(COUNT($H114:M114)&gt;=Input!$W$7,0,($G79+(SUM($G114:M114)))*N$7)</f>
        <v>0</v>
      </c>
      <c r="O114" s="114">
        <f>IF(COUNT($H114:N114)&gt;=Input!$W$7,0,($G79+(SUM($G114:N114)))*O$7)</f>
        <v>0</v>
      </c>
      <c r="P114" s="114">
        <f>IF(COUNT($H114:O114)&gt;=Input!$W$7,0,($G79+(SUM($G114:O114)))*P$7)</f>
        <v>0</v>
      </c>
      <c r="Q114" s="114">
        <f>IF(COUNT($H114:P114)&gt;=Input!$W$7,0,($G79+(SUM($G114:P114)))*Q$7)</f>
        <v>0</v>
      </c>
      <c r="R114" s="104"/>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7"/>
      <c r="BK114" s="227"/>
    </row>
    <row r="115" spans="1:63" hidden="1" outlineLevel="1">
      <c r="A115" s="9"/>
      <c r="B115" s="44"/>
      <c r="C115" s="290" t="s">
        <v>27</v>
      </c>
      <c r="D115" s="9"/>
      <c r="E115" s="9"/>
      <c r="F115" s="142"/>
      <c r="G115" s="207"/>
      <c r="H115" s="114"/>
      <c r="I115" s="114"/>
      <c r="J115" s="114"/>
      <c r="K115" s="114"/>
      <c r="L115" s="114">
        <f>IF(COUNT($H114:L114)=Input!$W$7,SUM($G114:L114),0)</f>
        <v>0</v>
      </c>
      <c r="M115" s="114">
        <f>IF(COUNT($H114:M114)=Input!$W$7,SUM($G114:M114),0)</f>
        <v>0</v>
      </c>
      <c r="N115" s="114">
        <f>IF(COUNT($H114:N114)=Input!$W$7,SUM($G114:N114),0)</f>
        <v>0</v>
      </c>
      <c r="O115" s="114">
        <f>IF(COUNT($H114:O114)=Input!$W$7,SUM($G114:O114),0)</f>
        <v>0</v>
      </c>
      <c r="P115" s="114">
        <f>IF(COUNT($H114:P114)=Input!$W$7,SUM($G114:P114),0)</f>
        <v>0</v>
      </c>
      <c r="Q115" s="114">
        <f>IF(COUNT($H114:Q114)=Input!$W$7,SUM($G114:Q114),0)</f>
        <v>0</v>
      </c>
      <c r="R115" s="104"/>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7"/>
      <c r="BK115" s="227"/>
    </row>
    <row r="116" spans="1:63" hidden="1" outlineLevel="1">
      <c r="A116" s="9"/>
      <c r="B116" s="44"/>
      <c r="C116" s="278" t="str">
        <f>Asset5</f>
        <v>Other</v>
      </c>
      <c r="D116" s="9"/>
      <c r="E116" s="9"/>
      <c r="F116" s="142"/>
      <c r="G116" s="207"/>
      <c r="H116" s="114">
        <f>($G80+(SUM($G116:G116)))*H$7</f>
        <v>-5.5487397870329202E-4</v>
      </c>
      <c r="I116" s="114">
        <f>($G80+(SUM($G116:H116)))*I$7</f>
        <v>-6.4088279372989134E-4</v>
      </c>
      <c r="J116" s="114">
        <f>($G80+(SUM($G116:I116)))*J$7</f>
        <v>-5.8876202962696304E-4</v>
      </c>
      <c r="K116" s="114">
        <f>($G80+(SUM($G116:J116)))*K$7</f>
        <v>-7.119506905425791E-4</v>
      </c>
      <c r="L116" s="114">
        <f>($G80+(SUM($G116:K116)))*L$7</f>
        <v>-7.8317828924529182E-4</v>
      </c>
      <c r="M116" s="114">
        <f>IF(COUNT($H116:L116)&gt;=Input!$W$7,0,($G80+(SUM($G116:L116)))*M$7)</f>
        <v>0</v>
      </c>
      <c r="N116" s="114">
        <f>IF(COUNT($H116:M116)&gt;=Input!$W$7,0,($G80+(SUM($G116:M116)))*N$7)</f>
        <v>0</v>
      </c>
      <c r="O116" s="114">
        <f>IF(COUNT($H116:N116)&gt;=Input!$W$7,0,($G80+(SUM($G116:N116)))*O$7)</f>
        <v>0</v>
      </c>
      <c r="P116" s="114">
        <f>IF(COUNT($H116:O116)&gt;=Input!$W$7,0,($G80+(SUM($G116:O116)))*P$7)</f>
        <v>0</v>
      </c>
      <c r="Q116" s="114">
        <f>IF(COUNT($H116:P116)&gt;=Input!$W$7,0,($G80+(SUM($G116:P116)))*Q$7)</f>
        <v>0</v>
      </c>
      <c r="R116" s="104"/>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7"/>
      <c r="BK116" s="227"/>
    </row>
    <row r="117" spans="1:63" hidden="1" outlineLevel="1">
      <c r="A117" s="9"/>
      <c r="B117" s="44"/>
      <c r="C117" s="290" t="s">
        <v>27</v>
      </c>
      <c r="D117" s="9"/>
      <c r="E117" s="9"/>
      <c r="F117" s="142"/>
      <c r="G117" s="207"/>
      <c r="H117" s="114"/>
      <c r="I117" s="114"/>
      <c r="J117" s="114"/>
      <c r="K117" s="114"/>
      <c r="L117" s="114">
        <f>IF(COUNT($H116:L116)=Input!$W$7,SUM($G116:L116),0)</f>
        <v>-3.279647781848017E-3</v>
      </c>
      <c r="M117" s="114">
        <f>IF(COUNT($H116:M116)=Input!$W$7,SUM($G116:M116),0)</f>
        <v>0</v>
      </c>
      <c r="N117" s="114">
        <f>IF(COUNT($H116:N116)=Input!$W$7,SUM($G116:N116),0)</f>
        <v>0</v>
      </c>
      <c r="O117" s="114">
        <f>IF(COUNT($H116:O116)=Input!$W$7,SUM($G116:O116),0)</f>
        <v>0</v>
      </c>
      <c r="P117" s="114">
        <f>IF(COUNT($H116:P116)=Input!$W$7,SUM($G116:P116),0)</f>
        <v>0</v>
      </c>
      <c r="Q117" s="114">
        <f>IF(COUNT($H116:Q116)=Input!$W$7,SUM($G116:Q116),0)</f>
        <v>0</v>
      </c>
      <c r="R117" s="104"/>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7"/>
      <c r="BK117" s="227"/>
    </row>
    <row r="118" spans="1:63" hidden="1" outlineLevel="1">
      <c r="A118" s="9"/>
      <c r="B118" s="44"/>
      <c r="C118" s="278" t="str">
        <f>Asset6</f>
        <v>Other - IT</v>
      </c>
      <c r="D118" s="9"/>
      <c r="E118" s="9"/>
      <c r="F118" s="142"/>
      <c r="G118" s="207"/>
      <c r="H118" s="114">
        <f>($G81+(SUM($G118:G118)))*H$7</f>
        <v>0.58339827808504574</v>
      </c>
      <c r="I118" s="114">
        <f>($G81+(SUM($G118:H118)))*I$7</f>
        <v>0.67382853164264611</v>
      </c>
      <c r="J118" s="114">
        <f>($G81+(SUM($G118:I118)))*J$7</f>
        <v>0.61902840549294824</v>
      </c>
      <c r="K118" s="114">
        <f>($G81+(SUM($G118:J118)))*K$7</f>
        <v>0.74854980209136934</v>
      </c>
      <c r="L118" s="114">
        <f>($G81+(SUM($G118:K118)))*L$7</f>
        <v>0.82343898419431227</v>
      </c>
      <c r="M118" s="114">
        <f>IF(COUNT($H118:L118)&gt;=Input!$W$7,0,($G81+(SUM($G118:L118)))*M$7)</f>
        <v>0</v>
      </c>
      <c r="N118" s="114">
        <f>IF(COUNT($H118:M118)&gt;=Input!$W$7,0,($G81+(SUM($G118:M118)))*N$7)</f>
        <v>0</v>
      </c>
      <c r="O118" s="114">
        <f>IF(COUNT($H118:N118)&gt;=Input!$W$7,0,($G81+(SUM($G118:N118)))*O$7)</f>
        <v>0</v>
      </c>
      <c r="P118" s="114">
        <f>IF(COUNT($H118:O118)&gt;=Input!$W$7,0,($G81+(SUM($G118:O118)))*P$7)</f>
        <v>0</v>
      </c>
      <c r="Q118" s="114">
        <f>IF(COUNT($H118:P118)&gt;=Input!$W$7,0,($G81+(SUM($G118:P118)))*Q$7)</f>
        <v>0</v>
      </c>
      <c r="R118" s="104"/>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7"/>
      <c r="BK118" s="227"/>
    </row>
    <row r="119" spans="1:63" hidden="1" outlineLevel="1">
      <c r="A119" s="9"/>
      <c r="B119" s="44"/>
      <c r="C119" s="290" t="s">
        <v>27</v>
      </c>
      <c r="D119" s="9"/>
      <c r="E119" s="9"/>
      <c r="F119" s="142"/>
      <c r="G119" s="207"/>
      <c r="H119" s="114"/>
      <c r="I119" s="114"/>
      <c r="J119" s="114"/>
      <c r="K119" s="114"/>
      <c r="L119" s="114">
        <f>IF(COUNT($H118:L118)=Input!$W$7,SUM($G118:L118),0)</f>
        <v>3.4482440015063216</v>
      </c>
      <c r="M119" s="114">
        <f>IF(COUNT($H118:M118)=Input!$W$7,SUM($G118:M118),0)</f>
        <v>0</v>
      </c>
      <c r="N119" s="114">
        <f>IF(COUNT($H118:N118)=Input!$W$7,SUM($G118:N118),0)</f>
        <v>0</v>
      </c>
      <c r="O119" s="114">
        <f>IF(COUNT($H118:O118)=Input!$W$7,SUM($G118:O118),0)</f>
        <v>0</v>
      </c>
      <c r="P119" s="114">
        <f>IF(COUNT($H118:P118)=Input!$W$7,SUM($G118:P118),0)</f>
        <v>0</v>
      </c>
      <c r="Q119" s="114">
        <f>IF(COUNT($H118:Q118)=Input!$W$7,SUM($G118:Q118),0)</f>
        <v>0</v>
      </c>
      <c r="R119" s="104"/>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7"/>
      <c r="BK119" s="227"/>
    </row>
    <row r="120" spans="1:63" hidden="1" outlineLevel="1">
      <c r="A120" s="9"/>
      <c r="B120" s="44"/>
      <c r="C120" s="278" t="str">
        <f>Asset7</f>
        <v>Other - General</v>
      </c>
      <c r="D120" s="9"/>
      <c r="E120" s="9"/>
      <c r="F120" s="142"/>
      <c r="G120" s="207"/>
      <c r="H120" s="114">
        <f>($G82+(SUM($G120:G120)))*H$7</f>
        <v>0.13461242723341871</v>
      </c>
      <c r="I120" s="114">
        <f>($G82+(SUM($G120:H120)))*I$7</f>
        <v>0.15547816575887169</v>
      </c>
      <c r="J120" s="114">
        <f>($G82+(SUM($G120:I120)))*J$7</f>
        <v>0.14283366838750131</v>
      </c>
      <c r="K120" s="114">
        <f>($G82+(SUM($G120:J120)))*K$7</f>
        <v>0.17271923752562976</v>
      </c>
      <c r="L120" s="114">
        <f>($G82+(SUM($G120:K120)))*L$7</f>
        <v>0.18999905297090791</v>
      </c>
      <c r="M120" s="114">
        <f>IF(COUNT($H120:L120)&gt;=Input!$W$7,0,($G82+(SUM($G120:L120)))*M$7)</f>
        <v>0</v>
      </c>
      <c r="N120" s="114">
        <f>IF(COUNT($H120:M120)&gt;=Input!$W$7,0,($G82+(SUM($G120:M120)))*N$7)</f>
        <v>0</v>
      </c>
      <c r="O120" s="114">
        <f>IF(COUNT($H120:N120)&gt;=Input!$W$7,0,($G82+(SUM($G120:N120)))*O$7)</f>
        <v>0</v>
      </c>
      <c r="P120" s="114">
        <f>IF(COUNT($H120:O120)&gt;=Input!$W$7,0,($G82+(SUM($G120:O120)))*P$7)</f>
        <v>0</v>
      </c>
      <c r="Q120" s="114">
        <f>IF(COUNT($H120:P120)&gt;=Input!$W$7,0,($G82+(SUM($G120:P120)))*Q$7)</f>
        <v>0</v>
      </c>
      <c r="R120" s="104"/>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7"/>
      <c r="BK120" s="227"/>
    </row>
    <row r="121" spans="1:63" hidden="1" outlineLevel="1">
      <c r="A121" s="9"/>
      <c r="B121" s="44"/>
      <c r="C121" s="290" t="s">
        <v>27</v>
      </c>
      <c r="D121" s="9"/>
      <c r="E121" s="9"/>
      <c r="F121" s="142"/>
      <c r="G121" s="207"/>
      <c r="H121" s="114"/>
      <c r="I121" s="114"/>
      <c r="J121" s="114"/>
      <c r="K121" s="114"/>
      <c r="L121" s="114">
        <f>IF(COUNT($H120:L120)=Input!$W$7,SUM($G120:L120),0)</f>
        <v>0.79564255187632937</v>
      </c>
      <c r="M121" s="114">
        <f>IF(COUNT($H120:M120)=Input!$W$7,SUM($G120:M120),0)</f>
        <v>0</v>
      </c>
      <c r="N121" s="114">
        <f>IF(COUNT($H120:N120)=Input!$W$7,SUM($G120:N120),0)</f>
        <v>0</v>
      </c>
      <c r="O121" s="114">
        <f>IF(COUNT($H120:O120)=Input!$W$7,SUM($G120:O120),0)</f>
        <v>0</v>
      </c>
      <c r="P121" s="114">
        <f>IF(COUNT($H120:P120)=Input!$W$7,SUM($G120:P120),0)</f>
        <v>0</v>
      </c>
      <c r="Q121" s="114">
        <f>IF(COUNT($H120:Q120)=Input!$W$7,SUM($G120:Q120),0)</f>
        <v>0</v>
      </c>
      <c r="R121" s="104"/>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7"/>
      <c r="BK121" s="227"/>
    </row>
    <row r="122" spans="1:63" hidden="1" outlineLevel="1">
      <c r="A122" s="9"/>
      <c r="B122" s="44"/>
      <c r="C122" s="278" t="str">
        <f>Asset8</f>
        <v>Other - Buildings</v>
      </c>
      <c r="D122" s="9"/>
      <c r="E122" s="9"/>
      <c r="F122" s="142"/>
      <c r="G122" s="207"/>
      <c r="H122" s="114">
        <f>($G83+(SUM($G122:G122)))*H$7</f>
        <v>0.31450870285304899</v>
      </c>
      <c r="I122" s="114">
        <f>($G83+(SUM($G122:H122)))*I$7</f>
        <v>0.36325944966435036</v>
      </c>
      <c r="J122" s="114">
        <f>($G83+(SUM($G122:I122)))*J$7</f>
        <v>0.33371682460193541</v>
      </c>
      <c r="K122" s="114">
        <f>($G83+(SUM($G122:J122)))*K$7</f>
        <v>0.40354151892499007</v>
      </c>
      <c r="L122" s="114">
        <f>($G83+(SUM($G122:K122)))*L$7</f>
        <v>0.44391410898170747</v>
      </c>
      <c r="M122" s="114">
        <f>IF(COUNT($H122:L122)&gt;=Input!$W$7,0,($G83+(SUM($G122:L122)))*M$7)</f>
        <v>0</v>
      </c>
      <c r="N122" s="114">
        <f>IF(COUNT($H122:M122)&gt;=Input!$W$7,0,($G83+(SUM($G122:M122)))*N$7)</f>
        <v>0</v>
      </c>
      <c r="O122" s="114">
        <f>IF(COUNT($H122:N122)&gt;=Input!$W$7,0,($G83+(SUM($G122:N122)))*O$7)</f>
        <v>0</v>
      </c>
      <c r="P122" s="114">
        <f>IF(COUNT($H122:O122)&gt;=Input!$W$7,0,($G83+(SUM($G122:O122)))*P$7)</f>
        <v>0</v>
      </c>
      <c r="Q122" s="114">
        <f>IF(COUNT($H122:P122)&gt;=Input!$W$7,0,($G83+(SUM($G122:P122)))*Q$7)</f>
        <v>0</v>
      </c>
      <c r="R122" s="104"/>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7"/>
      <c r="BK122" s="227"/>
    </row>
    <row r="123" spans="1:63" hidden="1" outlineLevel="1">
      <c r="A123" s="9"/>
      <c r="B123" s="44"/>
      <c r="C123" s="290" t="s">
        <v>27</v>
      </c>
      <c r="D123" s="9"/>
      <c r="E123" s="9"/>
      <c r="F123" s="142"/>
      <c r="G123" s="207"/>
      <c r="H123" s="114"/>
      <c r="I123" s="114"/>
      <c r="J123" s="114"/>
      <c r="K123" s="114"/>
      <c r="L123" s="114">
        <f>IF(COUNT($H122:L122)=Input!$W$7,SUM($G122:L122),0)</f>
        <v>1.858940605026032</v>
      </c>
      <c r="M123" s="114">
        <f>IF(COUNT($H122:M122)=Input!$W$7,SUM($G122:M122),0)</f>
        <v>0</v>
      </c>
      <c r="N123" s="114">
        <f>IF(COUNT($H122:N122)=Input!$W$7,SUM($G122:N122),0)</f>
        <v>0</v>
      </c>
      <c r="O123" s="114">
        <f>IF(COUNT($H122:O122)=Input!$W$7,SUM($G122:O122),0)</f>
        <v>0</v>
      </c>
      <c r="P123" s="114">
        <f>IF(COUNT($H122:P122)=Input!$W$7,SUM($G122:P122),0)</f>
        <v>0</v>
      </c>
      <c r="Q123" s="114">
        <f>IF(COUNT($H122:Q122)=Input!$W$7,SUM($G122:Q122),0)</f>
        <v>0</v>
      </c>
      <c r="R123" s="104"/>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7"/>
      <c r="BK123" s="227"/>
    </row>
    <row r="124" spans="1:63" hidden="1" outlineLevel="1">
      <c r="A124" s="9"/>
      <c r="B124" s="44"/>
      <c r="C124" s="278" t="str">
        <f>Asset9</f>
        <v>Land and Easements</v>
      </c>
      <c r="D124" s="9"/>
      <c r="E124" s="9"/>
      <c r="F124" s="142"/>
      <c r="G124" s="207"/>
      <c r="H124" s="114">
        <f>($G84+(SUM($G124:G124)))*H$7</f>
        <v>5.770146217365342E-2</v>
      </c>
      <c r="I124" s="114">
        <f>($G84+(SUM($G124:H124)))*I$7</f>
        <v>6.6645537003862498E-2</v>
      </c>
      <c r="J124" s="114">
        <f>($G84+(SUM($G124:I124)))*J$7</f>
        <v>6.1225487742631583E-2</v>
      </c>
      <c r="K124" s="114">
        <f>($G84+(SUM($G124:J124)))*K$7</f>
        <v>7.4035902595129807E-2</v>
      </c>
      <c r="L124" s="114">
        <f>($G84+(SUM($G124:K124)))*L$7</f>
        <v>8.14428756196523E-2</v>
      </c>
      <c r="M124" s="114">
        <f>IF(COUNT($H124:L124)&gt;=Input!$W$7,0,($G84+(SUM($G124:L124)))*M$7)</f>
        <v>0</v>
      </c>
      <c r="N124" s="114">
        <f>IF(COUNT($H124:M124)&gt;=Input!$W$7,0,($G84+(SUM($G124:M124)))*N$7)</f>
        <v>0</v>
      </c>
      <c r="O124" s="114">
        <f>IF(COUNT($H124:N124)&gt;=Input!$W$7,0,($G84+(SUM($G124:N124)))*O$7)</f>
        <v>0</v>
      </c>
      <c r="P124" s="114">
        <f>IF(COUNT($H124:O124)&gt;=Input!$W$7,0,($G84+(SUM($G124:O124)))*P$7)</f>
        <v>0</v>
      </c>
      <c r="Q124" s="114">
        <f>IF(COUNT($H124:P124)&gt;=Input!$W$7,0,($G84+(SUM($G124:P124)))*Q$7)</f>
        <v>0</v>
      </c>
      <c r="R124" s="104"/>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7"/>
      <c r="BK124" s="227"/>
    </row>
    <row r="125" spans="1:63" hidden="1" outlineLevel="1">
      <c r="A125" s="9"/>
      <c r="B125" s="44"/>
      <c r="C125" s="290" t="s">
        <v>27</v>
      </c>
      <c r="D125" s="9"/>
      <c r="E125" s="9"/>
      <c r="F125" s="142"/>
      <c r="G125" s="207"/>
      <c r="H125" s="114"/>
      <c r="I125" s="114"/>
      <c r="J125" s="114"/>
      <c r="K125" s="114"/>
      <c r="L125" s="114">
        <f>IF(COUNT($H124:L124)=Input!$W$7,SUM($G124:L124),0)</f>
        <v>0.34105126513492962</v>
      </c>
      <c r="M125" s="114">
        <f>IF(COUNT($H124:M124)=Input!$W$7,SUM($G124:M124),0)</f>
        <v>0</v>
      </c>
      <c r="N125" s="114">
        <f>IF(COUNT($H124:N124)=Input!$W$7,SUM($G124:N124),0)</f>
        <v>0</v>
      </c>
      <c r="O125" s="114">
        <f>IF(COUNT($H124:O124)=Input!$W$7,SUM($G124:O124),0)</f>
        <v>0</v>
      </c>
      <c r="P125" s="114">
        <f>IF(COUNT($H124:P124)=Input!$W$7,SUM($G124:P124),0)</f>
        <v>0</v>
      </c>
      <c r="Q125" s="114">
        <f>IF(COUNT($H124:Q124)=Input!$W$7,SUM($G124:Q124),0)</f>
        <v>0</v>
      </c>
      <c r="R125" s="104"/>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7"/>
      <c r="BK125" s="227"/>
    </row>
    <row r="126" spans="1:63" hidden="1" outlineLevel="1">
      <c r="A126" s="9"/>
      <c r="B126" s="44"/>
      <c r="C126" s="278" t="str">
        <f>Asset10</f>
        <v>Transmission line assets - long life (60)</v>
      </c>
      <c r="D126" s="9"/>
      <c r="E126" s="9"/>
      <c r="F126" s="142"/>
      <c r="G126" s="207"/>
      <c r="H126" s="114">
        <f>($G85+(SUM($G126:G126)))*H$7</f>
        <v>0</v>
      </c>
      <c r="I126" s="114">
        <f>($G85+(SUM($G126:H126)))*I$7</f>
        <v>0</v>
      </c>
      <c r="J126" s="114">
        <f>($G85+(SUM($G126:I126)))*J$7</f>
        <v>0</v>
      </c>
      <c r="K126" s="114">
        <f>($G85+(SUM($G126:J126)))*K$7</f>
        <v>0</v>
      </c>
      <c r="L126" s="114">
        <f>($G85+(SUM($G126:K126)))*L$7</f>
        <v>0</v>
      </c>
      <c r="M126" s="114">
        <f>IF(COUNT($H126:L126)&gt;=Input!$W$7,0,($G85+(SUM($G126:L126)))*M$7)</f>
        <v>0</v>
      </c>
      <c r="N126" s="114">
        <f>IF(COUNT($H126:M126)&gt;=Input!$W$7,0,($G85+(SUM($G126:M126)))*N$7)</f>
        <v>0</v>
      </c>
      <c r="O126" s="114">
        <f>IF(COUNT($H126:N126)&gt;=Input!$W$7,0,($G85+(SUM($G126:N126)))*O$7)</f>
        <v>0</v>
      </c>
      <c r="P126" s="114">
        <f>IF(COUNT($H126:O126)&gt;=Input!$W$7,0,($G85+(SUM($G126:O126)))*P$7)</f>
        <v>0</v>
      </c>
      <c r="Q126" s="114">
        <f>IF(COUNT($H126:P126)&gt;=Input!$W$7,0,($G85+(SUM($G126:P126)))*Q$7)</f>
        <v>0</v>
      </c>
      <c r="R126" s="104"/>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7"/>
      <c r="BK126" s="227"/>
    </row>
    <row r="127" spans="1:63" hidden="1" outlineLevel="1">
      <c r="A127" s="9"/>
      <c r="B127" s="44"/>
      <c r="C127" s="290" t="s">
        <v>27</v>
      </c>
      <c r="D127" s="9"/>
      <c r="E127" s="9"/>
      <c r="F127" s="142"/>
      <c r="G127" s="207"/>
      <c r="H127" s="114"/>
      <c r="I127" s="114"/>
      <c r="J127" s="114"/>
      <c r="K127" s="114"/>
      <c r="L127" s="114">
        <f>IF(COUNT($H126:L126)=Input!$W$7,SUM($G126:L126),0)</f>
        <v>0</v>
      </c>
      <c r="M127" s="114">
        <f>IF(COUNT($H126:M126)=Input!$W$7,SUM($G126:M126),0)</f>
        <v>0</v>
      </c>
      <c r="N127" s="114">
        <f>IF(COUNT($H126:N126)=Input!$W$7,SUM($G126:N126),0)</f>
        <v>0</v>
      </c>
      <c r="O127" s="114">
        <f>IF(COUNT($H126:O126)=Input!$W$7,SUM($G126:O126),0)</f>
        <v>0</v>
      </c>
      <c r="P127" s="114">
        <f>IF(COUNT($H126:P126)=Input!$W$7,SUM($G126:P126),0)</f>
        <v>0</v>
      </c>
      <c r="Q127" s="114">
        <f>IF(COUNT($H126:Q126)=Input!$W$7,SUM($G126:Q126),0)</f>
        <v>0</v>
      </c>
      <c r="R127" s="104"/>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7"/>
      <c r="BK127" s="227"/>
    </row>
    <row r="128" spans="1:63" hidden="1" outlineLevel="1">
      <c r="A128" s="9"/>
      <c r="B128" s="44"/>
      <c r="C128" s="278" t="str">
        <f>Asset11</f>
        <v>Transmission line assets - medium life (45)</v>
      </c>
      <c r="D128" s="9"/>
      <c r="E128" s="9"/>
      <c r="F128" s="142"/>
      <c r="G128" s="207"/>
      <c r="H128" s="114">
        <f>($G86+(SUM($G128:G128)))*H$7</f>
        <v>0</v>
      </c>
      <c r="I128" s="114">
        <f>($G86+(SUM($G128:H128)))*I$7</f>
        <v>0</v>
      </c>
      <c r="J128" s="114">
        <f>($G86+(SUM($G128:I128)))*J$7</f>
        <v>0</v>
      </c>
      <c r="K128" s="114">
        <f>($G86+(SUM($G128:J128)))*K$7</f>
        <v>0</v>
      </c>
      <c r="L128" s="114">
        <f>($G86+(SUM($G128:K128)))*L$7</f>
        <v>0</v>
      </c>
      <c r="M128" s="114">
        <f>IF(COUNT($H128:L128)&gt;=Input!$W$7,0,($G86+(SUM($G128:L128)))*M$7)</f>
        <v>0</v>
      </c>
      <c r="N128" s="114">
        <f>IF(COUNT($H128:M128)&gt;=Input!$W$7,0,($G86+(SUM($G128:M128)))*N$7)</f>
        <v>0</v>
      </c>
      <c r="O128" s="114">
        <f>IF(COUNT($H128:N128)&gt;=Input!$W$7,0,($G86+(SUM($G128:N128)))*O$7)</f>
        <v>0</v>
      </c>
      <c r="P128" s="114">
        <f>IF(COUNT($H128:O128)&gt;=Input!$W$7,0,($G86+(SUM($G128:O128)))*P$7)</f>
        <v>0</v>
      </c>
      <c r="Q128" s="114">
        <f>IF(COUNT($H128:P128)&gt;=Input!$W$7,0,($G86+(SUM($G128:P128)))*Q$7)</f>
        <v>0</v>
      </c>
      <c r="R128" s="104"/>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7"/>
      <c r="BK128" s="227"/>
    </row>
    <row r="129" spans="1:63" hidden="1" outlineLevel="1">
      <c r="A129" s="9"/>
      <c r="B129" s="44"/>
      <c r="C129" s="290" t="s">
        <v>27</v>
      </c>
      <c r="D129" s="9"/>
      <c r="E129" s="9"/>
      <c r="F129" s="142"/>
      <c r="G129" s="207"/>
      <c r="H129" s="114"/>
      <c r="I129" s="114"/>
      <c r="J129" s="114"/>
      <c r="K129" s="114"/>
      <c r="L129" s="114">
        <f>IF(COUNT($H128:L128)=Input!$W$7,SUM($G128:L128),0)</f>
        <v>0</v>
      </c>
      <c r="M129" s="114">
        <f>IF(COUNT($H128:M128)=Input!$W$7,SUM($G128:M128),0)</f>
        <v>0</v>
      </c>
      <c r="N129" s="114">
        <f>IF(COUNT($H128:N128)=Input!$W$7,SUM($G128:N128),0)</f>
        <v>0</v>
      </c>
      <c r="O129" s="114">
        <f>IF(COUNT($H128:O128)=Input!$W$7,SUM($G128:O128),0)</f>
        <v>0</v>
      </c>
      <c r="P129" s="114">
        <f>IF(COUNT($H128:P128)=Input!$W$7,SUM($G128:P128),0)</f>
        <v>0</v>
      </c>
      <c r="Q129" s="114">
        <f>IF(COUNT($H128:Q128)=Input!$W$7,SUM($G128:Q128),0)</f>
        <v>0</v>
      </c>
      <c r="R129" s="104"/>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7"/>
      <c r="BK129" s="227"/>
    </row>
    <row r="130" spans="1:63" hidden="1" outlineLevel="1">
      <c r="A130" s="9"/>
      <c r="B130" s="44"/>
      <c r="C130" s="278" t="str">
        <f>Asset12</f>
        <v>Transmission line assets - short life (10)</v>
      </c>
      <c r="D130" s="9"/>
      <c r="E130" s="9"/>
      <c r="F130" s="142"/>
      <c r="G130" s="207"/>
      <c r="H130" s="114">
        <f>($G87+(SUM($G130:G130)))*H$7</f>
        <v>0</v>
      </c>
      <c r="I130" s="114">
        <f>($G87+(SUM($G130:H130)))*I$7</f>
        <v>0</v>
      </c>
      <c r="J130" s="114">
        <f>($G87+(SUM($G130:I130)))*J$7</f>
        <v>0</v>
      </c>
      <c r="K130" s="114">
        <f>($G87+(SUM($G130:J130)))*K$7</f>
        <v>0</v>
      </c>
      <c r="L130" s="114">
        <f>($G87+(SUM($G130:K130)))*L$7</f>
        <v>0</v>
      </c>
      <c r="M130" s="114">
        <f>IF(COUNT($H130:L130)&gt;=Input!$W$7,0,($G87+(SUM($G130:L130)))*M$7)</f>
        <v>0</v>
      </c>
      <c r="N130" s="114">
        <f>IF(COUNT($H130:M130)&gt;=Input!$W$7,0,($G87+(SUM($G130:M130)))*N$7)</f>
        <v>0</v>
      </c>
      <c r="O130" s="114">
        <f>IF(COUNT($H130:N130)&gt;=Input!$W$7,0,($G87+(SUM($G130:N130)))*O$7)</f>
        <v>0</v>
      </c>
      <c r="P130" s="114">
        <f>IF(COUNT($H130:O130)&gt;=Input!$W$7,0,($G87+(SUM($G130:O130)))*P$7)</f>
        <v>0</v>
      </c>
      <c r="Q130" s="114">
        <f>IF(COUNT($H130:P130)&gt;=Input!$W$7,0,($G87+(SUM($G130:P130)))*Q$7)</f>
        <v>0</v>
      </c>
      <c r="R130" s="104"/>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7"/>
      <c r="BK130" s="227"/>
    </row>
    <row r="131" spans="1:63" hidden="1" outlineLevel="1">
      <c r="A131" s="9"/>
      <c r="B131" s="44"/>
      <c r="C131" s="290" t="s">
        <v>27</v>
      </c>
      <c r="D131" s="9"/>
      <c r="E131" s="9"/>
      <c r="F131" s="142"/>
      <c r="G131" s="207"/>
      <c r="H131" s="114"/>
      <c r="I131" s="114"/>
      <c r="J131" s="114"/>
      <c r="K131" s="114"/>
      <c r="L131" s="114">
        <f>IF(COUNT($H130:L130)=Input!$W$7,SUM($G130:L130),0)</f>
        <v>0</v>
      </c>
      <c r="M131" s="114">
        <f>IF(COUNT($H130:M130)=Input!$W$7,SUM($G130:M130),0)</f>
        <v>0</v>
      </c>
      <c r="N131" s="114">
        <f>IF(COUNT($H130:N130)=Input!$W$7,SUM($G130:N130),0)</f>
        <v>0</v>
      </c>
      <c r="O131" s="114">
        <f>IF(COUNT($H130:O130)=Input!$W$7,SUM($G130:O130),0)</f>
        <v>0</v>
      </c>
      <c r="P131" s="114">
        <f>IF(COUNT($H130:P130)=Input!$W$7,SUM($G130:P130),0)</f>
        <v>0</v>
      </c>
      <c r="Q131" s="114">
        <f>IF(COUNT($H130:Q130)=Input!$W$7,SUM($G130:Q130),0)</f>
        <v>0</v>
      </c>
      <c r="R131" s="104"/>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7"/>
      <c r="BK131" s="227"/>
    </row>
    <row r="132" spans="1:63" hidden="1" outlineLevel="1">
      <c r="A132" s="9"/>
      <c r="B132" s="44"/>
      <c r="C132" s="278" t="str">
        <f>Asset13</f>
        <v>Substation assets - long life (60)</v>
      </c>
      <c r="D132" s="9"/>
      <c r="E132" s="9"/>
      <c r="F132" s="142"/>
      <c r="G132" s="207"/>
      <c r="H132" s="114">
        <f>($G88+(SUM($G132:G132)))*H$7</f>
        <v>0</v>
      </c>
      <c r="I132" s="114">
        <f>($G88+(SUM($G132:H132)))*I$7</f>
        <v>0</v>
      </c>
      <c r="J132" s="114">
        <f>($G88+(SUM($G132:I132)))*J$7</f>
        <v>0</v>
      </c>
      <c r="K132" s="114">
        <f>($G88+(SUM($G132:J132)))*K$7</f>
        <v>0</v>
      </c>
      <c r="L132" s="114">
        <f>($G88+(SUM($G132:K132)))*L$7</f>
        <v>0</v>
      </c>
      <c r="M132" s="114">
        <f>IF(COUNT($H132:L132)&gt;=Input!$W$7,0,($G88+(SUM($G132:L132)))*M$7)</f>
        <v>0</v>
      </c>
      <c r="N132" s="114">
        <f>IF(COUNT($H132:M132)&gt;=Input!$W$7,0,($G88+(SUM($G132:M132)))*N$7)</f>
        <v>0</v>
      </c>
      <c r="O132" s="114">
        <f>IF(COUNT($H132:N132)&gt;=Input!$W$7,0,($G88+(SUM($G132:N132)))*O$7)</f>
        <v>0</v>
      </c>
      <c r="P132" s="114">
        <f>IF(COUNT($H132:O132)&gt;=Input!$W$7,0,($G88+(SUM($G132:O132)))*P$7)</f>
        <v>0</v>
      </c>
      <c r="Q132" s="114">
        <f>IF(COUNT($H132:P132)&gt;=Input!$W$7,0,($G88+(SUM($G132:P132)))*Q$7)</f>
        <v>0</v>
      </c>
      <c r="R132" s="104"/>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7"/>
      <c r="BK132" s="227"/>
    </row>
    <row r="133" spans="1:63" hidden="1" outlineLevel="1">
      <c r="A133" s="9"/>
      <c r="B133" s="44"/>
      <c r="C133" s="290" t="s">
        <v>27</v>
      </c>
      <c r="D133" s="9"/>
      <c r="E133" s="9"/>
      <c r="F133" s="142"/>
      <c r="G133" s="207"/>
      <c r="H133" s="114"/>
      <c r="I133" s="114"/>
      <c r="J133" s="114"/>
      <c r="K133" s="114"/>
      <c r="L133" s="114">
        <f>IF(COUNT($H132:L132)=Input!$W$7,SUM($G132:L132),0)</f>
        <v>0</v>
      </c>
      <c r="M133" s="114">
        <f>IF(COUNT($H132:M132)=Input!$W$7,SUM($G132:M132),0)</f>
        <v>0</v>
      </c>
      <c r="N133" s="114">
        <f>IF(COUNT($H132:N132)=Input!$W$7,SUM($G132:N132),0)</f>
        <v>0</v>
      </c>
      <c r="O133" s="114">
        <f>IF(COUNT($H132:O132)=Input!$W$7,SUM($G132:O132),0)</f>
        <v>0</v>
      </c>
      <c r="P133" s="114">
        <f>IF(COUNT($H132:P132)=Input!$W$7,SUM($G132:P132),0)</f>
        <v>0</v>
      </c>
      <c r="Q133" s="114">
        <f>IF(COUNT($H132:Q132)=Input!$W$7,SUM($G132:Q132),0)</f>
        <v>0</v>
      </c>
      <c r="R133" s="104"/>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7"/>
      <c r="BK133" s="227"/>
    </row>
    <row r="134" spans="1:63" hidden="1" outlineLevel="1">
      <c r="A134" s="9"/>
      <c r="B134" s="44"/>
      <c r="C134" s="278" t="str">
        <f>Asset14</f>
        <v>Substation assets - medium life (45)</v>
      </c>
      <c r="D134" s="9"/>
      <c r="E134" s="9"/>
      <c r="F134" s="142"/>
      <c r="G134" s="207"/>
      <c r="H134" s="114">
        <f>($G89+(SUM($G134:G134)))*H$7</f>
        <v>0</v>
      </c>
      <c r="I134" s="114">
        <f>($G89+(SUM($G134:H134)))*I$7</f>
        <v>0</v>
      </c>
      <c r="J134" s="114">
        <f>($G89+(SUM($G134:I134)))*J$7</f>
        <v>0</v>
      </c>
      <c r="K134" s="114">
        <f>($G89+(SUM($G134:J134)))*K$7</f>
        <v>0</v>
      </c>
      <c r="L134" s="114">
        <f>($G89+(SUM($G134:K134)))*L$7</f>
        <v>0</v>
      </c>
      <c r="M134" s="114">
        <f>IF(COUNT($H134:L134)&gt;=Input!$W$7,0,($G89+(SUM($G134:L134)))*M$7)</f>
        <v>0</v>
      </c>
      <c r="N134" s="114">
        <f>IF(COUNT($H134:M134)&gt;=Input!$W$7,0,($G89+(SUM($G134:M134)))*N$7)</f>
        <v>0</v>
      </c>
      <c r="O134" s="114">
        <f>IF(COUNT($H134:N134)&gt;=Input!$W$7,0,($G89+(SUM($G134:N134)))*O$7)</f>
        <v>0</v>
      </c>
      <c r="P134" s="114">
        <f>IF(COUNT($H134:O134)&gt;=Input!$W$7,0,($G89+(SUM($G134:O134)))*P$7)</f>
        <v>0</v>
      </c>
      <c r="Q134" s="114">
        <f>IF(COUNT($H134:P134)&gt;=Input!$W$7,0,($G89+(SUM($G134:P134)))*Q$7)</f>
        <v>0</v>
      </c>
      <c r="R134" s="104"/>
      <c r="S134" s="104"/>
      <c r="T134" s="104"/>
      <c r="U134" s="104"/>
      <c r="V134" s="104"/>
      <c r="W134" s="104"/>
      <c r="X134" s="104"/>
      <c r="Y134" s="104"/>
      <c r="Z134" s="104"/>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7"/>
      <c r="BK134" s="227"/>
    </row>
    <row r="135" spans="1:63" hidden="1" outlineLevel="1">
      <c r="A135" s="9"/>
      <c r="B135" s="44"/>
      <c r="C135" s="290" t="s">
        <v>27</v>
      </c>
      <c r="D135" s="9"/>
      <c r="E135" s="9"/>
      <c r="F135" s="142"/>
      <c r="G135" s="207"/>
      <c r="H135" s="114"/>
      <c r="I135" s="114"/>
      <c r="J135" s="114"/>
      <c r="K135" s="114"/>
      <c r="L135" s="114">
        <f>IF(COUNT($H134:L134)=Input!$W$7,SUM($G134:L134),0)</f>
        <v>0</v>
      </c>
      <c r="M135" s="114">
        <f>IF(COUNT($H134:M134)=Input!$W$7,SUM($G134:M134),0)</f>
        <v>0</v>
      </c>
      <c r="N135" s="114">
        <f>IF(COUNT($H134:N134)=Input!$W$7,SUM($G134:N134),0)</f>
        <v>0</v>
      </c>
      <c r="O135" s="114">
        <f>IF(COUNT($H134:O134)=Input!$W$7,SUM($G134:O134),0)</f>
        <v>0</v>
      </c>
      <c r="P135" s="114">
        <f>IF(COUNT($H134:P134)=Input!$W$7,SUM($G134:P134),0)</f>
        <v>0</v>
      </c>
      <c r="Q135" s="114">
        <f>IF(COUNT($H134:Q134)=Input!$W$7,SUM($G134:Q134),0)</f>
        <v>0</v>
      </c>
      <c r="R135" s="104"/>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7"/>
      <c r="BK135" s="227"/>
    </row>
    <row r="136" spans="1:63" hidden="1" outlineLevel="1">
      <c r="A136" s="9"/>
      <c r="B136" s="44"/>
      <c r="C136" s="278" t="str">
        <f>Asset15</f>
        <v>Substation assets - short life (15)</v>
      </c>
      <c r="D136" s="9"/>
      <c r="E136" s="9"/>
      <c r="F136" s="142"/>
      <c r="G136" s="207"/>
      <c r="H136" s="114">
        <f>($G90+(SUM($G136:G136)))*H$7</f>
        <v>0</v>
      </c>
      <c r="I136" s="114">
        <f>($G90+(SUM($G136:H136)))*I$7</f>
        <v>0</v>
      </c>
      <c r="J136" s="114">
        <f>($G90+(SUM($G136:I136)))*J$7</f>
        <v>0</v>
      </c>
      <c r="K136" s="114">
        <f>($G90+(SUM($G136:J136)))*K$7</f>
        <v>0</v>
      </c>
      <c r="L136" s="114">
        <f>($G90+(SUM($G136:K136)))*L$7</f>
        <v>0</v>
      </c>
      <c r="M136" s="114">
        <f>IF(COUNT($H136:L136)&gt;=Input!$W$7,0,($G90+(SUM($G136:L136)))*M$7)</f>
        <v>0</v>
      </c>
      <c r="N136" s="114">
        <f>IF(COUNT($H136:M136)&gt;=Input!$W$7,0,($G90+(SUM($G136:M136)))*N$7)</f>
        <v>0</v>
      </c>
      <c r="O136" s="114">
        <f>IF(COUNT($H136:N136)&gt;=Input!$W$7,0,($G90+(SUM($G136:N136)))*O$7)</f>
        <v>0</v>
      </c>
      <c r="P136" s="114">
        <f>IF(COUNT($H136:O136)&gt;=Input!$W$7,0,($G90+(SUM($G136:O136)))*P$7)</f>
        <v>0</v>
      </c>
      <c r="Q136" s="114">
        <f>IF(COUNT($H136:P136)&gt;=Input!$W$7,0,($G90+(SUM($G136:P136)))*Q$7)</f>
        <v>0</v>
      </c>
      <c r="R136" s="104"/>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7"/>
      <c r="BK136" s="227"/>
    </row>
    <row r="137" spans="1:63" hidden="1" outlineLevel="1">
      <c r="A137" s="9"/>
      <c r="B137" s="44"/>
      <c r="C137" s="290" t="s">
        <v>27</v>
      </c>
      <c r="D137" s="9"/>
      <c r="E137" s="9"/>
      <c r="F137" s="142"/>
      <c r="G137" s="207"/>
      <c r="H137" s="114"/>
      <c r="I137" s="114"/>
      <c r="J137" s="114"/>
      <c r="K137" s="114"/>
      <c r="L137" s="114">
        <f>IF(COUNT($H136:L136)=Input!$W$7,SUM($G136:L136),0)</f>
        <v>0</v>
      </c>
      <c r="M137" s="114">
        <f>IF(COUNT($H136:M136)=Input!$W$7,SUM($G136:M136),0)</f>
        <v>0</v>
      </c>
      <c r="N137" s="114">
        <f>IF(COUNT($H136:N136)=Input!$W$7,SUM($G136:N136),0)</f>
        <v>0</v>
      </c>
      <c r="O137" s="114">
        <f>IF(COUNT($H136:O136)=Input!$W$7,SUM($G136:O136),0)</f>
        <v>0</v>
      </c>
      <c r="P137" s="114">
        <f>IF(COUNT($H136:P136)=Input!$W$7,SUM($G136:P136),0)</f>
        <v>0</v>
      </c>
      <c r="Q137" s="114">
        <f>IF(COUNT($H136:Q136)=Input!$W$7,SUM($G136:Q136),0)</f>
        <v>0</v>
      </c>
      <c r="R137" s="104"/>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7"/>
      <c r="BK137" s="227"/>
    </row>
    <row r="138" spans="1:63" hidden="1" outlineLevel="1">
      <c r="A138" s="9"/>
      <c r="B138" s="44"/>
      <c r="C138" s="278" t="str">
        <f>Asset16</f>
        <v>Protection and control - short life (15)</v>
      </c>
      <c r="D138" s="9"/>
      <c r="E138" s="9"/>
      <c r="F138" s="142"/>
      <c r="G138" s="207"/>
      <c r="H138" s="114">
        <f>($G91+(SUM($G138:G138)))*H$7</f>
        <v>0</v>
      </c>
      <c r="I138" s="114">
        <f>($G91+(SUM($G138:H138)))*I$7</f>
        <v>0</v>
      </c>
      <c r="J138" s="114">
        <f>($G91+(SUM($G138:I138)))*J$7</f>
        <v>0</v>
      </c>
      <c r="K138" s="114">
        <f>($G91+(SUM($G138:J138)))*K$7</f>
        <v>0</v>
      </c>
      <c r="L138" s="114">
        <f>($G91+(SUM($G138:K138)))*L$7</f>
        <v>0</v>
      </c>
      <c r="M138" s="114">
        <f>IF(COUNT($H138:L138)&gt;=Input!$W$7,0,($G91+(SUM($G138:L138)))*M$7)</f>
        <v>0</v>
      </c>
      <c r="N138" s="114">
        <f>IF(COUNT($H138:M138)&gt;=Input!$W$7,0,($G91+(SUM($G138:M138)))*N$7)</f>
        <v>0</v>
      </c>
      <c r="O138" s="114">
        <f>IF(COUNT($H138:N138)&gt;=Input!$W$7,0,($G91+(SUM($G138:N138)))*O$7)</f>
        <v>0</v>
      </c>
      <c r="P138" s="114">
        <f>IF(COUNT($H138:O138)&gt;=Input!$W$7,0,($G91+(SUM($G138:O138)))*P$7)</f>
        <v>0</v>
      </c>
      <c r="Q138" s="114">
        <f>IF(COUNT($H138:P138)&gt;=Input!$W$7,0,($G91+(SUM($G138:P138)))*Q$7)</f>
        <v>0</v>
      </c>
      <c r="R138" s="104"/>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7"/>
      <c r="BK138" s="227"/>
    </row>
    <row r="139" spans="1:63" hidden="1" outlineLevel="1">
      <c r="A139" s="9"/>
      <c r="B139" s="44"/>
      <c r="C139" s="290" t="s">
        <v>27</v>
      </c>
      <c r="D139" s="9"/>
      <c r="E139" s="9"/>
      <c r="F139" s="142"/>
      <c r="G139" s="207"/>
      <c r="H139" s="114"/>
      <c r="I139" s="114"/>
      <c r="J139" s="114"/>
      <c r="K139" s="114"/>
      <c r="L139" s="114">
        <f>IF(COUNT($H138:L138)=Input!$W$7,SUM($G138:L138),0)</f>
        <v>0</v>
      </c>
      <c r="M139" s="114">
        <f>IF(COUNT($H138:M138)=Input!$W$7,SUM($G138:M138),0)</f>
        <v>0</v>
      </c>
      <c r="N139" s="114">
        <f>IF(COUNT($H138:N138)=Input!$W$7,SUM($G138:N138),0)</f>
        <v>0</v>
      </c>
      <c r="O139" s="114">
        <f>IF(COUNT($H138:O138)=Input!$W$7,SUM($G138:O138),0)</f>
        <v>0</v>
      </c>
      <c r="P139" s="114">
        <f>IF(COUNT($H138:P138)=Input!$W$7,SUM($G138:P138),0)</f>
        <v>0</v>
      </c>
      <c r="Q139" s="114">
        <f>IF(COUNT($H138:Q138)=Input!$W$7,SUM($G138:Q138),0)</f>
        <v>0</v>
      </c>
      <c r="R139" s="104"/>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7"/>
      <c r="BK139" s="227"/>
    </row>
    <row r="140" spans="1:63" hidden="1" outlineLevel="1">
      <c r="A140" s="9"/>
      <c r="B140" s="44"/>
      <c r="C140" s="278" t="str">
        <f>Asset17</f>
        <v>Protection and control - short life (4)</v>
      </c>
      <c r="D140" s="9"/>
      <c r="E140" s="9"/>
      <c r="F140" s="142"/>
      <c r="G140" s="207"/>
      <c r="H140" s="114">
        <f>($G92+(SUM($G140:G140)))*H$7</f>
        <v>0</v>
      </c>
      <c r="I140" s="114">
        <f>($G92+(SUM($G140:H140)))*I$7</f>
        <v>0</v>
      </c>
      <c r="J140" s="114">
        <f>($G92+(SUM($G140:I140)))*J$7</f>
        <v>0</v>
      </c>
      <c r="K140" s="114">
        <f>($G92+(SUM($G140:J140)))*K$7</f>
        <v>0</v>
      </c>
      <c r="L140" s="114">
        <f>($G92+(SUM($G140:K140)))*L$7</f>
        <v>0</v>
      </c>
      <c r="M140" s="114">
        <f>IF(COUNT($H140:L140)&gt;=Input!$W$7,0,($G92+(SUM($G140:L140)))*M$7)</f>
        <v>0</v>
      </c>
      <c r="N140" s="114">
        <f>IF(COUNT($H140:M140)&gt;=Input!$W$7,0,($G92+(SUM($G140:M140)))*N$7)</f>
        <v>0</v>
      </c>
      <c r="O140" s="114">
        <f>IF(COUNT($H140:N140)&gt;=Input!$W$7,0,($G92+(SUM($G140:N140)))*O$7)</f>
        <v>0</v>
      </c>
      <c r="P140" s="114">
        <f>IF(COUNT($H140:O140)&gt;=Input!$W$7,0,($G92+(SUM($G140:O140)))*P$7)</f>
        <v>0</v>
      </c>
      <c r="Q140" s="114">
        <f>IF(COUNT($H140:P140)&gt;=Input!$W$7,0,($G92+(SUM($G140:P140)))*Q$7)</f>
        <v>0</v>
      </c>
      <c r="R140" s="104"/>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7"/>
      <c r="BK140" s="227"/>
    </row>
    <row r="141" spans="1:63" hidden="1" outlineLevel="1">
      <c r="A141" s="9"/>
      <c r="B141" s="44"/>
      <c r="C141" s="290" t="s">
        <v>27</v>
      </c>
      <c r="D141" s="9"/>
      <c r="E141" s="9"/>
      <c r="F141" s="142"/>
      <c r="G141" s="207"/>
      <c r="H141" s="114"/>
      <c r="I141" s="114"/>
      <c r="J141" s="114"/>
      <c r="K141" s="114"/>
      <c r="L141" s="114">
        <f>IF(COUNT($H140:L140)=Input!$W$7,SUM($G140:L140),0)</f>
        <v>0</v>
      </c>
      <c r="M141" s="114">
        <f>IF(COUNT($H140:M140)=Input!$W$7,SUM($G140:M140),0)</f>
        <v>0</v>
      </c>
      <c r="N141" s="114">
        <f>IF(COUNT($H140:N140)=Input!$W$7,SUM($G140:N140),0)</f>
        <v>0</v>
      </c>
      <c r="O141" s="114">
        <f>IF(COUNT($H140:O140)=Input!$W$7,SUM($G140:O140),0)</f>
        <v>0</v>
      </c>
      <c r="P141" s="114">
        <f>IF(COUNT($H140:P140)=Input!$W$7,SUM($G140:P140),0)</f>
        <v>0</v>
      </c>
      <c r="Q141" s="114">
        <f>IF(COUNT($H140:Q140)=Input!$W$7,SUM($G140:Q140),0)</f>
        <v>0</v>
      </c>
      <c r="R141" s="104"/>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7"/>
      <c r="BK141" s="227"/>
    </row>
    <row r="142" spans="1:63" hidden="1" outlineLevel="1">
      <c r="A142" s="9"/>
      <c r="B142" s="44"/>
      <c r="C142" s="278" t="str">
        <f>Asset18</f>
        <v>Transmission operations - short life (10)</v>
      </c>
      <c r="D142" s="9"/>
      <c r="E142" s="9"/>
      <c r="F142" s="142"/>
      <c r="G142" s="207"/>
      <c r="H142" s="114">
        <f>($G93+(SUM($G142:G142)))*H$7</f>
        <v>0</v>
      </c>
      <c r="I142" s="114">
        <f>($G93+(SUM($G142:H142)))*I$7</f>
        <v>0</v>
      </c>
      <c r="J142" s="114">
        <f>($G93+(SUM($G142:I142)))*J$7</f>
        <v>0</v>
      </c>
      <c r="K142" s="114">
        <f>($G93+(SUM($G142:J142)))*K$7</f>
        <v>0</v>
      </c>
      <c r="L142" s="114">
        <f>($G93+(SUM($G142:K142)))*L$7</f>
        <v>0</v>
      </c>
      <c r="M142" s="114">
        <f>IF(COUNT($H142:L142)&gt;=Input!$W$7,0,($G93+(SUM($G142:L142)))*M$7)</f>
        <v>0</v>
      </c>
      <c r="N142" s="114">
        <f>IF(COUNT($H142:M142)&gt;=Input!$W$7,0,($G93+(SUM($G142:M142)))*N$7)</f>
        <v>0</v>
      </c>
      <c r="O142" s="114">
        <f>IF(COUNT($H142:N142)&gt;=Input!$W$7,0,($G93+(SUM($G142:N142)))*O$7)</f>
        <v>0</v>
      </c>
      <c r="P142" s="114">
        <f>IF(COUNT($H142:O142)&gt;=Input!$W$7,0,($G93+(SUM($G142:O142)))*P$7)</f>
        <v>0</v>
      </c>
      <c r="Q142" s="114">
        <f>IF(COUNT($H142:P142)&gt;=Input!$W$7,0,($G93+(SUM($G142:P142)))*Q$7)</f>
        <v>0</v>
      </c>
      <c r="R142" s="104"/>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7"/>
      <c r="BK142" s="227"/>
    </row>
    <row r="143" spans="1:63" hidden="1" outlineLevel="1">
      <c r="A143" s="9"/>
      <c r="B143" s="44"/>
      <c r="C143" s="290" t="s">
        <v>27</v>
      </c>
      <c r="D143" s="9"/>
      <c r="E143" s="9"/>
      <c r="F143" s="142"/>
      <c r="G143" s="207"/>
      <c r="H143" s="114"/>
      <c r="I143" s="114"/>
      <c r="J143" s="114"/>
      <c r="K143" s="114"/>
      <c r="L143" s="114">
        <f>IF(COUNT($H142:L142)=Input!$W$7,SUM($G142:L142),0)</f>
        <v>0</v>
      </c>
      <c r="M143" s="114">
        <f>IF(COUNT($H142:M142)=Input!$W$7,SUM($G142:M142),0)</f>
        <v>0</v>
      </c>
      <c r="N143" s="114">
        <f>IF(COUNT($H142:N142)=Input!$W$7,SUM($G142:N142),0)</f>
        <v>0</v>
      </c>
      <c r="O143" s="114">
        <f>IF(COUNT($H142:O142)=Input!$W$7,SUM($G142:O142),0)</f>
        <v>0</v>
      </c>
      <c r="P143" s="114">
        <f>IF(COUNT($H142:P142)=Input!$W$7,SUM($G142:P142),0)</f>
        <v>0</v>
      </c>
      <c r="Q143" s="114">
        <f>IF(COUNT($H142:Q142)=Input!$W$7,SUM($G142:Q142),0)</f>
        <v>0</v>
      </c>
      <c r="R143" s="104"/>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7"/>
      <c r="BK143" s="227"/>
    </row>
    <row r="144" spans="1:63" hidden="1" outlineLevel="1">
      <c r="A144" s="9"/>
      <c r="B144" s="44"/>
      <c r="C144" s="278" t="str">
        <f>Asset19</f>
        <v>Transmission operations - short life (4)</v>
      </c>
      <c r="D144" s="9"/>
      <c r="E144" s="9"/>
      <c r="F144" s="142"/>
      <c r="G144" s="207"/>
      <c r="H144" s="114">
        <f>($G94+(SUM($G144:G144)))*H$7</f>
        <v>0</v>
      </c>
      <c r="I144" s="114">
        <f>($G94+(SUM($G144:H144)))*I$7</f>
        <v>0</v>
      </c>
      <c r="J144" s="114">
        <f>($G94+(SUM($G144:I144)))*J$7</f>
        <v>0</v>
      </c>
      <c r="K144" s="114">
        <f>($G94+(SUM($G144:J144)))*K$7</f>
        <v>0</v>
      </c>
      <c r="L144" s="114">
        <f>($G94+(SUM($G144:K144)))*L$7</f>
        <v>0</v>
      </c>
      <c r="M144" s="114">
        <f>IF(COUNT($H144:L144)&gt;=Input!$W$7,0,($G94+(SUM($G144:L144)))*M$7)</f>
        <v>0</v>
      </c>
      <c r="N144" s="114">
        <f>IF(COUNT($H144:M144)&gt;=Input!$W$7,0,($G94+(SUM($G144:M144)))*N$7)</f>
        <v>0</v>
      </c>
      <c r="O144" s="114">
        <f>IF(COUNT($H144:N144)&gt;=Input!$W$7,0,($G94+(SUM($G144:N144)))*O$7)</f>
        <v>0</v>
      </c>
      <c r="P144" s="114">
        <f>IF(COUNT($H144:O144)&gt;=Input!$W$7,0,($G94+(SUM($G144:O144)))*P$7)</f>
        <v>0</v>
      </c>
      <c r="Q144" s="114">
        <f>IF(COUNT($H144:P144)&gt;=Input!$W$7,0,($G94+(SUM($G144:P144)))*Q$7)</f>
        <v>0</v>
      </c>
      <c r="R144" s="104"/>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7"/>
      <c r="BK144" s="227"/>
    </row>
    <row r="145" spans="1:63" hidden="1" outlineLevel="1">
      <c r="A145" s="9"/>
      <c r="B145" s="44"/>
      <c r="C145" s="290" t="s">
        <v>27</v>
      </c>
      <c r="D145" s="9"/>
      <c r="E145" s="9"/>
      <c r="F145" s="142"/>
      <c r="G145" s="207"/>
      <c r="H145" s="114"/>
      <c r="I145" s="114"/>
      <c r="J145" s="114"/>
      <c r="K145" s="114"/>
      <c r="L145" s="114">
        <f>IF(COUNT($H144:L144)=Input!$W$7,SUM($G144:L144),0)</f>
        <v>0</v>
      </c>
      <c r="M145" s="114">
        <f>IF(COUNT($H144:M144)=Input!$W$7,SUM($G144:M144),0)</f>
        <v>0</v>
      </c>
      <c r="N145" s="114">
        <f>IF(COUNT($H144:N144)=Input!$W$7,SUM($G144:N144),0)</f>
        <v>0</v>
      </c>
      <c r="O145" s="114">
        <f>IF(COUNT($H144:O144)=Input!$W$7,SUM($G144:O144),0)</f>
        <v>0</v>
      </c>
      <c r="P145" s="114">
        <f>IF(COUNT($H144:P144)=Input!$W$7,SUM($G144:P144),0)</f>
        <v>0</v>
      </c>
      <c r="Q145" s="114">
        <f>IF(COUNT($H144:Q144)=Input!$W$7,SUM($G144:Q144),0)</f>
        <v>0</v>
      </c>
      <c r="R145" s="104"/>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7"/>
      <c r="BK145" s="227"/>
    </row>
    <row r="146" spans="1:63" hidden="1" outlineLevel="1">
      <c r="A146" s="9"/>
      <c r="B146" s="44"/>
      <c r="C146" s="278" t="str">
        <f>Asset20</f>
        <v>Other - medium life (40)</v>
      </c>
      <c r="D146" s="9"/>
      <c r="E146" s="9"/>
      <c r="F146" s="142"/>
      <c r="G146" s="207"/>
      <c r="H146" s="114">
        <f>($G95+(SUM($G146:G146)))*H$7</f>
        <v>0</v>
      </c>
      <c r="I146" s="114">
        <f>($G95+(SUM($G146:H146)))*I$7</f>
        <v>0</v>
      </c>
      <c r="J146" s="114">
        <f>($G95+(SUM($G146:I146)))*J$7</f>
        <v>0</v>
      </c>
      <c r="K146" s="114">
        <f>($G95+(SUM($G146:J146)))*K$7</f>
        <v>0</v>
      </c>
      <c r="L146" s="114">
        <f>($G95+(SUM($G146:K146)))*L$7</f>
        <v>0</v>
      </c>
      <c r="M146" s="114">
        <f>IF(COUNT($H146:L146)&gt;=Input!$W$7,0,($G95+(SUM($G146:L146)))*M$7)</f>
        <v>0</v>
      </c>
      <c r="N146" s="114">
        <f>IF(COUNT($H146:M146)&gt;=Input!$W$7,0,($G95+(SUM($G146:M146)))*N$7)</f>
        <v>0</v>
      </c>
      <c r="O146" s="114">
        <f>IF(COUNT($H146:N146)&gt;=Input!$W$7,0,($G95+(SUM($G146:N146)))*O$7)</f>
        <v>0</v>
      </c>
      <c r="P146" s="114">
        <f>IF(COUNT($H146:O146)&gt;=Input!$W$7,0,($G95+(SUM($G146:O146)))*P$7)</f>
        <v>0</v>
      </c>
      <c r="Q146" s="114">
        <f>IF(COUNT($H146:P146)&gt;=Input!$W$7,0,($G95+(SUM($G146:P146)))*Q$7)</f>
        <v>0</v>
      </c>
      <c r="R146" s="104"/>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7"/>
      <c r="BK146" s="227"/>
    </row>
    <row r="147" spans="1:63" hidden="1" outlineLevel="1">
      <c r="A147" s="9"/>
      <c r="B147" s="44"/>
      <c r="C147" s="290" t="s">
        <v>27</v>
      </c>
      <c r="D147" s="9"/>
      <c r="E147" s="9"/>
      <c r="F147" s="142"/>
      <c r="G147" s="207"/>
      <c r="H147" s="114"/>
      <c r="I147" s="114"/>
      <c r="J147" s="114"/>
      <c r="K147" s="114"/>
      <c r="L147" s="114">
        <f>IF(COUNT($H146:L146)=Input!$W$7,SUM($G146:L146),0)</f>
        <v>0</v>
      </c>
      <c r="M147" s="114">
        <f>IF(COUNT($H146:M146)=Input!$W$7,SUM($G146:M146),0)</f>
        <v>0</v>
      </c>
      <c r="N147" s="114">
        <f>IF(COUNT($H146:N146)=Input!$W$7,SUM($G146:N146),0)</f>
        <v>0</v>
      </c>
      <c r="O147" s="114">
        <f>IF(COUNT($H146:O146)=Input!$W$7,SUM($G146:O146),0)</f>
        <v>0</v>
      </c>
      <c r="P147" s="114">
        <f>IF(COUNT($H146:P146)=Input!$W$7,SUM($G146:P146),0)</f>
        <v>0</v>
      </c>
      <c r="Q147" s="114">
        <f>IF(COUNT($H146:Q146)=Input!$W$7,SUM($G146:Q146),0)</f>
        <v>0</v>
      </c>
      <c r="R147" s="104"/>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7"/>
      <c r="BK147" s="227"/>
    </row>
    <row r="148" spans="1:63" hidden="1" outlineLevel="1">
      <c r="A148" s="9"/>
      <c r="B148" s="44"/>
      <c r="C148" s="290" t="str">
        <f>Asset21</f>
        <v>Other - short life (9)</v>
      </c>
      <c r="D148" s="9"/>
      <c r="E148" s="9"/>
      <c r="F148" s="142"/>
      <c r="G148" s="207"/>
      <c r="H148" s="114">
        <f>($G96+(SUM($G148:G148)))*H$7</f>
        <v>0</v>
      </c>
      <c r="I148" s="114">
        <f>($G96+(SUM($G148:H148)))*I$7</f>
        <v>0</v>
      </c>
      <c r="J148" s="114">
        <f>($G96+(SUM($G148:I148)))*J$7</f>
        <v>0</v>
      </c>
      <c r="K148" s="114">
        <f>($G96+(SUM($G148:J148)))*K$7</f>
        <v>0</v>
      </c>
      <c r="L148" s="114">
        <f>($G96+(SUM($G148:K148)))*L$7</f>
        <v>0</v>
      </c>
      <c r="M148" s="114">
        <f>IF(COUNT($H148:L148)&gt;=Input!$W$7,0,($G96+(SUM($G148:L148)))*M$7)</f>
        <v>0</v>
      </c>
      <c r="N148" s="114">
        <f>IF(COUNT($H148:M148)&gt;=Input!$W$7,0,($G96+(SUM($G148:M148)))*N$7)</f>
        <v>0</v>
      </c>
      <c r="O148" s="114">
        <f>IF(COUNT($H148:N148)&gt;=Input!$W$7,0,($G96+(SUM($G148:N148)))*O$7)</f>
        <v>0</v>
      </c>
      <c r="P148" s="114">
        <f>IF(COUNT($H148:O148)&gt;=Input!$W$7,0,($G96+(SUM($G148:O148)))*P$7)</f>
        <v>0</v>
      </c>
      <c r="Q148" s="114">
        <f>IF(COUNT($H148:P148)&gt;=Input!$W$7,0,($G96+(SUM($G148:P148)))*Q$7)</f>
        <v>0</v>
      </c>
      <c r="R148" s="104"/>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7"/>
      <c r="BK148" s="227"/>
    </row>
    <row r="149" spans="1:63" hidden="1" outlineLevel="1">
      <c r="A149" s="9"/>
      <c r="B149" s="44"/>
      <c r="C149" s="290" t="s">
        <v>27</v>
      </c>
      <c r="D149" s="9"/>
      <c r="E149" s="9"/>
      <c r="F149" s="142"/>
      <c r="G149" s="207"/>
      <c r="H149" s="114"/>
      <c r="I149" s="114"/>
      <c r="J149" s="114"/>
      <c r="K149" s="114"/>
      <c r="L149" s="114">
        <f>IF(COUNT($H148:L148)=Input!$W$7,SUM($G148:L148),0)</f>
        <v>0</v>
      </c>
      <c r="M149" s="114">
        <f>IF(COUNT($H148:M148)=Input!$W$7,SUM($G148:M148),0)</f>
        <v>0</v>
      </c>
      <c r="N149" s="114">
        <f>IF(COUNT($H148:N148)=Input!$W$7,SUM($G148:N148),0)</f>
        <v>0</v>
      </c>
      <c r="O149" s="114">
        <f>IF(COUNT($H148:O148)=Input!$W$7,SUM($G148:O148),0)</f>
        <v>0</v>
      </c>
      <c r="P149" s="114">
        <f>IF(COUNT($H148:P148)=Input!$W$7,SUM($G148:P148),0)</f>
        <v>0</v>
      </c>
      <c r="Q149" s="114">
        <f>IF(COUNT($H148:Q148)=Input!$W$7,SUM($G148:Q148),0)</f>
        <v>0</v>
      </c>
      <c r="R149" s="104"/>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7"/>
      <c r="BK149" s="227"/>
    </row>
    <row r="150" spans="1:63" hidden="1" outlineLevel="1">
      <c r="A150" s="9"/>
      <c r="B150" s="44"/>
      <c r="C150" s="290" t="str">
        <f>Asset22</f>
        <v>Other - short life (4)</v>
      </c>
      <c r="D150" s="9"/>
      <c r="E150" s="9"/>
      <c r="F150" s="142"/>
      <c r="G150" s="207"/>
      <c r="H150" s="114">
        <f>($G97+(SUM($G150:G150)))*H$7</f>
        <v>0</v>
      </c>
      <c r="I150" s="114">
        <f>($G97+(SUM($G150:H150)))*I$7</f>
        <v>0</v>
      </c>
      <c r="J150" s="114">
        <f>($G97+(SUM($G150:I150)))*J$7</f>
        <v>0</v>
      </c>
      <c r="K150" s="114">
        <f>($G97+(SUM($G150:J150)))*K$7</f>
        <v>0</v>
      </c>
      <c r="L150" s="114">
        <f>($G97+(SUM($G150:K150)))*L$7</f>
        <v>0</v>
      </c>
      <c r="M150" s="114">
        <f>IF(COUNT($H150:L150)&gt;=Input!$W$7,0,($G97+(SUM($G150:L150)))*M$7)</f>
        <v>0</v>
      </c>
      <c r="N150" s="114">
        <f>IF(COUNT($H150:M150)&gt;=Input!$W$7,0,($G97+(SUM($G150:M150)))*N$7)</f>
        <v>0</v>
      </c>
      <c r="O150" s="114">
        <f>IF(COUNT($H150:N150)&gt;=Input!$W$7,0,($G97+(SUM($G150:N150)))*O$7)</f>
        <v>0</v>
      </c>
      <c r="P150" s="114">
        <f>IF(COUNT($H150:O150)&gt;=Input!$W$7,0,($G97+(SUM($G150:O150)))*P$7)</f>
        <v>0</v>
      </c>
      <c r="Q150" s="114">
        <f>IF(COUNT($H150:P150)&gt;=Input!$W$7,0,($G97+(SUM($G150:P150)))*Q$7)</f>
        <v>0</v>
      </c>
      <c r="R150" s="104"/>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7"/>
      <c r="BK150" s="227"/>
    </row>
    <row r="151" spans="1:63" hidden="1" outlineLevel="1">
      <c r="A151" s="9"/>
      <c r="B151" s="44"/>
      <c r="C151" s="290" t="s">
        <v>27</v>
      </c>
      <c r="D151" s="9"/>
      <c r="E151" s="9"/>
      <c r="F151" s="142"/>
      <c r="G151" s="207"/>
      <c r="H151" s="114"/>
      <c r="I151" s="114"/>
      <c r="J151" s="114"/>
      <c r="K151" s="114"/>
      <c r="L151" s="114">
        <f>IF(COUNT($H150:L150)=Input!$W$7,SUM($G150:L150),0)</f>
        <v>0</v>
      </c>
      <c r="M151" s="114">
        <f>IF(COUNT($H150:M150)=Input!$W$7,SUM($G150:M150),0)</f>
        <v>0</v>
      </c>
      <c r="N151" s="114">
        <f>IF(COUNT($H150:N150)=Input!$W$7,SUM($G150:N150),0)</f>
        <v>0</v>
      </c>
      <c r="O151" s="114">
        <f>IF(COUNT($H150:O150)=Input!$W$7,SUM($G150:O150),0)</f>
        <v>0</v>
      </c>
      <c r="P151" s="114">
        <f>IF(COUNT($H150:P150)=Input!$W$7,SUM($G150:P150),0)</f>
        <v>0</v>
      </c>
      <c r="Q151" s="114">
        <f>IF(COUNT($H150:Q150)=Input!$W$7,SUM($G150:Q150),0)</f>
        <v>0</v>
      </c>
      <c r="R151" s="104"/>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7"/>
      <c r="BK151" s="227"/>
    </row>
    <row r="152" spans="1:63" hidden="1" outlineLevel="1">
      <c r="A152" s="9"/>
      <c r="B152" s="44"/>
      <c r="C152" s="290" t="str">
        <f>Asset23</f>
        <v>Land and Easements</v>
      </c>
      <c r="D152" s="9"/>
      <c r="E152" s="9"/>
      <c r="F152" s="142"/>
      <c r="G152" s="207"/>
      <c r="H152" s="114">
        <f>($G98+(SUM($G152:G152)))*H$7</f>
        <v>0</v>
      </c>
      <c r="I152" s="114">
        <f>($G98+(SUM($G152:H152)))*I$7</f>
        <v>0</v>
      </c>
      <c r="J152" s="114">
        <f>($G98+(SUM($G152:I152)))*J$7</f>
        <v>0</v>
      </c>
      <c r="K152" s="114">
        <f>($G98+(SUM($G152:J152)))*K$7</f>
        <v>0</v>
      </c>
      <c r="L152" s="114">
        <f>($G98+(SUM($G152:K152)))*L$7</f>
        <v>0</v>
      </c>
      <c r="M152" s="114">
        <f>IF(COUNT($H152:L152)&gt;=Input!$W$7,0,($G98+(SUM($G152:L152)))*M$7)</f>
        <v>0</v>
      </c>
      <c r="N152" s="114">
        <f>IF(COUNT($H152:M152)&gt;=Input!$W$7,0,($G98+(SUM($G152:M152)))*N$7)</f>
        <v>0</v>
      </c>
      <c r="O152" s="114">
        <f>IF(COUNT($H152:N152)&gt;=Input!$W$7,0,($G98+(SUM($G152:N152)))*O$7)</f>
        <v>0</v>
      </c>
      <c r="P152" s="114">
        <f>IF(COUNT($H152:O152)&gt;=Input!$W$7,0,($G98+(SUM($G152:O152)))*P$7)</f>
        <v>0</v>
      </c>
      <c r="Q152" s="114">
        <f>IF(COUNT($H152:P152)&gt;=Input!$W$7,0,($G98+(SUM($G152:P152)))*Q$7)</f>
        <v>0</v>
      </c>
      <c r="R152" s="104"/>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7"/>
      <c r="BK152" s="227"/>
    </row>
    <row r="153" spans="1:63" hidden="1" outlineLevel="1">
      <c r="A153" s="9"/>
      <c r="B153" s="44"/>
      <c r="C153" s="290" t="s">
        <v>27</v>
      </c>
      <c r="D153" s="9"/>
      <c r="E153" s="9"/>
      <c r="F153" s="142"/>
      <c r="G153" s="207"/>
      <c r="H153" s="114"/>
      <c r="I153" s="114"/>
      <c r="J153" s="114"/>
      <c r="K153" s="114"/>
      <c r="L153" s="114">
        <f>IF(COUNT($H152:L152)=Input!$W$7,SUM($G152:L152),0)</f>
        <v>0</v>
      </c>
      <c r="M153" s="114">
        <f>IF(COUNT($H152:M152)=Input!$W$7,SUM($G152:M152),0)</f>
        <v>0</v>
      </c>
      <c r="N153" s="114">
        <f>IF(COUNT($H152:N152)=Input!$W$7,SUM($G152:N152),0)</f>
        <v>0</v>
      </c>
      <c r="O153" s="114">
        <f>IF(COUNT($H152:O152)=Input!$W$7,SUM($G152:O152),0)</f>
        <v>0</v>
      </c>
      <c r="P153" s="114">
        <f>IF(COUNT($H152:P152)=Input!$W$7,SUM($G152:P152),0)</f>
        <v>0</v>
      </c>
      <c r="Q153" s="114">
        <f>IF(COUNT($H152:Q152)=Input!$W$7,SUM($G152:Q152),0)</f>
        <v>0</v>
      </c>
      <c r="R153" s="104"/>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7"/>
      <c r="BK153" s="227"/>
    </row>
    <row r="154" spans="1:63" hidden="1" outlineLevel="1">
      <c r="A154" s="9"/>
      <c r="B154" s="44"/>
      <c r="C154" s="290" t="str">
        <f>Asset24</f>
        <v>Equity Raising</v>
      </c>
      <c r="D154" s="9"/>
      <c r="E154" s="9"/>
      <c r="F154" s="142"/>
      <c r="G154" s="207"/>
      <c r="H154" s="114">
        <f>($G99+(SUM($G154:G154)))*H$7</f>
        <v>0</v>
      </c>
      <c r="I154" s="114">
        <f>($G99+(SUM($G154:H154)))*I$7</f>
        <v>0</v>
      </c>
      <c r="J154" s="114">
        <f>($G99+(SUM($G154:I154)))*J$7</f>
        <v>0</v>
      </c>
      <c r="K154" s="114">
        <f>($G99+(SUM($G154:J154)))*K$7</f>
        <v>0</v>
      </c>
      <c r="L154" s="114">
        <f>($G99+(SUM($G154:K154)))*L$7</f>
        <v>0</v>
      </c>
      <c r="M154" s="114">
        <f>IF(COUNT($H154:L154)&gt;=Input!$W$7,0,($G99+(SUM($G154:L154)))*M$7)</f>
        <v>0</v>
      </c>
      <c r="N154" s="114">
        <f>IF(COUNT($H154:M154)&gt;=Input!$W$7,0,($G99+(SUM($G154:M154)))*N$7)</f>
        <v>0</v>
      </c>
      <c r="O154" s="114">
        <f>IF(COUNT($H154:N154)&gt;=Input!$W$7,0,($G99+(SUM($G154:N154)))*O$7)</f>
        <v>0</v>
      </c>
      <c r="P154" s="114">
        <f>IF(COUNT($H154:O154)&gt;=Input!$W$7,0,($G99+(SUM($G154:O154)))*P$7)</f>
        <v>0</v>
      </c>
      <c r="Q154" s="114">
        <f>IF(COUNT($H154:P154)&gt;=Input!$W$7,0,($G99+(SUM($G154:P154)))*Q$7)</f>
        <v>0</v>
      </c>
      <c r="R154" s="104"/>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7"/>
      <c r="BK154" s="227"/>
    </row>
    <row r="155" spans="1:63" hidden="1" outlineLevel="1">
      <c r="A155" s="9"/>
      <c r="B155" s="44"/>
      <c r="C155" s="290" t="s">
        <v>27</v>
      </c>
      <c r="D155" s="9"/>
      <c r="E155" s="9"/>
      <c r="F155" s="142"/>
      <c r="G155" s="207"/>
      <c r="H155" s="114"/>
      <c r="I155" s="114"/>
      <c r="J155" s="114"/>
      <c r="K155" s="114"/>
      <c r="L155" s="114">
        <f>IF(COUNT($H154:L154)=Input!$W$7,SUM($G154:L154),0)</f>
        <v>0</v>
      </c>
      <c r="M155" s="114">
        <f>IF(COUNT($H154:M154)=Input!$W$7,SUM($G154:M154),0)</f>
        <v>0</v>
      </c>
      <c r="N155" s="114">
        <f>IF(COUNT($H154:N154)=Input!$W$7,SUM($G154:N154),0)</f>
        <v>0</v>
      </c>
      <c r="O155" s="114">
        <f>IF(COUNT($H154:O154)=Input!$W$7,SUM($G154:O154),0)</f>
        <v>0</v>
      </c>
      <c r="P155" s="114">
        <f>IF(COUNT($H154:P154)=Input!$W$7,SUM($G154:P154),0)</f>
        <v>0</v>
      </c>
      <c r="Q155" s="114">
        <f>IF(COUNT($H154:Q154)=Input!$W$7,SUM($G154:Q154),0)</f>
        <v>0</v>
      </c>
      <c r="R155" s="104"/>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7"/>
      <c r="BK155" s="227"/>
    </row>
    <row r="156" spans="1:63" hidden="1" outlineLevel="1">
      <c r="A156" s="9"/>
      <c r="B156" s="44"/>
      <c r="C156" s="290">
        <f>Asset25</f>
        <v>0</v>
      </c>
      <c r="D156" s="9"/>
      <c r="E156" s="9"/>
      <c r="F156" s="142"/>
      <c r="G156" s="207"/>
      <c r="H156" s="114">
        <f>($G100+(SUM($G156:G156)))*H$7</f>
        <v>0</v>
      </c>
      <c r="I156" s="114">
        <f>($G100+(SUM($G156:H156)))*I$7</f>
        <v>0</v>
      </c>
      <c r="J156" s="114">
        <f>($G100+(SUM($G156:I156)))*J$7</f>
        <v>0</v>
      </c>
      <c r="K156" s="114">
        <f>($G100+(SUM($G156:J156)))*K$7</f>
        <v>0</v>
      </c>
      <c r="L156" s="114">
        <f>($G100+(SUM($G156:K156)))*L$7</f>
        <v>0</v>
      </c>
      <c r="M156" s="114">
        <f>IF(COUNT($H156:L156)&gt;=Input!$W$7,0,($G100+(SUM($G156:L156)))*M$7)</f>
        <v>0</v>
      </c>
      <c r="N156" s="114">
        <f>IF(COUNT($H156:M156)&gt;=Input!$W$7,0,($G100+(SUM($G156:M156)))*N$7)</f>
        <v>0</v>
      </c>
      <c r="O156" s="114">
        <f>IF(COUNT($H156:N156)&gt;=Input!$W$7,0,($G100+(SUM($G156:N156)))*O$7)</f>
        <v>0</v>
      </c>
      <c r="P156" s="114">
        <f>IF(COUNT($H156:O156)&gt;=Input!$W$7,0,($G100+(SUM($G156:O156)))*P$7)</f>
        <v>0</v>
      </c>
      <c r="Q156" s="114">
        <f>IF(COUNT($H156:P156)&gt;=Input!$W$7,0,($G100+(SUM($G156:P156)))*Q$7)</f>
        <v>0</v>
      </c>
      <c r="R156" s="104"/>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7"/>
      <c r="BK156" s="227"/>
    </row>
    <row r="157" spans="1:63" hidden="1" outlineLevel="1">
      <c r="A157" s="9"/>
      <c r="B157" s="44"/>
      <c r="C157" s="290" t="s">
        <v>27</v>
      </c>
      <c r="D157" s="9"/>
      <c r="E157" s="9"/>
      <c r="F157" s="142"/>
      <c r="G157" s="207"/>
      <c r="H157" s="114"/>
      <c r="I157" s="114"/>
      <c r="J157" s="114"/>
      <c r="K157" s="114"/>
      <c r="L157" s="114">
        <f>IF(COUNT($H156:L156)=Input!$W$7,SUM($G156:L156),0)</f>
        <v>0</v>
      </c>
      <c r="M157" s="114">
        <f>IF(COUNT($H156:M156)=Input!$W$7,SUM($G156:M156),0)</f>
        <v>0</v>
      </c>
      <c r="N157" s="114">
        <f>IF(COUNT($H156:N156)=Input!$W$7,SUM($G156:N156),0)</f>
        <v>0</v>
      </c>
      <c r="O157" s="114">
        <f>IF(COUNT($H156:O156)=Input!$W$7,SUM($G156:O156),0)</f>
        <v>0</v>
      </c>
      <c r="P157" s="114">
        <f>IF(COUNT($H156:P156)=Input!$W$7,SUM($G156:P156),0)</f>
        <v>0</v>
      </c>
      <c r="Q157" s="114">
        <f>IF(COUNT($H156:Q156)=Input!$W$7,SUM($G156:Q156),0)</f>
        <v>0</v>
      </c>
      <c r="R157" s="104"/>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7"/>
      <c r="BK157" s="227"/>
    </row>
    <row r="158" spans="1:63" hidden="1" outlineLevel="1">
      <c r="A158" s="9"/>
      <c r="B158" s="44"/>
      <c r="C158" s="290">
        <f>Asset26</f>
        <v>0</v>
      </c>
      <c r="D158" s="9"/>
      <c r="E158" s="9"/>
      <c r="F158" s="142"/>
      <c r="G158" s="207"/>
      <c r="H158" s="114">
        <f>($G101+(SUM($G158:G158)))*H$7</f>
        <v>0</v>
      </c>
      <c r="I158" s="114">
        <f>($G101+(SUM($G158:H158)))*I$7</f>
        <v>0</v>
      </c>
      <c r="J158" s="114">
        <f>($G101+(SUM($G158:I158)))*J$7</f>
        <v>0</v>
      </c>
      <c r="K158" s="114">
        <f>($G101+(SUM($G158:J158)))*K$7</f>
        <v>0</v>
      </c>
      <c r="L158" s="114">
        <f>($G101+(SUM($G158:K158)))*L$7</f>
        <v>0</v>
      </c>
      <c r="M158" s="114">
        <f>IF(COUNT($H158:L158)&gt;=Input!$W$7,0,($G101+(SUM($G158:L158)))*M$7)</f>
        <v>0</v>
      </c>
      <c r="N158" s="114">
        <f>IF(COUNT($H158:M158)&gt;=Input!$W$7,0,($G101+(SUM($G158:M158)))*N$7)</f>
        <v>0</v>
      </c>
      <c r="O158" s="114">
        <f>IF(COUNT($H158:N158)&gt;=Input!$W$7,0,($G101+(SUM($G158:N158)))*O$7)</f>
        <v>0</v>
      </c>
      <c r="P158" s="114">
        <f>IF(COUNT($H158:O158)&gt;=Input!$W$7,0,($G101+(SUM($G158:O158)))*P$7)</f>
        <v>0</v>
      </c>
      <c r="Q158" s="114">
        <f>IF(COUNT($H158:P158)&gt;=Input!$W$7,0,($G101+(SUM($G158:P158)))*Q$7)</f>
        <v>0</v>
      </c>
      <c r="R158" s="104"/>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7"/>
      <c r="BK158" s="227"/>
    </row>
    <row r="159" spans="1:63" hidden="1" outlineLevel="1">
      <c r="A159" s="9"/>
      <c r="B159" s="44"/>
      <c r="C159" s="290" t="s">
        <v>27</v>
      </c>
      <c r="D159" s="9"/>
      <c r="E159" s="9"/>
      <c r="F159" s="142"/>
      <c r="G159" s="207"/>
      <c r="H159" s="114"/>
      <c r="I159" s="114"/>
      <c r="J159" s="114"/>
      <c r="K159" s="114"/>
      <c r="L159" s="114">
        <f>IF(COUNT($H158:L158)=Input!$W$7,SUM($G158:L158),0)</f>
        <v>0</v>
      </c>
      <c r="M159" s="114">
        <f>IF(COUNT($H158:M158)=Input!$W$7,SUM($G158:M158),0)</f>
        <v>0</v>
      </c>
      <c r="N159" s="114">
        <f>IF(COUNT($H158:N158)=Input!$W$7,SUM($G158:N158),0)</f>
        <v>0</v>
      </c>
      <c r="O159" s="114">
        <f>IF(COUNT($H158:O158)=Input!$W$7,SUM($G158:O158),0)</f>
        <v>0</v>
      </c>
      <c r="P159" s="114">
        <f>IF(COUNT($H158:P158)=Input!$W$7,SUM($G158:P158),0)</f>
        <v>0</v>
      </c>
      <c r="Q159" s="114">
        <f>IF(COUNT($H158:Q158)=Input!$W$7,SUM($G158:Q158),0)</f>
        <v>0</v>
      </c>
      <c r="R159" s="104"/>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7"/>
      <c r="BK159" s="227"/>
    </row>
    <row r="160" spans="1:63" hidden="1" outlineLevel="1">
      <c r="A160" s="9"/>
      <c r="B160" s="44"/>
      <c r="C160" s="290">
        <f>Asset27</f>
        <v>0</v>
      </c>
      <c r="D160" s="9"/>
      <c r="E160" s="9"/>
      <c r="F160" s="142"/>
      <c r="G160" s="207"/>
      <c r="H160" s="114">
        <f>($G102+(SUM($G160:G160)))*H$7</f>
        <v>0</v>
      </c>
      <c r="I160" s="114">
        <f>($G102+(SUM($G160:H160)))*I$7</f>
        <v>0</v>
      </c>
      <c r="J160" s="114">
        <f>($G102+(SUM($G160:I160)))*J$7</f>
        <v>0</v>
      </c>
      <c r="K160" s="114">
        <f>($G102+(SUM($G160:J160)))*K$7</f>
        <v>0</v>
      </c>
      <c r="L160" s="114">
        <f>($G102+(SUM($G160:K160)))*L$7</f>
        <v>0</v>
      </c>
      <c r="M160" s="114">
        <f>IF(COUNT($H160:L160)&gt;=Input!$W$7,0,($G102+(SUM($G160:L160)))*M$7)</f>
        <v>0</v>
      </c>
      <c r="N160" s="114">
        <f>IF(COUNT($H160:M160)&gt;=Input!$W$7,0,($G102+(SUM($G160:M160)))*N$7)</f>
        <v>0</v>
      </c>
      <c r="O160" s="114">
        <f>IF(COUNT($H160:N160)&gt;=Input!$W$7,0,($G102+(SUM($G160:N160)))*O$7)</f>
        <v>0</v>
      </c>
      <c r="P160" s="114">
        <f>IF(COUNT($H160:O160)&gt;=Input!$W$7,0,($G102+(SUM($G160:O160)))*P$7)</f>
        <v>0</v>
      </c>
      <c r="Q160" s="114">
        <f>IF(COUNT($H160:P160)&gt;=Input!$W$7,0,($G102+(SUM($G160:P160)))*Q$7)</f>
        <v>0</v>
      </c>
      <c r="R160" s="104"/>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7"/>
      <c r="BK160" s="227"/>
    </row>
    <row r="161" spans="1:63" hidden="1" outlineLevel="1">
      <c r="A161" s="9"/>
      <c r="B161" s="44"/>
      <c r="C161" s="290" t="s">
        <v>27</v>
      </c>
      <c r="D161" s="9"/>
      <c r="E161" s="9"/>
      <c r="F161" s="142"/>
      <c r="G161" s="207"/>
      <c r="H161" s="114"/>
      <c r="I161" s="114"/>
      <c r="J161" s="114"/>
      <c r="K161" s="114"/>
      <c r="L161" s="114">
        <f>IF(COUNT($H160:L160)=Input!$W$7,SUM($G160:L160),0)</f>
        <v>0</v>
      </c>
      <c r="M161" s="114">
        <f>IF(COUNT($H160:M160)=Input!$W$7,SUM($G160:M160),0)</f>
        <v>0</v>
      </c>
      <c r="N161" s="114">
        <f>IF(COUNT($H160:N160)=Input!$W$7,SUM($G160:N160),0)</f>
        <v>0</v>
      </c>
      <c r="O161" s="114">
        <f>IF(COUNT($H160:O160)=Input!$W$7,SUM($G160:O160),0)</f>
        <v>0</v>
      </c>
      <c r="P161" s="114">
        <f>IF(COUNT($H160:P160)=Input!$W$7,SUM($G160:P160),0)</f>
        <v>0</v>
      </c>
      <c r="Q161" s="114">
        <f>IF(COUNT($H160:Q160)=Input!$W$7,SUM($G160:Q160),0)</f>
        <v>0</v>
      </c>
      <c r="R161" s="104"/>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7"/>
      <c r="BK161" s="227"/>
    </row>
    <row r="162" spans="1:63" hidden="1" outlineLevel="1">
      <c r="A162" s="9"/>
      <c r="B162" s="44"/>
      <c r="C162" s="290">
        <f>Asset28</f>
        <v>0</v>
      </c>
      <c r="D162" s="9"/>
      <c r="E162" s="9"/>
      <c r="F162" s="142"/>
      <c r="G162" s="207"/>
      <c r="H162" s="114">
        <f>($G103+(SUM($G162:G162)))*H$7</f>
        <v>0</v>
      </c>
      <c r="I162" s="114">
        <f>($G103+(SUM($G162:H162)))*I$7</f>
        <v>0</v>
      </c>
      <c r="J162" s="114">
        <f>($G103+(SUM($G162:I162)))*J$7</f>
        <v>0</v>
      </c>
      <c r="K162" s="114">
        <f>($G103+(SUM($G162:J162)))*K$7</f>
        <v>0</v>
      </c>
      <c r="L162" s="114">
        <f>($G103+(SUM($G162:K162)))*L$7</f>
        <v>0</v>
      </c>
      <c r="M162" s="114">
        <f>IF(COUNT($H162:L162)&gt;=Input!$W$7,0,($G103+(SUM($G162:L162)))*M$7)</f>
        <v>0</v>
      </c>
      <c r="N162" s="114">
        <f>IF(COUNT($H162:M162)&gt;=Input!$W$7,0,($G103+(SUM($G162:M162)))*N$7)</f>
        <v>0</v>
      </c>
      <c r="O162" s="114">
        <f>IF(COUNT($H162:N162)&gt;=Input!$W$7,0,($G103+(SUM($G162:N162)))*O$7)</f>
        <v>0</v>
      </c>
      <c r="P162" s="114">
        <f>IF(COUNT($H162:O162)&gt;=Input!$W$7,0,($G103+(SUM($G162:O162)))*P$7)</f>
        <v>0</v>
      </c>
      <c r="Q162" s="114">
        <f>IF(COUNT($H162:P162)&gt;=Input!$W$7,0,($G103+(SUM($G162:P162)))*Q$7)</f>
        <v>0</v>
      </c>
      <c r="R162" s="104"/>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7"/>
      <c r="BK162" s="227"/>
    </row>
    <row r="163" spans="1:63" hidden="1" outlineLevel="1">
      <c r="A163" s="9"/>
      <c r="B163" s="44"/>
      <c r="C163" s="290" t="s">
        <v>27</v>
      </c>
      <c r="D163" s="9"/>
      <c r="E163" s="9"/>
      <c r="F163" s="142"/>
      <c r="G163" s="207"/>
      <c r="H163" s="114"/>
      <c r="I163" s="114"/>
      <c r="J163" s="114"/>
      <c r="K163" s="114"/>
      <c r="L163" s="114">
        <f>IF(COUNT($H162:L162)=Input!$W$7,SUM($G162:L162),0)</f>
        <v>0</v>
      </c>
      <c r="M163" s="114">
        <f>IF(COUNT($H162:M162)=Input!$W$7,SUM($G162:M162),0)</f>
        <v>0</v>
      </c>
      <c r="N163" s="114">
        <f>IF(COUNT($H162:N162)=Input!$W$7,SUM($G162:N162),0)</f>
        <v>0</v>
      </c>
      <c r="O163" s="114">
        <f>IF(COUNT($H162:O162)=Input!$W$7,SUM($G162:O162),0)</f>
        <v>0</v>
      </c>
      <c r="P163" s="114">
        <f>IF(COUNT($H162:P162)=Input!$W$7,SUM($G162:P162),0)</f>
        <v>0</v>
      </c>
      <c r="Q163" s="114">
        <f>IF(COUNT($H162:Q162)=Input!$W$7,SUM($G162:Q162),0)</f>
        <v>0</v>
      </c>
      <c r="R163" s="104"/>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7"/>
      <c r="BK163" s="227"/>
    </row>
    <row r="164" spans="1:63" hidden="1" outlineLevel="1">
      <c r="A164" s="9"/>
      <c r="B164" s="44"/>
      <c r="C164" s="290">
        <f>Asset29</f>
        <v>0</v>
      </c>
      <c r="D164" s="9"/>
      <c r="E164" s="9"/>
      <c r="F164" s="142"/>
      <c r="G164" s="207"/>
      <c r="H164" s="114">
        <f>($G104+(SUM($G164:G164)))*H$7</f>
        <v>0</v>
      </c>
      <c r="I164" s="114">
        <f>($G104+(SUM($G164:H164)))*I$7</f>
        <v>0</v>
      </c>
      <c r="J164" s="114">
        <f>($G104+(SUM($G164:I164)))*J$7</f>
        <v>0</v>
      </c>
      <c r="K164" s="114">
        <f>($G104+(SUM($G164:J164)))*K$7</f>
        <v>0</v>
      </c>
      <c r="L164" s="114">
        <f>($G104+(SUM($G164:K164)))*L$7</f>
        <v>0</v>
      </c>
      <c r="M164" s="114">
        <f>IF(COUNT($H164:L164)&gt;=Input!$W$7,0,($G104+(SUM($G164:L164)))*M$7)</f>
        <v>0</v>
      </c>
      <c r="N164" s="114">
        <f>IF(COUNT($H164:M164)&gt;=Input!$W$7,0,($G104+(SUM($G164:M164)))*N$7)</f>
        <v>0</v>
      </c>
      <c r="O164" s="114">
        <f>IF(COUNT($H164:N164)&gt;=Input!$W$7,0,($G104+(SUM($G164:N164)))*O$7)</f>
        <v>0</v>
      </c>
      <c r="P164" s="114">
        <f>IF(COUNT($H164:O164)&gt;=Input!$W$7,0,($G104+(SUM($G164:O164)))*P$7)</f>
        <v>0</v>
      </c>
      <c r="Q164" s="114">
        <f>IF(COUNT($H164:P164)&gt;=Input!$W$7,0,($G104+(SUM($G164:P164)))*Q$7)</f>
        <v>0</v>
      </c>
      <c r="R164" s="104"/>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7"/>
      <c r="BK164" s="227"/>
    </row>
    <row r="165" spans="1:63" hidden="1" outlineLevel="1">
      <c r="A165" s="9"/>
      <c r="B165" s="44"/>
      <c r="C165" s="290" t="s">
        <v>27</v>
      </c>
      <c r="D165" s="9"/>
      <c r="E165" s="9"/>
      <c r="F165" s="142"/>
      <c r="G165" s="207"/>
      <c r="H165" s="114"/>
      <c r="I165" s="114"/>
      <c r="J165" s="114"/>
      <c r="K165" s="114"/>
      <c r="L165" s="114">
        <f>IF(COUNT($H164:L164)=Input!$W$7,SUM($G164:L164),0)</f>
        <v>0</v>
      </c>
      <c r="M165" s="114">
        <f>IF(COUNT($H164:M164)=Input!$W$7,SUM($G164:M164),0)</f>
        <v>0</v>
      </c>
      <c r="N165" s="114">
        <f>IF(COUNT($H164:N164)=Input!$W$7,SUM($G164:N164),0)</f>
        <v>0</v>
      </c>
      <c r="O165" s="114">
        <f>IF(COUNT($H164:O164)=Input!$W$7,SUM($G164:O164),0)</f>
        <v>0</v>
      </c>
      <c r="P165" s="114">
        <f>IF(COUNT($H164:P164)=Input!$W$7,SUM($G164:P164),0)</f>
        <v>0</v>
      </c>
      <c r="Q165" s="114">
        <f>IF(COUNT($H164:Q164)=Input!$W$7,SUM($G164:Q164),0)</f>
        <v>0</v>
      </c>
      <c r="R165" s="104"/>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7"/>
      <c r="BK165" s="227"/>
    </row>
    <row r="166" spans="1:63" hidden="1" outlineLevel="1">
      <c r="A166" s="9"/>
      <c r="B166" s="44"/>
      <c r="C166" s="290">
        <f>Asset30</f>
        <v>0</v>
      </c>
      <c r="D166" s="9"/>
      <c r="E166" s="9"/>
      <c r="F166" s="142"/>
      <c r="G166" s="207"/>
      <c r="H166" s="114">
        <f>($G105+(SUM($G166:G166)))*H$7</f>
        <v>0</v>
      </c>
      <c r="I166" s="114">
        <f>($G105+(SUM($G166:H166)))*I$7</f>
        <v>0</v>
      </c>
      <c r="J166" s="114">
        <f>($G105+(SUM($G166:I166)))*J$7</f>
        <v>0</v>
      </c>
      <c r="K166" s="114">
        <f>($G105+(SUM($G166:J166)))*K$7</f>
        <v>0</v>
      </c>
      <c r="L166" s="114">
        <f>($G105+(SUM($G166:K166)))*L$7</f>
        <v>0</v>
      </c>
      <c r="M166" s="114">
        <f>IF(COUNT($H166:L166)&gt;=Input!$W$7,0,($G105+(SUM($G166:L166)))*M$7)</f>
        <v>0</v>
      </c>
      <c r="N166" s="114">
        <f>IF(COUNT($H166:M166)&gt;=Input!$W$7,0,($G105+(SUM($G166:M166)))*N$7)</f>
        <v>0</v>
      </c>
      <c r="O166" s="114">
        <f>IF(COUNT($H166:N166)&gt;=Input!$W$7,0,($G105+(SUM($G166:N166)))*O$7)</f>
        <v>0</v>
      </c>
      <c r="P166" s="114">
        <f>IF(COUNT($H166:O166)&gt;=Input!$W$7,0,($G105+(SUM($G166:O166)))*P$7)</f>
        <v>0</v>
      </c>
      <c r="Q166" s="114">
        <f>IF(COUNT($H166:P166)&gt;=Input!$W$7,0,($G105+(SUM($G166:P166)))*Q$7)</f>
        <v>0</v>
      </c>
      <c r="R166" s="104"/>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7"/>
      <c r="BK166" s="227"/>
    </row>
    <row r="167" spans="1:63" hidden="1" outlineLevel="1">
      <c r="A167" s="9"/>
      <c r="B167" s="44"/>
      <c r="C167" s="290" t="s">
        <v>27</v>
      </c>
      <c r="D167" s="9"/>
      <c r="E167" s="9"/>
      <c r="F167" s="142"/>
      <c r="G167" s="207"/>
      <c r="H167" s="114"/>
      <c r="I167" s="114"/>
      <c r="J167" s="114"/>
      <c r="K167" s="114"/>
      <c r="L167" s="114">
        <f>IF(COUNT($H166:L166)=Input!$W$7,SUM($G166:L166),0)</f>
        <v>0</v>
      </c>
      <c r="M167" s="114">
        <f>IF(COUNT($H166:M166)=Input!$W$7,SUM($G166:M166),0)</f>
        <v>0</v>
      </c>
      <c r="N167" s="114">
        <f>IF(COUNT($H166:N166)=Input!$W$7,SUM($G166:N166),0)</f>
        <v>0</v>
      </c>
      <c r="O167" s="114">
        <f>IF(COUNT($H166:O166)=Input!$W$7,SUM($G166:O166),0)</f>
        <v>0</v>
      </c>
      <c r="P167" s="114">
        <f>IF(COUNT($H166:P166)=Input!$W$7,SUM($G166:P166),0)</f>
        <v>0</v>
      </c>
      <c r="Q167" s="114">
        <f>IF(COUNT($H166:Q166)=Input!$W$7,SUM($G166:Q166),0)</f>
        <v>0</v>
      </c>
      <c r="R167" s="104"/>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7"/>
      <c r="BK167" s="227"/>
    </row>
    <row r="168" spans="1:63" collapsed="1">
      <c r="A168" s="9"/>
      <c r="B168" s="188" t="s">
        <v>40</v>
      </c>
      <c r="D168" s="9"/>
      <c r="E168" s="9"/>
      <c r="F168" s="142"/>
      <c r="G168" s="209"/>
      <c r="H168" s="118"/>
      <c r="I168" s="118"/>
      <c r="J168" s="118"/>
      <c r="K168" s="118"/>
      <c r="L168" s="118">
        <f>IF(COUNT($H107:L107)=Input!$W$7, SUM($G107:L107), 0)</f>
        <v>-7.6718379813846225</v>
      </c>
      <c r="M168" s="118">
        <f>IF(COUNT($H107:M107)=Input!$W$7, SUM($G107:M107), 0)</f>
        <v>0</v>
      </c>
      <c r="N168" s="118">
        <f>IF(COUNT($H107:N107)=Input!$W$7, SUM($G107:N107), 0)</f>
        <v>0</v>
      </c>
      <c r="O168" s="118">
        <f>IF(COUNT($H107:O107)=Input!$W$7, SUM($G107:O107), 0)</f>
        <v>0</v>
      </c>
      <c r="P168" s="118">
        <f>IF(COUNT($H107:P107)=Input!$W$7, SUM($G107:P107), 0)</f>
        <v>0</v>
      </c>
      <c r="Q168" s="118">
        <f>IF(COUNT($H107:Q107)=Input!$W$7, SUM($G107:Q107), 0)</f>
        <v>0</v>
      </c>
      <c r="R168" s="104"/>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7"/>
      <c r="BK168" s="227"/>
    </row>
    <row r="169" spans="1:63">
      <c r="A169" s="9"/>
      <c r="B169" s="154"/>
      <c r="C169" s="26"/>
      <c r="D169" s="9"/>
      <c r="E169" s="9"/>
      <c r="F169" s="142"/>
      <c r="G169" s="118"/>
      <c r="H169" s="118"/>
      <c r="I169" s="118"/>
      <c r="J169" s="118"/>
      <c r="K169" s="118"/>
      <c r="L169" s="118"/>
      <c r="M169" s="9"/>
      <c r="N169" s="114"/>
      <c r="O169" s="153"/>
      <c r="P169" s="153"/>
      <c r="Q169" s="153"/>
      <c r="R169" s="104"/>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7"/>
      <c r="BK169" s="227"/>
    </row>
    <row r="170" spans="1:63">
      <c r="A170" s="78"/>
      <c r="B170" s="182" t="s">
        <v>49</v>
      </c>
      <c r="C170" s="183"/>
      <c r="D170" s="78"/>
      <c r="E170" s="78"/>
      <c r="F170" s="184"/>
      <c r="G170" s="185"/>
      <c r="H170" s="185"/>
      <c r="I170" s="185"/>
      <c r="J170" s="185"/>
      <c r="K170" s="185"/>
      <c r="L170" s="185"/>
      <c r="M170" s="78"/>
      <c r="N170" s="186"/>
      <c r="O170" s="187"/>
      <c r="P170" s="187"/>
      <c r="Q170" s="187"/>
      <c r="R170" s="187"/>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7"/>
      <c r="BK170" s="227"/>
    </row>
    <row r="171" spans="1:63">
      <c r="A171" s="9"/>
      <c r="B171" s="154"/>
      <c r="C171" s="26"/>
      <c r="D171" s="9"/>
      <c r="E171" s="9"/>
      <c r="F171" s="142"/>
      <c r="G171" s="118"/>
      <c r="H171" s="118"/>
      <c r="I171" s="118"/>
      <c r="J171" s="118"/>
      <c r="K171" s="118"/>
      <c r="L171" s="118"/>
      <c r="M171" s="9"/>
      <c r="N171" s="114"/>
      <c r="O171" s="153"/>
      <c r="P171" s="153"/>
      <c r="Q171" s="153"/>
      <c r="R171" s="104"/>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7"/>
      <c r="BK171" s="227"/>
    </row>
    <row r="172" spans="1:63">
      <c r="A172" s="9"/>
      <c r="B172" s="44" t="s">
        <v>50</v>
      </c>
      <c r="C172" s="9"/>
      <c r="D172" s="9"/>
      <c r="E172" s="9"/>
      <c r="F172" s="142"/>
      <c r="G172" s="209">
        <f>SUM(G173:G202)</f>
        <v>55.314363999999991</v>
      </c>
      <c r="H172" s="118"/>
      <c r="I172" s="118"/>
      <c r="J172" s="118"/>
      <c r="K172" s="118"/>
      <c r="L172" s="118"/>
      <c r="M172" s="9"/>
      <c r="N172" s="114"/>
      <c r="O172" s="153"/>
      <c r="P172" s="153"/>
      <c r="Q172" s="153"/>
      <c r="R172" s="104"/>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7"/>
      <c r="BK172" s="227"/>
    </row>
    <row r="173" spans="1:63" outlineLevel="1">
      <c r="A173" s="9"/>
      <c r="B173" s="9"/>
      <c r="C173" s="278" t="str">
        <f>Asset1</f>
        <v>Transmission Lines and Cables</v>
      </c>
      <c r="D173" s="9"/>
      <c r="E173" s="9"/>
      <c r="F173" s="142"/>
      <c r="G173" s="207">
        <f>Input!Q7</f>
        <v>0</v>
      </c>
      <c r="H173" s="118"/>
      <c r="I173" s="118"/>
      <c r="J173" s="118"/>
      <c r="K173" s="118"/>
      <c r="L173" s="118"/>
      <c r="M173" s="9"/>
      <c r="N173" s="114"/>
      <c r="O173" s="153"/>
      <c r="P173" s="153"/>
      <c r="Q173" s="153"/>
      <c r="R173" s="104"/>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7"/>
      <c r="BK173" s="227"/>
    </row>
    <row r="174" spans="1:63" outlineLevel="1">
      <c r="A174" s="9"/>
      <c r="B174" s="44"/>
      <c r="C174" s="278" t="str">
        <f>Asset2</f>
        <v>Transmission Substations</v>
      </c>
      <c r="D174" s="9"/>
      <c r="E174" s="9"/>
      <c r="F174" s="142"/>
      <c r="G174" s="207">
        <f>Input!Q8</f>
        <v>0</v>
      </c>
      <c r="H174" s="118"/>
      <c r="I174" s="118"/>
      <c r="J174" s="118"/>
      <c r="K174" s="118"/>
      <c r="L174" s="118"/>
      <c r="M174" s="9"/>
      <c r="N174" s="114"/>
      <c r="O174" s="153"/>
      <c r="P174" s="153"/>
      <c r="Q174" s="153"/>
      <c r="R174" s="104"/>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7"/>
      <c r="BK174" s="227"/>
    </row>
    <row r="175" spans="1:63" outlineLevel="1">
      <c r="A175" s="9"/>
      <c r="B175" s="44"/>
      <c r="C175" s="278" t="str">
        <f>Asset3</f>
        <v>Protection and Control</v>
      </c>
      <c r="D175" s="9"/>
      <c r="E175" s="9"/>
      <c r="F175" s="142"/>
      <c r="G175" s="207">
        <f>Input!Q9</f>
        <v>0</v>
      </c>
      <c r="H175" s="118"/>
      <c r="I175" s="118"/>
      <c r="J175" s="118"/>
      <c r="K175" s="118"/>
      <c r="L175" s="118"/>
      <c r="M175" s="9"/>
      <c r="N175" s="114"/>
      <c r="O175" s="153"/>
      <c r="P175" s="153"/>
      <c r="Q175" s="153"/>
      <c r="R175" s="104"/>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7"/>
      <c r="BK175" s="227"/>
    </row>
    <row r="176" spans="1:63" outlineLevel="1">
      <c r="A176" s="9"/>
      <c r="B176" s="44"/>
      <c r="C176" s="278" t="str">
        <f>Asset4</f>
        <v>Refurbishment</v>
      </c>
      <c r="D176" s="9"/>
      <c r="E176" s="9"/>
      <c r="F176" s="142"/>
      <c r="G176" s="207">
        <f>Input!Q10</f>
        <v>0</v>
      </c>
      <c r="H176" s="118"/>
      <c r="I176" s="118"/>
      <c r="J176" s="118"/>
      <c r="K176" s="118"/>
      <c r="L176" s="118"/>
      <c r="M176" s="9"/>
      <c r="N176" s="114"/>
      <c r="O176" s="153"/>
      <c r="P176" s="153"/>
      <c r="Q176" s="153"/>
      <c r="R176" s="104"/>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7"/>
      <c r="BK176" s="227"/>
    </row>
    <row r="177" spans="1:63" outlineLevel="1">
      <c r="A177" s="9"/>
      <c r="B177" s="44"/>
      <c r="C177" s="278" t="str">
        <f>Asset5</f>
        <v>Other</v>
      </c>
      <c r="D177" s="9"/>
      <c r="E177" s="9"/>
      <c r="F177" s="142"/>
      <c r="G177" s="207">
        <f>Input!Q11</f>
        <v>0</v>
      </c>
      <c r="H177" s="118"/>
      <c r="I177" s="118"/>
      <c r="J177" s="118"/>
      <c r="K177" s="118"/>
      <c r="L177" s="118"/>
      <c r="M177" s="9"/>
      <c r="N177" s="114"/>
      <c r="O177" s="153"/>
      <c r="P177" s="153"/>
      <c r="Q177" s="153"/>
      <c r="R177" s="104"/>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7"/>
      <c r="BK177" s="227"/>
    </row>
    <row r="178" spans="1:63" outlineLevel="1">
      <c r="A178" s="9"/>
      <c r="B178" s="44"/>
      <c r="C178" s="278" t="str">
        <f>Asset6</f>
        <v>Other - IT</v>
      </c>
      <c r="D178" s="9"/>
      <c r="E178" s="9"/>
      <c r="F178" s="142"/>
      <c r="G178" s="207">
        <f>Input!Q12</f>
        <v>0</v>
      </c>
      <c r="H178" s="118"/>
      <c r="I178" s="118"/>
      <c r="J178" s="118"/>
      <c r="K178" s="118"/>
      <c r="L178" s="118"/>
      <c r="M178" s="9"/>
      <c r="N178" s="114"/>
      <c r="O178" s="153"/>
      <c r="P178" s="153"/>
      <c r="Q178" s="153"/>
      <c r="R178" s="104"/>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7"/>
      <c r="BK178" s="227"/>
    </row>
    <row r="179" spans="1:63" outlineLevel="1">
      <c r="A179" s="9"/>
      <c r="B179" s="44"/>
      <c r="C179" s="278" t="str">
        <f>Asset7</f>
        <v>Other - General</v>
      </c>
      <c r="D179" s="9"/>
      <c r="E179" s="9"/>
      <c r="F179" s="142"/>
      <c r="G179" s="207">
        <f>Input!Q13</f>
        <v>0</v>
      </c>
      <c r="H179" s="118"/>
      <c r="I179" s="118"/>
      <c r="J179" s="118"/>
      <c r="K179" s="118"/>
      <c r="L179" s="118"/>
      <c r="M179" s="9"/>
      <c r="N179" s="114"/>
      <c r="O179" s="153"/>
      <c r="P179" s="153"/>
      <c r="Q179" s="153"/>
      <c r="R179" s="104"/>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7"/>
      <c r="BK179" s="227"/>
    </row>
    <row r="180" spans="1:63" outlineLevel="1">
      <c r="A180" s="9"/>
      <c r="B180" s="44"/>
      <c r="C180" s="278" t="str">
        <f>Asset8</f>
        <v>Other - Buildings</v>
      </c>
      <c r="D180" s="9"/>
      <c r="E180" s="9"/>
      <c r="F180" s="142"/>
      <c r="G180" s="207">
        <f>Input!Q14</f>
        <v>0</v>
      </c>
      <c r="H180" s="118"/>
      <c r="I180" s="118"/>
      <c r="J180" s="118"/>
      <c r="K180" s="118"/>
      <c r="L180" s="118"/>
      <c r="M180" s="9"/>
      <c r="N180" s="114"/>
      <c r="O180" s="153"/>
      <c r="P180" s="153"/>
      <c r="Q180" s="153"/>
      <c r="R180" s="104"/>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7"/>
      <c r="BK180" s="227"/>
    </row>
    <row r="181" spans="1:63" outlineLevel="1">
      <c r="A181" s="9"/>
      <c r="B181" s="44"/>
      <c r="C181" s="278" t="str">
        <f>Asset9</f>
        <v>Land and Easements</v>
      </c>
      <c r="D181" s="9"/>
      <c r="E181" s="9"/>
      <c r="F181" s="142"/>
      <c r="G181" s="207">
        <f>Input!Q15</f>
        <v>0</v>
      </c>
      <c r="H181" s="118"/>
      <c r="I181" s="118"/>
      <c r="J181" s="118"/>
      <c r="K181" s="118"/>
      <c r="L181" s="118"/>
      <c r="M181" s="9"/>
      <c r="N181" s="114"/>
      <c r="O181" s="153"/>
      <c r="P181" s="153"/>
      <c r="Q181" s="153"/>
      <c r="R181" s="104"/>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7"/>
      <c r="BK181" s="227"/>
    </row>
    <row r="182" spans="1:63" outlineLevel="1">
      <c r="A182" s="9"/>
      <c r="B182" s="44"/>
      <c r="C182" s="278" t="str">
        <f>Asset10</f>
        <v>Transmission line assets - long life (60)</v>
      </c>
      <c r="D182" s="9"/>
      <c r="E182" s="9"/>
      <c r="F182" s="142"/>
      <c r="G182" s="207">
        <f>Input!Q16</f>
        <v>27.66680798284586</v>
      </c>
      <c r="H182" s="118"/>
      <c r="I182" s="118"/>
      <c r="J182" s="118"/>
      <c r="K182" s="118"/>
      <c r="L182" s="118"/>
      <c r="M182" s="9"/>
      <c r="N182" s="114"/>
      <c r="O182" s="153"/>
      <c r="P182" s="153"/>
      <c r="Q182" s="153"/>
      <c r="R182" s="104"/>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7"/>
      <c r="BK182" s="227"/>
    </row>
    <row r="183" spans="1:63" outlineLevel="1">
      <c r="A183" s="9"/>
      <c r="B183" s="44"/>
      <c r="C183" s="278" t="str">
        <f>Asset11</f>
        <v>Transmission line assets - medium life (45)</v>
      </c>
      <c r="D183" s="9"/>
      <c r="E183" s="9"/>
      <c r="F183" s="142"/>
      <c r="G183" s="207">
        <f>Input!Q17</f>
        <v>0.7908975054500671</v>
      </c>
      <c r="H183" s="118"/>
      <c r="I183" s="118"/>
      <c r="J183" s="118"/>
      <c r="K183" s="118"/>
      <c r="L183" s="118"/>
      <c r="M183" s="9"/>
      <c r="N183" s="114"/>
      <c r="O183" s="153"/>
      <c r="P183" s="153"/>
      <c r="Q183" s="153"/>
      <c r="R183" s="104"/>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7"/>
      <c r="BK183" s="227"/>
    </row>
    <row r="184" spans="1:63" outlineLevel="1">
      <c r="A184" s="9"/>
      <c r="B184" s="44"/>
      <c r="C184" s="278" t="str">
        <f>Asset12</f>
        <v>Transmission line assets - short life (10)</v>
      </c>
      <c r="D184" s="9"/>
      <c r="E184" s="9"/>
      <c r="F184" s="142"/>
      <c r="G184" s="207">
        <f>Input!Q18</f>
        <v>2.0824479126873228</v>
      </c>
      <c r="H184" s="118"/>
      <c r="I184" s="118"/>
      <c r="J184" s="118"/>
      <c r="K184" s="118"/>
      <c r="L184" s="118"/>
      <c r="M184" s="9"/>
      <c r="N184" s="114"/>
      <c r="O184" s="153"/>
      <c r="P184" s="153"/>
      <c r="Q184" s="153"/>
      <c r="R184" s="104"/>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7"/>
      <c r="BK184" s="227"/>
    </row>
    <row r="185" spans="1:63" outlineLevel="1">
      <c r="A185" s="9"/>
      <c r="B185" s="44"/>
      <c r="C185" s="278" t="str">
        <f>Asset13</f>
        <v>Substation assets - long life (60)</v>
      </c>
      <c r="D185" s="9"/>
      <c r="E185" s="9"/>
      <c r="F185" s="142"/>
      <c r="G185" s="207">
        <f>Input!Q19</f>
        <v>3.63820723960978</v>
      </c>
      <c r="H185" s="118"/>
      <c r="I185" s="118"/>
      <c r="J185" s="118"/>
      <c r="K185" s="118"/>
      <c r="L185" s="118"/>
      <c r="M185" s="9"/>
      <c r="N185" s="114"/>
      <c r="O185" s="153"/>
      <c r="P185" s="153"/>
      <c r="Q185" s="153"/>
      <c r="R185" s="104"/>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7"/>
      <c r="BK185" s="227"/>
    </row>
    <row r="186" spans="1:63" outlineLevel="1">
      <c r="A186" s="9"/>
      <c r="B186" s="44"/>
      <c r="C186" s="278" t="str">
        <f>Asset14</f>
        <v>Substation assets - medium life (45)</v>
      </c>
      <c r="D186" s="9"/>
      <c r="E186" s="9"/>
      <c r="F186" s="142"/>
      <c r="G186" s="207">
        <f>Input!Q20</f>
        <v>9.1604921113680948</v>
      </c>
      <c r="H186" s="118"/>
      <c r="I186" s="118"/>
      <c r="J186" s="118"/>
      <c r="K186" s="118"/>
      <c r="L186" s="118"/>
      <c r="M186" s="9"/>
      <c r="N186" s="114"/>
      <c r="O186" s="153"/>
      <c r="P186" s="153"/>
      <c r="Q186" s="153"/>
      <c r="R186" s="104"/>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7"/>
      <c r="BK186" s="227"/>
    </row>
    <row r="187" spans="1:63" outlineLevel="1">
      <c r="A187" s="9"/>
      <c r="B187" s="44"/>
      <c r="C187" s="278" t="str">
        <f>Asset15</f>
        <v>Substation assets - short life (15)</v>
      </c>
      <c r="D187" s="9"/>
      <c r="E187" s="9"/>
      <c r="F187" s="142"/>
      <c r="G187" s="207">
        <f>Input!Q21</f>
        <v>0.36737337230990852</v>
      </c>
      <c r="H187" s="118"/>
      <c r="I187" s="118"/>
      <c r="J187" s="118"/>
      <c r="K187" s="118"/>
      <c r="L187" s="118"/>
      <c r="M187" s="9"/>
      <c r="N187" s="114"/>
      <c r="O187" s="153"/>
      <c r="P187" s="153"/>
      <c r="Q187" s="153"/>
      <c r="R187" s="104"/>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7"/>
      <c r="BK187" s="227"/>
    </row>
    <row r="188" spans="1:63" outlineLevel="1">
      <c r="A188" s="9"/>
      <c r="B188" s="44"/>
      <c r="C188" s="278" t="str">
        <f>Asset16</f>
        <v>Protection and control - short life (15)</v>
      </c>
      <c r="D188" s="9"/>
      <c r="E188" s="9"/>
      <c r="F188" s="142"/>
      <c r="G188" s="207">
        <f>Input!Q22</f>
        <v>4.0917857999755638</v>
      </c>
      <c r="H188" s="118"/>
      <c r="I188" s="118"/>
      <c r="J188" s="118"/>
      <c r="K188" s="118"/>
      <c r="L188" s="118"/>
      <c r="M188" s="9"/>
      <c r="N188" s="114"/>
      <c r="O188" s="153"/>
      <c r="P188" s="153"/>
      <c r="Q188" s="153"/>
      <c r="R188" s="104"/>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7"/>
      <c r="BK188" s="227"/>
    </row>
    <row r="189" spans="1:63" outlineLevel="1">
      <c r="A189" s="9"/>
      <c r="B189" s="44"/>
      <c r="C189" s="278" t="str">
        <f>Asset17</f>
        <v>Protection and control - short life (4)</v>
      </c>
      <c r="D189" s="9"/>
      <c r="E189" s="9"/>
      <c r="F189" s="142"/>
      <c r="G189" s="207">
        <f>Input!Q23</f>
        <v>0</v>
      </c>
      <c r="H189" s="118"/>
      <c r="I189" s="118"/>
      <c r="J189" s="118"/>
      <c r="K189" s="118"/>
      <c r="L189" s="118"/>
      <c r="M189" s="9"/>
      <c r="N189" s="114"/>
      <c r="O189" s="153"/>
      <c r="P189" s="153"/>
      <c r="Q189" s="153"/>
      <c r="R189" s="104"/>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7"/>
      <c r="BK189" s="227"/>
    </row>
    <row r="190" spans="1:63" outlineLevel="1">
      <c r="A190" s="9"/>
      <c r="B190" s="44"/>
      <c r="C190" s="278" t="str">
        <f>Asset18</f>
        <v>Transmission operations - short life (10)</v>
      </c>
      <c r="D190" s="9"/>
      <c r="E190" s="9"/>
      <c r="F190" s="142"/>
      <c r="G190" s="207">
        <f>Input!Q24</f>
        <v>0</v>
      </c>
      <c r="H190" s="118"/>
      <c r="I190" s="118"/>
      <c r="J190" s="118"/>
      <c r="K190" s="118"/>
      <c r="L190" s="118"/>
      <c r="M190" s="9"/>
      <c r="N190" s="114"/>
      <c r="O190" s="153"/>
      <c r="P190" s="153"/>
      <c r="Q190" s="153"/>
      <c r="R190" s="104"/>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7"/>
      <c r="BK190" s="227"/>
    </row>
    <row r="191" spans="1:63" outlineLevel="1">
      <c r="A191" s="9"/>
      <c r="B191" s="44"/>
      <c r="C191" s="278" t="str">
        <f>Asset19</f>
        <v>Transmission operations - short life (4)</v>
      </c>
      <c r="D191" s="9"/>
      <c r="E191" s="9"/>
      <c r="F191" s="142"/>
      <c r="G191" s="207">
        <f>Input!Q25</f>
        <v>0</v>
      </c>
      <c r="H191" s="118"/>
      <c r="I191" s="118"/>
      <c r="J191" s="118"/>
      <c r="K191" s="118"/>
      <c r="L191" s="118"/>
      <c r="M191" s="9"/>
      <c r="N191" s="114"/>
      <c r="O191" s="153"/>
      <c r="P191" s="153"/>
      <c r="Q191" s="153"/>
      <c r="R191" s="104"/>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7"/>
      <c r="BK191" s="227"/>
    </row>
    <row r="192" spans="1:63" outlineLevel="1">
      <c r="A192" s="9"/>
      <c r="B192" s="44"/>
      <c r="C192" s="278" t="str">
        <f>Asset20</f>
        <v>Other - medium life (40)</v>
      </c>
      <c r="D192" s="9"/>
      <c r="E192" s="9"/>
      <c r="F192" s="142"/>
      <c r="G192" s="207">
        <f>Input!Q26</f>
        <v>6.8615870000000001</v>
      </c>
      <c r="H192" s="118"/>
      <c r="I192" s="118"/>
      <c r="J192" s="118"/>
      <c r="K192" s="118"/>
      <c r="L192" s="118"/>
      <c r="M192" s="9"/>
      <c r="N192" s="114"/>
      <c r="O192" s="153"/>
      <c r="P192" s="153"/>
      <c r="Q192" s="153"/>
      <c r="R192" s="104"/>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7"/>
      <c r="BK192" s="227"/>
    </row>
    <row r="193" spans="1:63" outlineLevel="1">
      <c r="A193" s="9"/>
      <c r="B193" s="44"/>
      <c r="C193" s="278" t="str">
        <f>Asset21</f>
        <v>Other - short life (9)</v>
      </c>
      <c r="D193" s="9"/>
      <c r="E193" s="9"/>
      <c r="F193" s="142"/>
      <c r="G193" s="207">
        <f>Input!Q27</f>
        <v>0</v>
      </c>
      <c r="H193" s="118"/>
      <c r="I193" s="118"/>
      <c r="J193" s="118"/>
      <c r="K193" s="118"/>
      <c r="L193" s="118"/>
      <c r="M193" s="9"/>
      <c r="N193" s="114"/>
      <c r="O193" s="153"/>
      <c r="P193" s="153"/>
      <c r="Q193" s="153"/>
      <c r="R193" s="104"/>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7"/>
      <c r="BK193" s="227"/>
    </row>
    <row r="194" spans="1:63" outlineLevel="1">
      <c r="A194" s="9"/>
      <c r="B194" s="44"/>
      <c r="C194" s="278" t="str">
        <f>Asset22</f>
        <v>Other - short life (4)</v>
      </c>
      <c r="D194" s="9"/>
      <c r="E194" s="9"/>
      <c r="F194" s="142"/>
      <c r="G194" s="207">
        <f>Input!Q28</f>
        <v>0.53168400000000005</v>
      </c>
      <c r="H194" s="118"/>
      <c r="I194" s="118"/>
      <c r="J194" s="118"/>
      <c r="K194" s="118"/>
      <c r="L194" s="118"/>
      <c r="M194" s="9"/>
      <c r="N194" s="114"/>
      <c r="O194" s="153"/>
      <c r="P194" s="153"/>
      <c r="Q194" s="153"/>
      <c r="R194" s="104"/>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7"/>
      <c r="BK194" s="227"/>
    </row>
    <row r="195" spans="1:63" outlineLevel="1">
      <c r="A195" s="9"/>
      <c r="B195" s="44"/>
      <c r="C195" s="278" t="str">
        <f>Asset23</f>
        <v>Land and Easements</v>
      </c>
      <c r="D195" s="9"/>
      <c r="E195" s="9"/>
      <c r="F195" s="142"/>
      <c r="G195" s="207">
        <f>Input!Q29</f>
        <v>0.12308107575340384</v>
      </c>
      <c r="H195" s="118"/>
      <c r="I195" s="118"/>
      <c r="J195" s="118"/>
      <c r="K195" s="118"/>
      <c r="L195" s="118"/>
      <c r="M195" s="9"/>
      <c r="N195" s="114"/>
      <c r="O195" s="153"/>
      <c r="P195" s="153"/>
      <c r="Q195" s="153"/>
      <c r="R195" s="104"/>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7"/>
      <c r="BK195" s="227"/>
    </row>
    <row r="196" spans="1:63" outlineLevel="1">
      <c r="A196" s="9"/>
      <c r="B196" s="44"/>
      <c r="C196" s="278" t="str">
        <f>Asset24</f>
        <v>Equity Raising</v>
      </c>
      <c r="D196" s="9"/>
      <c r="E196" s="9"/>
      <c r="F196" s="142"/>
      <c r="G196" s="207">
        <f>Input!Q30</f>
        <v>0</v>
      </c>
      <c r="H196" s="118"/>
      <c r="I196" s="118"/>
      <c r="J196" s="118"/>
      <c r="K196" s="118"/>
      <c r="L196" s="118"/>
      <c r="M196" s="9"/>
      <c r="N196" s="114"/>
      <c r="O196" s="153"/>
      <c r="P196" s="153"/>
      <c r="Q196" s="153"/>
      <c r="R196" s="104"/>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7"/>
      <c r="BK196" s="227"/>
    </row>
    <row r="197" spans="1:63" outlineLevel="1">
      <c r="A197" s="9"/>
      <c r="B197" s="44"/>
      <c r="C197" s="278">
        <f>Asset25</f>
        <v>0</v>
      </c>
      <c r="D197" s="9"/>
      <c r="E197" s="9"/>
      <c r="F197" s="142"/>
      <c r="G197" s="207">
        <f>Input!Q31</f>
        <v>0</v>
      </c>
      <c r="H197" s="118"/>
      <c r="I197" s="118"/>
      <c r="J197" s="118"/>
      <c r="K197" s="118"/>
      <c r="L197" s="118"/>
      <c r="M197" s="9"/>
      <c r="N197" s="114"/>
      <c r="O197" s="153"/>
      <c r="P197" s="153"/>
      <c r="Q197" s="153"/>
      <c r="R197" s="104"/>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7"/>
      <c r="BK197" s="227"/>
    </row>
    <row r="198" spans="1:63" outlineLevel="1">
      <c r="A198" s="9"/>
      <c r="B198" s="44"/>
      <c r="C198" s="278">
        <f>Asset26</f>
        <v>0</v>
      </c>
      <c r="D198" s="9"/>
      <c r="E198" s="9"/>
      <c r="F198" s="142"/>
      <c r="G198" s="207">
        <f>Input!Q32</f>
        <v>0</v>
      </c>
      <c r="H198" s="118"/>
      <c r="I198" s="118"/>
      <c r="J198" s="118"/>
      <c r="K198" s="118"/>
      <c r="L198" s="118"/>
      <c r="M198" s="9"/>
      <c r="N198" s="114"/>
      <c r="O198" s="153"/>
      <c r="P198" s="153"/>
      <c r="Q198" s="153"/>
      <c r="R198" s="104"/>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7"/>
      <c r="BK198" s="227"/>
    </row>
    <row r="199" spans="1:63" outlineLevel="1">
      <c r="A199" s="9"/>
      <c r="B199" s="44"/>
      <c r="C199" s="278">
        <f>Asset27</f>
        <v>0</v>
      </c>
      <c r="D199" s="9"/>
      <c r="E199" s="9"/>
      <c r="F199" s="142"/>
      <c r="G199" s="207">
        <f>Input!Q33</f>
        <v>0</v>
      </c>
      <c r="H199" s="118"/>
      <c r="I199" s="118"/>
      <c r="J199" s="118"/>
      <c r="K199" s="118"/>
      <c r="L199" s="118"/>
      <c r="M199" s="9"/>
      <c r="N199" s="114"/>
      <c r="O199" s="153"/>
      <c r="P199" s="153"/>
      <c r="Q199" s="153"/>
      <c r="R199" s="104"/>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7"/>
      <c r="BK199" s="227"/>
    </row>
    <row r="200" spans="1:63" outlineLevel="1">
      <c r="A200" s="9"/>
      <c r="B200" s="44"/>
      <c r="C200" s="278">
        <f>Asset28</f>
        <v>0</v>
      </c>
      <c r="D200" s="9"/>
      <c r="E200" s="9"/>
      <c r="F200" s="142"/>
      <c r="G200" s="207">
        <f>Input!Q34</f>
        <v>0</v>
      </c>
      <c r="H200" s="118"/>
      <c r="I200" s="118"/>
      <c r="J200" s="118"/>
      <c r="K200" s="118"/>
      <c r="L200" s="118"/>
      <c r="M200" s="9"/>
      <c r="N200" s="114"/>
      <c r="O200" s="153"/>
      <c r="P200" s="153"/>
      <c r="Q200" s="153"/>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7"/>
      <c r="BK200" s="227"/>
    </row>
    <row r="201" spans="1:63" outlineLevel="1">
      <c r="A201" s="9"/>
      <c r="B201" s="44"/>
      <c r="C201" s="278">
        <f>Asset29</f>
        <v>0</v>
      </c>
      <c r="D201" s="9"/>
      <c r="E201" s="9"/>
      <c r="F201" s="142"/>
      <c r="G201" s="207">
        <f>Input!Q35</f>
        <v>0</v>
      </c>
      <c r="H201" s="118"/>
      <c r="I201" s="118"/>
      <c r="J201" s="118"/>
      <c r="K201" s="118"/>
      <c r="L201" s="118"/>
      <c r="M201" s="9"/>
      <c r="N201" s="114"/>
      <c r="O201" s="153"/>
      <c r="P201" s="153"/>
      <c r="Q201" s="153"/>
      <c r="R201" s="104"/>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7"/>
      <c r="BK201" s="227"/>
    </row>
    <row r="202" spans="1:63" outlineLevel="1">
      <c r="A202" s="9"/>
      <c r="B202" s="44"/>
      <c r="C202" s="278">
        <f>Asset30</f>
        <v>0</v>
      </c>
      <c r="D202" s="9"/>
      <c r="E202" s="9"/>
      <c r="F202" s="142"/>
      <c r="G202" s="207">
        <f>Input!Q36</f>
        <v>0</v>
      </c>
      <c r="H202" s="118"/>
      <c r="I202" s="118"/>
      <c r="J202" s="118"/>
      <c r="K202" s="118"/>
      <c r="L202" s="118"/>
      <c r="M202" s="9"/>
      <c r="N202" s="114"/>
      <c r="O202" s="153"/>
      <c r="P202" s="153"/>
      <c r="Q202" s="153"/>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7"/>
      <c r="BK202" s="227"/>
    </row>
    <row r="203" spans="1:63">
      <c r="A203" s="9"/>
      <c r="B203" s="154"/>
      <c r="C203" s="26"/>
      <c r="D203" s="9"/>
      <c r="E203" s="9"/>
      <c r="F203" s="142"/>
      <c r="G203" s="209"/>
      <c r="H203" s="118"/>
      <c r="I203" s="118"/>
      <c r="J203" s="118"/>
      <c r="K203" s="118"/>
      <c r="L203" s="118"/>
      <c r="M203" s="9"/>
      <c r="N203" s="114"/>
      <c r="O203" s="153"/>
      <c r="P203" s="153"/>
      <c r="Q203" s="153"/>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7"/>
      <c r="BK203" s="227"/>
    </row>
    <row r="204" spans="1:63">
      <c r="A204" s="9"/>
      <c r="B204" s="154" t="s">
        <v>51</v>
      </c>
      <c r="C204" s="26"/>
      <c r="D204" s="9"/>
      <c r="E204" s="9"/>
      <c r="F204" s="142"/>
      <c r="G204" s="209">
        <f>SUM(G205:G234)</f>
        <v>79.443850977356931</v>
      </c>
      <c r="H204" s="118"/>
      <c r="I204" s="118"/>
      <c r="J204" s="118"/>
      <c r="K204" s="118"/>
      <c r="L204" s="118"/>
      <c r="M204" s="9"/>
      <c r="N204" s="114"/>
      <c r="O204" s="153"/>
      <c r="P204" s="153"/>
      <c r="Q204" s="153"/>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7"/>
      <c r="BK204" s="227"/>
    </row>
    <row r="205" spans="1:63" outlineLevel="1">
      <c r="A205" s="9"/>
      <c r="B205" s="9"/>
      <c r="C205" s="278" t="str">
        <f>Asset1</f>
        <v>Transmission Lines and Cables</v>
      </c>
      <c r="D205" s="9"/>
      <c r="E205" s="9"/>
      <c r="F205" s="142"/>
      <c r="G205" s="207">
        <f>Input!R7</f>
        <v>0</v>
      </c>
      <c r="H205" s="118"/>
      <c r="I205" s="118"/>
      <c r="J205" s="118"/>
      <c r="K205" s="118"/>
      <c r="L205" s="118"/>
      <c r="M205" s="9"/>
      <c r="N205" s="114"/>
      <c r="O205" s="153"/>
      <c r="P205" s="153"/>
      <c r="Q205" s="153"/>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7"/>
      <c r="BK205" s="227"/>
    </row>
    <row r="206" spans="1:63" outlineLevel="1">
      <c r="A206" s="9"/>
      <c r="B206" s="44"/>
      <c r="C206" s="278" t="str">
        <f>Asset2</f>
        <v>Transmission Substations</v>
      </c>
      <c r="D206" s="9"/>
      <c r="E206" s="9"/>
      <c r="F206" s="142"/>
      <c r="G206" s="207">
        <f>Input!R8</f>
        <v>0</v>
      </c>
      <c r="H206" s="118"/>
      <c r="I206" s="118"/>
      <c r="J206" s="118"/>
      <c r="K206" s="118"/>
      <c r="L206" s="118"/>
      <c r="M206" s="9"/>
      <c r="N206" s="114"/>
      <c r="O206" s="153"/>
      <c r="P206" s="153"/>
      <c r="Q206" s="153"/>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7"/>
      <c r="BK206" s="227"/>
    </row>
    <row r="207" spans="1:63" outlineLevel="1">
      <c r="A207" s="9"/>
      <c r="B207" s="44"/>
      <c r="C207" s="278" t="str">
        <f>Asset3</f>
        <v>Protection and Control</v>
      </c>
      <c r="D207" s="9"/>
      <c r="E207" s="9"/>
      <c r="F207" s="142"/>
      <c r="G207" s="207">
        <f>Input!R9</f>
        <v>0</v>
      </c>
      <c r="H207" s="118"/>
      <c r="I207" s="118"/>
      <c r="J207" s="118"/>
      <c r="K207" s="118"/>
      <c r="L207" s="118"/>
      <c r="M207" s="9"/>
      <c r="N207" s="114"/>
      <c r="O207" s="153"/>
      <c r="P207" s="153"/>
      <c r="Q207" s="153"/>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7"/>
      <c r="BK207" s="227"/>
    </row>
    <row r="208" spans="1:63" outlineLevel="1">
      <c r="A208" s="9"/>
      <c r="B208" s="44"/>
      <c r="C208" s="278" t="str">
        <f>Asset4</f>
        <v>Refurbishment</v>
      </c>
      <c r="D208" s="9"/>
      <c r="E208" s="9"/>
      <c r="F208" s="142"/>
      <c r="G208" s="207">
        <f>Input!R10</f>
        <v>0</v>
      </c>
      <c r="H208" s="118"/>
      <c r="I208" s="118"/>
      <c r="J208" s="118"/>
      <c r="K208" s="118"/>
      <c r="L208" s="118"/>
      <c r="M208" s="9"/>
      <c r="N208" s="114"/>
      <c r="O208" s="153"/>
      <c r="P208" s="153"/>
      <c r="Q208" s="153"/>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7"/>
      <c r="BK208" s="227"/>
    </row>
    <row r="209" spans="1:63" outlineLevel="1">
      <c r="A209" s="9"/>
      <c r="B209" s="44"/>
      <c r="C209" s="278" t="str">
        <f>Asset5</f>
        <v>Other</v>
      </c>
      <c r="D209" s="9"/>
      <c r="E209" s="9"/>
      <c r="F209" s="142"/>
      <c r="G209" s="207">
        <f>Input!R11</f>
        <v>0</v>
      </c>
      <c r="H209" s="118"/>
      <c r="I209" s="118"/>
      <c r="J209" s="118"/>
      <c r="K209" s="118"/>
      <c r="L209" s="118"/>
      <c r="M209" s="9"/>
      <c r="N209" s="114"/>
      <c r="O209" s="153"/>
      <c r="P209" s="153"/>
      <c r="Q209" s="153"/>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7"/>
      <c r="BK209" s="227"/>
    </row>
    <row r="210" spans="1:63" outlineLevel="1">
      <c r="A210" s="9"/>
      <c r="B210" s="44"/>
      <c r="C210" s="278" t="str">
        <f>Asset6</f>
        <v>Other - IT</v>
      </c>
      <c r="D210" s="9"/>
      <c r="E210" s="9"/>
      <c r="F210" s="142"/>
      <c r="G210" s="207">
        <f>Input!R12</f>
        <v>0</v>
      </c>
      <c r="H210" s="118"/>
      <c r="I210" s="118"/>
      <c r="J210" s="118"/>
      <c r="K210" s="118"/>
      <c r="L210" s="118"/>
      <c r="M210" s="9"/>
      <c r="N210" s="114"/>
      <c r="O210" s="153"/>
      <c r="P210" s="153"/>
      <c r="Q210" s="153"/>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7"/>
      <c r="BK210" s="227"/>
    </row>
    <row r="211" spans="1:63" outlineLevel="1">
      <c r="A211" s="9"/>
      <c r="B211" s="44"/>
      <c r="C211" s="278" t="str">
        <f>Asset7</f>
        <v>Other - General</v>
      </c>
      <c r="D211" s="9"/>
      <c r="E211" s="9"/>
      <c r="F211" s="142"/>
      <c r="G211" s="207">
        <f>Input!R13</f>
        <v>0</v>
      </c>
      <c r="H211" s="118"/>
      <c r="I211" s="118"/>
      <c r="J211" s="118"/>
      <c r="K211" s="118"/>
      <c r="L211" s="118"/>
      <c r="M211" s="9"/>
      <c r="N211" s="114"/>
      <c r="O211" s="153"/>
      <c r="P211" s="153"/>
      <c r="Q211" s="153"/>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7"/>
      <c r="BK211" s="227"/>
    </row>
    <row r="212" spans="1:63" outlineLevel="1">
      <c r="A212" s="9"/>
      <c r="B212" s="44"/>
      <c r="C212" s="278" t="str">
        <f>Asset8</f>
        <v>Other - Buildings</v>
      </c>
      <c r="D212" s="9"/>
      <c r="E212" s="9"/>
      <c r="F212" s="142"/>
      <c r="G212" s="207">
        <f>Input!R14</f>
        <v>0</v>
      </c>
      <c r="H212" s="118"/>
      <c r="I212" s="118"/>
      <c r="J212" s="118"/>
      <c r="K212" s="118"/>
      <c r="L212" s="118"/>
      <c r="M212" s="9"/>
      <c r="N212" s="114"/>
      <c r="O212" s="153"/>
      <c r="P212" s="153"/>
      <c r="Q212" s="153"/>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7"/>
      <c r="BK212" s="227"/>
    </row>
    <row r="213" spans="1:63" outlineLevel="1">
      <c r="A213" s="9"/>
      <c r="B213" s="44"/>
      <c r="C213" s="278" t="str">
        <f>Asset9</f>
        <v>Land and Easements</v>
      </c>
      <c r="D213" s="9"/>
      <c r="E213" s="9"/>
      <c r="F213" s="142"/>
      <c r="G213" s="207">
        <f>Input!R15</f>
        <v>0</v>
      </c>
      <c r="H213" s="118"/>
      <c r="I213" s="118"/>
      <c r="J213" s="118"/>
      <c r="K213" s="118"/>
      <c r="L213" s="118"/>
      <c r="M213" s="9"/>
      <c r="N213" s="114"/>
      <c r="O213" s="153"/>
      <c r="P213" s="153"/>
      <c r="Q213" s="153"/>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7"/>
      <c r="BK213" s="227"/>
    </row>
    <row r="214" spans="1:63" outlineLevel="1">
      <c r="A214" s="9"/>
      <c r="B214" s="44"/>
      <c r="C214" s="278" t="str">
        <f>Asset10</f>
        <v>Transmission line assets - long life (60)</v>
      </c>
      <c r="D214" s="9"/>
      <c r="E214" s="9"/>
      <c r="F214" s="142"/>
      <c r="G214" s="207">
        <f>Input!R16</f>
        <v>33.39834688412833</v>
      </c>
      <c r="H214" s="118"/>
      <c r="I214" s="118"/>
      <c r="J214" s="118"/>
      <c r="K214" s="118"/>
      <c r="L214" s="118"/>
      <c r="M214" s="9"/>
      <c r="N214" s="114"/>
      <c r="O214" s="153"/>
      <c r="P214" s="153"/>
      <c r="Q214" s="153"/>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7"/>
      <c r="BK214" s="227"/>
    </row>
    <row r="215" spans="1:63" outlineLevel="1">
      <c r="A215" s="9"/>
      <c r="B215" s="44"/>
      <c r="C215" s="278" t="str">
        <f>Asset11</f>
        <v>Transmission line assets - medium life (45)</v>
      </c>
      <c r="D215" s="9"/>
      <c r="E215" s="9"/>
      <c r="F215" s="142"/>
      <c r="G215" s="207">
        <f>Input!R17</f>
        <v>0.73664926595652891</v>
      </c>
      <c r="H215" s="118"/>
      <c r="I215" s="118"/>
      <c r="J215" s="118"/>
      <c r="K215" s="118"/>
      <c r="L215" s="118"/>
      <c r="M215" s="9"/>
      <c r="N215" s="114"/>
      <c r="O215" s="153"/>
      <c r="P215" s="153"/>
      <c r="Q215" s="153"/>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7"/>
      <c r="BK215" s="227"/>
    </row>
    <row r="216" spans="1:63" outlineLevel="1">
      <c r="A216" s="9"/>
      <c r="B216" s="44"/>
      <c r="C216" s="278" t="str">
        <f>Asset12</f>
        <v>Transmission line assets - short life (10)</v>
      </c>
      <c r="D216" s="9"/>
      <c r="E216" s="9"/>
      <c r="F216" s="142"/>
      <c r="G216" s="207">
        <f>Input!R18</f>
        <v>2.5716952947173697</v>
      </c>
      <c r="H216" s="118"/>
      <c r="I216" s="118"/>
      <c r="J216" s="118"/>
      <c r="K216" s="118"/>
      <c r="L216" s="118"/>
      <c r="M216" s="9"/>
      <c r="N216" s="114"/>
      <c r="O216" s="153"/>
      <c r="P216" s="153"/>
      <c r="Q216" s="153"/>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7"/>
      <c r="BK216" s="227"/>
    </row>
    <row r="217" spans="1:63" outlineLevel="1">
      <c r="A217" s="9"/>
      <c r="B217" s="44"/>
      <c r="C217" s="278" t="str">
        <f>Asset13</f>
        <v>Substation assets - long life (60)</v>
      </c>
      <c r="D217" s="9"/>
      <c r="E217" s="9"/>
      <c r="F217" s="142"/>
      <c r="G217" s="207">
        <f>Input!R19</f>
        <v>5.3260645854020403</v>
      </c>
      <c r="H217" s="118"/>
      <c r="I217" s="118"/>
      <c r="J217" s="118"/>
      <c r="K217" s="118"/>
      <c r="L217" s="118"/>
      <c r="M217" s="9"/>
      <c r="N217" s="114"/>
      <c r="O217" s="153"/>
      <c r="P217" s="153"/>
      <c r="Q217" s="153"/>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7"/>
      <c r="BK217" s="227"/>
    </row>
    <row r="218" spans="1:63" outlineLevel="1">
      <c r="A218" s="9"/>
      <c r="B218" s="44"/>
      <c r="C218" s="278" t="str">
        <f>Asset14</f>
        <v>Substation assets - medium life (45)</v>
      </c>
      <c r="D218" s="9"/>
      <c r="E218" s="9"/>
      <c r="F218" s="142"/>
      <c r="G218" s="207">
        <f>Input!R20</f>
        <v>14.68558736494631</v>
      </c>
      <c r="H218" s="118"/>
      <c r="I218" s="118"/>
      <c r="J218" s="118"/>
      <c r="K218" s="118"/>
      <c r="L218" s="118"/>
      <c r="M218" s="9"/>
      <c r="N218" s="114"/>
      <c r="O218" s="153"/>
      <c r="P218" s="153"/>
      <c r="Q218" s="153"/>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7"/>
      <c r="BK218" s="227"/>
    </row>
    <row r="219" spans="1:63" outlineLevel="1">
      <c r="A219" s="9"/>
      <c r="B219" s="44"/>
      <c r="C219" s="278" t="str">
        <f>Asset15</f>
        <v>Substation assets - short life (15)</v>
      </c>
      <c r="D219" s="9"/>
      <c r="E219" s="9"/>
      <c r="F219" s="142"/>
      <c r="G219" s="207">
        <f>Input!R21</f>
        <v>6.3546941466582112</v>
      </c>
      <c r="H219" s="118"/>
      <c r="I219" s="118"/>
      <c r="J219" s="118"/>
      <c r="K219" s="118"/>
      <c r="L219" s="118"/>
      <c r="M219" s="9"/>
      <c r="N219" s="114"/>
      <c r="O219" s="153"/>
      <c r="P219" s="153"/>
      <c r="Q219" s="153"/>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7"/>
      <c r="BK219" s="227"/>
    </row>
    <row r="220" spans="1:63" outlineLevel="1">
      <c r="A220" s="9"/>
      <c r="B220" s="44"/>
      <c r="C220" s="278" t="str">
        <f>Asset16</f>
        <v>Protection and control - short life (15)</v>
      </c>
      <c r="D220" s="9"/>
      <c r="E220" s="9"/>
      <c r="F220" s="142"/>
      <c r="G220" s="207">
        <f>Input!R22</f>
        <v>6.6842485505711879</v>
      </c>
      <c r="H220" s="118"/>
      <c r="I220" s="118"/>
      <c r="J220" s="118"/>
      <c r="K220" s="118"/>
      <c r="L220" s="118"/>
      <c r="M220" s="9"/>
      <c r="N220" s="114"/>
      <c r="O220" s="153"/>
      <c r="P220" s="153"/>
      <c r="Q220" s="153"/>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7"/>
      <c r="BK220" s="227"/>
    </row>
    <row r="221" spans="1:63" outlineLevel="1">
      <c r="A221" s="9"/>
      <c r="B221" s="44"/>
      <c r="C221" s="278" t="str">
        <f>Asset17</f>
        <v>Protection and control - short life (4)</v>
      </c>
      <c r="D221" s="9"/>
      <c r="E221" s="9"/>
      <c r="F221" s="142"/>
      <c r="G221" s="207">
        <f>Input!R23</f>
        <v>4.1475454707502295E-2</v>
      </c>
      <c r="H221" s="118"/>
      <c r="I221" s="118"/>
      <c r="J221" s="118"/>
      <c r="K221" s="118"/>
      <c r="L221" s="118"/>
      <c r="M221" s="9"/>
      <c r="N221" s="114"/>
      <c r="O221" s="153"/>
      <c r="P221" s="153"/>
      <c r="Q221" s="153"/>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7"/>
      <c r="BK221" s="227"/>
    </row>
    <row r="222" spans="1:63" outlineLevel="1">
      <c r="A222" s="9"/>
      <c r="B222" s="44"/>
      <c r="C222" s="278" t="str">
        <f>Asset18</f>
        <v>Transmission operations - short life (10)</v>
      </c>
      <c r="D222" s="9"/>
      <c r="E222" s="9"/>
      <c r="F222" s="142"/>
      <c r="G222" s="207">
        <f>Input!R24</f>
        <v>1.0438800209506713</v>
      </c>
      <c r="H222" s="118"/>
      <c r="I222" s="118"/>
      <c r="J222" s="118"/>
      <c r="K222" s="118"/>
      <c r="L222" s="118"/>
      <c r="M222" s="9"/>
      <c r="N222" s="114"/>
      <c r="O222" s="153"/>
      <c r="P222" s="153"/>
      <c r="Q222" s="153"/>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7"/>
      <c r="BK222" s="227"/>
    </row>
    <row r="223" spans="1:63" outlineLevel="1">
      <c r="A223" s="9"/>
      <c r="B223" s="44"/>
      <c r="C223" s="278" t="str">
        <f>Asset19</f>
        <v>Transmission operations - short life (4)</v>
      </c>
      <c r="D223" s="9"/>
      <c r="E223" s="9"/>
      <c r="F223" s="142"/>
      <c r="G223" s="207">
        <f>Input!R25</f>
        <v>3.6888414534254815E-2</v>
      </c>
      <c r="H223" s="118"/>
      <c r="I223" s="118"/>
      <c r="J223" s="118"/>
      <c r="K223" s="118"/>
      <c r="L223" s="118"/>
      <c r="M223" s="9"/>
      <c r="N223" s="114"/>
      <c r="O223" s="153"/>
      <c r="P223" s="153"/>
      <c r="Q223" s="153"/>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7"/>
      <c r="BK223" s="227"/>
    </row>
    <row r="224" spans="1:63" outlineLevel="1">
      <c r="A224" s="9"/>
      <c r="B224" s="44"/>
      <c r="C224" s="278" t="str">
        <f>Asset20</f>
        <v>Other - medium life (40)</v>
      </c>
      <c r="D224" s="9"/>
      <c r="E224" s="9"/>
      <c r="F224" s="142"/>
      <c r="G224" s="207">
        <f>Input!R26</f>
        <v>6.2125871165945092</v>
      </c>
      <c r="H224" s="118"/>
      <c r="I224" s="118"/>
      <c r="J224" s="118"/>
      <c r="K224" s="118"/>
      <c r="L224" s="118"/>
      <c r="M224" s="9"/>
      <c r="N224" s="114"/>
      <c r="O224" s="153"/>
      <c r="P224" s="153"/>
      <c r="Q224" s="153"/>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7"/>
      <c r="BK224" s="227"/>
    </row>
    <row r="225" spans="1:63" outlineLevel="1">
      <c r="A225" s="9"/>
      <c r="B225" s="44"/>
      <c r="C225" s="278" t="str">
        <f>Asset21</f>
        <v>Other - short life (9)</v>
      </c>
      <c r="D225" s="9"/>
      <c r="E225" s="9"/>
      <c r="F225" s="142"/>
      <c r="G225" s="207">
        <f>Input!R27</f>
        <v>0</v>
      </c>
      <c r="H225" s="118"/>
      <c r="I225" s="118"/>
      <c r="J225" s="118"/>
      <c r="K225" s="118"/>
      <c r="L225" s="118"/>
      <c r="M225" s="9"/>
      <c r="N225" s="114"/>
      <c r="O225" s="153"/>
      <c r="P225" s="153"/>
      <c r="Q225" s="153"/>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7"/>
      <c r="BK225" s="227"/>
    </row>
    <row r="226" spans="1:63" outlineLevel="1">
      <c r="A226" s="9"/>
      <c r="B226" s="44"/>
      <c r="C226" s="278" t="str">
        <f>Asset22</f>
        <v>Other - short life (4)</v>
      </c>
      <c r="D226" s="9"/>
      <c r="E226" s="9"/>
      <c r="F226" s="142"/>
      <c r="G226" s="207">
        <f>Input!R28</f>
        <v>2.2104991108380556</v>
      </c>
      <c r="H226" s="118"/>
      <c r="I226" s="118"/>
      <c r="J226" s="118"/>
      <c r="K226" s="118"/>
      <c r="L226" s="118"/>
      <c r="M226" s="9"/>
      <c r="N226" s="114"/>
      <c r="O226" s="153"/>
      <c r="P226" s="153"/>
      <c r="Q226" s="153"/>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7"/>
      <c r="BK226" s="227"/>
    </row>
    <row r="227" spans="1:63" outlineLevel="1">
      <c r="A227" s="9"/>
      <c r="B227" s="44"/>
      <c r="C227" s="278" t="str">
        <f>Asset23</f>
        <v>Land and Easements</v>
      </c>
      <c r="D227" s="9"/>
      <c r="E227" s="9"/>
      <c r="F227" s="142"/>
      <c r="G227" s="207">
        <f>Input!R29</f>
        <v>0.14123476735195661</v>
      </c>
      <c r="H227" s="118"/>
      <c r="I227" s="118"/>
      <c r="J227" s="118"/>
      <c r="K227" s="118"/>
      <c r="L227" s="118"/>
      <c r="M227" s="9"/>
      <c r="N227" s="114"/>
      <c r="O227" s="153"/>
      <c r="P227" s="153"/>
      <c r="Q227" s="153"/>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7"/>
      <c r="BK227" s="227"/>
    </row>
    <row r="228" spans="1:63" outlineLevel="1">
      <c r="A228" s="9"/>
      <c r="B228" s="44"/>
      <c r="C228" s="278" t="str">
        <f>Asset24</f>
        <v>Equity Raising</v>
      </c>
      <c r="D228" s="9"/>
      <c r="E228" s="9"/>
      <c r="F228" s="142"/>
      <c r="G228" s="207">
        <f>Input!R30</f>
        <v>0</v>
      </c>
      <c r="H228" s="118"/>
      <c r="I228" s="118"/>
      <c r="J228" s="118"/>
      <c r="K228" s="118"/>
      <c r="L228" s="118"/>
      <c r="M228" s="9"/>
      <c r="N228" s="114"/>
      <c r="O228" s="153"/>
      <c r="P228" s="153"/>
      <c r="Q228" s="153"/>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7"/>
      <c r="BK228" s="227"/>
    </row>
    <row r="229" spans="1:63" outlineLevel="1">
      <c r="A229" s="9"/>
      <c r="B229" s="44"/>
      <c r="C229" s="278">
        <f>Asset25</f>
        <v>0</v>
      </c>
      <c r="D229" s="9"/>
      <c r="E229" s="9"/>
      <c r="F229" s="142"/>
      <c r="G229" s="207">
        <f>Input!R31</f>
        <v>0</v>
      </c>
      <c r="H229" s="118"/>
      <c r="I229" s="118"/>
      <c r="J229" s="118"/>
      <c r="K229" s="118"/>
      <c r="L229" s="118"/>
      <c r="M229" s="9"/>
      <c r="N229" s="114"/>
      <c r="O229" s="153"/>
      <c r="P229" s="153"/>
      <c r="Q229" s="153"/>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7"/>
      <c r="BK229" s="227"/>
    </row>
    <row r="230" spans="1:63" outlineLevel="1">
      <c r="A230" s="9"/>
      <c r="B230" s="44"/>
      <c r="C230" s="278">
        <f>Asset26</f>
        <v>0</v>
      </c>
      <c r="D230" s="9"/>
      <c r="E230" s="9"/>
      <c r="F230" s="142"/>
      <c r="G230" s="207">
        <f>Input!R32</f>
        <v>0</v>
      </c>
      <c r="H230" s="118"/>
      <c r="I230" s="118"/>
      <c r="J230" s="118"/>
      <c r="K230" s="118"/>
      <c r="L230" s="118"/>
      <c r="M230" s="9"/>
      <c r="N230" s="114"/>
      <c r="O230" s="153"/>
      <c r="P230" s="153"/>
      <c r="Q230" s="153"/>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7"/>
      <c r="BK230" s="227"/>
    </row>
    <row r="231" spans="1:63" outlineLevel="1">
      <c r="A231" s="9"/>
      <c r="B231" s="44"/>
      <c r="C231" s="278">
        <f>Asset27</f>
        <v>0</v>
      </c>
      <c r="D231" s="9"/>
      <c r="E231" s="9"/>
      <c r="F231" s="142"/>
      <c r="G231" s="207">
        <f>Input!R33</f>
        <v>0</v>
      </c>
      <c r="H231" s="118"/>
      <c r="I231" s="118"/>
      <c r="J231" s="118"/>
      <c r="K231" s="118"/>
      <c r="L231" s="118"/>
      <c r="M231" s="9"/>
      <c r="N231" s="114"/>
      <c r="O231" s="153"/>
      <c r="P231" s="153"/>
      <c r="Q231" s="153"/>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7"/>
      <c r="BK231" s="227"/>
    </row>
    <row r="232" spans="1:63" outlineLevel="1">
      <c r="A232" s="9"/>
      <c r="B232" s="44"/>
      <c r="C232" s="278">
        <f>Asset28</f>
        <v>0</v>
      </c>
      <c r="D232" s="9"/>
      <c r="E232" s="9"/>
      <c r="F232" s="142"/>
      <c r="G232" s="207">
        <f>Input!R34</f>
        <v>0</v>
      </c>
      <c r="H232" s="118"/>
      <c r="I232" s="118"/>
      <c r="J232" s="118"/>
      <c r="K232" s="118"/>
      <c r="L232" s="118"/>
      <c r="M232" s="9"/>
      <c r="N232" s="114"/>
      <c r="O232" s="153"/>
      <c r="P232" s="153"/>
      <c r="Q232" s="153"/>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7"/>
      <c r="BK232" s="227"/>
    </row>
    <row r="233" spans="1:63" outlineLevel="1">
      <c r="A233" s="9"/>
      <c r="B233" s="44"/>
      <c r="C233" s="278">
        <f>Asset29</f>
        <v>0</v>
      </c>
      <c r="D233" s="9"/>
      <c r="E233" s="9"/>
      <c r="F233" s="142"/>
      <c r="G233" s="207">
        <f>Input!R35</f>
        <v>0</v>
      </c>
      <c r="H233" s="118"/>
      <c r="I233" s="118"/>
      <c r="J233" s="118"/>
      <c r="K233" s="118"/>
      <c r="L233" s="118"/>
      <c r="M233" s="9"/>
      <c r="N233" s="114"/>
      <c r="O233" s="153"/>
      <c r="P233" s="153"/>
      <c r="Q233" s="153"/>
      <c r="R233" s="104"/>
      <c r="S233" s="104"/>
      <c r="T233" s="104"/>
      <c r="U233" s="104"/>
      <c r="V233" s="104"/>
      <c r="W233" s="104"/>
      <c r="X233" s="104"/>
      <c r="Y233" s="104"/>
      <c r="Z233" s="104"/>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7"/>
      <c r="BK233" s="227"/>
    </row>
    <row r="234" spans="1:63" outlineLevel="1">
      <c r="A234" s="9"/>
      <c r="B234" s="44"/>
      <c r="C234" s="278">
        <f>Asset30</f>
        <v>0</v>
      </c>
      <c r="D234" s="9"/>
      <c r="E234" s="9"/>
      <c r="F234" s="142"/>
      <c r="G234" s="207">
        <f>Input!R36</f>
        <v>0</v>
      </c>
      <c r="H234" s="118"/>
      <c r="I234" s="118"/>
      <c r="J234" s="118"/>
      <c r="K234" s="118"/>
      <c r="L234" s="118"/>
      <c r="M234" s="9"/>
      <c r="N234" s="114"/>
      <c r="O234" s="153"/>
      <c r="P234" s="153"/>
      <c r="Q234" s="153"/>
      <c r="R234" s="104"/>
      <c r="S234" s="104"/>
      <c r="T234" s="104"/>
      <c r="U234" s="104"/>
      <c r="V234" s="104"/>
      <c r="W234" s="104"/>
      <c r="X234" s="104"/>
      <c r="Y234" s="104"/>
      <c r="Z234" s="104"/>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7"/>
      <c r="BK234" s="227"/>
    </row>
    <row r="235" spans="1:63">
      <c r="A235" s="9"/>
      <c r="B235" s="154"/>
      <c r="C235" s="26"/>
      <c r="D235" s="9"/>
      <c r="E235" s="9"/>
      <c r="F235" s="142"/>
      <c r="G235" s="209"/>
      <c r="H235" s="118"/>
      <c r="I235" s="118"/>
      <c r="J235" s="118"/>
      <c r="K235" s="118"/>
      <c r="L235" s="118"/>
      <c r="M235" s="9"/>
      <c r="N235" s="114"/>
      <c r="O235" s="153"/>
      <c r="P235" s="153"/>
      <c r="Q235" s="153"/>
      <c r="R235" s="104"/>
      <c r="S235" s="104"/>
      <c r="T235" s="104"/>
      <c r="U235" s="104"/>
      <c r="V235" s="104"/>
      <c r="W235" s="104"/>
      <c r="X235" s="104"/>
      <c r="Y235" s="104"/>
      <c r="Z235" s="104"/>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7"/>
      <c r="BK235" s="227"/>
    </row>
    <row r="236" spans="1:63">
      <c r="A236" s="9"/>
      <c r="B236" s="154" t="s">
        <v>52</v>
      </c>
      <c r="C236" s="26"/>
      <c r="D236" s="9"/>
      <c r="E236" s="9"/>
      <c r="F236" s="142"/>
      <c r="G236" s="209">
        <f>SUM(G237:G266)</f>
        <v>24.129486977356919</v>
      </c>
      <c r="H236" s="118"/>
      <c r="I236" s="118"/>
      <c r="J236" s="118"/>
      <c r="K236" s="118"/>
      <c r="L236" s="118"/>
      <c r="M236" s="9"/>
      <c r="N236" s="114"/>
      <c r="O236" s="153"/>
      <c r="P236" s="153"/>
      <c r="Q236" s="153"/>
      <c r="R236" s="104"/>
      <c r="S236" s="104"/>
      <c r="T236" s="104"/>
      <c r="U236" s="104"/>
      <c r="V236" s="104"/>
      <c r="W236" s="104"/>
      <c r="X236" s="104"/>
      <c r="Y236" s="104"/>
      <c r="Z236" s="104"/>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7"/>
      <c r="BK236" s="227"/>
    </row>
    <row r="237" spans="1:63" hidden="1" outlineLevel="1">
      <c r="A237" s="9"/>
      <c r="B237" s="9"/>
      <c r="C237" s="278" t="str">
        <f>Asset1</f>
        <v>Transmission Lines and Cables</v>
      </c>
      <c r="D237" s="9"/>
      <c r="E237" s="9"/>
      <c r="F237" s="142"/>
      <c r="G237" s="207">
        <f t="shared" ref="G237:G266" si="3">G205-G173</f>
        <v>0</v>
      </c>
      <c r="H237" s="118"/>
      <c r="I237" s="118"/>
      <c r="J237" s="118"/>
      <c r="K237" s="118"/>
      <c r="L237" s="118"/>
      <c r="M237" s="9"/>
      <c r="N237" s="114"/>
      <c r="O237" s="153"/>
      <c r="P237" s="153"/>
      <c r="Q237" s="153"/>
      <c r="R237" s="104"/>
      <c r="S237" s="104"/>
      <c r="T237" s="104"/>
      <c r="U237" s="104"/>
      <c r="V237" s="104"/>
      <c r="W237" s="104"/>
      <c r="X237" s="104"/>
      <c r="Y237" s="104"/>
      <c r="Z237" s="104"/>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7"/>
      <c r="BK237" s="227"/>
    </row>
    <row r="238" spans="1:63" hidden="1" outlineLevel="1">
      <c r="A238" s="9"/>
      <c r="B238" s="44"/>
      <c r="C238" s="278" t="str">
        <f>Asset2</f>
        <v>Transmission Substations</v>
      </c>
      <c r="D238" s="9"/>
      <c r="E238" s="9"/>
      <c r="F238" s="142"/>
      <c r="G238" s="207">
        <f t="shared" si="3"/>
        <v>0</v>
      </c>
      <c r="H238" s="118"/>
      <c r="I238" s="118"/>
      <c r="J238" s="118"/>
      <c r="K238" s="118"/>
      <c r="L238" s="118"/>
      <c r="M238" s="9"/>
      <c r="N238" s="114"/>
      <c r="O238" s="153"/>
      <c r="P238" s="153"/>
      <c r="Q238" s="153"/>
      <c r="R238" s="104"/>
      <c r="S238" s="104"/>
      <c r="T238" s="104"/>
      <c r="U238" s="104"/>
      <c r="V238" s="104"/>
      <c r="W238" s="104"/>
      <c r="X238" s="104"/>
      <c r="Y238" s="104"/>
      <c r="Z238" s="104"/>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7"/>
      <c r="BK238" s="227"/>
    </row>
    <row r="239" spans="1:63" hidden="1" outlineLevel="1">
      <c r="A239" s="9"/>
      <c r="B239" s="44"/>
      <c r="C239" s="278" t="str">
        <f>Asset3</f>
        <v>Protection and Control</v>
      </c>
      <c r="D239" s="9"/>
      <c r="E239" s="9"/>
      <c r="F239" s="142"/>
      <c r="G239" s="207">
        <f t="shared" si="3"/>
        <v>0</v>
      </c>
      <c r="H239" s="118"/>
      <c r="I239" s="118"/>
      <c r="J239" s="118"/>
      <c r="K239" s="118"/>
      <c r="L239" s="118"/>
      <c r="M239" s="9"/>
      <c r="N239" s="114"/>
      <c r="O239" s="153"/>
      <c r="P239" s="153"/>
      <c r="Q239" s="153"/>
      <c r="R239" s="104"/>
      <c r="S239" s="104"/>
      <c r="T239" s="104"/>
      <c r="U239" s="104"/>
      <c r="V239" s="104"/>
      <c r="W239" s="104"/>
      <c r="X239" s="104"/>
      <c r="Y239" s="104"/>
      <c r="Z239" s="104"/>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7"/>
      <c r="BK239" s="227"/>
    </row>
    <row r="240" spans="1:63" hidden="1" outlineLevel="1">
      <c r="A240" s="9"/>
      <c r="B240" s="44"/>
      <c r="C240" s="278" t="str">
        <f>Asset4</f>
        <v>Refurbishment</v>
      </c>
      <c r="D240" s="9"/>
      <c r="E240" s="9"/>
      <c r="F240" s="142"/>
      <c r="G240" s="207">
        <f t="shared" si="3"/>
        <v>0</v>
      </c>
      <c r="H240" s="118"/>
      <c r="I240" s="118"/>
      <c r="J240" s="118"/>
      <c r="K240" s="118"/>
      <c r="L240" s="118"/>
      <c r="M240" s="9"/>
      <c r="N240" s="114"/>
      <c r="O240" s="153"/>
      <c r="P240" s="153"/>
      <c r="Q240" s="153"/>
      <c r="R240" s="104"/>
      <c r="S240" s="104"/>
      <c r="T240" s="104"/>
      <c r="U240" s="104"/>
      <c r="V240" s="104"/>
      <c r="W240" s="104"/>
      <c r="X240" s="104"/>
      <c r="Y240" s="104"/>
      <c r="Z240" s="104"/>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7"/>
      <c r="BK240" s="227"/>
    </row>
    <row r="241" spans="1:63" hidden="1" outlineLevel="1">
      <c r="A241" s="9"/>
      <c r="B241" s="44"/>
      <c r="C241" s="278" t="str">
        <f>Asset5</f>
        <v>Other</v>
      </c>
      <c r="D241" s="9"/>
      <c r="E241" s="9"/>
      <c r="F241" s="142"/>
      <c r="G241" s="207">
        <f t="shared" si="3"/>
        <v>0</v>
      </c>
      <c r="H241" s="118"/>
      <c r="I241" s="118"/>
      <c r="J241" s="118"/>
      <c r="K241" s="118"/>
      <c r="L241" s="118"/>
      <c r="M241" s="9"/>
      <c r="N241" s="114"/>
      <c r="O241" s="153"/>
      <c r="P241" s="153"/>
      <c r="Q241" s="153"/>
      <c r="R241" s="104"/>
      <c r="S241" s="104"/>
      <c r="T241" s="104"/>
      <c r="U241" s="104"/>
      <c r="V241" s="104"/>
      <c r="W241" s="104"/>
      <c r="X241" s="104"/>
      <c r="Y241" s="104"/>
      <c r="Z241" s="104"/>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7"/>
      <c r="BK241" s="227"/>
    </row>
    <row r="242" spans="1:63" hidden="1" outlineLevel="1">
      <c r="A242" s="9"/>
      <c r="B242" s="44"/>
      <c r="C242" s="278" t="str">
        <f>Asset6</f>
        <v>Other - IT</v>
      </c>
      <c r="D242" s="9"/>
      <c r="E242" s="9"/>
      <c r="F242" s="142"/>
      <c r="G242" s="207">
        <f t="shared" si="3"/>
        <v>0</v>
      </c>
      <c r="H242" s="118"/>
      <c r="I242" s="118"/>
      <c r="J242" s="118"/>
      <c r="K242" s="118"/>
      <c r="L242" s="118"/>
      <c r="M242" s="9"/>
      <c r="N242" s="114"/>
      <c r="O242" s="153"/>
      <c r="P242" s="153"/>
      <c r="Q242" s="153"/>
      <c r="R242" s="104"/>
      <c r="S242" s="104"/>
      <c r="T242" s="104"/>
      <c r="U242" s="104"/>
      <c r="V242" s="104"/>
      <c r="W242" s="104"/>
      <c r="X242" s="104"/>
      <c r="Y242" s="104"/>
      <c r="Z242" s="104"/>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7"/>
      <c r="BK242" s="227"/>
    </row>
    <row r="243" spans="1:63" hidden="1" outlineLevel="1">
      <c r="A243" s="9"/>
      <c r="B243" s="44"/>
      <c r="C243" s="278" t="str">
        <f>Asset7</f>
        <v>Other - General</v>
      </c>
      <c r="D243" s="9"/>
      <c r="E243" s="9"/>
      <c r="F243" s="142"/>
      <c r="G243" s="207">
        <f t="shared" si="3"/>
        <v>0</v>
      </c>
      <c r="H243" s="118"/>
      <c r="I243" s="118"/>
      <c r="J243" s="118"/>
      <c r="K243" s="118"/>
      <c r="L243" s="118"/>
      <c r="M243" s="9"/>
      <c r="N243" s="114"/>
      <c r="O243" s="153"/>
      <c r="P243" s="153"/>
      <c r="Q243" s="153"/>
      <c r="R243" s="104"/>
      <c r="S243" s="104"/>
      <c r="T243" s="104"/>
      <c r="U243" s="104"/>
      <c r="V243" s="104"/>
      <c r="W243" s="104"/>
      <c r="X243" s="104"/>
      <c r="Y243" s="104"/>
      <c r="Z243" s="104"/>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7"/>
      <c r="BK243" s="227"/>
    </row>
    <row r="244" spans="1:63" hidden="1" outlineLevel="1">
      <c r="A244" s="9"/>
      <c r="B244" s="44"/>
      <c r="C244" s="278" t="str">
        <f>Asset8</f>
        <v>Other - Buildings</v>
      </c>
      <c r="D244" s="9"/>
      <c r="E244" s="9"/>
      <c r="F244" s="142"/>
      <c r="G244" s="207">
        <f t="shared" si="3"/>
        <v>0</v>
      </c>
      <c r="H244" s="118"/>
      <c r="I244" s="118"/>
      <c r="J244" s="118"/>
      <c r="K244" s="118"/>
      <c r="L244" s="118"/>
      <c r="M244" s="9"/>
      <c r="N244" s="114"/>
      <c r="O244" s="153"/>
      <c r="P244" s="153"/>
      <c r="Q244" s="153"/>
      <c r="R244" s="104"/>
      <c r="S244" s="104"/>
      <c r="T244" s="104"/>
      <c r="U244" s="104"/>
      <c r="V244" s="104"/>
      <c r="W244" s="104"/>
      <c r="X244" s="104"/>
      <c r="Y244" s="104"/>
      <c r="Z244" s="104"/>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7"/>
      <c r="BK244" s="227"/>
    </row>
    <row r="245" spans="1:63" hidden="1" outlineLevel="1">
      <c r="A245" s="9"/>
      <c r="B245" s="44"/>
      <c r="C245" s="278" t="str">
        <f>Asset9</f>
        <v>Land and Easements</v>
      </c>
      <c r="D245" s="9"/>
      <c r="E245" s="9"/>
      <c r="F245" s="142"/>
      <c r="G245" s="207">
        <f t="shared" si="3"/>
        <v>0</v>
      </c>
      <c r="H245" s="118"/>
      <c r="I245" s="118"/>
      <c r="J245" s="118"/>
      <c r="K245" s="118"/>
      <c r="L245" s="118"/>
      <c r="M245" s="9"/>
      <c r="N245" s="114"/>
      <c r="O245" s="153"/>
      <c r="P245" s="153"/>
      <c r="Q245" s="153"/>
      <c r="R245" s="104"/>
      <c r="S245" s="104"/>
      <c r="T245" s="104"/>
      <c r="U245" s="104"/>
      <c r="V245" s="104"/>
      <c r="W245" s="104"/>
      <c r="X245" s="104"/>
      <c r="Y245" s="104"/>
      <c r="Z245" s="104"/>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7"/>
      <c r="BK245" s="227"/>
    </row>
    <row r="246" spans="1:63" hidden="1" outlineLevel="1">
      <c r="A246" s="9"/>
      <c r="B246" s="44"/>
      <c r="C246" s="278" t="str">
        <f>Asset10</f>
        <v>Transmission line assets - long life (60)</v>
      </c>
      <c r="D246" s="9"/>
      <c r="E246" s="9"/>
      <c r="F246" s="142"/>
      <c r="G246" s="207">
        <f t="shared" si="3"/>
        <v>5.7315389012824696</v>
      </c>
      <c r="H246" s="118"/>
      <c r="I246" s="118"/>
      <c r="J246" s="118"/>
      <c r="K246" s="118"/>
      <c r="L246" s="118"/>
      <c r="M246" s="9"/>
      <c r="N246" s="114"/>
      <c r="O246" s="153"/>
      <c r="P246" s="153"/>
      <c r="Q246" s="153"/>
      <c r="R246" s="104"/>
      <c r="S246" s="104"/>
      <c r="T246" s="104"/>
      <c r="U246" s="104"/>
      <c r="V246" s="104"/>
      <c r="W246" s="104"/>
      <c r="X246" s="104"/>
      <c r="Y246" s="104"/>
      <c r="Z246" s="104"/>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7"/>
      <c r="BK246" s="227"/>
    </row>
    <row r="247" spans="1:63" hidden="1" outlineLevel="1">
      <c r="A247" s="9"/>
      <c r="B247" s="44"/>
      <c r="C247" s="278" t="str">
        <f>Asset11</f>
        <v>Transmission line assets - medium life (45)</v>
      </c>
      <c r="D247" s="9"/>
      <c r="E247" s="9"/>
      <c r="F247" s="142"/>
      <c r="G247" s="207">
        <f t="shared" si="3"/>
        <v>-5.4248239493538186E-2</v>
      </c>
      <c r="H247" s="118"/>
      <c r="I247" s="118"/>
      <c r="J247" s="118"/>
      <c r="K247" s="118"/>
      <c r="L247" s="118"/>
      <c r="M247" s="9"/>
      <c r="N247" s="114"/>
      <c r="O247" s="153"/>
      <c r="P247" s="153"/>
      <c r="Q247" s="153"/>
      <c r="R247" s="104"/>
      <c r="S247" s="104"/>
      <c r="T247" s="104"/>
      <c r="U247" s="104"/>
      <c r="V247" s="104"/>
      <c r="W247" s="104"/>
      <c r="X247" s="104"/>
      <c r="Y247" s="104"/>
      <c r="Z247" s="104"/>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7"/>
      <c r="BK247" s="227"/>
    </row>
    <row r="248" spans="1:63" hidden="1" outlineLevel="1">
      <c r="A248" s="9"/>
      <c r="B248" s="44"/>
      <c r="C248" s="278" t="str">
        <f>Asset12</f>
        <v>Transmission line assets - short life (10)</v>
      </c>
      <c r="D248" s="9"/>
      <c r="E248" s="9"/>
      <c r="F248" s="142"/>
      <c r="G248" s="207">
        <f t="shared" si="3"/>
        <v>0.48924738203004692</v>
      </c>
      <c r="H248" s="118"/>
      <c r="I248" s="118"/>
      <c r="J248" s="118"/>
      <c r="K248" s="118"/>
      <c r="L248" s="118"/>
      <c r="M248" s="9"/>
      <c r="N248" s="114"/>
      <c r="O248" s="153"/>
      <c r="P248" s="153"/>
      <c r="Q248" s="153"/>
      <c r="R248" s="104"/>
      <c r="S248" s="104"/>
      <c r="T248" s="104"/>
      <c r="U248" s="104"/>
      <c r="V248" s="104"/>
      <c r="W248" s="104"/>
      <c r="X248" s="104"/>
      <c r="Y248" s="104"/>
      <c r="Z248" s="104"/>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7"/>
      <c r="BK248" s="227"/>
    </row>
    <row r="249" spans="1:63" hidden="1" outlineLevel="1">
      <c r="A249" s="9"/>
      <c r="B249" s="44"/>
      <c r="C249" s="278" t="str">
        <f>Asset13</f>
        <v>Substation assets - long life (60)</v>
      </c>
      <c r="D249" s="9"/>
      <c r="E249" s="9"/>
      <c r="F249" s="142"/>
      <c r="G249" s="207">
        <f t="shared" si="3"/>
        <v>1.6878573457922603</v>
      </c>
      <c r="H249" s="118"/>
      <c r="I249" s="118"/>
      <c r="J249" s="118"/>
      <c r="K249" s="118"/>
      <c r="L249" s="118"/>
      <c r="M249" s="9"/>
      <c r="N249" s="114"/>
      <c r="O249" s="153"/>
      <c r="P249" s="153"/>
      <c r="Q249" s="153"/>
      <c r="R249" s="104"/>
      <c r="S249" s="104"/>
      <c r="T249" s="104"/>
      <c r="U249" s="104"/>
      <c r="V249" s="104"/>
      <c r="W249" s="104"/>
      <c r="X249" s="104"/>
      <c r="Y249" s="104"/>
      <c r="Z249" s="104"/>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7"/>
      <c r="BK249" s="227"/>
    </row>
    <row r="250" spans="1:63" hidden="1" outlineLevel="1">
      <c r="A250" s="9"/>
      <c r="B250" s="44"/>
      <c r="C250" s="278" t="str">
        <f>Asset14</f>
        <v>Substation assets - medium life (45)</v>
      </c>
      <c r="D250" s="9"/>
      <c r="E250" s="9"/>
      <c r="F250" s="142"/>
      <c r="G250" s="207">
        <f t="shared" si="3"/>
        <v>5.5250952535782147</v>
      </c>
      <c r="H250" s="118"/>
      <c r="I250" s="118"/>
      <c r="J250" s="118"/>
      <c r="K250" s="118"/>
      <c r="L250" s="118"/>
      <c r="M250" s="9"/>
      <c r="N250" s="114"/>
      <c r="O250" s="153"/>
      <c r="P250" s="153"/>
      <c r="Q250" s="153"/>
      <c r="R250" s="104"/>
      <c r="S250" s="104"/>
      <c r="T250" s="104"/>
      <c r="U250" s="104"/>
      <c r="V250" s="104"/>
      <c r="W250" s="104"/>
      <c r="X250" s="104"/>
      <c r="Y250" s="104"/>
      <c r="Z250" s="104"/>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7"/>
      <c r="BK250" s="227"/>
    </row>
    <row r="251" spans="1:63" hidden="1" outlineLevel="1">
      <c r="A251" s="9"/>
      <c r="B251" s="44"/>
      <c r="C251" s="278" t="str">
        <f>Asset15</f>
        <v>Substation assets - short life (15)</v>
      </c>
      <c r="D251" s="9"/>
      <c r="E251" s="9"/>
      <c r="F251" s="142"/>
      <c r="G251" s="207">
        <f t="shared" si="3"/>
        <v>5.9873207743483023</v>
      </c>
      <c r="H251" s="118"/>
      <c r="I251" s="118"/>
      <c r="J251" s="118"/>
      <c r="K251" s="118"/>
      <c r="L251" s="118"/>
      <c r="M251" s="9"/>
      <c r="N251" s="114"/>
      <c r="O251" s="153"/>
      <c r="P251" s="153"/>
      <c r="Q251" s="153"/>
      <c r="R251" s="104"/>
      <c r="S251" s="104"/>
      <c r="T251" s="104"/>
      <c r="U251" s="104"/>
      <c r="V251" s="104"/>
      <c r="W251" s="104"/>
      <c r="X251" s="104"/>
      <c r="Y251" s="104"/>
      <c r="Z251" s="104"/>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7"/>
      <c r="BK251" s="227"/>
    </row>
    <row r="252" spans="1:63" hidden="1" outlineLevel="1">
      <c r="A252" s="9"/>
      <c r="B252" s="44"/>
      <c r="C252" s="278" t="str">
        <f>Asset16</f>
        <v>Protection and control - short life (15)</v>
      </c>
      <c r="D252" s="9"/>
      <c r="E252" s="9"/>
      <c r="F252" s="142"/>
      <c r="G252" s="207">
        <f t="shared" si="3"/>
        <v>2.5924627505956241</v>
      </c>
      <c r="H252" s="118"/>
      <c r="I252" s="118"/>
      <c r="J252" s="118"/>
      <c r="K252" s="118"/>
      <c r="L252" s="118"/>
      <c r="M252" s="9"/>
      <c r="N252" s="114"/>
      <c r="O252" s="153"/>
      <c r="P252" s="153"/>
      <c r="Q252" s="153"/>
      <c r="R252" s="104"/>
      <c r="S252" s="104"/>
      <c r="T252" s="104"/>
      <c r="U252" s="104"/>
      <c r="V252" s="104"/>
      <c r="W252" s="104"/>
      <c r="X252" s="104"/>
      <c r="Y252" s="104"/>
      <c r="Z252" s="104"/>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7"/>
      <c r="BK252" s="227"/>
    </row>
    <row r="253" spans="1:63" hidden="1" outlineLevel="1">
      <c r="A253" s="9"/>
      <c r="B253" s="44"/>
      <c r="C253" s="278" t="str">
        <f>Asset17</f>
        <v>Protection and control - short life (4)</v>
      </c>
      <c r="D253" s="9"/>
      <c r="E253" s="9"/>
      <c r="F253" s="142"/>
      <c r="G253" s="207">
        <f t="shared" si="3"/>
        <v>4.1475454707502295E-2</v>
      </c>
      <c r="H253" s="118"/>
      <c r="I253" s="118"/>
      <c r="J253" s="118"/>
      <c r="K253" s="118"/>
      <c r="L253" s="118"/>
      <c r="M253" s="9"/>
      <c r="N253" s="114"/>
      <c r="O253" s="153"/>
      <c r="P253" s="153"/>
      <c r="Q253" s="153"/>
      <c r="R253" s="104"/>
      <c r="S253" s="104"/>
      <c r="T253" s="104"/>
      <c r="U253" s="104"/>
      <c r="V253" s="104"/>
      <c r="W253" s="104"/>
      <c r="X253" s="104"/>
      <c r="Y253" s="104"/>
      <c r="Z253" s="104"/>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7"/>
      <c r="BK253" s="227"/>
    </row>
    <row r="254" spans="1:63" hidden="1" outlineLevel="1">
      <c r="A254" s="9"/>
      <c r="B254" s="44"/>
      <c r="C254" s="278" t="str">
        <f>Asset18</f>
        <v>Transmission operations - short life (10)</v>
      </c>
      <c r="D254" s="9"/>
      <c r="E254" s="9"/>
      <c r="F254" s="142"/>
      <c r="G254" s="207">
        <f t="shared" si="3"/>
        <v>1.0438800209506713</v>
      </c>
      <c r="H254" s="118"/>
      <c r="I254" s="118"/>
      <c r="J254" s="118"/>
      <c r="K254" s="118"/>
      <c r="L254" s="118"/>
      <c r="M254" s="9"/>
      <c r="N254" s="114"/>
      <c r="O254" s="153"/>
      <c r="P254" s="153"/>
      <c r="Q254" s="153"/>
      <c r="R254" s="104"/>
      <c r="S254" s="104"/>
      <c r="T254" s="104"/>
      <c r="U254" s="104"/>
      <c r="V254" s="104"/>
      <c r="W254" s="104"/>
      <c r="X254" s="104"/>
      <c r="Y254" s="104"/>
      <c r="Z254" s="104"/>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7"/>
      <c r="BK254" s="227"/>
    </row>
    <row r="255" spans="1:63" hidden="1" outlineLevel="1">
      <c r="A255" s="9"/>
      <c r="B255" s="44"/>
      <c r="C255" s="278" t="str">
        <f>Asset19</f>
        <v>Transmission operations - short life (4)</v>
      </c>
      <c r="D255" s="9"/>
      <c r="E255" s="9"/>
      <c r="F255" s="142"/>
      <c r="G255" s="207">
        <f t="shared" si="3"/>
        <v>3.6888414534254815E-2</v>
      </c>
      <c r="H255" s="118"/>
      <c r="I255" s="118"/>
      <c r="J255" s="118"/>
      <c r="K255" s="118"/>
      <c r="L255" s="118"/>
      <c r="M255" s="9"/>
      <c r="N255" s="114"/>
      <c r="O255" s="153"/>
      <c r="P255" s="153"/>
      <c r="Q255" s="153"/>
      <c r="R255" s="104"/>
      <c r="S255" s="104"/>
      <c r="T255" s="104"/>
      <c r="U255" s="104"/>
      <c r="V255" s="104"/>
      <c r="W255" s="104"/>
      <c r="X255" s="104"/>
      <c r="Y255" s="104"/>
      <c r="Z255" s="104"/>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7"/>
      <c r="BK255" s="227"/>
    </row>
    <row r="256" spans="1:63" hidden="1" outlineLevel="1">
      <c r="A256" s="9"/>
      <c r="B256" s="44"/>
      <c r="C256" s="278" t="str">
        <f>Asset20</f>
        <v>Other - medium life (40)</v>
      </c>
      <c r="D256" s="9"/>
      <c r="E256" s="9"/>
      <c r="F256" s="142"/>
      <c r="G256" s="207">
        <f t="shared" si="3"/>
        <v>-0.64899988340549086</v>
      </c>
      <c r="H256" s="118"/>
      <c r="I256" s="118"/>
      <c r="J256" s="118"/>
      <c r="K256" s="118"/>
      <c r="L256" s="118"/>
      <c r="M256" s="9"/>
      <c r="N256" s="114"/>
      <c r="O256" s="153"/>
      <c r="P256" s="153"/>
      <c r="Q256" s="153"/>
      <c r="R256" s="104"/>
      <c r="S256" s="104"/>
      <c r="T256" s="104"/>
      <c r="U256" s="104"/>
      <c r="V256" s="104"/>
      <c r="W256" s="104"/>
      <c r="X256" s="104"/>
      <c r="Y256" s="104"/>
      <c r="Z256" s="104"/>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7"/>
      <c r="BK256" s="227"/>
    </row>
    <row r="257" spans="1:63" hidden="1" outlineLevel="1">
      <c r="A257" s="9"/>
      <c r="B257" s="44"/>
      <c r="C257" s="278" t="str">
        <f>Asset21</f>
        <v>Other - short life (9)</v>
      </c>
      <c r="D257" s="9"/>
      <c r="E257" s="9"/>
      <c r="F257" s="142"/>
      <c r="G257" s="207">
        <f t="shared" si="3"/>
        <v>0</v>
      </c>
      <c r="H257" s="118"/>
      <c r="I257" s="118"/>
      <c r="J257" s="118"/>
      <c r="K257" s="118"/>
      <c r="L257" s="118"/>
      <c r="M257" s="9"/>
      <c r="N257" s="114"/>
      <c r="O257" s="153"/>
      <c r="P257" s="153"/>
      <c r="Q257" s="153"/>
      <c r="R257" s="104"/>
      <c r="S257" s="104"/>
      <c r="T257" s="104"/>
      <c r="U257" s="104"/>
      <c r="V257" s="104"/>
      <c r="W257" s="104"/>
      <c r="X257" s="104"/>
      <c r="Y257" s="104"/>
      <c r="Z257" s="104"/>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7"/>
      <c r="BK257" s="227"/>
    </row>
    <row r="258" spans="1:63" hidden="1" outlineLevel="1">
      <c r="A258" s="9"/>
      <c r="B258" s="44"/>
      <c r="C258" s="278" t="str">
        <f>Asset22</f>
        <v>Other - short life (4)</v>
      </c>
      <c r="D258" s="9"/>
      <c r="E258" s="9"/>
      <c r="F258" s="142"/>
      <c r="G258" s="207">
        <f t="shared" si="3"/>
        <v>1.6788151108380556</v>
      </c>
      <c r="H258" s="118"/>
      <c r="I258" s="118"/>
      <c r="J258" s="118"/>
      <c r="K258" s="118"/>
      <c r="L258" s="118"/>
      <c r="M258" s="9"/>
      <c r="N258" s="114"/>
      <c r="O258" s="153"/>
      <c r="P258" s="153"/>
      <c r="Q258" s="153"/>
      <c r="R258" s="104"/>
      <c r="S258" s="104"/>
      <c r="T258" s="104"/>
      <c r="U258" s="104"/>
      <c r="V258" s="104"/>
      <c r="W258" s="104"/>
      <c r="X258" s="104"/>
      <c r="Y258" s="104"/>
      <c r="Z258" s="104"/>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7"/>
      <c r="BK258" s="227"/>
    </row>
    <row r="259" spans="1:63" hidden="1" outlineLevel="1">
      <c r="A259" s="9"/>
      <c r="B259" s="44"/>
      <c r="C259" s="278" t="str">
        <f>Asset23</f>
        <v>Land and Easements</v>
      </c>
      <c r="D259" s="9"/>
      <c r="E259" s="9"/>
      <c r="F259" s="142"/>
      <c r="G259" s="207">
        <f t="shared" si="3"/>
        <v>1.8153691598552776E-2</v>
      </c>
      <c r="H259" s="118"/>
      <c r="I259" s="118"/>
      <c r="J259" s="118"/>
      <c r="K259" s="118"/>
      <c r="L259" s="118"/>
      <c r="M259" s="9"/>
      <c r="N259" s="114"/>
      <c r="O259" s="153"/>
      <c r="P259" s="153"/>
      <c r="Q259" s="153"/>
      <c r="R259" s="104"/>
      <c r="S259" s="104"/>
      <c r="T259" s="104"/>
      <c r="U259" s="104"/>
      <c r="V259" s="104"/>
      <c r="W259" s="104"/>
      <c r="X259" s="104"/>
      <c r="Y259" s="104"/>
      <c r="Z259" s="104"/>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7"/>
      <c r="BK259" s="227"/>
    </row>
    <row r="260" spans="1:63" hidden="1" outlineLevel="1">
      <c r="A260" s="9"/>
      <c r="B260" s="44"/>
      <c r="C260" s="278" t="str">
        <f>Asset24</f>
        <v>Equity Raising</v>
      </c>
      <c r="D260" s="9"/>
      <c r="E260" s="9"/>
      <c r="F260" s="142"/>
      <c r="G260" s="207">
        <f t="shared" si="3"/>
        <v>0</v>
      </c>
      <c r="H260" s="118"/>
      <c r="I260" s="118"/>
      <c r="J260" s="118"/>
      <c r="K260" s="118"/>
      <c r="L260" s="118"/>
      <c r="M260" s="9"/>
      <c r="N260" s="114"/>
      <c r="O260" s="153"/>
      <c r="P260" s="153"/>
      <c r="Q260" s="153"/>
      <c r="R260" s="104"/>
      <c r="S260" s="104"/>
      <c r="T260" s="104"/>
      <c r="U260" s="104"/>
      <c r="V260" s="104"/>
      <c r="W260" s="104"/>
      <c r="X260" s="104"/>
      <c r="Y260" s="104"/>
      <c r="Z260" s="104"/>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7"/>
      <c r="BK260" s="227"/>
    </row>
    <row r="261" spans="1:63" hidden="1" outlineLevel="1">
      <c r="A261" s="9"/>
      <c r="B261" s="44"/>
      <c r="C261" s="278">
        <f>Asset25</f>
        <v>0</v>
      </c>
      <c r="D261" s="9"/>
      <c r="E261" s="9"/>
      <c r="F261" s="142"/>
      <c r="G261" s="207">
        <f t="shared" si="3"/>
        <v>0</v>
      </c>
      <c r="H261" s="118"/>
      <c r="I261" s="118"/>
      <c r="J261" s="118"/>
      <c r="K261" s="118"/>
      <c r="L261" s="118"/>
      <c r="M261" s="9"/>
      <c r="N261" s="114"/>
      <c r="O261" s="153"/>
      <c r="P261" s="153"/>
      <c r="Q261" s="153"/>
      <c r="R261" s="104"/>
      <c r="S261" s="104"/>
      <c r="T261" s="104"/>
      <c r="U261" s="104"/>
      <c r="V261" s="104"/>
      <c r="W261" s="104"/>
      <c r="X261" s="104"/>
      <c r="Y261" s="104"/>
      <c r="Z261" s="104"/>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7"/>
      <c r="BK261" s="227"/>
    </row>
    <row r="262" spans="1:63" hidden="1" outlineLevel="1">
      <c r="A262" s="9"/>
      <c r="B262" s="44"/>
      <c r="C262" s="278">
        <f>Asset26</f>
        <v>0</v>
      </c>
      <c r="D262" s="9"/>
      <c r="E262" s="9"/>
      <c r="F262" s="142"/>
      <c r="G262" s="207">
        <f t="shared" si="3"/>
        <v>0</v>
      </c>
      <c r="H262" s="118"/>
      <c r="I262" s="118"/>
      <c r="J262" s="118"/>
      <c r="K262" s="118"/>
      <c r="L262" s="118"/>
      <c r="M262" s="9"/>
      <c r="N262" s="114"/>
      <c r="O262" s="153"/>
      <c r="P262" s="153"/>
      <c r="Q262" s="153"/>
      <c r="R262" s="104"/>
      <c r="S262" s="104"/>
      <c r="T262" s="104"/>
      <c r="U262" s="104"/>
      <c r="V262" s="104"/>
      <c r="W262" s="104"/>
      <c r="X262" s="104"/>
      <c r="Y262" s="104"/>
      <c r="Z262" s="104"/>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7"/>
      <c r="BK262" s="227"/>
    </row>
    <row r="263" spans="1:63" hidden="1" outlineLevel="1">
      <c r="A263" s="9"/>
      <c r="B263" s="44"/>
      <c r="C263" s="278">
        <f>Asset27</f>
        <v>0</v>
      </c>
      <c r="D263" s="9"/>
      <c r="E263" s="9"/>
      <c r="F263" s="142"/>
      <c r="G263" s="207">
        <f t="shared" si="3"/>
        <v>0</v>
      </c>
      <c r="H263" s="118"/>
      <c r="I263" s="118"/>
      <c r="J263" s="118"/>
      <c r="K263" s="118"/>
      <c r="L263" s="118"/>
      <c r="M263" s="9"/>
      <c r="N263" s="114"/>
      <c r="O263" s="153"/>
      <c r="P263" s="153"/>
      <c r="Q263" s="153"/>
      <c r="R263" s="104"/>
      <c r="S263" s="104"/>
      <c r="T263" s="104"/>
      <c r="U263" s="104"/>
      <c r="V263" s="104"/>
      <c r="W263" s="104"/>
      <c r="X263" s="104"/>
      <c r="Y263" s="104"/>
      <c r="Z263" s="104"/>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7"/>
      <c r="BK263" s="227"/>
    </row>
    <row r="264" spans="1:63" hidden="1" outlineLevel="1">
      <c r="A264" s="9"/>
      <c r="B264" s="44"/>
      <c r="C264" s="278">
        <f>Asset28</f>
        <v>0</v>
      </c>
      <c r="D264" s="9"/>
      <c r="E264" s="9"/>
      <c r="F264" s="142"/>
      <c r="G264" s="207">
        <f t="shared" si="3"/>
        <v>0</v>
      </c>
      <c r="H264" s="118"/>
      <c r="I264" s="118"/>
      <c r="J264" s="118"/>
      <c r="K264" s="118"/>
      <c r="L264" s="118"/>
      <c r="M264" s="9"/>
      <c r="N264" s="114"/>
      <c r="O264" s="153"/>
      <c r="P264" s="153"/>
      <c r="Q264" s="153"/>
      <c r="R264" s="104"/>
      <c r="S264" s="104"/>
      <c r="T264" s="104"/>
      <c r="U264" s="104"/>
      <c r="V264" s="104"/>
      <c r="W264" s="104"/>
      <c r="X264" s="104"/>
      <c r="Y264" s="104"/>
      <c r="Z264" s="104"/>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7"/>
      <c r="BK264" s="227"/>
    </row>
    <row r="265" spans="1:63" hidden="1" outlineLevel="1">
      <c r="A265" s="9"/>
      <c r="B265" s="44"/>
      <c r="C265" s="278">
        <f>Asset29</f>
        <v>0</v>
      </c>
      <c r="D265" s="9"/>
      <c r="E265" s="9"/>
      <c r="F265" s="142"/>
      <c r="G265" s="207">
        <f t="shared" si="3"/>
        <v>0</v>
      </c>
      <c r="H265" s="118"/>
      <c r="I265" s="118"/>
      <c r="J265" s="118"/>
      <c r="K265" s="118"/>
      <c r="L265" s="118"/>
      <c r="M265" s="9"/>
      <c r="N265" s="114"/>
      <c r="O265" s="153"/>
      <c r="P265" s="153"/>
      <c r="Q265" s="153"/>
      <c r="R265" s="104"/>
      <c r="S265" s="104"/>
      <c r="T265" s="104"/>
      <c r="U265" s="104"/>
      <c r="V265" s="104"/>
      <c r="W265" s="104"/>
      <c r="X265" s="104"/>
      <c r="Y265" s="104"/>
      <c r="Z265" s="104"/>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7"/>
      <c r="BK265" s="227"/>
    </row>
    <row r="266" spans="1:63" hidden="1" outlineLevel="1">
      <c r="A266" s="9"/>
      <c r="B266" s="44"/>
      <c r="C266" s="278">
        <f>Asset30</f>
        <v>0</v>
      </c>
      <c r="D266" s="9"/>
      <c r="E266" s="9"/>
      <c r="F266" s="142"/>
      <c r="G266" s="207">
        <f t="shared" si="3"/>
        <v>0</v>
      </c>
      <c r="H266" s="118"/>
      <c r="I266" s="118"/>
      <c r="J266" s="118"/>
      <c r="K266" s="118"/>
      <c r="L266" s="118"/>
      <c r="M266" s="9"/>
      <c r="N266" s="114"/>
      <c r="O266" s="153"/>
      <c r="P266" s="153"/>
      <c r="Q266" s="153"/>
      <c r="R266" s="104"/>
      <c r="S266" s="104"/>
      <c r="T266" s="104"/>
      <c r="U266" s="104"/>
      <c r="V266" s="104"/>
      <c r="W266" s="104"/>
      <c r="X266" s="104"/>
      <c r="Y266" s="104"/>
      <c r="Z266" s="104"/>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7"/>
      <c r="BK266" s="227"/>
    </row>
    <row r="267" spans="1:63" collapsed="1">
      <c r="A267" s="9"/>
      <c r="B267" s="154"/>
      <c r="C267" s="26"/>
      <c r="D267" s="9"/>
      <c r="E267" s="9"/>
      <c r="F267" s="142"/>
      <c r="G267" s="209"/>
      <c r="H267" s="118"/>
      <c r="I267" s="118"/>
      <c r="J267" s="118"/>
      <c r="K267" s="118"/>
      <c r="L267" s="118"/>
      <c r="M267" s="9"/>
      <c r="N267" s="114"/>
      <c r="O267" s="153"/>
      <c r="P267" s="153"/>
      <c r="Q267" s="153"/>
      <c r="R267" s="104"/>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7"/>
      <c r="BK267" s="227"/>
    </row>
    <row r="268" spans="1:63">
      <c r="A268" s="9"/>
      <c r="B268" s="154" t="s">
        <v>58</v>
      </c>
      <c r="C268" s="26"/>
      <c r="D268" s="9"/>
      <c r="E268" s="9"/>
      <c r="F268" s="142"/>
      <c r="G268" s="209"/>
      <c r="H268" s="118">
        <f t="shared" ref="H268:Q268" si="4">SUM(H269,H271,H273,H275,H277,H279,H281,H283,H285,H287,H289,H291,H293,H295,H297,H299,H301,H303,H305,H307,H309,H311,H313,H315,H317,H319,H321,H323,H325,H327)</f>
        <v>2.5210352033901682</v>
      </c>
      <c r="I268" s="118">
        <f t="shared" si="4"/>
        <v>2.9118108728325387</v>
      </c>
      <c r="J268" s="118">
        <f t="shared" si="4"/>
        <v>2.6750034423631073</v>
      </c>
      <c r="K268" s="118">
        <f t="shared" si="4"/>
        <v>3.2347034152335779</v>
      </c>
      <c r="L268" s="118">
        <f t="shared" si="4"/>
        <v>3.5583215531792876</v>
      </c>
      <c r="M268" s="118">
        <f t="shared" si="4"/>
        <v>0</v>
      </c>
      <c r="N268" s="118">
        <f t="shared" si="4"/>
        <v>0</v>
      </c>
      <c r="O268" s="118">
        <f t="shared" si="4"/>
        <v>0</v>
      </c>
      <c r="P268" s="118">
        <f t="shared" si="4"/>
        <v>0</v>
      </c>
      <c r="Q268" s="118">
        <f t="shared" si="4"/>
        <v>0</v>
      </c>
      <c r="R268" s="104"/>
      <c r="S268" s="104"/>
      <c r="T268" s="104"/>
      <c r="U268" s="104"/>
      <c r="V268" s="104"/>
      <c r="W268" s="104"/>
      <c r="X268" s="104"/>
      <c r="Y268" s="104"/>
      <c r="Z268" s="104"/>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7"/>
      <c r="BK268" s="227"/>
    </row>
    <row r="269" spans="1:63" hidden="1" outlineLevel="1">
      <c r="A269" s="9"/>
      <c r="B269" s="44"/>
      <c r="C269" s="278" t="str">
        <f>Asset1</f>
        <v>Transmission Lines and Cables</v>
      </c>
      <c r="D269" s="9"/>
      <c r="E269" s="9"/>
      <c r="F269" s="142"/>
      <c r="G269" s="209"/>
      <c r="H269" s="114">
        <f>($G237+(SUM($G269:G269)))*H$7</f>
        <v>0</v>
      </c>
      <c r="I269" s="114">
        <f>($G237+(SUM($G269:H269)))*I$7</f>
        <v>0</v>
      </c>
      <c r="J269" s="114">
        <f>($G237+(SUM($G269:I269)))*J$7</f>
        <v>0</v>
      </c>
      <c r="K269" s="114">
        <f>($G237+(SUM($G269:J269)))*K$7</f>
        <v>0</v>
      </c>
      <c r="L269" s="114">
        <f>($G237+(SUM($G269:K269)))*L$7</f>
        <v>0</v>
      </c>
      <c r="M269" s="114">
        <f>IF(COUNT($H269:L269)&gt;=Input!$W$7,0,($G237+(SUM($G269:L269)))*M$7)</f>
        <v>0</v>
      </c>
      <c r="N269" s="114">
        <f>IF(COUNT($H269:M269)&gt;=Input!$W$7,0,($G237+(SUM($G269:M269)))*N$7)</f>
        <v>0</v>
      </c>
      <c r="O269" s="114">
        <f>IF(COUNT($H269:N269)&gt;=Input!$W$7,0,($G237+(SUM($G269:N269)))*O$7)</f>
        <v>0</v>
      </c>
      <c r="P269" s="114">
        <f>IF(COUNT($H269:O269)&gt;=Input!$W$7,0,($G237+(SUM($G269:O269)))*P$7)</f>
        <v>0</v>
      </c>
      <c r="Q269" s="114">
        <f>IF(COUNT($H269:P269)&gt;=Input!$W$7,0,($G237+(SUM($G269:P269)))*Q$7)</f>
        <v>0</v>
      </c>
      <c r="R269" s="104"/>
      <c r="S269" s="104"/>
      <c r="T269" s="104"/>
      <c r="U269" s="104"/>
      <c r="V269" s="104"/>
      <c r="W269" s="104"/>
      <c r="X269" s="104"/>
      <c r="Y269" s="104"/>
      <c r="Z269" s="104"/>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7"/>
      <c r="BK269" s="227"/>
    </row>
    <row r="270" spans="1:63" hidden="1" outlineLevel="1">
      <c r="A270" s="9"/>
      <c r="B270" s="44"/>
      <c r="C270" s="290" t="s">
        <v>27</v>
      </c>
      <c r="D270" s="9"/>
      <c r="E270" s="9"/>
      <c r="F270" s="142"/>
      <c r="G270" s="209"/>
      <c r="H270" s="114"/>
      <c r="I270" s="114"/>
      <c r="J270" s="114"/>
      <c r="K270" s="114"/>
      <c r="L270" s="114">
        <f>IF(COUNT($H269:L269)=Input!$W$7, SUM($G269:L269), 0)</f>
        <v>0</v>
      </c>
      <c r="M270" s="114">
        <f>IF(COUNT($H269:M269)=Input!$W$7, SUM($G269:M269), 0)</f>
        <v>0</v>
      </c>
      <c r="N270" s="114">
        <f>IF(COUNT($H269:N269)=Input!$W$7, SUM($G269:N269), 0)</f>
        <v>0</v>
      </c>
      <c r="O270" s="114">
        <f>IF(COUNT($H269:O269)=Input!$W$7, SUM($G269:O269), 0)</f>
        <v>0</v>
      </c>
      <c r="P270" s="114">
        <f>IF(COUNT($H269:P269)=Input!$W$7, SUM($G269:P269), 0)</f>
        <v>0</v>
      </c>
      <c r="Q270" s="114">
        <f>IF(COUNT($H269:Q269)=Input!$W$7, SUM($G269:Q269), 0)</f>
        <v>0</v>
      </c>
      <c r="R270" s="104"/>
      <c r="S270" s="104"/>
      <c r="T270" s="104"/>
      <c r="U270" s="104"/>
      <c r="V270" s="104"/>
      <c r="W270" s="104"/>
      <c r="X270" s="104"/>
      <c r="Y270" s="104"/>
      <c r="Z270" s="104"/>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7"/>
      <c r="BK270" s="227"/>
    </row>
    <row r="271" spans="1:63" hidden="1" outlineLevel="1">
      <c r="A271" s="9"/>
      <c r="B271" s="44"/>
      <c r="C271" s="278" t="str">
        <f>Asset2</f>
        <v>Transmission Substations</v>
      </c>
      <c r="D271" s="9"/>
      <c r="E271" s="9"/>
      <c r="F271" s="142"/>
      <c r="G271" s="209"/>
      <c r="H271" s="114">
        <f>($G238+(SUM($G271:G271)))*H$7</f>
        <v>0</v>
      </c>
      <c r="I271" s="114">
        <f>($G238+(SUM($G271:H271)))*I$7</f>
        <v>0</v>
      </c>
      <c r="J271" s="114">
        <f>($G238+(SUM($G271:I271)))*J$7</f>
        <v>0</v>
      </c>
      <c r="K271" s="114">
        <f>($G238+(SUM($G271:J271)))*K$7</f>
        <v>0</v>
      </c>
      <c r="L271" s="114">
        <f>($G238+(SUM($G271:K271)))*L$7</f>
        <v>0</v>
      </c>
      <c r="M271" s="114">
        <f>IF(COUNT($H271:L271)&gt;=Input!$W$7,0,($G238+(SUM($G271:L271)))*M$7)</f>
        <v>0</v>
      </c>
      <c r="N271" s="114">
        <f>IF(COUNT($H271:M271)&gt;=Input!$W$7,0,($G238+(SUM($G271:M271)))*N$7)</f>
        <v>0</v>
      </c>
      <c r="O271" s="114">
        <f>IF(COUNT($H271:N271)&gt;=Input!$W$7,0,($G238+(SUM($G271:N271)))*O$7)</f>
        <v>0</v>
      </c>
      <c r="P271" s="114">
        <f>IF(COUNT($H271:O271)&gt;=Input!$W$7,0,($G238+(SUM($G271:O271)))*P$7)</f>
        <v>0</v>
      </c>
      <c r="Q271" s="114">
        <f>IF(COUNT($H271:P271)&gt;=Input!$W$7,0,($G238+(SUM($G271:P271)))*Q$7)</f>
        <v>0</v>
      </c>
      <c r="R271" s="104"/>
      <c r="S271" s="104"/>
      <c r="T271" s="104"/>
      <c r="U271" s="104"/>
      <c r="V271" s="104"/>
      <c r="W271" s="104"/>
      <c r="X271" s="104"/>
      <c r="Y271" s="104"/>
      <c r="Z271" s="104"/>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7"/>
      <c r="BK271" s="227"/>
    </row>
    <row r="272" spans="1:63" hidden="1" outlineLevel="1">
      <c r="A272" s="9"/>
      <c r="B272" s="44"/>
      <c r="C272" s="290" t="s">
        <v>27</v>
      </c>
      <c r="D272" s="9"/>
      <c r="E272" s="9"/>
      <c r="F272" s="142"/>
      <c r="G272" s="209"/>
      <c r="H272" s="114"/>
      <c r="I272" s="114"/>
      <c r="J272" s="114"/>
      <c r="K272" s="114"/>
      <c r="L272" s="114">
        <f>IF(COUNT($H271:L271)=Input!$W$7, SUM($G271:L271), 0)</f>
        <v>0</v>
      </c>
      <c r="M272" s="114">
        <f>IF(COUNT($H271:M271)=Input!$W$7, SUM($G271:M271), 0)</f>
        <v>0</v>
      </c>
      <c r="N272" s="114">
        <f>IF(COUNT($H271:N271)=Input!$W$7, SUM($G271:N271), 0)</f>
        <v>0</v>
      </c>
      <c r="O272" s="114">
        <f>IF(COUNT($H271:O271)=Input!$W$7, SUM($G271:O271), 0)</f>
        <v>0</v>
      </c>
      <c r="P272" s="114">
        <f>IF(COUNT($H271:P271)=Input!$W$7, SUM($G271:P271), 0)</f>
        <v>0</v>
      </c>
      <c r="Q272" s="114">
        <f>IF(COUNT($H271:Q271)=Input!$W$7, SUM($G271:Q271), 0)</f>
        <v>0</v>
      </c>
      <c r="R272" s="104"/>
      <c r="S272" s="104"/>
      <c r="T272" s="104"/>
      <c r="U272" s="104"/>
      <c r="V272" s="104"/>
      <c r="W272" s="104"/>
      <c r="X272" s="104"/>
      <c r="Y272" s="104"/>
      <c r="Z272" s="104"/>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7"/>
      <c r="BK272" s="227"/>
    </row>
    <row r="273" spans="1:63" hidden="1" outlineLevel="1">
      <c r="A273" s="9"/>
      <c r="B273" s="44"/>
      <c r="C273" s="278" t="str">
        <f>Asset3</f>
        <v>Protection and Control</v>
      </c>
      <c r="D273" s="9"/>
      <c r="E273" s="9"/>
      <c r="F273" s="142"/>
      <c r="G273" s="209"/>
      <c r="H273" s="114">
        <f>($G239+(SUM($G273:G273)))*H$7</f>
        <v>0</v>
      </c>
      <c r="I273" s="114">
        <f>($G239+(SUM($G273:H273)))*I$7</f>
        <v>0</v>
      </c>
      <c r="J273" s="114">
        <f>($G239+(SUM($G273:I273)))*J$7</f>
        <v>0</v>
      </c>
      <c r="K273" s="114">
        <f>($G239+(SUM($G273:J273)))*K$7</f>
        <v>0</v>
      </c>
      <c r="L273" s="114">
        <f>($G239+(SUM($G273:K273)))*L$7</f>
        <v>0</v>
      </c>
      <c r="M273" s="114">
        <f>IF(COUNT($H273:L273)&gt;=Input!$W$7,0,($G239+(SUM($G273:L273)))*M$7)</f>
        <v>0</v>
      </c>
      <c r="N273" s="114">
        <f>IF(COUNT($H273:M273)&gt;=Input!$W$7,0,($G239+(SUM($G273:M273)))*N$7)</f>
        <v>0</v>
      </c>
      <c r="O273" s="114">
        <f>IF(COUNT($H273:N273)&gt;=Input!$W$7,0,($G239+(SUM($G273:N273)))*O$7)</f>
        <v>0</v>
      </c>
      <c r="P273" s="114">
        <f>IF(COUNT($H273:O273)&gt;=Input!$W$7,0,($G239+(SUM($G273:O273)))*P$7)</f>
        <v>0</v>
      </c>
      <c r="Q273" s="114">
        <f>IF(COUNT($H273:P273)&gt;=Input!$W$7,0,($G239+(SUM($G273:P273)))*Q$7)</f>
        <v>0</v>
      </c>
      <c r="R273" s="104"/>
      <c r="S273" s="104"/>
      <c r="T273" s="104"/>
      <c r="U273" s="104"/>
      <c r="V273" s="104"/>
      <c r="W273" s="104"/>
      <c r="X273" s="104"/>
      <c r="Y273" s="104"/>
      <c r="Z273" s="104"/>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7"/>
      <c r="BK273" s="227"/>
    </row>
    <row r="274" spans="1:63" hidden="1" outlineLevel="1">
      <c r="A274" s="9"/>
      <c r="B274" s="44"/>
      <c r="C274" s="290" t="s">
        <v>27</v>
      </c>
      <c r="D274" s="9"/>
      <c r="E274" s="9"/>
      <c r="F274" s="142"/>
      <c r="G274" s="209"/>
      <c r="H274" s="114"/>
      <c r="I274" s="114"/>
      <c r="J274" s="114"/>
      <c r="K274" s="114"/>
      <c r="L274" s="114">
        <f>IF(COUNT($H273:L273)=Input!$W$7, SUM($G273:L273), 0)</f>
        <v>0</v>
      </c>
      <c r="M274" s="114">
        <f>IF(COUNT($H273:M273)=Input!$W$7, SUM($G273:M273), 0)</f>
        <v>0</v>
      </c>
      <c r="N274" s="114">
        <f>IF(COUNT($H273:N273)=Input!$W$7, SUM($G273:N273), 0)</f>
        <v>0</v>
      </c>
      <c r="O274" s="114">
        <f>IF(COUNT($H273:O273)=Input!$W$7, SUM($G273:O273), 0)</f>
        <v>0</v>
      </c>
      <c r="P274" s="114">
        <f>IF(COUNT($H273:P273)=Input!$W$7, SUM($G273:P273), 0)</f>
        <v>0</v>
      </c>
      <c r="Q274" s="114">
        <f>IF(COUNT($H273:Q273)=Input!$W$7, SUM($G273:Q273), 0)</f>
        <v>0</v>
      </c>
      <c r="R274" s="104"/>
      <c r="S274" s="104"/>
      <c r="T274" s="104"/>
      <c r="U274" s="104"/>
      <c r="V274" s="104"/>
      <c r="W274" s="104"/>
      <c r="X274" s="104"/>
      <c r="Y274" s="104"/>
      <c r="Z274" s="104"/>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7"/>
      <c r="BK274" s="227"/>
    </row>
    <row r="275" spans="1:63" hidden="1" outlineLevel="1">
      <c r="A275" s="9"/>
      <c r="B275" s="44"/>
      <c r="C275" s="278" t="str">
        <f>Asset4</f>
        <v>Refurbishment</v>
      </c>
      <c r="D275" s="9"/>
      <c r="E275" s="9"/>
      <c r="F275" s="142"/>
      <c r="G275" s="209"/>
      <c r="H275" s="114">
        <f>($G240+(SUM($G275:G275)))*H$7</f>
        <v>0</v>
      </c>
      <c r="I275" s="114">
        <f>($G240+(SUM($G275:H275)))*I$7</f>
        <v>0</v>
      </c>
      <c r="J275" s="114">
        <f>($G240+(SUM($G275:I275)))*J$7</f>
        <v>0</v>
      </c>
      <c r="K275" s="114">
        <f>($G240+(SUM($G275:J275)))*K$7</f>
        <v>0</v>
      </c>
      <c r="L275" s="114">
        <f>($G240+(SUM($G275:K275)))*L$7</f>
        <v>0</v>
      </c>
      <c r="M275" s="114">
        <f>IF(COUNT($H275:L275)&gt;=Input!$W$7,0,($G240+(SUM($G275:L275)))*M$7)</f>
        <v>0</v>
      </c>
      <c r="N275" s="114">
        <f>IF(COUNT($H275:M275)&gt;=Input!$W$7,0,($G240+(SUM($G275:M275)))*N$7)</f>
        <v>0</v>
      </c>
      <c r="O275" s="114">
        <f>IF(COUNT($H275:N275)&gt;=Input!$W$7,0,($G240+(SUM($G275:N275)))*O$7)</f>
        <v>0</v>
      </c>
      <c r="P275" s="114">
        <f>IF(COUNT($H275:O275)&gt;=Input!$W$7,0,($G240+(SUM($G275:O275)))*P$7)</f>
        <v>0</v>
      </c>
      <c r="Q275" s="114">
        <f>IF(COUNT($H275:P275)&gt;=Input!$W$7,0,($G240+(SUM($G275:P275)))*Q$7)</f>
        <v>0</v>
      </c>
      <c r="R275" s="104"/>
      <c r="S275" s="104"/>
      <c r="T275" s="104"/>
      <c r="U275" s="104"/>
      <c r="V275" s="104"/>
      <c r="W275" s="104"/>
      <c r="X275" s="104"/>
      <c r="Y275" s="104"/>
      <c r="Z275" s="104"/>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7"/>
      <c r="BK275" s="227"/>
    </row>
    <row r="276" spans="1:63" hidden="1" outlineLevel="1">
      <c r="A276" s="9"/>
      <c r="B276" s="44"/>
      <c r="C276" s="290" t="s">
        <v>27</v>
      </c>
      <c r="D276" s="9"/>
      <c r="E276" s="9"/>
      <c r="F276" s="142"/>
      <c r="G276" s="209"/>
      <c r="H276" s="114"/>
      <c r="I276" s="114"/>
      <c r="J276" s="114"/>
      <c r="K276" s="114"/>
      <c r="L276" s="114">
        <f>IF(COUNT($H275:L275)=Input!$W$7, SUM($G275:L275), 0)</f>
        <v>0</v>
      </c>
      <c r="M276" s="114">
        <f>IF(COUNT($H275:M275)=Input!$W$7, SUM($G275:M275), 0)</f>
        <v>0</v>
      </c>
      <c r="N276" s="114">
        <f>IF(COUNT($H275:N275)=Input!$W$7, SUM($G275:N275), 0)</f>
        <v>0</v>
      </c>
      <c r="O276" s="114">
        <f>IF(COUNT($H275:O275)=Input!$W$7, SUM($G275:O275), 0)</f>
        <v>0</v>
      </c>
      <c r="P276" s="114">
        <f>IF(COUNT($H275:P275)=Input!$W$7, SUM($G275:P275), 0)</f>
        <v>0</v>
      </c>
      <c r="Q276" s="114">
        <f>IF(COUNT($H275:Q275)=Input!$W$7, SUM($G275:Q275), 0)</f>
        <v>0</v>
      </c>
      <c r="R276" s="104"/>
      <c r="S276" s="104"/>
      <c r="T276" s="104"/>
      <c r="U276" s="104"/>
      <c r="V276" s="104"/>
      <c r="W276" s="104"/>
      <c r="X276" s="104"/>
      <c r="Y276" s="104"/>
      <c r="Z276" s="104"/>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7"/>
      <c r="BK276" s="227"/>
    </row>
    <row r="277" spans="1:63" hidden="1" outlineLevel="1">
      <c r="A277" s="9"/>
      <c r="B277" s="44"/>
      <c r="C277" s="278" t="str">
        <f>Asset5</f>
        <v>Other</v>
      </c>
      <c r="D277" s="9"/>
      <c r="E277" s="9"/>
      <c r="F277" s="142"/>
      <c r="G277" s="209"/>
      <c r="H277" s="114">
        <f>($G241+(SUM($G277:G277)))*H$7</f>
        <v>0</v>
      </c>
      <c r="I277" s="114">
        <f>($G241+(SUM($G277:H277)))*I$7</f>
        <v>0</v>
      </c>
      <c r="J277" s="114">
        <f>($G241+(SUM($G277:I277)))*J$7</f>
        <v>0</v>
      </c>
      <c r="K277" s="114">
        <f>($G241+(SUM($G277:J277)))*K$7</f>
        <v>0</v>
      </c>
      <c r="L277" s="114">
        <f>($G241+(SUM($G277:K277)))*L$7</f>
        <v>0</v>
      </c>
      <c r="M277" s="114">
        <f>IF(COUNT($H277:L277)&gt;=Input!$W$7,0,($G241+(SUM($G277:L277)))*M$7)</f>
        <v>0</v>
      </c>
      <c r="N277" s="114">
        <f>IF(COUNT($H277:M277)&gt;=Input!$W$7,0,($G241+(SUM($G277:M277)))*N$7)</f>
        <v>0</v>
      </c>
      <c r="O277" s="114">
        <f>IF(COUNT($H277:N277)&gt;=Input!$W$7,0,($G241+(SUM($G277:N277)))*O$7)</f>
        <v>0</v>
      </c>
      <c r="P277" s="114">
        <f>IF(COUNT($H277:O277)&gt;=Input!$W$7,0,($G241+(SUM($G277:O277)))*P$7)</f>
        <v>0</v>
      </c>
      <c r="Q277" s="114">
        <f>IF(COUNT($H277:P277)&gt;=Input!$W$7,0,($G241+(SUM($G277:P277)))*Q$7)</f>
        <v>0</v>
      </c>
      <c r="R277" s="104"/>
      <c r="S277" s="104"/>
      <c r="T277" s="104"/>
      <c r="U277" s="104"/>
      <c r="V277" s="104"/>
      <c r="W277" s="104"/>
      <c r="X277" s="104"/>
      <c r="Y277" s="104"/>
      <c r="Z277" s="104"/>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7"/>
      <c r="BK277" s="227"/>
    </row>
    <row r="278" spans="1:63" hidden="1" outlineLevel="1">
      <c r="A278" s="9"/>
      <c r="B278" s="44"/>
      <c r="C278" s="290" t="s">
        <v>27</v>
      </c>
      <c r="D278" s="9"/>
      <c r="E278" s="9"/>
      <c r="F278" s="142"/>
      <c r="G278" s="209"/>
      <c r="H278" s="114"/>
      <c r="I278" s="114"/>
      <c r="J278" s="114"/>
      <c r="K278" s="114"/>
      <c r="L278" s="114">
        <f>IF(COUNT($H277:L277)=Input!$W$7, SUM($G277:L277), 0)</f>
        <v>0</v>
      </c>
      <c r="M278" s="114">
        <f>IF(COUNT($H277:M277)=Input!$W$7, SUM($G277:M277), 0)</f>
        <v>0</v>
      </c>
      <c r="N278" s="114">
        <f>IF(COUNT($H277:N277)=Input!$W$7, SUM($G277:N277), 0)</f>
        <v>0</v>
      </c>
      <c r="O278" s="114">
        <f>IF(COUNT($H277:O277)=Input!$W$7, SUM($G277:O277), 0)</f>
        <v>0</v>
      </c>
      <c r="P278" s="114">
        <f>IF(COUNT($H277:P277)=Input!$W$7, SUM($G277:P277), 0)</f>
        <v>0</v>
      </c>
      <c r="Q278" s="114">
        <f>IF(COUNT($H277:Q277)=Input!$W$7, SUM($G277:Q277), 0)</f>
        <v>0</v>
      </c>
      <c r="R278" s="104"/>
      <c r="S278" s="104"/>
      <c r="T278" s="104"/>
      <c r="U278" s="104"/>
      <c r="V278" s="104"/>
      <c r="W278" s="104"/>
      <c r="X278" s="104"/>
      <c r="Y278" s="104"/>
      <c r="Z278" s="104"/>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7"/>
      <c r="BK278" s="227"/>
    </row>
    <row r="279" spans="1:63" hidden="1" outlineLevel="1">
      <c r="A279" s="9"/>
      <c r="B279" s="44"/>
      <c r="C279" s="278" t="str">
        <f>Asset6</f>
        <v>Other - IT</v>
      </c>
      <c r="D279" s="9"/>
      <c r="E279" s="9"/>
      <c r="F279" s="142"/>
      <c r="G279" s="209"/>
      <c r="H279" s="114">
        <f>($G242+(SUM($G279:G279)))*H$7</f>
        <v>0</v>
      </c>
      <c r="I279" s="114">
        <f>($G242+(SUM($G279:H279)))*I$7</f>
        <v>0</v>
      </c>
      <c r="J279" s="114">
        <f>($G242+(SUM($G279:I279)))*J$7</f>
        <v>0</v>
      </c>
      <c r="K279" s="114">
        <f>($G242+(SUM($G279:J279)))*K$7</f>
        <v>0</v>
      </c>
      <c r="L279" s="114">
        <f>($G242+(SUM($G279:K279)))*L$7</f>
        <v>0</v>
      </c>
      <c r="M279" s="114">
        <f>IF(COUNT($H279:L279)&gt;=Input!$W$7,0,($G242+(SUM($G279:L279)))*M$7)</f>
        <v>0</v>
      </c>
      <c r="N279" s="114">
        <f>IF(COUNT($H279:M279)&gt;=Input!$W$7,0,($G242+(SUM($G279:M279)))*N$7)</f>
        <v>0</v>
      </c>
      <c r="O279" s="114">
        <f>IF(COUNT($H279:N279)&gt;=Input!$W$7,0,($G242+(SUM($G279:N279)))*O$7)</f>
        <v>0</v>
      </c>
      <c r="P279" s="114">
        <f>IF(COUNT($H279:O279)&gt;=Input!$W$7,0,($G242+(SUM($G279:O279)))*P$7)</f>
        <v>0</v>
      </c>
      <c r="Q279" s="114">
        <f>IF(COUNT($H279:P279)&gt;=Input!$W$7,0,($G242+(SUM($G279:P279)))*Q$7)</f>
        <v>0</v>
      </c>
      <c r="R279" s="104"/>
      <c r="S279" s="104"/>
      <c r="T279" s="104"/>
      <c r="U279" s="104"/>
      <c r="V279" s="104"/>
      <c r="W279" s="104"/>
      <c r="X279" s="104"/>
      <c r="Y279" s="104"/>
      <c r="Z279" s="104"/>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7"/>
      <c r="BK279" s="227"/>
    </row>
    <row r="280" spans="1:63" hidden="1" outlineLevel="1">
      <c r="A280" s="9"/>
      <c r="B280" s="44"/>
      <c r="C280" s="290" t="s">
        <v>27</v>
      </c>
      <c r="D280" s="9"/>
      <c r="E280" s="9"/>
      <c r="F280" s="142"/>
      <c r="G280" s="209"/>
      <c r="H280" s="114"/>
      <c r="I280" s="114"/>
      <c r="J280" s="114"/>
      <c r="K280" s="114"/>
      <c r="L280" s="114">
        <f>IF(COUNT($H279:L279)=Input!$W$7, SUM($G279:L279), 0)</f>
        <v>0</v>
      </c>
      <c r="M280" s="114">
        <f>IF(COUNT($H279:M279)=Input!$W$7, SUM($G279:M279), 0)</f>
        <v>0</v>
      </c>
      <c r="N280" s="114">
        <f>IF(COUNT($H279:N279)=Input!$W$7, SUM($G279:N279), 0)</f>
        <v>0</v>
      </c>
      <c r="O280" s="114">
        <f>IF(COUNT($H279:O279)=Input!$W$7, SUM($G279:O279), 0)</f>
        <v>0</v>
      </c>
      <c r="P280" s="114">
        <f>IF(COUNT($H279:P279)=Input!$W$7, SUM($G279:P279), 0)</f>
        <v>0</v>
      </c>
      <c r="Q280" s="114">
        <f>IF(COUNT($H279:Q279)=Input!$W$7, SUM($G279:Q279), 0)</f>
        <v>0</v>
      </c>
      <c r="R280" s="104"/>
      <c r="S280" s="104"/>
      <c r="T280" s="104"/>
      <c r="U280" s="104"/>
      <c r="V280" s="104"/>
      <c r="W280" s="104"/>
      <c r="X280" s="104"/>
      <c r="Y280" s="104"/>
      <c r="Z280" s="104"/>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7"/>
      <c r="BK280" s="227"/>
    </row>
    <row r="281" spans="1:63" hidden="1" outlineLevel="1">
      <c r="A281" s="9"/>
      <c r="B281" s="44"/>
      <c r="C281" s="278" t="str">
        <f>Asset7</f>
        <v>Other - General</v>
      </c>
      <c r="D281" s="9"/>
      <c r="E281" s="9"/>
      <c r="F281" s="142"/>
      <c r="G281" s="209"/>
      <c r="H281" s="114">
        <f>($G243+(SUM($G281:G281)))*H$7</f>
        <v>0</v>
      </c>
      <c r="I281" s="114">
        <f>($G243+(SUM($G281:H281)))*I$7</f>
        <v>0</v>
      </c>
      <c r="J281" s="114">
        <f>($G243+(SUM($G281:I281)))*J$7</f>
        <v>0</v>
      </c>
      <c r="K281" s="114">
        <f>($G243+(SUM($G281:J281)))*K$7</f>
        <v>0</v>
      </c>
      <c r="L281" s="114">
        <f>($G243+(SUM($G281:K281)))*L$7</f>
        <v>0</v>
      </c>
      <c r="M281" s="114">
        <f>IF(COUNT($H281:L281)&gt;=Input!$W$7,0,($G243+(SUM($G281:L281)))*M$7)</f>
        <v>0</v>
      </c>
      <c r="N281" s="114">
        <f>IF(COUNT($H281:M281)&gt;=Input!$W$7,0,($G243+(SUM($G281:M281)))*N$7)</f>
        <v>0</v>
      </c>
      <c r="O281" s="114">
        <f>IF(COUNT($H281:N281)&gt;=Input!$W$7,0,($G243+(SUM($G281:N281)))*O$7)</f>
        <v>0</v>
      </c>
      <c r="P281" s="114">
        <f>IF(COUNT($H281:O281)&gt;=Input!$W$7,0,($G243+(SUM($G281:O281)))*P$7)</f>
        <v>0</v>
      </c>
      <c r="Q281" s="114">
        <f>IF(COUNT($H281:P281)&gt;=Input!$W$7,0,($G243+(SUM($G281:P281)))*Q$7)</f>
        <v>0</v>
      </c>
      <c r="R281" s="104"/>
      <c r="S281" s="104"/>
      <c r="T281" s="104"/>
      <c r="U281" s="104"/>
      <c r="V281" s="104"/>
      <c r="W281" s="104"/>
      <c r="X281" s="104"/>
      <c r="Y281" s="104"/>
      <c r="Z281" s="104"/>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7"/>
      <c r="BK281" s="227"/>
    </row>
    <row r="282" spans="1:63" hidden="1" outlineLevel="1">
      <c r="A282" s="9"/>
      <c r="B282" s="44"/>
      <c r="C282" s="290" t="s">
        <v>27</v>
      </c>
      <c r="D282" s="9"/>
      <c r="E282" s="9"/>
      <c r="F282" s="142"/>
      <c r="G282" s="209"/>
      <c r="H282" s="114"/>
      <c r="I282" s="114"/>
      <c r="J282" s="114"/>
      <c r="K282" s="114"/>
      <c r="L282" s="114">
        <f>IF(COUNT($H281:L281)=Input!$W$7, SUM($G281:L281), 0)</f>
        <v>0</v>
      </c>
      <c r="M282" s="114">
        <f>IF(COUNT($H281:M281)=Input!$W$7, SUM($G281:M281), 0)</f>
        <v>0</v>
      </c>
      <c r="N282" s="114">
        <f>IF(COUNT($H281:N281)=Input!$W$7, SUM($G281:N281), 0)</f>
        <v>0</v>
      </c>
      <c r="O282" s="114">
        <f>IF(COUNT($H281:O281)=Input!$W$7, SUM($G281:O281), 0)</f>
        <v>0</v>
      </c>
      <c r="P282" s="114">
        <f>IF(COUNT($H281:P281)=Input!$W$7, SUM($G281:P281), 0)</f>
        <v>0</v>
      </c>
      <c r="Q282" s="114">
        <f>IF(COUNT($H281:Q281)=Input!$W$7, SUM($G281:Q281), 0)</f>
        <v>0</v>
      </c>
      <c r="R282" s="104"/>
      <c r="S282" s="104"/>
      <c r="T282" s="104"/>
      <c r="U282" s="104"/>
      <c r="V282" s="104"/>
      <c r="W282" s="104"/>
      <c r="X282" s="104"/>
      <c r="Y282" s="104"/>
      <c r="Z282" s="104"/>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7"/>
      <c r="BK282" s="227"/>
    </row>
    <row r="283" spans="1:63" hidden="1" outlineLevel="1">
      <c r="A283" s="9"/>
      <c r="B283" s="44"/>
      <c r="C283" s="278" t="str">
        <f>Asset8</f>
        <v>Other - Buildings</v>
      </c>
      <c r="D283" s="9"/>
      <c r="E283" s="9"/>
      <c r="F283" s="142"/>
      <c r="G283" s="209"/>
      <c r="H283" s="114">
        <f>($G244+(SUM($G283:G283)))*H$7</f>
        <v>0</v>
      </c>
      <c r="I283" s="114">
        <f>($G244+(SUM($G283:H283)))*I$7</f>
        <v>0</v>
      </c>
      <c r="J283" s="114">
        <f>($G244+(SUM($G283:I283)))*J$7</f>
        <v>0</v>
      </c>
      <c r="K283" s="114">
        <f>($G244+(SUM($G283:J283)))*K$7</f>
        <v>0</v>
      </c>
      <c r="L283" s="114">
        <f>($G244+(SUM($G283:K283)))*L$7</f>
        <v>0</v>
      </c>
      <c r="M283" s="114">
        <f>IF(COUNT($H283:L283)&gt;=Input!$W$7,0,($G244+(SUM($G283:L283)))*M$7)</f>
        <v>0</v>
      </c>
      <c r="N283" s="114">
        <f>IF(COUNT($H283:M283)&gt;=Input!$W$7,0,($G244+(SUM($G283:M283)))*N$7)</f>
        <v>0</v>
      </c>
      <c r="O283" s="114">
        <f>IF(COUNT($H283:N283)&gt;=Input!$W$7,0,($G244+(SUM($G283:N283)))*O$7)</f>
        <v>0</v>
      </c>
      <c r="P283" s="114">
        <f>IF(COUNT($H283:O283)&gt;=Input!$W$7,0,($G244+(SUM($G283:O283)))*P$7)</f>
        <v>0</v>
      </c>
      <c r="Q283" s="114">
        <f>IF(COUNT($H283:P283)&gt;=Input!$W$7,0,($G244+(SUM($G283:P283)))*Q$7)</f>
        <v>0</v>
      </c>
      <c r="R283" s="104"/>
      <c r="S283" s="104"/>
      <c r="T283" s="104"/>
      <c r="U283" s="104"/>
      <c r="V283" s="104"/>
      <c r="W283" s="104"/>
      <c r="X283" s="104"/>
      <c r="Y283" s="104"/>
      <c r="Z283" s="104"/>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7"/>
      <c r="BK283" s="227"/>
    </row>
    <row r="284" spans="1:63" hidden="1" outlineLevel="1">
      <c r="A284" s="9"/>
      <c r="B284" s="44"/>
      <c r="C284" s="290" t="s">
        <v>27</v>
      </c>
      <c r="D284" s="9"/>
      <c r="E284" s="9"/>
      <c r="F284" s="142"/>
      <c r="G284" s="209"/>
      <c r="H284" s="114"/>
      <c r="I284" s="114"/>
      <c r="J284" s="114"/>
      <c r="K284" s="114"/>
      <c r="L284" s="114">
        <f>IF(COUNT($H283:L283)=Input!$W$7, SUM($G283:L283), 0)</f>
        <v>0</v>
      </c>
      <c r="M284" s="114">
        <f>IF(COUNT($H283:M283)=Input!$W$7, SUM($G283:M283), 0)</f>
        <v>0</v>
      </c>
      <c r="N284" s="114">
        <f>IF(COUNT($H283:N283)=Input!$W$7, SUM($G283:N283), 0)</f>
        <v>0</v>
      </c>
      <c r="O284" s="114">
        <f>IF(COUNT($H283:O283)=Input!$W$7, SUM($G283:O283), 0)</f>
        <v>0</v>
      </c>
      <c r="P284" s="114">
        <f>IF(COUNT($H283:P283)=Input!$W$7, SUM($G283:P283), 0)</f>
        <v>0</v>
      </c>
      <c r="Q284" s="114">
        <f>IF(COUNT($H283:Q283)=Input!$W$7, SUM($G283:Q283), 0)</f>
        <v>0</v>
      </c>
      <c r="R284" s="104"/>
      <c r="S284" s="104"/>
      <c r="T284" s="104"/>
      <c r="U284" s="104"/>
      <c r="V284" s="104"/>
      <c r="W284" s="104"/>
      <c r="X284" s="104"/>
      <c r="Y284" s="104"/>
      <c r="Z284" s="104"/>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7"/>
      <c r="BK284" s="227"/>
    </row>
    <row r="285" spans="1:63" hidden="1" outlineLevel="1">
      <c r="A285" s="9"/>
      <c r="B285" s="44"/>
      <c r="C285" s="278" t="str">
        <f>Asset9</f>
        <v>Land and Easements</v>
      </c>
      <c r="D285" s="9"/>
      <c r="E285" s="9"/>
      <c r="F285" s="142"/>
      <c r="G285" s="209"/>
      <c r="H285" s="114">
        <f>($G245+(SUM($G285:G285)))*H$7</f>
        <v>0</v>
      </c>
      <c r="I285" s="114">
        <f>($G245+(SUM($G285:H285)))*I$7</f>
        <v>0</v>
      </c>
      <c r="J285" s="114">
        <f>($G245+(SUM($G285:I285)))*J$7</f>
        <v>0</v>
      </c>
      <c r="K285" s="114">
        <f>($G245+(SUM($G285:J285)))*K$7</f>
        <v>0</v>
      </c>
      <c r="L285" s="114">
        <f>($G245+(SUM($G285:K285)))*L$7</f>
        <v>0</v>
      </c>
      <c r="M285" s="114">
        <f>IF(COUNT($H285:L285)&gt;=Input!$W$7,0,($G245+(SUM($G285:L285)))*M$7)</f>
        <v>0</v>
      </c>
      <c r="N285" s="114">
        <f>IF(COUNT($H285:M285)&gt;=Input!$W$7,0,($G245+(SUM($G285:M285)))*N$7)</f>
        <v>0</v>
      </c>
      <c r="O285" s="114">
        <f>IF(COUNT($H285:N285)&gt;=Input!$W$7,0,($G245+(SUM($G285:N285)))*O$7)</f>
        <v>0</v>
      </c>
      <c r="P285" s="114">
        <f>IF(COUNT($H285:O285)&gt;=Input!$W$7,0,($G245+(SUM($G285:O285)))*P$7)</f>
        <v>0</v>
      </c>
      <c r="Q285" s="114">
        <f>IF(COUNT($H285:P285)&gt;=Input!$W$7,0,($G245+(SUM($G285:P285)))*Q$7)</f>
        <v>0</v>
      </c>
      <c r="R285" s="104"/>
      <c r="S285" s="104"/>
      <c r="T285" s="104"/>
      <c r="U285" s="104"/>
      <c r="V285" s="104"/>
      <c r="W285" s="104"/>
      <c r="X285" s="104"/>
      <c r="Y285" s="104"/>
      <c r="Z285" s="104"/>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7"/>
      <c r="BK285" s="227"/>
    </row>
    <row r="286" spans="1:63" hidden="1" outlineLevel="1">
      <c r="A286" s="9"/>
      <c r="B286" s="44"/>
      <c r="C286" s="290" t="s">
        <v>27</v>
      </c>
      <c r="D286" s="9"/>
      <c r="E286" s="9"/>
      <c r="F286" s="142"/>
      <c r="G286" s="209"/>
      <c r="H286" s="114"/>
      <c r="I286" s="114"/>
      <c r="J286" s="114"/>
      <c r="K286" s="114"/>
      <c r="L286" s="114">
        <f>IF(COUNT($H285:L285)=Input!$W$7, SUM($G285:L285), 0)</f>
        <v>0</v>
      </c>
      <c r="M286" s="114">
        <f>IF(COUNT($H285:M285)=Input!$W$7, SUM($G285:M285), 0)</f>
        <v>0</v>
      </c>
      <c r="N286" s="114">
        <f>IF(COUNT($H285:N285)=Input!$W$7, SUM($G285:N285), 0)</f>
        <v>0</v>
      </c>
      <c r="O286" s="114">
        <f>IF(COUNT($H285:O285)=Input!$W$7, SUM($G285:O285), 0)</f>
        <v>0</v>
      </c>
      <c r="P286" s="114">
        <f>IF(COUNT($H285:P285)=Input!$W$7, SUM($G285:P285), 0)</f>
        <v>0</v>
      </c>
      <c r="Q286" s="114">
        <f>IF(COUNT($H285:Q285)=Input!$W$7, SUM($G285:Q285), 0)</f>
        <v>0</v>
      </c>
      <c r="R286" s="104"/>
      <c r="S286" s="104"/>
      <c r="T286" s="104"/>
      <c r="U286" s="104"/>
      <c r="V286" s="104"/>
      <c r="W286" s="104"/>
      <c r="X286" s="104"/>
      <c r="Y286" s="104"/>
      <c r="Z286" s="104"/>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7"/>
      <c r="BK286" s="227"/>
    </row>
    <row r="287" spans="1:63" hidden="1" outlineLevel="1">
      <c r="A287" s="9"/>
      <c r="B287" s="44"/>
      <c r="C287" s="278" t="str">
        <f>Asset10</f>
        <v>Transmission line assets - long life (60)</v>
      </c>
      <c r="D287" s="9"/>
      <c r="E287" s="9"/>
      <c r="F287" s="142"/>
      <c r="G287" s="209"/>
      <c r="H287" s="114">
        <f>($G246+(SUM($G287:G287)))*H$7</f>
        <v>0.59882795491228724</v>
      </c>
      <c r="I287" s="114">
        <f>($G246+(SUM($G287:H287)))*I$7</f>
        <v>0.69164990148684213</v>
      </c>
      <c r="J287" s="114">
        <f>($G246+(SUM($G287:I287)))*J$7</f>
        <v>0.63540042543615138</v>
      </c>
      <c r="K287" s="114">
        <f>($G246+(SUM($G287:J287)))*K$7</f>
        <v>0.76834739486671477</v>
      </c>
      <c r="L287" s="114">
        <f>($G246+(SUM($G287:K287)))*L$7</f>
        <v>0.84521724081648564</v>
      </c>
      <c r="M287" s="114">
        <f>IF(COUNT($H287:L287)&gt;=Input!$W$7,0,($G246+(SUM($G287:L287)))*M$7)</f>
        <v>0</v>
      </c>
      <c r="N287" s="114">
        <f>IF(COUNT($H287:M287)&gt;=Input!$W$7,0,($G246+(SUM($G287:M287)))*N$7)</f>
        <v>0</v>
      </c>
      <c r="O287" s="114">
        <f>IF(COUNT($H287:N287)&gt;=Input!$W$7,0,($G246+(SUM($G287:N287)))*O$7)</f>
        <v>0</v>
      </c>
      <c r="P287" s="114">
        <f>IF(COUNT($H287:O287)&gt;=Input!$W$7,0,($G246+(SUM($G287:O287)))*P$7)</f>
        <v>0</v>
      </c>
      <c r="Q287" s="114">
        <f>IF(COUNT($H287:P287)&gt;=Input!$W$7,0,($G246+(SUM($G287:P287)))*Q$7)</f>
        <v>0</v>
      </c>
      <c r="R287" s="104"/>
      <c r="S287" s="104"/>
      <c r="T287" s="104"/>
      <c r="U287" s="104"/>
      <c r="V287" s="104"/>
      <c r="W287" s="104"/>
      <c r="X287" s="104"/>
      <c r="Y287" s="104"/>
      <c r="Z287" s="104"/>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7"/>
      <c r="BK287" s="227"/>
    </row>
    <row r="288" spans="1:63" hidden="1" outlineLevel="1">
      <c r="A288" s="9"/>
      <c r="B288" s="44"/>
      <c r="C288" s="290" t="s">
        <v>27</v>
      </c>
      <c r="D288" s="9"/>
      <c r="E288" s="9"/>
      <c r="F288" s="142"/>
      <c r="G288" s="209"/>
      <c r="H288" s="114"/>
      <c r="I288" s="114"/>
      <c r="J288" s="114"/>
      <c r="K288" s="114"/>
      <c r="L288" s="114">
        <f>IF(COUNT($H287:L287)=Input!$W$7, SUM($G287:L287), 0)</f>
        <v>3.5394429175184814</v>
      </c>
      <c r="M288" s="114">
        <f>IF(COUNT($H287:M287)=Input!$W$7, SUM($G287:M287), 0)</f>
        <v>0</v>
      </c>
      <c r="N288" s="114">
        <f>IF(COUNT($H287:N287)=Input!$W$7, SUM($G287:N287), 0)</f>
        <v>0</v>
      </c>
      <c r="O288" s="114">
        <f>IF(COUNT($H287:O287)=Input!$W$7, SUM($G287:O287), 0)</f>
        <v>0</v>
      </c>
      <c r="P288" s="114">
        <f>IF(COUNT($H287:P287)=Input!$W$7, SUM($G287:P287), 0)</f>
        <v>0</v>
      </c>
      <c r="Q288" s="114">
        <f>IF(COUNT($H287:Q287)=Input!$W$7, SUM($G287:Q287), 0)</f>
        <v>0</v>
      </c>
      <c r="R288" s="104"/>
      <c r="S288" s="104"/>
      <c r="T288" s="104"/>
      <c r="U288" s="104"/>
      <c r="V288" s="104"/>
      <c r="W288" s="104"/>
      <c r="X288" s="104"/>
      <c r="Y288" s="104"/>
      <c r="Z288" s="104"/>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7"/>
      <c r="BK288" s="227"/>
    </row>
    <row r="289" spans="1:63" hidden="1" outlineLevel="1">
      <c r="A289" s="9"/>
      <c r="B289" s="44"/>
      <c r="C289" s="278" t="str">
        <f>Asset11</f>
        <v>Transmission line assets - medium life (45)</v>
      </c>
      <c r="D289" s="9"/>
      <c r="E289" s="9"/>
      <c r="F289" s="142"/>
      <c r="G289" s="209"/>
      <c r="H289" s="114">
        <f>($G247+(SUM($G289:G289)))*H$7</f>
        <v>-5.6678254955643114E-3</v>
      </c>
      <c r="I289" s="114">
        <f>($G247+(SUM($G289:H289)))*I$7</f>
        <v>-6.5463726492626237E-3</v>
      </c>
      <c r="J289" s="114">
        <f>($G247+(SUM($G289:I289)))*J$7</f>
        <v>-6.0139789761600761E-3</v>
      </c>
      <c r="K289" s="114">
        <f>($G247+(SUM($G289:J289)))*K$7</f>
        <v>-7.2723040371651636E-3</v>
      </c>
      <c r="L289" s="114">
        <f>($G247+(SUM($G289:K289)))*L$7</f>
        <v>-7.999866718800543E-3</v>
      </c>
      <c r="M289" s="114">
        <f>IF(COUNT($H289:L289)&gt;=Input!$W$7,0,($G247+(SUM($G289:L289)))*M$7)</f>
        <v>0</v>
      </c>
      <c r="N289" s="114">
        <f>IF(COUNT($H289:M289)&gt;=Input!$W$7,0,($G247+(SUM($G289:M289)))*N$7)</f>
        <v>0</v>
      </c>
      <c r="O289" s="114">
        <f>IF(COUNT($H289:N289)&gt;=Input!$W$7,0,($G247+(SUM($G289:N289)))*O$7)</f>
        <v>0</v>
      </c>
      <c r="P289" s="114">
        <f>IF(COUNT($H289:O289)&gt;=Input!$W$7,0,($G247+(SUM($G289:O289)))*P$7)</f>
        <v>0</v>
      </c>
      <c r="Q289" s="114">
        <f>IF(COUNT($H289:P289)&gt;=Input!$W$7,0,($G247+(SUM($G289:P289)))*Q$7)</f>
        <v>0</v>
      </c>
      <c r="R289" s="104"/>
      <c r="S289" s="104"/>
      <c r="T289" s="104"/>
      <c r="U289" s="104"/>
      <c r="V289" s="104"/>
      <c r="W289" s="104"/>
      <c r="X289" s="104"/>
      <c r="Y289" s="104"/>
      <c r="Z289" s="104"/>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7"/>
      <c r="BK289" s="227"/>
    </row>
    <row r="290" spans="1:63" hidden="1" outlineLevel="1">
      <c r="A290" s="9"/>
      <c r="B290" s="44"/>
      <c r="C290" s="290" t="s">
        <v>27</v>
      </c>
      <c r="D290" s="9"/>
      <c r="E290" s="9"/>
      <c r="F290" s="142"/>
      <c r="G290" s="209"/>
      <c r="H290" s="114"/>
      <c r="I290" s="114"/>
      <c r="J290" s="114"/>
      <c r="K290" s="114"/>
      <c r="L290" s="114">
        <f>IF(COUNT($H289:L289)=Input!$W$7, SUM($G289:L289), 0)</f>
        <v>-3.3500347876952719E-2</v>
      </c>
      <c r="M290" s="114">
        <f>IF(COUNT($H289:M289)=Input!$W$7, SUM($G289:M289), 0)</f>
        <v>0</v>
      </c>
      <c r="N290" s="114">
        <f>IF(COUNT($H289:N289)=Input!$W$7, SUM($G289:N289), 0)</f>
        <v>0</v>
      </c>
      <c r="O290" s="114">
        <f>IF(COUNT($H289:O289)=Input!$W$7, SUM($G289:O289), 0)</f>
        <v>0</v>
      </c>
      <c r="P290" s="114">
        <f>IF(COUNT($H289:P289)=Input!$W$7, SUM($G289:P289), 0)</f>
        <v>0</v>
      </c>
      <c r="Q290" s="114">
        <f>IF(COUNT($H289:Q289)=Input!$W$7, SUM($G289:Q289), 0)</f>
        <v>0</v>
      </c>
      <c r="R290" s="104"/>
      <c r="S290" s="104"/>
      <c r="T290" s="104"/>
      <c r="U290" s="104"/>
      <c r="V290" s="104"/>
      <c r="W290" s="104"/>
      <c r="X290" s="104"/>
      <c r="Y290" s="104"/>
      <c r="Z290" s="104"/>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7"/>
      <c r="BK290" s="227"/>
    </row>
    <row r="291" spans="1:63" hidden="1" outlineLevel="1">
      <c r="A291" s="9"/>
      <c r="B291" s="44"/>
      <c r="C291" s="278" t="str">
        <f>Asset12</f>
        <v>Transmission line assets - short life (10)</v>
      </c>
      <c r="D291" s="9"/>
      <c r="E291" s="9"/>
      <c r="F291" s="142"/>
      <c r="G291" s="209"/>
      <c r="H291" s="114">
        <f>($G248+(SUM($G291:G291)))*H$7</f>
        <v>5.1116290803101483E-2</v>
      </c>
      <c r="I291" s="114">
        <f>($G248+(SUM($G291:H291)))*I$7</f>
        <v>5.9039624333363745E-2</v>
      </c>
      <c r="J291" s="114">
        <f>($G248+(SUM($G291:I291)))*J$7</f>
        <v>5.4238137442608365E-2</v>
      </c>
      <c r="K291" s="114">
        <f>($G248+(SUM($G291:J291)))*K$7</f>
        <v>6.5586565476164538E-2</v>
      </c>
      <c r="L291" s="114">
        <f>($G248+(SUM($G291:K291)))*L$7</f>
        <v>7.2148218731202793E-2</v>
      </c>
      <c r="M291" s="114">
        <f>IF(COUNT($H291:L291)&gt;=Input!$W$7,0,($G248+(SUM($G291:L291)))*M$7)</f>
        <v>0</v>
      </c>
      <c r="N291" s="114">
        <f>IF(COUNT($H291:M291)&gt;=Input!$W$7,0,($G248+(SUM($G291:M291)))*N$7)</f>
        <v>0</v>
      </c>
      <c r="O291" s="114">
        <f>IF(COUNT($H291:N291)&gt;=Input!$W$7,0,($G248+(SUM($G291:N291)))*O$7)</f>
        <v>0</v>
      </c>
      <c r="P291" s="114">
        <f>IF(COUNT($H291:O291)&gt;=Input!$W$7,0,($G248+(SUM($G291:O291)))*P$7)</f>
        <v>0</v>
      </c>
      <c r="Q291" s="114">
        <f>IF(COUNT($H291:P291)&gt;=Input!$W$7,0,($G248+(SUM($G291:P291)))*Q$7)</f>
        <v>0</v>
      </c>
      <c r="R291" s="104"/>
      <c r="S291" s="104"/>
      <c r="T291" s="104"/>
      <c r="U291" s="104"/>
      <c r="V291" s="104"/>
      <c r="W291" s="104"/>
      <c r="X291" s="104"/>
      <c r="Y291" s="104"/>
      <c r="Z291" s="104"/>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7"/>
      <c r="BK291" s="227"/>
    </row>
    <row r="292" spans="1:63" hidden="1" outlineLevel="1">
      <c r="A292" s="9"/>
      <c r="B292" s="44"/>
      <c r="C292" s="290" t="s">
        <v>27</v>
      </c>
      <c r="D292" s="9"/>
      <c r="E292" s="9"/>
      <c r="F292" s="142"/>
      <c r="G292" s="209"/>
      <c r="H292" s="114"/>
      <c r="I292" s="114"/>
      <c r="J292" s="114"/>
      <c r="K292" s="114"/>
      <c r="L292" s="114">
        <f>IF(COUNT($H291:L291)=Input!$W$7, SUM($G291:L291), 0)</f>
        <v>0.30212883678644092</v>
      </c>
      <c r="M292" s="114">
        <f>IF(COUNT($H291:M291)=Input!$W$7, SUM($G291:M291), 0)</f>
        <v>0</v>
      </c>
      <c r="N292" s="114">
        <f>IF(COUNT($H291:N291)=Input!$W$7, SUM($G291:N291), 0)</f>
        <v>0</v>
      </c>
      <c r="O292" s="114">
        <f>IF(COUNT($H291:O291)=Input!$W$7, SUM($G291:O291), 0)</f>
        <v>0</v>
      </c>
      <c r="P292" s="114">
        <f>IF(COUNT($H291:P291)=Input!$W$7, SUM($G291:P291), 0)</f>
        <v>0</v>
      </c>
      <c r="Q292" s="114">
        <f>IF(COUNT($H291:Q291)=Input!$W$7, SUM($G291:Q291), 0)</f>
        <v>0</v>
      </c>
      <c r="R292" s="104"/>
      <c r="S292" s="104"/>
      <c r="T292" s="104"/>
      <c r="U292" s="104"/>
      <c r="V292" s="104"/>
      <c r="W292" s="104"/>
      <c r="X292" s="104"/>
      <c r="Y292" s="104"/>
      <c r="Z292" s="104"/>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7"/>
      <c r="BK292" s="227"/>
    </row>
    <row r="293" spans="1:63" hidden="1" outlineLevel="1">
      <c r="A293" s="9"/>
      <c r="B293" s="44"/>
      <c r="C293" s="278" t="str">
        <f>Asset13</f>
        <v>Substation assets - long life (60)</v>
      </c>
      <c r="D293" s="9"/>
      <c r="E293" s="9"/>
      <c r="F293" s="142"/>
      <c r="G293" s="209"/>
      <c r="H293" s="114">
        <f>($G249+(SUM($G293:G293)))*H$7</f>
        <v>0.1763463844480409</v>
      </c>
      <c r="I293" s="114">
        <f>($G249+(SUM($G293:H293)))*I$7</f>
        <v>0.20368113818085484</v>
      </c>
      <c r="J293" s="114">
        <f>($G249+(SUM($G293:I293)))*J$7</f>
        <v>0.1871164610523649</v>
      </c>
      <c r="K293" s="114">
        <f>($G249+(SUM($G293:J293)))*K$7</f>
        <v>0.22626746793185851</v>
      </c>
      <c r="L293" s="114">
        <f>($G249+(SUM($G293:K293)))*L$7</f>
        <v>0.24890455308314469</v>
      </c>
      <c r="M293" s="114">
        <f>IF(COUNT($H293:L293)&gt;=Input!$W$7,0,($G249+(SUM($G293:L293)))*M$7)</f>
        <v>0</v>
      </c>
      <c r="N293" s="114">
        <f>IF(COUNT($H293:M293)&gt;=Input!$W$7,0,($G249+(SUM($G293:M293)))*N$7)</f>
        <v>0</v>
      </c>
      <c r="O293" s="114">
        <f>IF(COUNT($H293:N293)&gt;=Input!$W$7,0,($G249+(SUM($G293:N293)))*O$7)</f>
        <v>0</v>
      </c>
      <c r="P293" s="114">
        <f>IF(COUNT($H293:O293)&gt;=Input!$W$7,0,($G249+(SUM($G293:O293)))*P$7)</f>
        <v>0</v>
      </c>
      <c r="Q293" s="114">
        <f>IF(COUNT($H293:P293)&gt;=Input!$W$7,0,($G249+(SUM($G293:P293)))*Q$7)</f>
        <v>0</v>
      </c>
      <c r="R293" s="104"/>
      <c r="S293" s="104"/>
      <c r="T293" s="104"/>
      <c r="U293" s="104"/>
      <c r="V293" s="104"/>
      <c r="W293" s="104"/>
      <c r="X293" s="104"/>
      <c r="Y293" s="104"/>
      <c r="Z293" s="104"/>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7"/>
      <c r="BK293" s="227"/>
    </row>
    <row r="294" spans="1:63" hidden="1" outlineLevel="1">
      <c r="A294" s="9"/>
      <c r="B294" s="44"/>
      <c r="C294" s="290" t="s">
        <v>27</v>
      </c>
      <c r="D294" s="9"/>
      <c r="E294" s="9"/>
      <c r="F294" s="142"/>
      <c r="G294" s="209"/>
      <c r="H294" s="114"/>
      <c r="I294" s="114"/>
      <c r="J294" s="114"/>
      <c r="K294" s="114"/>
      <c r="L294" s="114">
        <f>IF(COUNT($H293:L293)=Input!$W$7, SUM($G293:L293), 0)</f>
        <v>1.0423160046962638</v>
      </c>
      <c r="M294" s="114">
        <f>IF(COUNT($H293:M293)=Input!$W$7, SUM($G293:M293), 0)</f>
        <v>0</v>
      </c>
      <c r="N294" s="114">
        <f>IF(COUNT($H293:N293)=Input!$W$7, SUM($G293:N293), 0)</f>
        <v>0</v>
      </c>
      <c r="O294" s="114">
        <f>IF(COUNT($H293:O293)=Input!$W$7, SUM($G293:O293), 0)</f>
        <v>0</v>
      </c>
      <c r="P294" s="114">
        <f>IF(COUNT($H293:P293)=Input!$W$7, SUM($G293:P293), 0)</f>
        <v>0</v>
      </c>
      <c r="Q294" s="114">
        <f>IF(COUNT($H293:Q293)=Input!$W$7, SUM($G293:Q293), 0)</f>
        <v>0</v>
      </c>
      <c r="R294" s="104"/>
      <c r="S294" s="104"/>
      <c r="T294" s="104"/>
      <c r="U294" s="104"/>
      <c r="V294" s="104"/>
      <c r="W294" s="104"/>
      <c r="X294" s="104"/>
      <c r="Y294" s="104"/>
      <c r="Z294" s="104"/>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7"/>
      <c r="BK294" s="227"/>
    </row>
    <row r="295" spans="1:63" hidden="1" outlineLevel="1">
      <c r="A295" s="9"/>
      <c r="B295" s="44"/>
      <c r="C295" s="278" t="str">
        <f>Asset14</f>
        <v>Substation assets - medium life (45)</v>
      </c>
      <c r="D295" s="9"/>
      <c r="E295" s="9"/>
      <c r="F295" s="142"/>
      <c r="G295" s="209"/>
      <c r="H295" s="114">
        <f>($G250+(SUM($G295:G295)))*H$7</f>
        <v>0.57725883892291308</v>
      </c>
      <c r="I295" s="114">
        <f>($G250+(SUM($G295:H295)))*I$7</f>
        <v>0.66673744236259491</v>
      </c>
      <c r="J295" s="114">
        <f>($G250+(SUM($G295:I295)))*J$7</f>
        <v>0.61251400979121462</v>
      </c>
      <c r="K295" s="114">
        <f>($G250+(SUM($G295:J295)))*K$7</f>
        <v>0.74067237745300507</v>
      </c>
      <c r="L295" s="114">
        <f>($G250+(SUM($G295:K295)))*L$7</f>
        <v>0.81477345716570426</v>
      </c>
      <c r="M295" s="114">
        <f>IF(COUNT($H295:L295)&gt;=Input!$W$7,0,($G250+(SUM($G295:L295)))*M$7)</f>
        <v>0</v>
      </c>
      <c r="N295" s="114">
        <f>IF(COUNT($H295:M295)&gt;=Input!$W$7,0,($G250+(SUM($G295:M295)))*N$7)</f>
        <v>0</v>
      </c>
      <c r="O295" s="114">
        <f>IF(COUNT($H295:N295)&gt;=Input!$W$7,0,($G250+(SUM($G295:N295)))*O$7)</f>
        <v>0</v>
      </c>
      <c r="P295" s="114">
        <f>IF(COUNT($H295:O295)&gt;=Input!$W$7,0,($G250+(SUM($G295:O295)))*P$7)</f>
        <v>0</v>
      </c>
      <c r="Q295" s="114">
        <f>IF(COUNT($H295:P295)&gt;=Input!$W$7,0,($G250+(SUM($G295:P295)))*Q$7)</f>
        <v>0</v>
      </c>
      <c r="R295" s="104"/>
      <c r="S295" s="104"/>
      <c r="T295" s="104"/>
      <c r="U295" s="104"/>
      <c r="V295" s="104"/>
      <c r="W295" s="104"/>
      <c r="X295" s="104"/>
      <c r="Y295" s="104"/>
      <c r="Z295" s="104"/>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7"/>
      <c r="BK295" s="227"/>
    </row>
    <row r="296" spans="1:63" hidden="1" outlineLevel="1">
      <c r="A296" s="9"/>
      <c r="B296" s="44"/>
      <c r="C296" s="290" t="s">
        <v>27</v>
      </c>
      <c r="D296" s="9"/>
      <c r="E296" s="9"/>
      <c r="F296" s="142"/>
      <c r="G296" s="209"/>
      <c r="H296" s="114"/>
      <c r="I296" s="114"/>
      <c r="J296" s="114"/>
      <c r="K296" s="114"/>
      <c r="L296" s="114">
        <f>IF(COUNT($H295:L295)=Input!$W$7, SUM($G295:L295), 0)</f>
        <v>3.4119561256954318</v>
      </c>
      <c r="M296" s="114">
        <f>IF(COUNT($H295:M295)=Input!$W$7, SUM($G295:M295), 0)</f>
        <v>0</v>
      </c>
      <c r="N296" s="114">
        <f>IF(COUNT($H295:N295)=Input!$W$7, SUM($G295:N295), 0)</f>
        <v>0</v>
      </c>
      <c r="O296" s="114">
        <f>IF(COUNT($H295:O295)=Input!$W$7, SUM($G295:O295), 0)</f>
        <v>0</v>
      </c>
      <c r="P296" s="114">
        <f>IF(COUNT($H295:P295)=Input!$W$7, SUM($G295:P295), 0)</f>
        <v>0</v>
      </c>
      <c r="Q296" s="114">
        <f>IF(COUNT($H295:Q295)=Input!$W$7, SUM($G295:Q295), 0)</f>
        <v>0</v>
      </c>
      <c r="R296" s="104"/>
      <c r="S296" s="104"/>
      <c r="T296" s="104"/>
      <c r="U296" s="104"/>
      <c r="V296" s="104"/>
      <c r="W296" s="104"/>
      <c r="X296" s="104"/>
      <c r="Y296" s="104"/>
      <c r="Z296" s="104"/>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7"/>
      <c r="BK296" s="227"/>
    </row>
    <row r="297" spans="1:63" hidden="1" outlineLevel="1">
      <c r="A297" s="9"/>
      <c r="B297" s="44"/>
      <c r="C297" s="278" t="str">
        <f>Asset15</f>
        <v>Substation assets - short life (15)</v>
      </c>
      <c r="D297" s="9"/>
      <c r="E297" s="9"/>
      <c r="F297" s="142"/>
      <c r="G297" s="209"/>
      <c r="H297" s="114">
        <f>($G251+(SUM($G297:G297)))*H$7</f>
        <v>0.62555190088731571</v>
      </c>
      <c r="I297" s="114">
        <f>($G251+(SUM($G297:H297)))*I$7</f>
        <v>0.72251622035078944</v>
      </c>
      <c r="J297" s="114">
        <f>($G251+(SUM($G297:I297)))*J$7</f>
        <v>0.66375649415768101</v>
      </c>
      <c r="K297" s="114">
        <f>($G251+(SUM($G297:J297)))*K$7</f>
        <v>0.80263649927814706</v>
      </c>
      <c r="L297" s="114">
        <f>($G251+(SUM($G297:K297)))*L$7</f>
        <v>0.88293682236817006</v>
      </c>
      <c r="M297" s="114">
        <f>IF(COUNT($H297:L297)&gt;=Input!$W$7,0,($G251+(SUM($G297:L297)))*M$7)</f>
        <v>0</v>
      </c>
      <c r="N297" s="114">
        <f>IF(COUNT($H297:M297)&gt;=Input!$W$7,0,($G251+(SUM($G297:M297)))*N$7)</f>
        <v>0</v>
      </c>
      <c r="O297" s="114">
        <f>IF(COUNT($H297:N297)&gt;=Input!$W$7,0,($G251+(SUM($G297:N297)))*O$7)</f>
        <v>0</v>
      </c>
      <c r="P297" s="114">
        <f>IF(COUNT($H297:O297)&gt;=Input!$W$7,0,($G251+(SUM($G297:O297)))*P$7)</f>
        <v>0</v>
      </c>
      <c r="Q297" s="114">
        <f>IF(COUNT($H297:P297)&gt;=Input!$W$7,0,($G251+(SUM($G297:P297)))*Q$7)</f>
        <v>0</v>
      </c>
      <c r="R297" s="104"/>
      <c r="S297" s="104"/>
      <c r="T297" s="104"/>
      <c r="U297" s="104"/>
      <c r="V297" s="104"/>
      <c r="W297" s="104"/>
      <c r="X297" s="104"/>
      <c r="Y297" s="104"/>
      <c r="Z297" s="104"/>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7"/>
      <c r="BK297" s="227"/>
    </row>
    <row r="298" spans="1:63" hidden="1" outlineLevel="1">
      <c r="A298" s="9"/>
      <c r="B298" s="44"/>
      <c r="C298" s="290" t="s">
        <v>27</v>
      </c>
      <c r="D298" s="9"/>
      <c r="E298" s="9"/>
      <c r="F298" s="142"/>
      <c r="G298" s="209"/>
      <c r="H298" s="114"/>
      <c r="I298" s="114"/>
      <c r="J298" s="114"/>
      <c r="K298" s="114"/>
      <c r="L298" s="114">
        <f>IF(COUNT($H297:L297)=Input!$W$7, SUM($G297:L297), 0)</f>
        <v>3.6973979370421031</v>
      </c>
      <c r="M298" s="114">
        <f>IF(COUNT($H297:M297)=Input!$W$7, SUM($G297:M297), 0)</f>
        <v>0</v>
      </c>
      <c r="N298" s="114">
        <f>IF(COUNT($H297:N297)=Input!$W$7, SUM($G297:N297), 0)</f>
        <v>0</v>
      </c>
      <c r="O298" s="114">
        <f>IF(COUNT($H297:O297)=Input!$W$7, SUM($G297:O297), 0)</f>
        <v>0</v>
      </c>
      <c r="P298" s="114">
        <f>IF(COUNT($H297:P297)=Input!$W$7, SUM($G297:P297), 0)</f>
        <v>0</v>
      </c>
      <c r="Q298" s="114">
        <f>IF(COUNT($H297:Q297)=Input!$W$7, SUM($G297:Q297), 0)</f>
        <v>0</v>
      </c>
      <c r="R298" s="104"/>
      <c r="S298" s="104"/>
      <c r="T298" s="104"/>
      <c r="U298" s="104"/>
      <c r="V298" s="104"/>
      <c r="W298" s="104"/>
      <c r="X298" s="104"/>
      <c r="Y298" s="104"/>
      <c r="Z298" s="104"/>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7"/>
      <c r="BK298" s="227"/>
    </row>
    <row r="299" spans="1:63" hidden="1" outlineLevel="1">
      <c r="A299" s="9"/>
      <c r="B299" s="44"/>
      <c r="C299" s="278" t="str">
        <f>Asset16</f>
        <v>Protection and control - short life (15)</v>
      </c>
      <c r="D299" s="9"/>
      <c r="E299" s="9"/>
      <c r="F299" s="142"/>
      <c r="G299" s="209"/>
      <c r="H299" s="114">
        <f>($G252+(SUM($G299:G299)))*H$7</f>
        <v>0.27085904743280936</v>
      </c>
      <c r="I299" s="114">
        <f>($G252+(SUM($G299:H299)))*I$7</f>
        <v>0.31284383425480344</v>
      </c>
      <c r="J299" s="114">
        <f>($G252+(SUM($G299:I299)))*J$7</f>
        <v>0.28740133549250646</v>
      </c>
      <c r="K299" s="114">
        <f>($G252+(SUM($G299:J299)))*K$7</f>
        <v>0.34753528415613505</v>
      </c>
      <c r="L299" s="114">
        <f>($G252+(SUM($G299:K299)))*L$7</f>
        <v>0.38230469176221699</v>
      </c>
      <c r="M299" s="114">
        <f>IF(COUNT($H299:L299)&gt;=Input!$W$7,0,($G252+(SUM($G299:L299)))*M$7)</f>
        <v>0</v>
      </c>
      <c r="N299" s="114">
        <f>IF(COUNT($H299:M299)&gt;=Input!$W$7,0,($G252+(SUM($G299:M299)))*N$7)</f>
        <v>0</v>
      </c>
      <c r="O299" s="114">
        <f>IF(COUNT($H299:N299)&gt;=Input!$W$7,0,($G252+(SUM($G299:N299)))*O$7)</f>
        <v>0</v>
      </c>
      <c r="P299" s="114">
        <f>IF(COUNT($H299:O299)&gt;=Input!$W$7,0,($G252+(SUM($G299:O299)))*P$7)</f>
        <v>0</v>
      </c>
      <c r="Q299" s="114">
        <f>IF(COUNT($H299:P299)&gt;=Input!$W$7,0,($G252+(SUM($G299:P299)))*Q$7)</f>
        <v>0</v>
      </c>
      <c r="R299" s="104"/>
      <c r="S299" s="104"/>
      <c r="T299" s="104"/>
      <c r="U299" s="104"/>
      <c r="V299" s="104"/>
      <c r="W299" s="104"/>
      <c r="X299" s="104"/>
      <c r="Y299" s="104"/>
      <c r="Z299" s="104"/>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7"/>
      <c r="BK299" s="227"/>
    </row>
    <row r="300" spans="1:63" hidden="1" outlineLevel="1">
      <c r="A300" s="9"/>
      <c r="B300" s="44"/>
      <c r="C300" s="290" t="s">
        <v>27</v>
      </c>
      <c r="D300" s="9"/>
      <c r="E300" s="9"/>
      <c r="F300" s="142"/>
      <c r="G300" s="209"/>
      <c r="H300" s="114"/>
      <c r="I300" s="114"/>
      <c r="J300" s="114"/>
      <c r="K300" s="114"/>
      <c r="L300" s="114">
        <f>IF(COUNT($H299:L299)=Input!$W$7, SUM($G299:L299), 0)</f>
        <v>1.6009441930984714</v>
      </c>
      <c r="M300" s="114">
        <f>IF(COUNT($H299:M299)=Input!$W$7, SUM($G299:M299), 0)</f>
        <v>0</v>
      </c>
      <c r="N300" s="114">
        <f>IF(COUNT($H299:N299)=Input!$W$7, SUM($G299:N299), 0)</f>
        <v>0</v>
      </c>
      <c r="O300" s="114">
        <f>IF(COUNT($H299:O299)=Input!$W$7, SUM($G299:O299), 0)</f>
        <v>0</v>
      </c>
      <c r="P300" s="114">
        <f>IF(COUNT($H299:P299)=Input!$W$7, SUM($G299:P299), 0)</f>
        <v>0</v>
      </c>
      <c r="Q300" s="114">
        <f>IF(COUNT($H299:Q299)=Input!$W$7, SUM($G299:Q299), 0)</f>
        <v>0</v>
      </c>
      <c r="R300" s="104"/>
      <c r="S300" s="104"/>
      <c r="T300" s="104"/>
      <c r="U300" s="104"/>
      <c r="V300" s="104"/>
      <c r="W300" s="104"/>
      <c r="X300" s="104"/>
      <c r="Y300" s="104"/>
      <c r="Z300" s="104"/>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7"/>
      <c r="BK300" s="227"/>
    </row>
    <row r="301" spans="1:63" hidden="1" outlineLevel="1">
      <c r="A301" s="9"/>
      <c r="B301" s="44"/>
      <c r="C301" s="278" t="str">
        <f>Asset17</f>
        <v>Protection and control - short life (4)</v>
      </c>
      <c r="D301" s="9"/>
      <c r="E301" s="9"/>
      <c r="F301" s="142"/>
      <c r="G301" s="209"/>
      <c r="H301" s="114">
        <f>($G253+(SUM($G301:G301)))*H$7</f>
        <v>4.333332138074371E-3</v>
      </c>
      <c r="I301" s="114">
        <f>($G253+(SUM($G301:H301)))*I$7</f>
        <v>5.0050247685045207E-3</v>
      </c>
      <c r="J301" s="114">
        <f>($G253+(SUM($G301:I301)))*J$7</f>
        <v>4.5979835468634806E-3</v>
      </c>
      <c r="K301" s="114">
        <f>($G253+(SUM($G301:J301)))*K$7</f>
        <v>5.56003511871676E-3</v>
      </c>
      <c r="L301" s="114">
        <f>($G253+(SUM($G301:K301)))*L$7</f>
        <v>6.1162926734459134E-3</v>
      </c>
      <c r="M301" s="114">
        <f>IF(COUNT($H301:L301)&gt;=Input!$W$7,0,($G253+(SUM($G301:L301)))*M$7)</f>
        <v>0</v>
      </c>
      <c r="N301" s="114">
        <f>IF(COUNT($H301:M301)&gt;=Input!$W$7,0,($G253+(SUM($G301:M301)))*N$7)</f>
        <v>0</v>
      </c>
      <c r="O301" s="114">
        <f>IF(COUNT($H301:N301)&gt;=Input!$W$7,0,($G253+(SUM($G301:N301)))*O$7)</f>
        <v>0</v>
      </c>
      <c r="P301" s="114">
        <f>IF(COUNT($H301:O301)&gt;=Input!$W$7,0,($G253+(SUM($G301:O301)))*P$7)</f>
        <v>0</v>
      </c>
      <c r="Q301" s="114">
        <f>IF(COUNT($H301:P301)&gt;=Input!$W$7,0,($G253+(SUM($G301:P301)))*Q$7)</f>
        <v>0</v>
      </c>
      <c r="R301" s="104"/>
      <c r="S301" s="104"/>
      <c r="T301" s="104"/>
      <c r="U301" s="104"/>
      <c r="V301" s="104"/>
      <c r="W301" s="104"/>
      <c r="X301" s="104"/>
      <c r="Y301" s="104"/>
      <c r="Z301" s="104"/>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7"/>
      <c r="BK301" s="227"/>
    </row>
    <row r="302" spans="1:63" hidden="1" outlineLevel="1">
      <c r="A302" s="9"/>
      <c r="B302" s="44"/>
      <c r="C302" s="290" t="s">
        <v>27</v>
      </c>
      <c r="D302" s="9"/>
      <c r="E302" s="9"/>
      <c r="F302" s="142"/>
      <c r="G302" s="209"/>
      <c r="H302" s="114"/>
      <c r="I302" s="114"/>
      <c r="J302" s="114"/>
      <c r="K302" s="114"/>
      <c r="L302" s="114">
        <f>IF(COUNT($H301:L301)=Input!$W$7, SUM($G301:L301), 0)</f>
        <v>2.5612668245605045E-2</v>
      </c>
      <c r="M302" s="114">
        <f>IF(COUNT($H301:M301)=Input!$W$7, SUM($G301:M301), 0)</f>
        <v>0</v>
      </c>
      <c r="N302" s="114">
        <f>IF(COUNT($H301:N301)=Input!$W$7, SUM($G301:N301), 0)</f>
        <v>0</v>
      </c>
      <c r="O302" s="114">
        <f>IF(COUNT($H301:O301)=Input!$W$7, SUM($G301:O301), 0)</f>
        <v>0</v>
      </c>
      <c r="P302" s="114">
        <f>IF(COUNT($H301:P301)=Input!$W$7, SUM($G301:P301), 0)</f>
        <v>0</v>
      </c>
      <c r="Q302" s="114">
        <f>IF(COUNT($H301:Q301)=Input!$W$7, SUM($G301:Q301), 0)</f>
        <v>0</v>
      </c>
      <c r="R302" s="104"/>
      <c r="S302" s="104"/>
      <c r="T302" s="104"/>
      <c r="U302" s="104"/>
      <c r="V302" s="104"/>
      <c r="W302" s="104"/>
      <c r="X302" s="104"/>
      <c r="Y302" s="104"/>
      <c r="Z302" s="104"/>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7"/>
      <c r="BK302" s="227"/>
    </row>
    <row r="303" spans="1:63" hidden="1" outlineLevel="1">
      <c r="A303" s="9"/>
      <c r="B303" s="44"/>
      <c r="C303" s="278" t="str">
        <f>Asset18</f>
        <v>Transmission operations - short life (10)</v>
      </c>
      <c r="D303" s="9"/>
      <c r="E303" s="9"/>
      <c r="F303" s="142"/>
      <c r="G303" s="209"/>
      <c r="H303" s="114">
        <f>($G254+(SUM($G303:G303)))*H$7</f>
        <v>0.10906399640414458</v>
      </c>
      <c r="I303" s="114">
        <f>($G254+(SUM($G303:H303)))*I$7</f>
        <v>0.1259695739817909</v>
      </c>
      <c r="J303" s="114">
        <f>($G254+(SUM($G303:I303)))*J$7</f>
        <v>0.11572490754061557</v>
      </c>
      <c r="K303" s="114">
        <f>($G254+(SUM($G303:J303)))*K$7</f>
        <v>0.1399384194132213</v>
      </c>
      <c r="L303" s="114">
        <f>($G254+(SUM($G303:K303)))*L$7</f>
        <v>0.1539386552630673</v>
      </c>
      <c r="M303" s="114">
        <f>IF(COUNT($H303:L303)&gt;=Input!$W$7,0,($G254+(SUM($G303:L303)))*M$7)</f>
        <v>0</v>
      </c>
      <c r="N303" s="114">
        <f>IF(COUNT($H303:M303)&gt;=Input!$W$7,0,($G254+(SUM($G303:M303)))*N$7)</f>
        <v>0</v>
      </c>
      <c r="O303" s="114">
        <f>IF(COUNT($H303:N303)&gt;=Input!$W$7,0,($G254+(SUM($G303:N303)))*O$7)</f>
        <v>0</v>
      </c>
      <c r="P303" s="114">
        <f>IF(COUNT($H303:O303)&gt;=Input!$W$7,0,($G254+(SUM($G303:O303)))*P$7)</f>
        <v>0</v>
      </c>
      <c r="Q303" s="114">
        <f>IF(COUNT($H303:P303)&gt;=Input!$W$7,0,($G254+(SUM($G303:P303)))*Q$7)</f>
        <v>0</v>
      </c>
      <c r="R303" s="104"/>
      <c r="S303" s="104"/>
      <c r="T303" s="104"/>
      <c r="U303" s="104"/>
      <c r="V303" s="104"/>
      <c r="W303" s="104"/>
      <c r="X303" s="104"/>
      <c r="Y303" s="104"/>
      <c r="Z303" s="104"/>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7"/>
      <c r="BK303" s="227"/>
    </row>
    <row r="304" spans="1:63" hidden="1" outlineLevel="1">
      <c r="A304" s="9"/>
      <c r="B304" s="44"/>
      <c r="C304" s="290" t="s">
        <v>27</v>
      </c>
      <c r="D304" s="9"/>
      <c r="E304" s="9"/>
      <c r="F304" s="142"/>
      <c r="G304" s="209"/>
      <c r="H304" s="114"/>
      <c r="I304" s="114"/>
      <c r="J304" s="114"/>
      <c r="K304" s="114"/>
      <c r="L304" s="114">
        <f>IF(COUNT($H303:L303)=Input!$W$7, SUM($G303:L303), 0)</f>
        <v>0.64463555260283956</v>
      </c>
      <c r="M304" s="114">
        <f>IF(COUNT($H303:M303)=Input!$W$7, SUM($G303:M303), 0)</f>
        <v>0</v>
      </c>
      <c r="N304" s="114">
        <f>IF(COUNT($H303:N303)=Input!$W$7, SUM($G303:N303), 0)</f>
        <v>0</v>
      </c>
      <c r="O304" s="114">
        <f>IF(COUNT($H303:O303)=Input!$W$7, SUM($G303:O303), 0)</f>
        <v>0</v>
      </c>
      <c r="P304" s="114">
        <f>IF(COUNT($H303:P303)=Input!$W$7, SUM($G303:P303), 0)</f>
        <v>0</v>
      </c>
      <c r="Q304" s="114">
        <f>IF(COUNT($H303:Q303)=Input!$W$7, SUM($G303:Q303), 0)</f>
        <v>0</v>
      </c>
      <c r="R304" s="104"/>
      <c r="S304" s="104"/>
      <c r="T304" s="104"/>
      <c r="U304" s="104"/>
      <c r="V304" s="104"/>
      <c r="W304" s="104"/>
      <c r="X304" s="104"/>
      <c r="Y304" s="104"/>
      <c r="Z304" s="104"/>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7"/>
      <c r="BK304" s="227"/>
    </row>
    <row r="305" spans="1:63" hidden="1" outlineLevel="1">
      <c r="A305" s="9"/>
      <c r="B305" s="44"/>
      <c r="C305" s="278" t="str">
        <f>Asset19</f>
        <v>Transmission operations - short life (4)</v>
      </c>
      <c r="D305" s="9"/>
      <c r="E305" s="9"/>
      <c r="F305" s="142"/>
      <c r="G305" s="209"/>
      <c r="H305" s="114">
        <f>($G255+(SUM($G305:G305)))*H$7</f>
        <v>3.8540807653877672E-3</v>
      </c>
      <c r="I305" s="114">
        <f>($G255+(SUM($G305:H305)))*I$7</f>
        <v>4.4514865410604197E-3</v>
      </c>
      <c r="J305" s="114">
        <f>($G255+(SUM($G305:I305)))*J$7</f>
        <v>4.0894626543468123E-3</v>
      </c>
      <c r="K305" s="114">
        <f>($G255+(SUM($G305:J305)))*K$7</f>
        <v>4.9451146884506329E-3</v>
      </c>
      <c r="L305" s="114">
        <f>($G255+(SUM($G305:K305)))*L$7</f>
        <v>5.4398521039020001E-3</v>
      </c>
      <c r="M305" s="114">
        <f>IF(COUNT($H305:L305)&gt;=Input!$W$7,0,($G255+(SUM($G305:L305)))*M$7)</f>
        <v>0</v>
      </c>
      <c r="N305" s="114">
        <f>IF(COUNT($H305:M305)&gt;=Input!$W$7,0,($G255+(SUM($G305:M305)))*N$7)</f>
        <v>0</v>
      </c>
      <c r="O305" s="114">
        <f>IF(COUNT($H305:N305)&gt;=Input!$W$7,0,($G255+(SUM($G305:N305)))*O$7)</f>
        <v>0</v>
      </c>
      <c r="P305" s="114">
        <f>IF(COUNT($H305:O305)&gt;=Input!$W$7,0,($G255+(SUM($G305:O305)))*P$7)</f>
        <v>0</v>
      </c>
      <c r="Q305" s="114">
        <f>IF(COUNT($H305:P305)&gt;=Input!$W$7,0,($G255+(SUM($G305:P305)))*Q$7)</f>
        <v>0</v>
      </c>
      <c r="R305" s="104"/>
      <c r="S305" s="104"/>
      <c r="T305" s="104"/>
      <c r="U305" s="104"/>
      <c r="V305" s="104"/>
      <c r="W305" s="104"/>
      <c r="X305" s="104"/>
      <c r="Y305" s="104"/>
      <c r="Z305" s="104"/>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7"/>
      <c r="BK305" s="227"/>
    </row>
    <row r="306" spans="1:63" hidden="1" outlineLevel="1">
      <c r="A306" s="9"/>
      <c r="B306" s="44"/>
      <c r="C306" s="290" t="s">
        <v>27</v>
      </c>
      <c r="D306" s="9"/>
      <c r="E306" s="9"/>
      <c r="F306" s="142"/>
      <c r="G306" s="209"/>
      <c r="H306" s="114"/>
      <c r="I306" s="114"/>
      <c r="J306" s="114"/>
      <c r="K306" s="114"/>
      <c r="L306" s="114">
        <f>IF(COUNT($H305:L305)=Input!$W$7, SUM($G305:L305), 0)</f>
        <v>2.2779996753147631E-2</v>
      </c>
      <c r="M306" s="114">
        <f>IF(COUNT($H305:M305)=Input!$W$7, SUM($G305:M305), 0)</f>
        <v>0</v>
      </c>
      <c r="N306" s="114">
        <f>IF(COUNT($H305:N305)=Input!$W$7, SUM($G305:N305), 0)</f>
        <v>0</v>
      </c>
      <c r="O306" s="114">
        <f>IF(COUNT($H305:O305)=Input!$W$7, SUM($G305:O305), 0)</f>
        <v>0</v>
      </c>
      <c r="P306" s="114">
        <f>IF(COUNT($H305:P305)=Input!$W$7, SUM($G305:P305), 0)</f>
        <v>0</v>
      </c>
      <c r="Q306" s="114">
        <f>IF(COUNT($H305:Q305)=Input!$W$7, SUM($G305:Q305), 0)</f>
        <v>0</v>
      </c>
      <c r="R306" s="104"/>
      <c r="S306" s="104"/>
      <c r="T306" s="104"/>
      <c r="U306" s="104"/>
      <c r="V306" s="104"/>
      <c r="W306" s="104"/>
      <c r="X306" s="104"/>
      <c r="Y306" s="104"/>
      <c r="Z306" s="104"/>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7"/>
      <c r="BK306" s="227"/>
    </row>
    <row r="307" spans="1:63" hidden="1" outlineLevel="1">
      <c r="A307" s="9"/>
      <c r="B307" s="44"/>
      <c r="C307" s="278" t="str">
        <f>Asset20</f>
        <v>Other - medium life (40)</v>
      </c>
      <c r="D307" s="9"/>
      <c r="E307" s="9"/>
      <c r="F307" s="142"/>
      <c r="G307" s="209"/>
      <c r="H307" s="114">
        <f>($G256+(SUM($G307:G307)))*H$7</f>
        <v>-6.780714213264126E-2</v>
      </c>
      <c r="I307" s="114">
        <f>($G256+(SUM($G307:H307)))*I$7</f>
        <v>-7.8317658338136684E-2</v>
      </c>
      <c r="J307" s="114">
        <f>($G256+(SUM($G307:I307)))*J$7</f>
        <v>-7.1948356126762036E-2</v>
      </c>
      <c r="K307" s="114">
        <f>($G256+(SUM($G307:J307)))*K$7</f>
        <v>-8.7002352818687595E-2</v>
      </c>
      <c r="L307" s="114">
        <f>($G256+(SUM($G307:K307)))*L$7</f>
        <v>-9.5706563313993936E-2</v>
      </c>
      <c r="M307" s="114">
        <f>IF(COUNT($H307:L307)&gt;=Input!$W$7,0,($G256+(SUM($G307:L307)))*M$7)</f>
        <v>0</v>
      </c>
      <c r="N307" s="114">
        <f>IF(COUNT($H307:M307)&gt;=Input!$W$7,0,($G256+(SUM($G307:M307)))*N$7)</f>
        <v>0</v>
      </c>
      <c r="O307" s="114">
        <f>IF(COUNT($H307:N307)&gt;=Input!$W$7,0,($G256+(SUM($G307:N307)))*O$7)</f>
        <v>0</v>
      </c>
      <c r="P307" s="114">
        <f>IF(COUNT($H307:O307)&gt;=Input!$W$7,0,($G256+(SUM($G307:O307)))*P$7)</f>
        <v>0</v>
      </c>
      <c r="Q307" s="114">
        <f>IF(COUNT($H307:P307)&gt;=Input!$W$7,0,($G256+(SUM($G307:P307)))*Q$7)</f>
        <v>0</v>
      </c>
      <c r="R307" s="104"/>
      <c r="S307" s="104"/>
      <c r="T307" s="104"/>
      <c r="U307" s="104"/>
      <c r="V307" s="104"/>
      <c r="W307" s="104"/>
      <c r="X307" s="104"/>
      <c r="Y307" s="104"/>
      <c r="Z307" s="104"/>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7"/>
      <c r="BK307" s="227"/>
    </row>
    <row r="308" spans="1:63" hidden="1" outlineLevel="1">
      <c r="A308" s="9"/>
      <c r="B308" s="44"/>
      <c r="C308" s="290" t="s">
        <v>27</v>
      </c>
      <c r="D308" s="9"/>
      <c r="E308" s="9"/>
      <c r="F308" s="142"/>
      <c r="G308" s="209"/>
      <c r="H308" s="114"/>
      <c r="I308" s="114"/>
      <c r="J308" s="114"/>
      <c r="K308" s="114"/>
      <c r="L308" s="114">
        <f>IF(COUNT($H307:L307)=Input!$W$7, SUM($G307:L307), 0)</f>
        <v>-0.40078207273022148</v>
      </c>
      <c r="M308" s="114">
        <f>IF(COUNT($H307:M307)=Input!$W$7, SUM($G307:M307), 0)</f>
        <v>0</v>
      </c>
      <c r="N308" s="114">
        <f>IF(COUNT($H307:N307)=Input!$W$7, SUM($G307:N307), 0)</f>
        <v>0</v>
      </c>
      <c r="O308" s="114">
        <f>IF(COUNT($H307:O307)=Input!$W$7, SUM($G307:O307), 0)</f>
        <v>0</v>
      </c>
      <c r="P308" s="114">
        <f>IF(COUNT($H307:P307)=Input!$W$7, SUM($G307:P307), 0)</f>
        <v>0</v>
      </c>
      <c r="Q308" s="114">
        <f>IF(COUNT($H307:Q307)=Input!$W$7, SUM($G307:Q307), 0)</f>
        <v>0</v>
      </c>
      <c r="R308" s="104"/>
      <c r="S308" s="104"/>
      <c r="T308" s="104"/>
      <c r="U308" s="104"/>
      <c r="V308" s="104"/>
      <c r="W308" s="104"/>
      <c r="X308" s="104"/>
      <c r="Y308" s="104"/>
      <c r="Z308" s="104"/>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7"/>
      <c r="BK308" s="227"/>
    </row>
    <row r="309" spans="1:63" hidden="1" outlineLevel="1">
      <c r="A309" s="9"/>
      <c r="B309" s="44"/>
      <c r="C309" s="327" t="str">
        <f>Asset21</f>
        <v>Other - short life (9)</v>
      </c>
      <c r="D309" s="9"/>
      <c r="E309" s="9"/>
      <c r="F309" s="142"/>
      <c r="G309" s="209"/>
      <c r="H309" s="114">
        <f>($G257+(SUM($G309:G309)))*H$7</f>
        <v>0</v>
      </c>
      <c r="I309" s="114">
        <f>($G257+(SUM($G309:H309)))*I$7</f>
        <v>0</v>
      </c>
      <c r="J309" s="114">
        <f>($G257+(SUM($G309:I309)))*J$7</f>
        <v>0</v>
      </c>
      <c r="K309" s="114">
        <f>($G257+(SUM($G309:J309)))*K$7</f>
        <v>0</v>
      </c>
      <c r="L309" s="114">
        <f>($G257+(SUM($G309:K309)))*L$7</f>
        <v>0</v>
      </c>
      <c r="M309" s="114">
        <f>IF(COUNT($H309:L309)&gt;=Input!$W$7,0,($G257+(SUM($G309:L309)))*M$7)</f>
        <v>0</v>
      </c>
      <c r="N309" s="114">
        <f>IF(COUNT($H309:M309)&gt;=Input!$W$7,0,($G257+(SUM($G309:M309)))*N$7)</f>
        <v>0</v>
      </c>
      <c r="O309" s="114">
        <f>IF(COUNT($H309:N309)&gt;=Input!$W$7,0,($G257+(SUM($G309:N309)))*O$7)</f>
        <v>0</v>
      </c>
      <c r="P309" s="114">
        <f>IF(COUNT($H309:O309)&gt;=Input!$W$7,0,($G257+(SUM($G309:O309)))*P$7)</f>
        <v>0</v>
      </c>
      <c r="Q309" s="114">
        <f>IF(COUNT($H309:P309)&gt;=Input!$W$7,0,($G257+(SUM($G309:P309)))*Q$7)</f>
        <v>0</v>
      </c>
      <c r="R309" s="104"/>
      <c r="S309" s="104"/>
      <c r="T309" s="104"/>
      <c r="U309" s="104"/>
      <c r="V309" s="104"/>
      <c r="W309" s="104"/>
      <c r="X309" s="104"/>
      <c r="Y309" s="104"/>
      <c r="Z309" s="104"/>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7"/>
      <c r="BK309" s="227"/>
    </row>
    <row r="310" spans="1:63" hidden="1" outlineLevel="1">
      <c r="A310" s="9"/>
      <c r="B310" s="44"/>
      <c r="C310" s="290" t="s">
        <v>27</v>
      </c>
      <c r="D310" s="9"/>
      <c r="E310" s="9"/>
      <c r="F310" s="142"/>
      <c r="G310" s="209"/>
      <c r="H310" s="114"/>
      <c r="I310" s="114"/>
      <c r="J310" s="114"/>
      <c r="K310" s="114"/>
      <c r="L310" s="114">
        <f>IF(COUNT($H309:L309)=Input!$W$7,SUM($G309:L309),0)</f>
        <v>0</v>
      </c>
      <c r="M310" s="114">
        <f>IF(COUNT($H309:M309)=Input!$W$7,SUM($G309:M309),0)</f>
        <v>0</v>
      </c>
      <c r="N310" s="114">
        <f>IF(COUNT($H309:N309)=Input!$W$7,SUM($G309:N309),0)</f>
        <v>0</v>
      </c>
      <c r="O310" s="114">
        <f>IF(COUNT($H309:O309)=Input!$W$7,SUM($G309:O309),0)</f>
        <v>0</v>
      </c>
      <c r="P310" s="114">
        <f>IF(COUNT($H309:P309)=Input!$W$7,SUM($G309:P309),0)</f>
        <v>0</v>
      </c>
      <c r="Q310" s="114">
        <f>IF(COUNT($H309:Q309)=Input!$W$7,SUM($G309:Q309),0)</f>
        <v>0</v>
      </c>
      <c r="R310" s="104"/>
      <c r="S310" s="104"/>
      <c r="T310" s="104"/>
      <c r="U310" s="104"/>
      <c r="V310" s="104"/>
      <c r="W310" s="104"/>
      <c r="X310" s="104"/>
      <c r="Y310" s="104"/>
      <c r="Z310" s="104"/>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7"/>
      <c r="BK310" s="227"/>
    </row>
    <row r="311" spans="1:63" hidden="1" outlineLevel="1">
      <c r="A311" s="9"/>
      <c r="B311" s="44"/>
      <c r="C311" s="327" t="str">
        <f>Asset22</f>
        <v>Other - short life (4)</v>
      </c>
      <c r="D311" s="9"/>
      <c r="E311" s="9"/>
      <c r="F311" s="142"/>
      <c r="G311" s="209"/>
      <c r="H311" s="114">
        <f>($G258+(SUM($G311:G311)))*H$7</f>
        <v>0.17540165683496456</v>
      </c>
      <c r="I311" s="114">
        <f>($G258+(SUM($G311:H311)))*I$7</f>
        <v>0.20258997208689408</v>
      </c>
      <c r="J311" s="114">
        <f>($G258+(SUM($G311:I311)))*J$7</f>
        <v>0.18611403569405321</v>
      </c>
      <c r="K311" s="114">
        <f>($G258+(SUM($G311:J311)))*K$7</f>
        <v>0.22505530174220195</v>
      </c>
      <c r="L311" s="114">
        <f>($G258+(SUM($G311:K311)))*L$7</f>
        <v>0.24757111488959127</v>
      </c>
      <c r="M311" s="114">
        <f>IF(COUNT($H311:L311)&gt;=Input!$W$7,0,($G258+(SUM($G311:L311)))*M$7)</f>
        <v>0</v>
      </c>
      <c r="N311" s="114">
        <f>IF(COUNT($H311:M311)&gt;=Input!$W$7,0,($G258+(SUM($G311:M311)))*N$7)</f>
        <v>0</v>
      </c>
      <c r="O311" s="114">
        <f>IF(COUNT($H311:N311)&gt;=Input!$W$7,0,($G258+(SUM($G311:N311)))*O$7)</f>
        <v>0</v>
      </c>
      <c r="P311" s="114">
        <f>IF(COUNT($H311:O311)&gt;=Input!$W$7,0,($G258+(SUM($G311:O311)))*P$7)</f>
        <v>0</v>
      </c>
      <c r="Q311" s="114">
        <f>IF(COUNT($H311:P311)&gt;=Input!$W$7,0,($G258+(SUM($G311:P311)))*Q$7)</f>
        <v>0</v>
      </c>
      <c r="R311" s="104"/>
      <c r="S311" s="104"/>
      <c r="T311" s="104"/>
      <c r="U311" s="104"/>
      <c r="V311" s="104"/>
      <c r="W311" s="104"/>
      <c r="X311" s="104"/>
      <c r="Y311" s="104"/>
      <c r="Z311" s="104"/>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7"/>
      <c r="BK311" s="227"/>
    </row>
    <row r="312" spans="1:63" hidden="1" outlineLevel="1">
      <c r="A312" s="9"/>
      <c r="B312" s="44"/>
      <c r="C312" s="290" t="s">
        <v>27</v>
      </c>
      <c r="D312" s="9"/>
      <c r="E312" s="9"/>
      <c r="F312" s="142"/>
      <c r="G312" s="209"/>
      <c r="H312" s="114"/>
      <c r="I312" s="114"/>
      <c r="J312" s="114"/>
      <c r="K312" s="114"/>
      <c r="L312" s="114">
        <f>IF(COUNT($H311:L311)=Input!$W$7,SUM($G311:L311),0)</f>
        <v>1.0367320812477052</v>
      </c>
      <c r="M312" s="114">
        <f>IF(COUNT($H311:M311)=Input!$W$7,SUM($G311:M311),0)</f>
        <v>0</v>
      </c>
      <c r="N312" s="114">
        <f>IF(COUNT($H311:N311)=Input!$W$7,SUM($G311:N311),0)</f>
        <v>0</v>
      </c>
      <c r="O312" s="114">
        <f>IF(COUNT($H311:O311)=Input!$W$7,SUM($G311:O311),0)</f>
        <v>0</v>
      </c>
      <c r="P312" s="114">
        <f>IF(COUNT($H311:P311)=Input!$W$7,SUM($G311:P311),0)</f>
        <v>0</v>
      </c>
      <c r="Q312" s="114">
        <f>IF(COUNT($H311:Q311)=Input!$W$7,SUM($G311:Q311),0)</f>
        <v>0</v>
      </c>
      <c r="R312" s="104"/>
      <c r="S312" s="104"/>
      <c r="T312" s="104"/>
      <c r="U312" s="104"/>
      <c r="V312" s="104"/>
      <c r="W312" s="104"/>
      <c r="X312" s="104"/>
      <c r="Y312" s="104"/>
      <c r="Z312" s="104"/>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7"/>
      <c r="BK312" s="227"/>
    </row>
    <row r="313" spans="1:63" hidden="1" outlineLevel="1">
      <c r="A313" s="9"/>
      <c r="B313" s="44"/>
      <c r="C313" s="327" t="str">
        <f>Asset23</f>
        <v>Land and Easements</v>
      </c>
      <c r="D313" s="9"/>
      <c r="E313" s="9"/>
      <c r="F313" s="142"/>
      <c r="G313" s="209"/>
      <c r="H313" s="114">
        <f>($G259+(SUM($G313:G313)))*H$7</f>
        <v>1.896687469335205E-3</v>
      </c>
      <c r="I313" s="114">
        <f>($G259+(SUM($G313:H313)))*I$7</f>
        <v>2.1906854724395314E-3</v>
      </c>
      <c r="J313" s="114">
        <f>($G259+(SUM($G313:I313)))*J$7</f>
        <v>2.0125246576231247E-3</v>
      </c>
      <c r="K313" s="114">
        <f>($G259+(SUM($G313:J313)))*K$7</f>
        <v>2.4336119648146778E-3</v>
      </c>
      <c r="L313" s="114">
        <f>($G259+(SUM($G313:K313)))*L$7</f>
        <v>2.6770843551509205E-3</v>
      </c>
      <c r="M313" s="114">
        <f>IF(COUNT($H313:L313)&gt;=Input!$W$7,0,($G259+(SUM($G313:L313)))*M$7)</f>
        <v>0</v>
      </c>
      <c r="N313" s="114">
        <f>IF(COUNT($H313:M313)&gt;=Input!$W$7,0,($G259+(SUM($G313:M313)))*N$7)</f>
        <v>0</v>
      </c>
      <c r="O313" s="114">
        <f>IF(COUNT($H313:N313)&gt;=Input!$W$7,0,($G259+(SUM($G313:N313)))*O$7)</f>
        <v>0</v>
      </c>
      <c r="P313" s="114">
        <f>IF(COUNT($H313:O313)&gt;=Input!$W$7,0,($G259+(SUM($G313:O313)))*P$7)</f>
        <v>0</v>
      </c>
      <c r="Q313" s="114">
        <f>IF(COUNT($H313:P313)&gt;=Input!$W$7,0,($G259+(SUM($G313:P313)))*Q$7)</f>
        <v>0</v>
      </c>
      <c r="R313" s="104"/>
      <c r="S313" s="104"/>
      <c r="T313" s="104"/>
      <c r="U313" s="104"/>
      <c r="V313" s="104"/>
      <c r="W313" s="104"/>
      <c r="X313" s="104"/>
      <c r="Y313" s="104"/>
      <c r="Z313" s="104"/>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7"/>
      <c r="BK313" s="227"/>
    </row>
    <row r="314" spans="1:63" hidden="1" outlineLevel="1">
      <c r="A314" s="9"/>
      <c r="B314" s="44"/>
      <c r="C314" s="290" t="s">
        <v>27</v>
      </c>
      <c r="D314" s="9"/>
      <c r="E314" s="9"/>
      <c r="F314" s="142"/>
      <c r="G314" s="209"/>
      <c r="H314" s="114"/>
      <c r="I314" s="114"/>
      <c r="J314" s="114"/>
      <c r="K314" s="114"/>
      <c r="L314" s="114">
        <f>IF(COUNT($H313:L313)=Input!$W$7,SUM($G313:L313),0)</f>
        <v>1.121059391936346E-2</v>
      </c>
      <c r="M314" s="114">
        <f>IF(COUNT($H313:M313)=Input!$W$7,SUM($G313:M313),0)</f>
        <v>0</v>
      </c>
      <c r="N314" s="114">
        <f>IF(COUNT($H313:N313)=Input!$W$7,SUM($G313:N313),0)</f>
        <v>0</v>
      </c>
      <c r="O314" s="114">
        <f>IF(COUNT($H313:O313)=Input!$W$7,SUM($G313:O313),0)</f>
        <v>0</v>
      </c>
      <c r="P314" s="114">
        <f>IF(COUNT($H313:P313)=Input!$W$7,SUM($G313:P313),0)</f>
        <v>0</v>
      </c>
      <c r="Q314" s="114">
        <f>IF(COUNT($H313:Q313)=Input!$W$7,SUM($G313:Q313),0)</f>
        <v>0</v>
      </c>
      <c r="R314" s="104"/>
      <c r="S314" s="104"/>
      <c r="T314" s="104"/>
      <c r="U314" s="104"/>
      <c r="V314" s="104"/>
      <c r="W314" s="104"/>
      <c r="X314" s="104"/>
      <c r="Y314" s="104"/>
      <c r="Z314" s="104"/>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7"/>
      <c r="BK314" s="227"/>
    </row>
    <row r="315" spans="1:63" hidden="1" outlineLevel="1">
      <c r="A315" s="9"/>
      <c r="B315" s="44"/>
      <c r="C315" s="327" t="str">
        <f>Asset24</f>
        <v>Equity Raising</v>
      </c>
      <c r="D315" s="9"/>
      <c r="E315" s="9"/>
      <c r="F315" s="142"/>
      <c r="G315" s="209"/>
      <c r="H315" s="114">
        <f>($G260+(SUM($G315:G315)))*H$7</f>
        <v>0</v>
      </c>
      <c r="I315" s="114">
        <f>($G260+(SUM($G315:H315)))*I$7</f>
        <v>0</v>
      </c>
      <c r="J315" s="114">
        <f>($G260+(SUM($G315:I315)))*J$7</f>
        <v>0</v>
      </c>
      <c r="K315" s="114">
        <f>($G260+(SUM($G315:J315)))*K$7</f>
        <v>0</v>
      </c>
      <c r="L315" s="114">
        <f>($G260+(SUM($G315:K315)))*L$7</f>
        <v>0</v>
      </c>
      <c r="M315" s="114">
        <f>IF(COUNT($H315:L315)&gt;=Input!$W$7,0,($G260+(SUM($G315:L315)))*M$7)</f>
        <v>0</v>
      </c>
      <c r="N315" s="114">
        <f>IF(COUNT($H315:M315)&gt;=Input!$W$7,0,($G260+(SUM($G315:M315)))*N$7)</f>
        <v>0</v>
      </c>
      <c r="O315" s="114">
        <f>IF(COUNT($H315:N315)&gt;=Input!$W$7,0,($G260+(SUM($G315:N315)))*O$7)</f>
        <v>0</v>
      </c>
      <c r="P315" s="114">
        <f>IF(COUNT($H315:O315)&gt;=Input!$W$7,0,($G260+(SUM($G315:O315)))*P$7)</f>
        <v>0</v>
      </c>
      <c r="Q315" s="114">
        <f>IF(COUNT($H315:P315)&gt;=Input!$W$7,0,($G260+(SUM($G315:P315)))*Q$7)</f>
        <v>0</v>
      </c>
      <c r="R315" s="104"/>
      <c r="S315" s="104"/>
      <c r="T315" s="104"/>
      <c r="U315" s="104"/>
      <c r="V315" s="104"/>
      <c r="W315" s="104"/>
      <c r="X315" s="104"/>
      <c r="Y315" s="104"/>
      <c r="Z315" s="104"/>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7"/>
      <c r="BK315" s="227"/>
    </row>
    <row r="316" spans="1:63" hidden="1" outlineLevel="1">
      <c r="A316" s="9"/>
      <c r="B316" s="44"/>
      <c r="C316" s="290" t="s">
        <v>27</v>
      </c>
      <c r="D316" s="9"/>
      <c r="E316" s="9"/>
      <c r="F316" s="142"/>
      <c r="G316" s="209"/>
      <c r="H316" s="114"/>
      <c r="I316" s="114"/>
      <c r="J316" s="114"/>
      <c r="K316" s="114"/>
      <c r="L316" s="114">
        <f>IF(COUNT($H315:L315)=Input!$W$7,SUM($G315:L315),0)</f>
        <v>0</v>
      </c>
      <c r="M316" s="114">
        <f>IF(COUNT($H315:M315)=Input!$W$7,SUM($G315:M315),0)</f>
        <v>0</v>
      </c>
      <c r="N316" s="114">
        <f>IF(COUNT($H315:N315)=Input!$W$7,SUM($G315:N315),0)</f>
        <v>0</v>
      </c>
      <c r="O316" s="114">
        <f>IF(COUNT($H315:O315)=Input!$W$7,SUM($G315:O315),0)</f>
        <v>0</v>
      </c>
      <c r="P316" s="114">
        <f>IF(COUNT($H315:P315)=Input!$W$7,SUM($G315:P315),0)</f>
        <v>0</v>
      </c>
      <c r="Q316" s="114">
        <f>IF(COUNT($H315:Q315)=Input!$W$7,SUM($G315:Q315),0)</f>
        <v>0</v>
      </c>
      <c r="R316" s="104"/>
      <c r="S316" s="104"/>
      <c r="T316" s="104"/>
      <c r="U316" s="104"/>
      <c r="V316" s="104"/>
      <c r="W316" s="104"/>
      <c r="X316" s="104"/>
      <c r="Y316" s="104"/>
      <c r="Z316" s="104"/>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7"/>
      <c r="BK316" s="227"/>
    </row>
    <row r="317" spans="1:63" hidden="1" outlineLevel="1">
      <c r="A317" s="9"/>
      <c r="B317" s="44"/>
      <c r="C317" s="327">
        <f>Asset25</f>
        <v>0</v>
      </c>
      <c r="D317" s="9"/>
      <c r="E317" s="9"/>
      <c r="F317" s="142"/>
      <c r="G317" s="209"/>
      <c r="H317" s="114">
        <f>($G261+(SUM($G317:G317)))*H$7</f>
        <v>0</v>
      </c>
      <c r="I317" s="114">
        <f>($G261+(SUM($G317:H317)))*I$7</f>
        <v>0</v>
      </c>
      <c r="J317" s="114">
        <f>($G261+(SUM($G317:I317)))*J$7</f>
        <v>0</v>
      </c>
      <c r="K317" s="114">
        <f>($G261+(SUM($G317:J317)))*K$7</f>
        <v>0</v>
      </c>
      <c r="L317" s="114">
        <f>($G261+(SUM($G317:K317)))*L$7</f>
        <v>0</v>
      </c>
      <c r="M317" s="114">
        <f>IF(COUNT($H317:L317)&gt;=Input!$W$7,0,($G261+(SUM($G317:L317)))*M$7)</f>
        <v>0</v>
      </c>
      <c r="N317" s="114">
        <f>IF(COUNT($H317:M317)&gt;=Input!$W$7,0,($G261+(SUM($G317:M317)))*N$7)</f>
        <v>0</v>
      </c>
      <c r="O317" s="114">
        <f>IF(COUNT($H317:N317)&gt;=Input!$W$7,0,($G261+(SUM($G317:N317)))*O$7)</f>
        <v>0</v>
      </c>
      <c r="P317" s="114">
        <f>IF(COUNT($H317:O317)&gt;=Input!$W$7,0,($G261+(SUM($G317:O317)))*P$7)</f>
        <v>0</v>
      </c>
      <c r="Q317" s="114">
        <f>IF(COUNT($H317:P317)&gt;=Input!$W$7,0,($G261+(SUM($G317:P317)))*Q$7)</f>
        <v>0</v>
      </c>
      <c r="R317" s="104"/>
      <c r="S317" s="104"/>
      <c r="T317" s="104"/>
      <c r="U317" s="104"/>
      <c r="V317" s="104"/>
      <c r="W317" s="104"/>
      <c r="X317" s="104"/>
      <c r="Y317" s="104"/>
      <c r="Z317" s="104"/>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7"/>
      <c r="BK317" s="227"/>
    </row>
    <row r="318" spans="1:63" hidden="1" outlineLevel="1">
      <c r="A318" s="9"/>
      <c r="B318" s="44"/>
      <c r="C318" s="290" t="s">
        <v>27</v>
      </c>
      <c r="D318" s="9"/>
      <c r="E318" s="9"/>
      <c r="F318" s="142"/>
      <c r="G318" s="209"/>
      <c r="H318" s="114"/>
      <c r="I318" s="114"/>
      <c r="J318" s="114"/>
      <c r="K318" s="114"/>
      <c r="L318" s="114">
        <f>IF(COUNT($H317:L317)=Input!$W$7,SUM($G317:L317),0)</f>
        <v>0</v>
      </c>
      <c r="M318" s="114">
        <f>IF(COUNT($H317:M317)=Input!$W$7,SUM($G317:M317),0)</f>
        <v>0</v>
      </c>
      <c r="N318" s="114">
        <f>IF(COUNT($H317:N317)=Input!$W$7,SUM($G317:N317),0)</f>
        <v>0</v>
      </c>
      <c r="O318" s="114">
        <f>IF(COUNT($H317:O317)=Input!$W$7,SUM($G317:O317),0)</f>
        <v>0</v>
      </c>
      <c r="P318" s="114">
        <f>IF(COUNT($H317:P317)=Input!$W$7,SUM($G317:P317),0)</f>
        <v>0</v>
      </c>
      <c r="Q318" s="114">
        <f>IF(COUNT($H317:Q317)=Input!$W$7,SUM($G317:Q317),0)</f>
        <v>0</v>
      </c>
      <c r="R318" s="104"/>
      <c r="S318" s="104"/>
      <c r="T318" s="104"/>
      <c r="U318" s="104"/>
      <c r="V318" s="104"/>
      <c r="W318" s="104"/>
      <c r="X318" s="104"/>
      <c r="Y318" s="104"/>
      <c r="Z318" s="104"/>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7"/>
      <c r="BK318" s="227"/>
    </row>
    <row r="319" spans="1:63" hidden="1" outlineLevel="1">
      <c r="A319" s="9"/>
      <c r="B319" s="44"/>
      <c r="C319" s="327">
        <f>Asset26</f>
        <v>0</v>
      </c>
      <c r="D319" s="9"/>
      <c r="E319" s="9"/>
      <c r="F319" s="142"/>
      <c r="G319" s="209"/>
      <c r="H319" s="114">
        <f>($G262+(SUM($G319:G319)))*H$7</f>
        <v>0</v>
      </c>
      <c r="I319" s="114">
        <f>($G262+(SUM($G319:H319)))*I$7</f>
        <v>0</v>
      </c>
      <c r="J319" s="114">
        <f>($G262+(SUM($G319:I319)))*J$7</f>
        <v>0</v>
      </c>
      <c r="K319" s="114">
        <f>($G262+(SUM($G319:J319)))*K$7</f>
        <v>0</v>
      </c>
      <c r="L319" s="114">
        <f>($G262+(SUM($G319:K319)))*L$7</f>
        <v>0</v>
      </c>
      <c r="M319" s="114">
        <f>IF(COUNT($H319:L319)&gt;=Input!$W$7,0,($G262+(SUM($G319:L319)))*M$7)</f>
        <v>0</v>
      </c>
      <c r="N319" s="114">
        <f>IF(COUNT($H319:M319)&gt;=Input!$W$7,0,($G262+(SUM($G319:M319)))*N$7)</f>
        <v>0</v>
      </c>
      <c r="O319" s="114">
        <f>IF(COUNT($H319:N319)&gt;=Input!$W$7,0,($G262+(SUM($G319:N319)))*O$7)</f>
        <v>0</v>
      </c>
      <c r="P319" s="114">
        <f>IF(COUNT($H319:O319)&gt;=Input!$W$7,0,($G262+(SUM($G319:O319)))*P$7)</f>
        <v>0</v>
      </c>
      <c r="Q319" s="114">
        <f>IF(COUNT($H319:P319)&gt;=Input!$W$7,0,($G262+(SUM($G319:P319)))*Q$7)</f>
        <v>0</v>
      </c>
      <c r="R319" s="104"/>
      <c r="S319" s="104"/>
      <c r="T319" s="104"/>
      <c r="U319" s="104"/>
      <c r="V319" s="104"/>
      <c r="W319" s="104"/>
      <c r="X319" s="104"/>
      <c r="Y319" s="104"/>
      <c r="Z319" s="104"/>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7"/>
      <c r="BK319" s="227"/>
    </row>
    <row r="320" spans="1:63" hidden="1" outlineLevel="1">
      <c r="A320" s="9"/>
      <c r="B320" s="44"/>
      <c r="C320" s="290" t="s">
        <v>27</v>
      </c>
      <c r="D320" s="9"/>
      <c r="E320" s="9"/>
      <c r="F320" s="142"/>
      <c r="G320" s="209"/>
      <c r="H320" s="114"/>
      <c r="I320" s="114"/>
      <c r="J320" s="114"/>
      <c r="K320" s="114"/>
      <c r="L320" s="114">
        <f>IF(COUNT($H319:L319)=Input!$W$7,SUM($G319:L319),0)</f>
        <v>0</v>
      </c>
      <c r="M320" s="114">
        <f>IF(COUNT($H319:M319)=Input!$W$7,SUM($G319:M319),0)</f>
        <v>0</v>
      </c>
      <c r="N320" s="114">
        <f>IF(COUNT($H319:N319)=Input!$W$7,SUM($G319:N319),0)</f>
        <v>0</v>
      </c>
      <c r="O320" s="114">
        <f>IF(COUNT($H319:O319)=Input!$W$7,SUM($G319:O319),0)</f>
        <v>0</v>
      </c>
      <c r="P320" s="114">
        <f>IF(COUNT($H319:P319)=Input!$W$7,SUM($G319:P319),0)</f>
        <v>0</v>
      </c>
      <c r="Q320" s="114">
        <f>IF(COUNT($H319:Q319)=Input!$W$7,SUM($G319:Q319),0)</f>
        <v>0</v>
      </c>
      <c r="R320" s="104"/>
      <c r="S320" s="104"/>
      <c r="T320" s="104"/>
      <c r="U320" s="104"/>
      <c r="V320" s="104"/>
      <c r="W320" s="104"/>
      <c r="X320" s="104"/>
      <c r="Y320" s="104"/>
      <c r="Z320" s="104"/>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7"/>
      <c r="BK320" s="227"/>
    </row>
    <row r="321" spans="1:63" hidden="1" outlineLevel="1">
      <c r="A321" s="9"/>
      <c r="B321" s="44"/>
      <c r="C321" s="327">
        <f>Asset27</f>
        <v>0</v>
      </c>
      <c r="D321" s="9"/>
      <c r="E321" s="9"/>
      <c r="F321" s="142"/>
      <c r="G321" s="209"/>
      <c r="H321" s="114">
        <f>($G263+(SUM($G321:G321)))*H$7</f>
        <v>0</v>
      </c>
      <c r="I321" s="114">
        <f>($G263+(SUM($G321:H321)))*I$7</f>
        <v>0</v>
      </c>
      <c r="J321" s="114">
        <f>($G263+(SUM($G321:I321)))*J$7</f>
        <v>0</v>
      </c>
      <c r="K321" s="114">
        <f>($G263+(SUM($G321:J321)))*K$7</f>
        <v>0</v>
      </c>
      <c r="L321" s="114">
        <f>($G263+(SUM($G321:K321)))*L$7</f>
        <v>0</v>
      </c>
      <c r="M321" s="114">
        <f>IF(COUNT($H321:L321)&gt;=Input!$W$7,0,($G263+(SUM($G321:L321)))*M$7)</f>
        <v>0</v>
      </c>
      <c r="N321" s="114">
        <f>IF(COUNT($H321:M321)&gt;=Input!$W$7,0,($G263+(SUM($G321:M321)))*N$7)</f>
        <v>0</v>
      </c>
      <c r="O321" s="114">
        <f>IF(COUNT($H321:N321)&gt;=Input!$W$7,0,($G263+(SUM($G321:N321)))*O$7)</f>
        <v>0</v>
      </c>
      <c r="P321" s="114">
        <f>IF(COUNT($H321:O321)&gt;=Input!$W$7,0,($G263+(SUM($G321:O321)))*P$7)</f>
        <v>0</v>
      </c>
      <c r="Q321" s="114">
        <f>IF(COUNT($H321:P321)&gt;=Input!$W$7,0,($G263+(SUM($G321:P321)))*Q$7)</f>
        <v>0</v>
      </c>
      <c r="R321" s="104"/>
      <c r="S321" s="104"/>
      <c r="T321" s="104"/>
      <c r="U321" s="104"/>
      <c r="V321" s="104"/>
      <c r="W321" s="104"/>
      <c r="X321" s="104"/>
      <c r="Y321" s="104"/>
      <c r="Z321" s="104"/>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7"/>
      <c r="BK321" s="227"/>
    </row>
    <row r="322" spans="1:63" hidden="1" outlineLevel="1">
      <c r="A322" s="9"/>
      <c r="B322" s="44"/>
      <c r="C322" s="290" t="s">
        <v>27</v>
      </c>
      <c r="D322" s="9"/>
      <c r="E322" s="9"/>
      <c r="F322" s="142"/>
      <c r="G322" s="209"/>
      <c r="H322" s="114"/>
      <c r="I322" s="114"/>
      <c r="J322" s="114"/>
      <c r="K322" s="114"/>
      <c r="L322" s="114">
        <f>IF(COUNT($H321:L321)=Input!$W$7,SUM($G321:L321),0)</f>
        <v>0</v>
      </c>
      <c r="M322" s="114">
        <f>IF(COUNT($H321:M321)=Input!$W$7,SUM($G321:M321),0)</f>
        <v>0</v>
      </c>
      <c r="N322" s="114">
        <f>IF(COUNT($H321:N321)=Input!$W$7,SUM($G321:N321),0)</f>
        <v>0</v>
      </c>
      <c r="O322" s="114">
        <f>IF(COUNT($H321:O321)=Input!$W$7,SUM($G321:O321),0)</f>
        <v>0</v>
      </c>
      <c r="P322" s="114">
        <f>IF(COUNT($H321:P321)=Input!$W$7,SUM($G321:P321),0)</f>
        <v>0</v>
      </c>
      <c r="Q322" s="114">
        <f>IF(COUNT($H321:Q321)=Input!$W$7,SUM($G321:Q321),0)</f>
        <v>0</v>
      </c>
      <c r="R322" s="104"/>
      <c r="S322" s="104"/>
      <c r="T322" s="104"/>
      <c r="U322" s="104"/>
      <c r="V322" s="104"/>
      <c r="W322" s="104"/>
      <c r="X322" s="104"/>
      <c r="Y322" s="104"/>
      <c r="Z322" s="104"/>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7"/>
      <c r="BK322" s="227"/>
    </row>
    <row r="323" spans="1:63" hidden="1" outlineLevel="1">
      <c r="A323" s="9"/>
      <c r="B323" s="44"/>
      <c r="C323" s="327">
        <f>Asset28</f>
        <v>0</v>
      </c>
      <c r="D323" s="9"/>
      <c r="E323" s="9"/>
      <c r="F323" s="142"/>
      <c r="G323" s="209"/>
      <c r="H323" s="114">
        <f>($G264+(SUM($G323:G323)))*H$7</f>
        <v>0</v>
      </c>
      <c r="I323" s="114">
        <f>($G264+(SUM($G323:H323)))*I$7</f>
        <v>0</v>
      </c>
      <c r="J323" s="114">
        <f>($G264+(SUM($G323:I323)))*J$7</f>
        <v>0</v>
      </c>
      <c r="K323" s="114">
        <f>($G264+(SUM($G323:J323)))*K$7</f>
        <v>0</v>
      </c>
      <c r="L323" s="114">
        <f>IF(COUNT($H323:K323)&gt;=Input!$W$7,0,($G264+(SUM($G323:K323)))*L$7)</f>
        <v>0</v>
      </c>
      <c r="M323" s="114">
        <f>IF(COUNT($H323:L323)&gt;=Input!$W$7,0,($G264+(SUM($G323:L323)))*M$7)</f>
        <v>0</v>
      </c>
      <c r="N323" s="114">
        <f>IF(COUNT($H323:M323)&gt;=Input!$W$7,0,($G264+(SUM($G323:M323)))*N$7)</f>
        <v>0</v>
      </c>
      <c r="O323" s="114">
        <f>IF(COUNT($H323:N323)&gt;=Input!$W$7,0,($G264+(SUM($G323:N323)))*O$7)</f>
        <v>0</v>
      </c>
      <c r="P323" s="114">
        <f>IF(COUNT($H323:O323)&gt;=Input!$W$7,0,($G264+(SUM($G323:O323)))*P$7)</f>
        <v>0</v>
      </c>
      <c r="Q323" s="114">
        <f>IF(COUNT($H323:P323)&gt;=Input!$W$7,0,($G264+(SUM($G323:P323)))*Q$7)</f>
        <v>0</v>
      </c>
      <c r="R323" s="104"/>
      <c r="S323" s="104"/>
      <c r="T323" s="104"/>
      <c r="U323" s="104"/>
      <c r="V323" s="104"/>
      <c r="W323" s="104"/>
      <c r="X323" s="104"/>
      <c r="Y323" s="104"/>
      <c r="Z323" s="104"/>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7"/>
      <c r="BK323" s="227"/>
    </row>
    <row r="324" spans="1:63" hidden="1" outlineLevel="1">
      <c r="A324" s="9"/>
      <c r="B324" s="44"/>
      <c r="C324" s="290" t="s">
        <v>27</v>
      </c>
      <c r="D324" s="9"/>
      <c r="E324" s="9"/>
      <c r="F324" s="142"/>
      <c r="G324" s="209"/>
      <c r="H324" s="114"/>
      <c r="I324" s="114"/>
      <c r="J324" s="114"/>
      <c r="K324" s="114"/>
      <c r="L324" s="114">
        <f>IF(COUNT($H323:L323)=Input!$W$7,SUM($G323:L323),0)</f>
        <v>0</v>
      </c>
      <c r="M324" s="114">
        <f>IF(COUNT($H323:M323)=Input!$W$7,SUM($G323:M323),0)</f>
        <v>0</v>
      </c>
      <c r="N324" s="114">
        <f>IF(COUNT($H323:N323)=Input!$W$7,SUM($G323:N323),0)</f>
        <v>0</v>
      </c>
      <c r="O324" s="114">
        <f>IF(COUNT($H323:O323)=Input!$W$7,SUM($G323:O323),0)</f>
        <v>0</v>
      </c>
      <c r="P324" s="114">
        <f>IF(COUNT($H323:P323)=Input!$W$7,SUM($G323:P323),0)</f>
        <v>0</v>
      </c>
      <c r="Q324" s="114">
        <f>IF(COUNT($H323:Q323)=Input!$W$7,SUM($G323:Q323),0)</f>
        <v>0</v>
      </c>
      <c r="R324" s="104"/>
      <c r="S324" s="104"/>
      <c r="T324" s="104"/>
      <c r="U324" s="104"/>
      <c r="V324" s="104"/>
      <c r="W324" s="104"/>
      <c r="X324" s="104"/>
      <c r="Y324" s="104"/>
      <c r="Z324" s="104"/>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7"/>
      <c r="BK324" s="227"/>
    </row>
    <row r="325" spans="1:63" hidden="1" outlineLevel="1">
      <c r="A325" s="9"/>
      <c r="B325" s="44"/>
      <c r="C325" s="327">
        <f>Asset29</f>
        <v>0</v>
      </c>
      <c r="D325" s="9"/>
      <c r="E325" s="9"/>
      <c r="F325" s="142"/>
      <c r="G325" s="209"/>
      <c r="H325" s="114">
        <f>($G265+(SUM($G325:G325)))*H$7</f>
        <v>0</v>
      </c>
      <c r="I325" s="114">
        <f>($G265+(SUM($G325:H325)))*I$7</f>
        <v>0</v>
      </c>
      <c r="J325" s="114">
        <f>($G265+(SUM($G325:I325)))*J$7</f>
        <v>0</v>
      </c>
      <c r="K325" s="114">
        <f>($G265+(SUM($G325:J325)))*K$7</f>
        <v>0</v>
      </c>
      <c r="L325" s="114">
        <f>($G265+(SUM($G325:K325)))*L$7</f>
        <v>0</v>
      </c>
      <c r="M325" s="114">
        <f>IF(COUNT($H325:L325)&gt;=Input!$W$7,0,($G265+(SUM($G325:L325)))*M$7)</f>
        <v>0</v>
      </c>
      <c r="N325" s="114">
        <f>IF(COUNT($H325:M325)&gt;=Input!$W$7,0,($G265+(SUM($G325:M325)))*N$7)</f>
        <v>0</v>
      </c>
      <c r="O325" s="114">
        <f>IF(COUNT($H325:N325)&gt;=Input!$W$7,0,($G265+(SUM($G325:N325)))*O$7)</f>
        <v>0</v>
      </c>
      <c r="P325" s="114">
        <f>IF(COUNT($H325:O325)&gt;=Input!$W$7,0,($G265+(SUM($G325:O325)))*P$7)</f>
        <v>0</v>
      </c>
      <c r="Q325" s="114">
        <f>IF(COUNT($H325:P325)&gt;=Input!$W$7,0,($G265+(SUM($G325:P325)))*Q$7)</f>
        <v>0</v>
      </c>
      <c r="R325" s="104"/>
      <c r="S325" s="104"/>
      <c r="T325" s="104"/>
      <c r="U325" s="104"/>
      <c r="V325" s="104"/>
      <c r="W325" s="104"/>
      <c r="X325" s="104"/>
      <c r="Y325" s="104"/>
      <c r="Z325" s="104"/>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7"/>
      <c r="BK325" s="227"/>
    </row>
    <row r="326" spans="1:63" hidden="1" outlineLevel="1">
      <c r="A326" s="9"/>
      <c r="B326" s="44"/>
      <c r="C326" s="290" t="s">
        <v>27</v>
      </c>
      <c r="D326" s="9"/>
      <c r="E326" s="9"/>
      <c r="F326" s="142"/>
      <c r="G326" s="209"/>
      <c r="H326" s="114"/>
      <c r="I326" s="114"/>
      <c r="J326" s="114"/>
      <c r="K326" s="114"/>
      <c r="L326" s="114">
        <f>IF(COUNT($H325:L325)=Input!$W$7,SUM($G325:L325),0)</f>
        <v>0</v>
      </c>
      <c r="M326" s="114">
        <f>IF(COUNT($H325:M325)=Input!$W$7,SUM($G325:M325),0)</f>
        <v>0</v>
      </c>
      <c r="N326" s="114">
        <f>IF(COUNT($H325:N325)=Input!$W$7,SUM($G325:N325),0)</f>
        <v>0</v>
      </c>
      <c r="O326" s="114">
        <f>IF(COUNT($H325:O325)=Input!$W$7,SUM($G325:O325),0)</f>
        <v>0</v>
      </c>
      <c r="P326" s="114">
        <f>IF(COUNT($H325:P325)=Input!$W$7,SUM($G325:P325),0)</f>
        <v>0</v>
      </c>
      <c r="Q326" s="114">
        <f>IF(COUNT($H325:Q325)=Input!$W$7,SUM($G325:Q325),0)</f>
        <v>0</v>
      </c>
      <c r="R326" s="104"/>
      <c r="S326" s="104"/>
      <c r="T326" s="104"/>
      <c r="U326" s="104"/>
      <c r="V326" s="104"/>
      <c r="W326" s="104"/>
      <c r="X326" s="104"/>
      <c r="Y326" s="104"/>
      <c r="Z326" s="104"/>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7"/>
      <c r="BK326" s="227"/>
    </row>
    <row r="327" spans="1:63" hidden="1" outlineLevel="1">
      <c r="A327" s="9"/>
      <c r="B327" s="44"/>
      <c r="C327" s="327">
        <f>Asset30</f>
        <v>0</v>
      </c>
      <c r="D327" s="9"/>
      <c r="E327" s="9"/>
      <c r="F327" s="142"/>
      <c r="G327" s="209"/>
      <c r="H327" s="114">
        <f>($G266+(SUM($G327:G327)))*H$7</f>
        <v>0</v>
      </c>
      <c r="I327" s="114">
        <f>($G266+(SUM($G327:H327)))*I$7</f>
        <v>0</v>
      </c>
      <c r="J327" s="114">
        <f>($G266+(SUM($G327:I327)))*J$7</f>
        <v>0</v>
      </c>
      <c r="K327" s="114">
        <f>($G266+(SUM($G327:J327)))*K$7</f>
        <v>0</v>
      </c>
      <c r="L327" s="114">
        <f>($G266+(SUM($G327:K327)))*L$7</f>
        <v>0</v>
      </c>
      <c r="M327" s="114">
        <f>IF(COUNT($H327:L327)&gt;=Input!$W$7,0,($G266+(SUM($G327:L327)))*M$7)</f>
        <v>0</v>
      </c>
      <c r="N327" s="114">
        <f>IF(COUNT($H327:M327)&gt;=Input!$W$7,0,($G266+(SUM($G327:M327)))*N$7)</f>
        <v>0</v>
      </c>
      <c r="O327" s="114">
        <f>IF(COUNT($H327:N327)&gt;=Input!$W$7,0,($G266+(SUM($G327:N327)))*O$7)</f>
        <v>0</v>
      </c>
      <c r="P327" s="114">
        <f>IF(COUNT($H327:O327)&gt;=Input!$W$7,0,($G266+(SUM($G327:O327)))*P$7)</f>
        <v>0</v>
      </c>
      <c r="Q327" s="114">
        <f>IF(COUNT($H327:P327)&gt;=Input!$W$7,0,($G266+(SUM($G327:P327)))*Q$7)</f>
        <v>0</v>
      </c>
      <c r="R327" s="104"/>
      <c r="S327" s="104"/>
      <c r="T327" s="104"/>
      <c r="U327" s="104"/>
      <c r="V327" s="104"/>
      <c r="W327" s="104"/>
      <c r="X327" s="104"/>
      <c r="Y327" s="104"/>
      <c r="Z327" s="104"/>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7"/>
      <c r="BK327" s="227"/>
    </row>
    <row r="328" spans="1:63" hidden="1" outlineLevel="1">
      <c r="A328" s="9"/>
      <c r="B328" s="44"/>
      <c r="C328" s="290" t="s">
        <v>27</v>
      </c>
      <c r="D328" s="9"/>
      <c r="E328" s="9"/>
      <c r="F328" s="142"/>
      <c r="G328" s="209"/>
      <c r="H328" s="114"/>
      <c r="I328" s="114"/>
      <c r="J328" s="114"/>
      <c r="K328" s="114"/>
      <c r="L328" s="114">
        <f>IF(COUNT($H327:L327)=Input!$W$7,SUM($G327:L327),0)</f>
        <v>0</v>
      </c>
      <c r="M328" s="114">
        <f>IF(COUNT($H327:M327)=Input!$W$7,SUM($G327:M327),0)</f>
        <v>0</v>
      </c>
      <c r="N328" s="114">
        <f>IF(COUNT($H327:N327)=Input!$W$7,SUM($G327:N327),0)</f>
        <v>0</v>
      </c>
      <c r="O328" s="114">
        <f>IF(COUNT($H327:O327)=Input!$W$7,SUM($G327:O327),0)</f>
        <v>0</v>
      </c>
      <c r="P328" s="114">
        <f>IF(COUNT($H327:P327)=Input!$W$7,SUM($G327:P327),0)</f>
        <v>0</v>
      </c>
      <c r="Q328" s="114">
        <f>IF(COUNT($H327:Q327)=Input!$W$7,SUM($G327:Q327),0)</f>
        <v>0</v>
      </c>
      <c r="R328" s="104"/>
      <c r="S328" s="104"/>
      <c r="T328" s="104"/>
      <c r="U328" s="104"/>
      <c r="V328" s="104"/>
      <c r="W328" s="104"/>
      <c r="X328" s="104"/>
      <c r="Y328" s="104"/>
      <c r="Z328" s="104"/>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7"/>
      <c r="BK328" s="227"/>
    </row>
    <row r="329" spans="1:63" collapsed="1">
      <c r="A329" s="9"/>
      <c r="B329" s="188" t="s">
        <v>40</v>
      </c>
      <c r="D329" s="9"/>
      <c r="E329" s="9"/>
      <c r="F329" s="142"/>
      <c r="G329" s="209"/>
      <c r="H329" s="118"/>
      <c r="I329" s="118"/>
      <c r="J329" s="118"/>
      <c r="K329" s="118"/>
      <c r="L329" s="118">
        <f>IF(COUNT($H268:L268)=Input!$W$7, SUM($G268:L268), 0)</f>
        <v>14.900874486998678</v>
      </c>
      <c r="M329" s="118">
        <f>IF(COUNT($H268:M268)=Input!$W$7, SUM($G268:M268), 0)</f>
        <v>0</v>
      </c>
      <c r="N329" s="118">
        <f>IF(COUNT($H268:N268)=Input!$W$7, SUM($G268:N268), 0)</f>
        <v>0</v>
      </c>
      <c r="O329" s="118">
        <f>IF(COUNT($H268:O268)=Input!$W$7, SUM($G268:O268), 0)</f>
        <v>0</v>
      </c>
      <c r="P329" s="118">
        <f>IF(COUNT($H268:P268)=Input!$W$7, SUM($G268:P268), 0)</f>
        <v>0</v>
      </c>
      <c r="Q329" s="118">
        <f>IF(COUNT($H268:Q268)=Input!$W$7, SUM($G268:Q268), 0)</f>
        <v>0</v>
      </c>
      <c r="R329" s="104"/>
      <c r="S329" s="104"/>
      <c r="T329" s="104"/>
      <c r="U329" s="104"/>
      <c r="V329" s="104"/>
      <c r="W329" s="104"/>
      <c r="X329" s="104"/>
      <c r="Y329" s="104"/>
      <c r="Z329" s="104"/>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7"/>
      <c r="BK329" s="227"/>
    </row>
    <row r="330" spans="1:63">
      <c r="A330" s="9"/>
      <c r="B330" s="154"/>
      <c r="C330" s="26"/>
      <c r="D330" s="9"/>
      <c r="E330" s="9"/>
      <c r="F330" s="142"/>
      <c r="G330" s="118"/>
      <c r="H330" s="118"/>
      <c r="I330" s="118"/>
      <c r="J330" s="118"/>
      <c r="K330" s="118"/>
      <c r="L330" s="118"/>
      <c r="M330" s="9"/>
      <c r="N330" s="114"/>
      <c r="O330" s="153"/>
      <c r="P330" s="153"/>
      <c r="Q330" s="153"/>
      <c r="R330" s="104"/>
      <c r="S330" s="104"/>
      <c r="T330" s="104"/>
      <c r="U330" s="104"/>
      <c r="V330" s="104"/>
      <c r="W330" s="104"/>
      <c r="X330" s="104"/>
      <c r="Y330" s="104"/>
      <c r="Z330" s="104"/>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7"/>
      <c r="BK330" s="227"/>
    </row>
    <row r="331" spans="1:63">
      <c r="A331" s="85"/>
      <c r="B331" s="85" t="s">
        <v>77</v>
      </c>
      <c r="C331" s="112"/>
      <c r="D331" s="112"/>
      <c r="E331" s="112"/>
      <c r="F331" s="112"/>
      <c r="G331" s="112"/>
      <c r="H331" s="112"/>
      <c r="I331" s="112"/>
      <c r="J331" s="112"/>
      <c r="K331" s="112"/>
      <c r="L331" s="112"/>
      <c r="M331" s="112"/>
      <c r="N331" s="112"/>
      <c r="O331" s="112"/>
      <c r="P331" s="112"/>
      <c r="Q331" s="112"/>
      <c r="R331" s="112"/>
      <c r="S331" s="104"/>
      <c r="T331" s="110"/>
      <c r="U331" s="110"/>
      <c r="V331" s="110"/>
      <c r="W331" s="110"/>
      <c r="X331" s="110"/>
      <c r="Y331" s="110"/>
      <c r="Z331" s="110"/>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7"/>
      <c r="BK331" s="227"/>
    </row>
    <row r="332" spans="1:63">
      <c r="A332" s="17"/>
      <c r="B332" s="17"/>
      <c r="C332" s="123"/>
      <c r="D332" s="123"/>
      <c r="E332" s="123"/>
      <c r="F332" s="123"/>
      <c r="G332" s="123"/>
      <c r="H332" s="114"/>
      <c r="I332" s="114"/>
      <c r="J332" s="114"/>
      <c r="K332" s="114"/>
      <c r="L332" s="114"/>
      <c r="M332" s="114"/>
      <c r="N332" s="114"/>
      <c r="O332" s="110"/>
      <c r="P332" s="110"/>
      <c r="Q332" s="110"/>
      <c r="R332" s="110"/>
      <c r="S332" s="104"/>
      <c r="T332" s="110"/>
      <c r="U332" s="110"/>
      <c r="V332" s="110"/>
      <c r="W332" s="110"/>
      <c r="X332" s="110"/>
      <c r="Y332" s="110"/>
      <c r="Z332" s="110"/>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7"/>
      <c r="BK332" s="227"/>
    </row>
    <row r="333" spans="1:63">
      <c r="A333" s="9"/>
      <c r="B333" s="44" t="s">
        <v>85</v>
      </c>
      <c r="C333" s="9"/>
      <c r="D333" s="9"/>
      <c r="E333" s="9"/>
      <c r="F333" s="9"/>
      <c r="G333" s="317">
        <f>SUM(G334:G363)</f>
        <v>850.48215020415546</v>
      </c>
      <c r="H333" s="141">
        <f>SUM(H334:H363)</f>
        <v>951.44464304669577</v>
      </c>
      <c r="I333" s="114"/>
      <c r="J333" s="114"/>
      <c r="K333" s="114"/>
      <c r="L333" s="114"/>
      <c r="M333" s="114"/>
      <c r="N333" s="114"/>
      <c r="O333" s="110"/>
      <c r="P333" s="110"/>
      <c r="Q333" s="110"/>
      <c r="R333" s="110"/>
      <c r="S333" s="104"/>
      <c r="T333" s="110"/>
      <c r="U333" s="110"/>
      <c r="V333" s="110"/>
      <c r="W333" s="110"/>
      <c r="X333" s="110"/>
      <c r="Y333" s="110"/>
      <c r="Z333" s="110"/>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7"/>
      <c r="BK333" s="227"/>
    </row>
    <row r="334" spans="1:63" ht="12.75" hidden="1" customHeight="1" outlineLevel="1">
      <c r="A334" s="9"/>
      <c r="B334" s="9"/>
      <c r="C334" s="278" t="str">
        <f>Asset1</f>
        <v>Transmission Lines and Cables</v>
      </c>
      <c r="D334" s="9"/>
      <c r="E334" s="9"/>
      <c r="F334" s="9"/>
      <c r="G334" s="207">
        <f>Input!J7</f>
        <v>301.73003727544352</v>
      </c>
      <c r="H334" s="114">
        <f t="shared" ref="H334:H352" si="5">G334+G366+G398+G430+G462+G494</f>
        <v>293.69509346172714</v>
      </c>
      <c r="I334" s="114"/>
      <c r="J334" s="114"/>
      <c r="K334" s="114"/>
      <c r="L334" s="114"/>
      <c r="M334" s="114"/>
      <c r="N334" s="114"/>
      <c r="O334" s="110"/>
      <c r="P334" s="110"/>
      <c r="Q334" s="110"/>
      <c r="R334" s="110"/>
      <c r="S334" s="104"/>
      <c r="T334" s="110"/>
      <c r="U334" s="110"/>
      <c r="V334" s="110"/>
      <c r="W334" s="110"/>
      <c r="X334" s="110"/>
      <c r="Y334" s="110"/>
      <c r="Z334" s="110"/>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7"/>
      <c r="BK334" s="227"/>
    </row>
    <row r="335" spans="1:63" ht="12.75" hidden="1" customHeight="1" outlineLevel="1">
      <c r="A335" s="9"/>
      <c r="B335" s="44"/>
      <c r="C335" s="278" t="str">
        <f>Asset2</f>
        <v>Transmission Substations</v>
      </c>
      <c r="D335" s="9"/>
      <c r="E335" s="9"/>
      <c r="F335" s="142"/>
      <c r="G335" s="207">
        <f>Input!J8</f>
        <v>360.43130612945083</v>
      </c>
      <c r="H335" s="114">
        <f t="shared" si="5"/>
        <v>391.58650968027865</v>
      </c>
      <c r="I335" s="114"/>
      <c r="J335" s="114"/>
      <c r="K335" s="114"/>
      <c r="L335" s="114"/>
      <c r="M335" s="114"/>
      <c r="N335" s="114"/>
      <c r="O335" s="110"/>
      <c r="P335" s="110"/>
      <c r="Q335" s="110"/>
      <c r="R335" s="110"/>
      <c r="S335" s="104"/>
      <c r="T335" s="110"/>
      <c r="U335" s="110"/>
      <c r="V335" s="110"/>
      <c r="W335" s="110"/>
      <c r="X335" s="110"/>
      <c r="Y335" s="110"/>
      <c r="Z335" s="110"/>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7"/>
      <c r="BK335" s="227"/>
    </row>
    <row r="336" spans="1:63" ht="12.75" hidden="1" customHeight="1" outlineLevel="1">
      <c r="A336" s="9"/>
      <c r="B336" s="44"/>
      <c r="C336" s="278" t="str">
        <f>Asset3</f>
        <v>Protection and Control</v>
      </c>
      <c r="D336" s="9"/>
      <c r="E336" s="9"/>
      <c r="F336" s="142"/>
      <c r="G336" s="207">
        <f>Input!J9</f>
        <v>38.883000464697361</v>
      </c>
      <c r="H336" s="114">
        <f t="shared" si="5"/>
        <v>49.846266797470605</v>
      </c>
      <c r="I336" s="114"/>
      <c r="J336" s="114"/>
      <c r="K336" s="114"/>
      <c r="L336" s="114"/>
      <c r="M336" s="114"/>
      <c r="N336" s="114"/>
      <c r="O336" s="110"/>
      <c r="P336" s="110"/>
      <c r="Q336" s="110"/>
      <c r="R336" s="110"/>
      <c r="S336" s="104"/>
      <c r="T336" s="110"/>
      <c r="U336" s="110"/>
      <c r="V336" s="110"/>
      <c r="W336" s="110"/>
      <c r="X336" s="110"/>
      <c r="Y336" s="110"/>
      <c r="Z336" s="110"/>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7"/>
      <c r="BK336" s="227"/>
    </row>
    <row r="337" spans="1:63" ht="12.75" hidden="1" customHeight="1" outlineLevel="1">
      <c r="A337" s="9"/>
      <c r="B337" s="44"/>
      <c r="C337" s="278" t="str">
        <f>Asset4</f>
        <v>Refurbishment</v>
      </c>
      <c r="D337" s="9"/>
      <c r="E337" s="9"/>
      <c r="F337" s="142"/>
      <c r="G337" s="207">
        <f>Input!J10</f>
        <v>44.713904308731671</v>
      </c>
      <c r="H337" s="114">
        <f t="shared" si="5"/>
        <v>22.665124185608324</v>
      </c>
      <c r="I337" s="114"/>
      <c r="J337" s="114"/>
      <c r="K337" s="114"/>
      <c r="L337" s="114"/>
      <c r="M337" s="114"/>
      <c r="N337" s="114"/>
      <c r="O337" s="110"/>
      <c r="P337" s="110"/>
      <c r="Q337" s="110"/>
      <c r="R337" s="110"/>
      <c r="S337" s="104"/>
      <c r="T337" s="110"/>
      <c r="U337" s="110"/>
      <c r="V337" s="110"/>
      <c r="W337" s="110"/>
      <c r="X337" s="110"/>
      <c r="Y337" s="110"/>
      <c r="Z337" s="110"/>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7"/>
      <c r="BK337" s="227"/>
    </row>
    <row r="338" spans="1:63" ht="12.75" hidden="1" customHeight="1" outlineLevel="1">
      <c r="A338" s="9"/>
      <c r="B338" s="44"/>
      <c r="C338" s="278" t="str">
        <f>Asset5</f>
        <v>Other</v>
      </c>
      <c r="D338" s="9"/>
      <c r="E338" s="9"/>
      <c r="F338" s="142"/>
      <c r="G338" s="207">
        <f>Input!J11</f>
        <v>12.072309662925591</v>
      </c>
      <c r="H338" s="114">
        <f t="shared" si="5"/>
        <v>9.9493177652391811</v>
      </c>
      <c r="I338" s="114"/>
      <c r="J338" s="114"/>
      <c r="K338" s="114"/>
      <c r="L338" s="114"/>
      <c r="M338" s="114"/>
      <c r="N338" s="114"/>
      <c r="O338" s="110"/>
      <c r="P338" s="110"/>
      <c r="Q338" s="110"/>
      <c r="R338" s="110"/>
      <c r="S338" s="104"/>
      <c r="T338" s="110"/>
      <c r="U338" s="110"/>
      <c r="V338" s="110"/>
      <c r="W338" s="110"/>
      <c r="X338" s="110"/>
      <c r="Y338" s="110"/>
      <c r="Z338" s="110"/>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7"/>
      <c r="BK338" s="227"/>
    </row>
    <row r="339" spans="1:63" ht="12.75" hidden="1" customHeight="1" outlineLevel="1">
      <c r="A339" s="9"/>
      <c r="B339" s="44"/>
      <c r="C339" s="278" t="str">
        <f>Asset6</f>
        <v>Other - IT</v>
      </c>
      <c r="D339" s="9"/>
      <c r="E339" s="9"/>
      <c r="F339" s="142"/>
      <c r="G339" s="207">
        <f>Input!J12</f>
        <v>0.58752110984938422</v>
      </c>
      <c r="H339" s="114">
        <f t="shared" si="5"/>
        <v>23.121263449639123</v>
      </c>
      <c r="I339" s="114"/>
      <c r="J339" s="114"/>
      <c r="K339" s="114"/>
      <c r="L339" s="114"/>
      <c r="M339" s="114"/>
      <c r="N339" s="114"/>
      <c r="O339" s="110"/>
      <c r="P339" s="110"/>
      <c r="Q339" s="110"/>
      <c r="R339" s="110"/>
      <c r="S339" s="104"/>
      <c r="T339" s="110"/>
      <c r="U339" s="110"/>
      <c r="V339" s="110"/>
      <c r="W339" s="110"/>
      <c r="X339" s="110"/>
      <c r="Y339" s="110"/>
      <c r="Z339" s="110"/>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7"/>
      <c r="BK339" s="227"/>
    </row>
    <row r="340" spans="1:63" ht="12.75" hidden="1" customHeight="1" outlineLevel="1">
      <c r="A340" s="9"/>
      <c r="B340" s="44"/>
      <c r="C340" s="278" t="str">
        <f>Asset7</f>
        <v>Other - General</v>
      </c>
      <c r="D340" s="9"/>
      <c r="E340" s="9"/>
      <c r="F340" s="142"/>
      <c r="G340" s="207">
        <f>Input!J13</f>
        <v>2.5195490511140073</v>
      </c>
      <c r="H340" s="114">
        <f t="shared" si="5"/>
        <v>-3.9892322403421208</v>
      </c>
      <c r="I340" s="114"/>
      <c r="J340" s="114"/>
      <c r="K340" s="114"/>
      <c r="L340" s="114"/>
      <c r="M340" s="114"/>
      <c r="N340" s="114"/>
      <c r="O340" s="110"/>
      <c r="P340" s="110"/>
      <c r="Q340" s="110"/>
      <c r="R340" s="110"/>
      <c r="S340" s="104"/>
      <c r="T340" s="110"/>
      <c r="U340" s="110"/>
      <c r="V340" s="110"/>
      <c r="W340" s="110"/>
      <c r="X340" s="110"/>
      <c r="Y340" s="110"/>
      <c r="Z340" s="110"/>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7"/>
      <c r="BK340" s="227"/>
    </row>
    <row r="341" spans="1:63" ht="12.75" hidden="1" customHeight="1" outlineLevel="1">
      <c r="A341" s="9"/>
      <c r="B341" s="44"/>
      <c r="C341" s="278" t="str">
        <f>Asset8</f>
        <v>Other - Buildings</v>
      </c>
      <c r="D341" s="9"/>
      <c r="E341" s="9"/>
      <c r="F341" s="142"/>
      <c r="G341" s="207">
        <f>Input!J14</f>
        <v>6.5807877703110798</v>
      </c>
      <c r="H341" s="114">
        <f t="shared" si="5"/>
        <v>21.253631705639343</v>
      </c>
      <c r="I341" s="114"/>
      <c r="J341" s="114"/>
      <c r="K341" s="114"/>
      <c r="L341" s="114"/>
      <c r="M341" s="114"/>
      <c r="N341" s="114"/>
      <c r="O341" s="110"/>
      <c r="P341" s="110"/>
      <c r="Q341" s="110"/>
      <c r="R341" s="110"/>
      <c r="S341" s="104"/>
      <c r="T341" s="110"/>
      <c r="U341" s="110"/>
      <c r="V341" s="110"/>
      <c r="W341" s="110"/>
      <c r="X341" s="110"/>
      <c r="Y341" s="110"/>
      <c r="Z341" s="110"/>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7"/>
      <c r="BK341" s="227"/>
    </row>
    <row r="342" spans="1:63" ht="12.75" hidden="1" customHeight="1" outlineLevel="1">
      <c r="A342" s="9"/>
      <c r="B342" s="44"/>
      <c r="C342" s="278" t="str">
        <f>Asset9</f>
        <v>Land and Easements</v>
      </c>
      <c r="D342" s="9"/>
      <c r="E342" s="9"/>
      <c r="F342" s="142"/>
      <c r="G342" s="207">
        <f>Input!J15</f>
        <v>82.96373443163202</v>
      </c>
      <c r="H342" s="114">
        <f t="shared" si="5"/>
        <v>88.002304241435738</v>
      </c>
      <c r="I342" s="114"/>
      <c r="J342" s="114"/>
      <c r="K342" s="114"/>
      <c r="L342" s="114"/>
      <c r="M342" s="114"/>
      <c r="N342" s="114"/>
      <c r="O342" s="110"/>
      <c r="P342" s="110"/>
      <c r="Q342" s="110"/>
      <c r="R342" s="110"/>
      <c r="S342" s="104"/>
      <c r="T342" s="110"/>
      <c r="U342" s="110"/>
      <c r="V342" s="110"/>
      <c r="W342" s="110"/>
      <c r="X342" s="110"/>
      <c r="Y342" s="110"/>
      <c r="Z342" s="110"/>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7"/>
      <c r="BK342" s="227"/>
    </row>
    <row r="343" spans="1:63" ht="12.75" hidden="1" customHeight="1" outlineLevel="1">
      <c r="A343" s="9"/>
      <c r="B343" s="44"/>
      <c r="C343" s="278" t="str">
        <f>Asset10</f>
        <v>Transmission line assets - long life (60)</v>
      </c>
      <c r="D343" s="9"/>
      <c r="E343" s="9"/>
      <c r="F343" s="142"/>
      <c r="G343" s="207">
        <f>Input!J16</f>
        <v>0</v>
      </c>
      <c r="H343" s="114">
        <f t="shared" si="5"/>
        <v>27.66680798284586</v>
      </c>
      <c r="I343" s="114"/>
      <c r="J343" s="114"/>
      <c r="K343" s="114"/>
      <c r="L343" s="114"/>
      <c r="M343" s="114"/>
      <c r="N343" s="114"/>
      <c r="O343" s="110"/>
      <c r="P343" s="110"/>
      <c r="Q343" s="110"/>
      <c r="R343" s="110"/>
      <c r="S343" s="104"/>
      <c r="T343" s="110"/>
      <c r="U343" s="110"/>
      <c r="V343" s="110"/>
      <c r="W343" s="110"/>
      <c r="X343" s="110"/>
      <c r="Y343" s="110"/>
      <c r="Z343" s="110"/>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7"/>
      <c r="BK343" s="227"/>
    </row>
    <row r="344" spans="1:63" ht="12.75" hidden="1" customHeight="1" outlineLevel="1">
      <c r="A344" s="9"/>
      <c r="B344" s="44"/>
      <c r="C344" s="278" t="str">
        <f>Asset11</f>
        <v>Transmission line assets - medium life (45)</v>
      </c>
      <c r="D344" s="9"/>
      <c r="E344" s="9"/>
      <c r="F344" s="142"/>
      <c r="G344" s="207">
        <f>Input!J17</f>
        <v>0</v>
      </c>
      <c r="H344" s="114">
        <f t="shared" si="5"/>
        <v>0.7908975054500671</v>
      </c>
      <c r="I344" s="114"/>
      <c r="J344" s="114"/>
      <c r="K344" s="114"/>
      <c r="L344" s="114"/>
      <c r="M344" s="114"/>
      <c r="N344" s="114"/>
      <c r="O344" s="110"/>
      <c r="P344" s="110"/>
      <c r="Q344" s="110"/>
      <c r="R344" s="110"/>
      <c r="S344" s="104"/>
      <c r="T344" s="110"/>
      <c r="U344" s="110"/>
      <c r="V344" s="110"/>
      <c r="W344" s="110"/>
      <c r="X344" s="110"/>
      <c r="Y344" s="110"/>
      <c r="Z344" s="110"/>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7"/>
      <c r="BK344" s="227"/>
    </row>
    <row r="345" spans="1:63" ht="12.75" hidden="1" customHeight="1" outlineLevel="1">
      <c r="A345" s="9"/>
      <c r="B345" s="44"/>
      <c r="C345" s="278" t="str">
        <f>Asset12</f>
        <v>Transmission line assets - short life (10)</v>
      </c>
      <c r="D345" s="9"/>
      <c r="E345" s="9"/>
      <c r="F345" s="142"/>
      <c r="G345" s="207">
        <f>Input!J18</f>
        <v>0</v>
      </c>
      <c r="H345" s="114">
        <f t="shared" si="5"/>
        <v>2.0824479126873228</v>
      </c>
      <c r="I345" s="114"/>
      <c r="J345" s="114"/>
      <c r="K345" s="114"/>
      <c r="L345" s="114"/>
      <c r="M345" s="114"/>
      <c r="N345" s="114"/>
      <c r="O345" s="110"/>
      <c r="P345" s="110"/>
      <c r="Q345" s="110"/>
      <c r="R345" s="110"/>
      <c r="S345" s="104"/>
      <c r="T345" s="110"/>
      <c r="U345" s="110"/>
      <c r="V345" s="110"/>
      <c r="W345" s="110"/>
      <c r="X345" s="110"/>
      <c r="Y345" s="110"/>
      <c r="Z345" s="110"/>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7"/>
      <c r="BK345" s="227"/>
    </row>
    <row r="346" spans="1:63" ht="12.75" hidden="1" customHeight="1" outlineLevel="1">
      <c r="A346" s="9"/>
      <c r="B346" s="44"/>
      <c r="C346" s="278" t="str">
        <f>Asset13</f>
        <v>Substation assets - long life (60)</v>
      </c>
      <c r="D346" s="9"/>
      <c r="E346" s="9"/>
      <c r="F346" s="142"/>
      <c r="G346" s="207">
        <f>Input!J19</f>
        <v>0</v>
      </c>
      <c r="H346" s="114">
        <f t="shared" si="5"/>
        <v>3.63820723960978</v>
      </c>
      <c r="I346" s="114"/>
      <c r="J346" s="114"/>
      <c r="K346" s="114"/>
      <c r="L346" s="114"/>
      <c r="M346" s="114"/>
      <c r="N346" s="114"/>
      <c r="O346" s="110"/>
      <c r="P346" s="110"/>
      <c r="Q346" s="110"/>
      <c r="R346" s="110"/>
      <c r="S346" s="104"/>
      <c r="T346" s="110"/>
      <c r="U346" s="110"/>
      <c r="V346" s="110"/>
      <c r="W346" s="110"/>
      <c r="X346" s="110"/>
      <c r="Y346" s="110"/>
      <c r="Z346" s="110"/>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7"/>
      <c r="BK346" s="227"/>
    </row>
    <row r="347" spans="1:63" ht="12.75" hidden="1" customHeight="1" outlineLevel="1">
      <c r="A347" s="9"/>
      <c r="B347" s="44"/>
      <c r="C347" s="278" t="str">
        <f>Asset14</f>
        <v>Substation assets - medium life (45)</v>
      </c>
      <c r="D347" s="9"/>
      <c r="E347" s="9"/>
      <c r="F347" s="142"/>
      <c r="G347" s="207">
        <f>Input!J20</f>
        <v>0</v>
      </c>
      <c r="H347" s="114">
        <f t="shared" si="5"/>
        <v>9.1604921113680948</v>
      </c>
      <c r="I347" s="114"/>
      <c r="J347" s="114"/>
      <c r="K347" s="114"/>
      <c r="L347" s="114"/>
      <c r="M347" s="114"/>
      <c r="N347" s="114"/>
      <c r="O347" s="110"/>
      <c r="P347" s="110"/>
      <c r="Q347" s="110"/>
      <c r="R347" s="110"/>
      <c r="S347" s="104"/>
      <c r="T347" s="110"/>
      <c r="U347" s="110"/>
      <c r="V347" s="110"/>
      <c r="W347" s="110"/>
      <c r="X347" s="110"/>
      <c r="Y347" s="110"/>
      <c r="Z347" s="110"/>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7"/>
      <c r="BK347" s="227"/>
    </row>
    <row r="348" spans="1:63" ht="12.75" hidden="1" customHeight="1" outlineLevel="1">
      <c r="A348" s="9"/>
      <c r="B348" s="44"/>
      <c r="C348" s="278" t="str">
        <f>Asset15</f>
        <v>Substation assets - short life (15)</v>
      </c>
      <c r="D348" s="9"/>
      <c r="E348" s="9"/>
      <c r="F348" s="142"/>
      <c r="G348" s="207">
        <f>Input!J21</f>
        <v>0</v>
      </c>
      <c r="H348" s="114">
        <f t="shared" si="5"/>
        <v>0.36737337230990852</v>
      </c>
      <c r="I348" s="114"/>
      <c r="J348" s="114"/>
      <c r="K348" s="114"/>
      <c r="L348" s="114"/>
      <c r="M348" s="114"/>
      <c r="N348" s="114"/>
      <c r="O348" s="110"/>
      <c r="P348" s="110"/>
      <c r="Q348" s="110"/>
      <c r="R348" s="110"/>
      <c r="S348" s="104"/>
      <c r="T348" s="110"/>
      <c r="U348" s="110"/>
      <c r="V348" s="110"/>
      <c r="W348" s="110"/>
      <c r="X348" s="110"/>
      <c r="Y348" s="110"/>
      <c r="Z348" s="110"/>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7"/>
      <c r="BK348" s="227"/>
    </row>
    <row r="349" spans="1:63" ht="12.75" hidden="1" customHeight="1" outlineLevel="1">
      <c r="A349" s="9"/>
      <c r="B349" s="44"/>
      <c r="C349" s="278" t="str">
        <f>Asset16</f>
        <v>Protection and control - short life (15)</v>
      </c>
      <c r="D349" s="9"/>
      <c r="E349" s="9"/>
      <c r="F349" s="142"/>
      <c r="G349" s="207">
        <f>Input!J22</f>
        <v>0</v>
      </c>
      <c r="H349" s="114">
        <f t="shared" si="5"/>
        <v>4.0917857999755638</v>
      </c>
      <c r="I349" s="114"/>
      <c r="J349" s="114"/>
      <c r="K349" s="114"/>
      <c r="L349" s="114"/>
      <c r="M349" s="114"/>
      <c r="N349" s="114"/>
      <c r="O349" s="110"/>
      <c r="P349" s="110"/>
      <c r="Q349" s="110"/>
      <c r="R349" s="110"/>
      <c r="S349" s="104"/>
      <c r="T349" s="110"/>
      <c r="U349" s="110"/>
      <c r="V349" s="110"/>
      <c r="W349" s="110"/>
      <c r="X349" s="110"/>
      <c r="Y349" s="110"/>
      <c r="Z349" s="110"/>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7"/>
      <c r="BK349" s="227"/>
    </row>
    <row r="350" spans="1:63" ht="12.75" hidden="1" customHeight="1" outlineLevel="1">
      <c r="A350" s="9"/>
      <c r="B350" s="44"/>
      <c r="C350" s="278" t="str">
        <f>Asset17</f>
        <v>Protection and control - short life (4)</v>
      </c>
      <c r="D350" s="9"/>
      <c r="E350" s="9"/>
      <c r="F350" s="142"/>
      <c r="G350" s="207">
        <f>Input!J23</f>
        <v>0</v>
      </c>
      <c r="H350" s="114">
        <f t="shared" si="5"/>
        <v>0</v>
      </c>
      <c r="I350" s="114"/>
      <c r="J350" s="114"/>
      <c r="K350" s="114"/>
      <c r="L350" s="114"/>
      <c r="M350" s="114"/>
      <c r="N350" s="114"/>
      <c r="O350" s="110"/>
      <c r="P350" s="110"/>
      <c r="Q350" s="110"/>
      <c r="R350" s="110"/>
      <c r="S350" s="104"/>
      <c r="T350" s="110"/>
      <c r="U350" s="110"/>
      <c r="V350" s="110"/>
      <c r="W350" s="110"/>
      <c r="X350" s="110"/>
      <c r="Y350" s="110"/>
      <c r="Z350" s="110"/>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7"/>
      <c r="BK350" s="227"/>
    </row>
    <row r="351" spans="1:63" ht="12.75" hidden="1" customHeight="1" outlineLevel="1">
      <c r="A351" s="9"/>
      <c r="B351" s="44"/>
      <c r="C351" s="278" t="str">
        <f>Asset18</f>
        <v>Transmission operations - short life (10)</v>
      </c>
      <c r="D351" s="9"/>
      <c r="E351" s="9"/>
      <c r="F351" s="142"/>
      <c r="G351" s="207">
        <f>Input!J24</f>
        <v>0</v>
      </c>
      <c r="H351" s="114">
        <f t="shared" si="5"/>
        <v>0</v>
      </c>
      <c r="I351" s="114"/>
      <c r="J351" s="114"/>
      <c r="K351" s="114"/>
      <c r="L351" s="114"/>
      <c r="M351" s="114"/>
      <c r="N351" s="114"/>
      <c r="O351" s="110"/>
      <c r="P351" s="110"/>
      <c r="Q351" s="110"/>
      <c r="R351" s="110"/>
      <c r="S351" s="104"/>
      <c r="T351" s="110"/>
      <c r="U351" s="110"/>
      <c r="V351" s="110"/>
      <c r="W351" s="110"/>
      <c r="X351" s="110"/>
      <c r="Y351" s="110"/>
      <c r="Z351" s="110"/>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7"/>
      <c r="BK351" s="227"/>
    </row>
    <row r="352" spans="1:63" ht="12.75" hidden="1" customHeight="1" outlineLevel="1">
      <c r="A352" s="9"/>
      <c r="B352" s="44"/>
      <c r="C352" s="278" t="str">
        <f>Asset19</f>
        <v>Transmission operations - short life (4)</v>
      </c>
      <c r="D352" s="9"/>
      <c r="E352" s="9"/>
      <c r="F352" s="142"/>
      <c r="G352" s="207">
        <f>Input!J25</f>
        <v>0</v>
      </c>
      <c r="H352" s="114">
        <f t="shared" si="5"/>
        <v>0</v>
      </c>
      <c r="I352" s="121"/>
      <c r="J352" s="121"/>
      <c r="K352" s="121"/>
      <c r="L352" s="121"/>
      <c r="M352" s="110"/>
      <c r="N352" s="110"/>
      <c r="O352" s="110"/>
      <c r="P352" s="110"/>
      <c r="Q352" s="110"/>
      <c r="R352" s="110"/>
      <c r="S352" s="104"/>
      <c r="T352" s="110"/>
      <c r="U352" s="110"/>
      <c r="V352" s="110"/>
      <c r="W352" s="110"/>
      <c r="X352" s="110"/>
      <c r="Y352" s="110"/>
      <c r="Z352" s="110"/>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7"/>
      <c r="BK352" s="227"/>
    </row>
    <row r="353" spans="1:63" ht="12.75" hidden="1" customHeight="1" outlineLevel="1">
      <c r="A353" s="9"/>
      <c r="B353" s="44"/>
      <c r="C353" s="278" t="str">
        <f>Asset20</f>
        <v>Other - medium life (40)</v>
      </c>
      <c r="D353" s="9"/>
      <c r="E353" s="9"/>
      <c r="F353" s="142"/>
      <c r="G353" s="207">
        <f>Input!J26</f>
        <v>0</v>
      </c>
      <c r="H353" s="114">
        <f t="shared" ref="H353:H362" si="6">G353+G385+G417+G449+G481+G513</f>
        <v>6.8615870000000001</v>
      </c>
      <c r="I353" s="121"/>
      <c r="J353" s="121"/>
      <c r="K353" s="121"/>
      <c r="L353" s="121"/>
      <c r="M353" s="110"/>
      <c r="N353" s="110"/>
      <c r="O353" s="110"/>
      <c r="P353" s="110"/>
      <c r="Q353" s="110"/>
      <c r="R353" s="110"/>
      <c r="S353" s="104"/>
      <c r="T353" s="110"/>
      <c r="U353" s="110"/>
      <c r="V353" s="110"/>
      <c r="W353" s="110"/>
      <c r="X353" s="110"/>
      <c r="Y353" s="110"/>
      <c r="Z353" s="110"/>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7"/>
      <c r="BK353" s="227"/>
    </row>
    <row r="354" spans="1:63" ht="12.75" hidden="1" customHeight="1" outlineLevel="1">
      <c r="A354" s="9"/>
      <c r="B354" s="44"/>
      <c r="C354" s="278" t="str">
        <f>Asset21</f>
        <v>Other - short life (9)</v>
      </c>
      <c r="D354" s="9"/>
      <c r="E354" s="9"/>
      <c r="F354" s="142"/>
      <c r="G354" s="207">
        <f>Input!J27</f>
        <v>0</v>
      </c>
      <c r="H354" s="114">
        <f t="shared" si="6"/>
        <v>0</v>
      </c>
      <c r="I354" s="121"/>
      <c r="J354" s="121"/>
      <c r="K354" s="121"/>
      <c r="L354" s="121"/>
      <c r="M354" s="110"/>
      <c r="N354" s="110"/>
      <c r="O354" s="110"/>
      <c r="P354" s="110"/>
      <c r="Q354" s="110"/>
      <c r="R354" s="110"/>
      <c r="S354" s="104"/>
      <c r="T354" s="110"/>
      <c r="U354" s="110"/>
      <c r="V354" s="110"/>
      <c r="W354" s="110"/>
      <c r="X354" s="110"/>
      <c r="Y354" s="110"/>
      <c r="Z354" s="110"/>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7"/>
      <c r="BK354" s="227"/>
    </row>
    <row r="355" spans="1:63" ht="12.75" hidden="1" customHeight="1" outlineLevel="1">
      <c r="A355" s="9"/>
      <c r="B355" s="44"/>
      <c r="C355" s="278" t="str">
        <f>Asset22</f>
        <v>Other - short life (4)</v>
      </c>
      <c r="D355" s="9"/>
      <c r="E355" s="9"/>
      <c r="F355" s="142"/>
      <c r="G355" s="207">
        <f>Input!J28</f>
        <v>0</v>
      </c>
      <c r="H355" s="114">
        <f t="shared" si="6"/>
        <v>0.53168400000000005</v>
      </c>
      <c r="I355" s="121"/>
      <c r="J355" s="121"/>
      <c r="K355" s="121"/>
      <c r="L355" s="121"/>
      <c r="M355" s="110"/>
      <c r="N355" s="110"/>
      <c r="O355" s="110"/>
      <c r="P355" s="110"/>
      <c r="Q355" s="110"/>
      <c r="R355" s="110"/>
      <c r="S355" s="104"/>
      <c r="T355" s="110"/>
      <c r="U355" s="110"/>
      <c r="V355" s="110"/>
      <c r="W355" s="110"/>
      <c r="X355" s="110"/>
      <c r="Y355" s="110"/>
      <c r="Z355" s="110"/>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7"/>
      <c r="BK355" s="227"/>
    </row>
    <row r="356" spans="1:63" ht="12.75" hidden="1" customHeight="1" outlineLevel="1">
      <c r="A356" s="9"/>
      <c r="B356" s="44"/>
      <c r="C356" s="278" t="str">
        <f>Asset23</f>
        <v>Land and Easements</v>
      </c>
      <c r="D356" s="9"/>
      <c r="E356" s="9"/>
      <c r="F356" s="142"/>
      <c r="G356" s="207">
        <f>Input!J29</f>
        <v>0</v>
      </c>
      <c r="H356" s="114">
        <f>G356+G388+G420+G452+G484+G516</f>
        <v>0.12308107575340384</v>
      </c>
      <c r="I356" s="121"/>
      <c r="J356" s="121"/>
      <c r="K356" s="121"/>
      <c r="L356" s="121"/>
      <c r="M356" s="110"/>
      <c r="N356" s="110"/>
      <c r="O356" s="110"/>
      <c r="P356" s="110"/>
      <c r="Q356" s="110"/>
      <c r="R356" s="110"/>
      <c r="S356" s="104"/>
      <c r="T356" s="110"/>
      <c r="U356" s="110"/>
      <c r="V356" s="110"/>
      <c r="W356" s="110"/>
      <c r="X356" s="110"/>
      <c r="Y356" s="110"/>
      <c r="Z356" s="110"/>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7"/>
      <c r="BK356" s="227"/>
    </row>
    <row r="357" spans="1:63" ht="12.75" hidden="1" customHeight="1" outlineLevel="1">
      <c r="A357" s="9"/>
      <c r="B357" s="44"/>
      <c r="C357" s="278" t="str">
        <f>Asset24</f>
        <v>Equity Raising</v>
      </c>
      <c r="D357" s="9"/>
      <c r="E357" s="9"/>
      <c r="F357" s="142"/>
      <c r="G357" s="207">
        <f>Input!J30</f>
        <v>0</v>
      </c>
      <c r="H357" s="114">
        <f t="shared" si="6"/>
        <v>0</v>
      </c>
      <c r="I357" s="121"/>
      <c r="J357" s="121"/>
      <c r="K357" s="121"/>
      <c r="L357" s="121"/>
      <c r="M357" s="110"/>
      <c r="N357" s="110"/>
      <c r="O357" s="110"/>
      <c r="P357" s="110"/>
      <c r="Q357" s="110"/>
      <c r="R357" s="110"/>
      <c r="S357" s="104"/>
      <c r="T357" s="110"/>
      <c r="U357" s="110"/>
      <c r="V357" s="110"/>
      <c r="W357" s="110"/>
      <c r="X357" s="110"/>
      <c r="Y357" s="110"/>
      <c r="Z357" s="110"/>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7"/>
      <c r="BK357" s="227"/>
    </row>
    <row r="358" spans="1:63" ht="12.75" hidden="1" customHeight="1" outlineLevel="1">
      <c r="A358" s="9"/>
      <c r="B358" s="44"/>
      <c r="C358" s="278">
        <f>Asset25</f>
        <v>0</v>
      </c>
      <c r="D358" s="9"/>
      <c r="E358" s="9"/>
      <c r="F358" s="142"/>
      <c r="G358" s="207">
        <f>Input!J31</f>
        <v>0</v>
      </c>
      <c r="H358" s="114">
        <f t="shared" si="6"/>
        <v>0</v>
      </c>
      <c r="I358" s="121"/>
      <c r="J358" s="121"/>
      <c r="K358" s="121"/>
      <c r="L358" s="121"/>
      <c r="M358" s="110"/>
      <c r="N358" s="110"/>
      <c r="O358" s="110"/>
      <c r="P358" s="110"/>
      <c r="Q358" s="110"/>
      <c r="R358" s="110"/>
      <c r="S358" s="104"/>
      <c r="T358" s="110"/>
      <c r="U358" s="110"/>
      <c r="V358" s="110"/>
      <c r="W358" s="110"/>
      <c r="X358" s="110"/>
      <c r="Y358" s="110"/>
      <c r="Z358" s="110"/>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7"/>
      <c r="BK358" s="227"/>
    </row>
    <row r="359" spans="1:63" ht="12.75" hidden="1" customHeight="1" outlineLevel="1">
      <c r="A359" s="9"/>
      <c r="B359" s="44"/>
      <c r="C359" s="278">
        <f>Asset26</f>
        <v>0</v>
      </c>
      <c r="D359" s="9"/>
      <c r="E359" s="9"/>
      <c r="F359" s="142"/>
      <c r="G359" s="207">
        <f>Input!J32</f>
        <v>0</v>
      </c>
      <c r="H359" s="114">
        <f t="shared" si="6"/>
        <v>0</v>
      </c>
      <c r="I359" s="121"/>
      <c r="J359" s="121"/>
      <c r="K359" s="121"/>
      <c r="L359" s="121"/>
      <c r="M359" s="110"/>
      <c r="N359" s="110"/>
      <c r="O359" s="110"/>
      <c r="P359" s="110"/>
      <c r="Q359" s="110"/>
      <c r="R359" s="110"/>
      <c r="S359" s="104"/>
      <c r="T359" s="110"/>
      <c r="U359" s="110"/>
      <c r="V359" s="110"/>
      <c r="W359" s="110"/>
      <c r="X359" s="110"/>
      <c r="Y359" s="110"/>
      <c r="Z359" s="110"/>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7"/>
      <c r="BK359" s="227"/>
    </row>
    <row r="360" spans="1:63" ht="12.75" hidden="1" customHeight="1" outlineLevel="1">
      <c r="A360" s="9"/>
      <c r="B360" s="44"/>
      <c r="C360" s="278">
        <f>Asset27</f>
        <v>0</v>
      </c>
      <c r="D360" s="9"/>
      <c r="E360" s="9"/>
      <c r="F360" s="142"/>
      <c r="G360" s="207">
        <f>Input!J33</f>
        <v>0</v>
      </c>
      <c r="H360" s="114">
        <f t="shared" si="6"/>
        <v>0</v>
      </c>
      <c r="I360" s="121"/>
      <c r="J360" s="121"/>
      <c r="K360" s="121"/>
      <c r="L360" s="121"/>
      <c r="M360" s="110"/>
      <c r="N360" s="110"/>
      <c r="O360" s="110"/>
      <c r="P360" s="110"/>
      <c r="Q360" s="110"/>
      <c r="R360" s="110"/>
      <c r="S360" s="104"/>
      <c r="T360" s="110"/>
      <c r="U360" s="110"/>
      <c r="V360" s="110"/>
      <c r="W360" s="110"/>
      <c r="X360" s="110"/>
      <c r="Y360" s="110"/>
      <c r="Z360" s="110"/>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7"/>
      <c r="BK360" s="227"/>
    </row>
    <row r="361" spans="1:63" ht="12.75" hidden="1" customHeight="1" outlineLevel="1">
      <c r="A361" s="9"/>
      <c r="B361" s="44"/>
      <c r="C361" s="278">
        <f>Asset28</f>
        <v>0</v>
      </c>
      <c r="D361" s="9"/>
      <c r="E361" s="9"/>
      <c r="F361" s="142"/>
      <c r="G361" s="207">
        <f>Input!J34</f>
        <v>0</v>
      </c>
      <c r="H361" s="114">
        <f t="shared" si="6"/>
        <v>0</v>
      </c>
      <c r="I361" s="121"/>
      <c r="J361" s="121"/>
      <c r="K361" s="121"/>
      <c r="L361" s="121"/>
      <c r="M361" s="110"/>
      <c r="N361" s="110"/>
      <c r="O361" s="110"/>
      <c r="P361" s="110"/>
      <c r="Q361" s="110"/>
      <c r="R361" s="110"/>
      <c r="S361" s="104"/>
      <c r="T361" s="110"/>
      <c r="U361" s="110"/>
      <c r="V361" s="110"/>
      <c r="W361" s="110"/>
      <c r="X361" s="110"/>
      <c r="Y361" s="110"/>
      <c r="Z361" s="110"/>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7"/>
      <c r="BK361" s="227"/>
    </row>
    <row r="362" spans="1:63" ht="12.75" hidden="1" customHeight="1" outlineLevel="1">
      <c r="A362" s="9"/>
      <c r="B362" s="44"/>
      <c r="C362" s="278">
        <f>Asset29</f>
        <v>0</v>
      </c>
      <c r="D362" s="9"/>
      <c r="E362" s="9"/>
      <c r="F362" s="142"/>
      <c r="G362" s="207">
        <f>Input!J35</f>
        <v>0</v>
      </c>
      <c r="H362" s="114">
        <f t="shared" si="6"/>
        <v>0</v>
      </c>
      <c r="I362" s="121"/>
      <c r="J362" s="121"/>
      <c r="K362" s="121"/>
      <c r="L362" s="121"/>
      <c r="M362" s="110"/>
      <c r="N362" s="110"/>
      <c r="O362" s="110"/>
      <c r="P362" s="110"/>
      <c r="Q362" s="110"/>
      <c r="R362" s="110"/>
      <c r="S362" s="104"/>
      <c r="T362" s="110"/>
      <c r="U362" s="110"/>
      <c r="V362" s="110"/>
      <c r="W362" s="110"/>
      <c r="X362" s="110"/>
      <c r="Y362" s="110"/>
      <c r="Z362" s="110"/>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7"/>
      <c r="BK362" s="227"/>
    </row>
    <row r="363" spans="1:63" ht="12.75" hidden="1" customHeight="1" outlineLevel="1">
      <c r="A363" s="9"/>
      <c r="B363" s="44"/>
      <c r="C363" s="278">
        <f>Asset30</f>
        <v>0</v>
      </c>
      <c r="D363" s="9"/>
      <c r="E363" s="9"/>
      <c r="F363" s="142"/>
      <c r="G363" s="207">
        <f>Input!J36</f>
        <v>0</v>
      </c>
      <c r="H363" s="114">
        <f>G363+G395+G427+G459+G491+G523</f>
        <v>0</v>
      </c>
      <c r="I363" s="121"/>
      <c r="J363" s="121"/>
      <c r="K363" s="121"/>
      <c r="L363" s="121"/>
      <c r="M363" s="110"/>
      <c r="N363" s="110"/>
      <c r="O363" s="110"/>
      <c r="P363" s="110"/>
      <c r="Q363" s="110"/>
      <c r="R363" s="110"/>
      <c r="S363" s="104"/>
      <c r="T363" s="110"/>
      <c r="U363" s="110"/>
      <c r="V363" s="110"/>
      <c r="W363" s="110"/>
      <c r="X363" s="110"/>
      <c r="Y363" s="110"/>
      <c r="Z363" s="110"/>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7"/>
      <c r="BK363" s="227"/>
    </row>
    <row r="364" spans="1:63" collapsed="1">
      <c r="A364" s="9"/>
      <c r="B364" s="44"/>
      <c r="C364" s="130"/>
      <c r="D364" s="9"/>
      <c r="E364" s="9"/>
      <c r="F364" s="142"/>
      <c r="G364" s="207"/>
      <c r="H364" s="121"/>
      <c r="I364" s="121"/>
      <c r="J364" s="121"/>
      <c r="K364" s="121"/>
      <c r="L364" s="121"/>
      <c r="M364" s="110"/>
      <c r="N364" s="110"/>
      <c r="O364" s="110"/>
      <c r="P364" s="110"/>
      <c r="Q364" s="110"/>
      <c r="R364" s="110"/>
      <c r="S364" s="104"/>
      <c r="T364" s="110"/>
      <c r="U364" s="110"/>
      <c r="V364" s="110"/>
      <c r="W364" s="110"/>
      <c r="X364" s="110"/>
      <c r="Y364" s="110"/>
      <c r="Z364" s="110"/>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7"/>
      <c r="BK364" s="227"/>
    </row>
    <row r="365" spans="1:63">
      <c r="A365" s="9"/>
      <c r="B365" s="44" t="s">
        <v>41</v>
      </c>
      <c r="C365" s="9"/>
      <c r="D365" s="9"/>
      <c r="E365" s="9"/>
      <c r="F365" s="9"/>
      <c r="G365" s="208">
        <f>SUM(G366:G395)</f>
        <v>83.128654385774468</v>
      </c>
      <c r="H365" s="121"/>
      <c r="I365" s="121"/>
      <c r="J365" s="121"/>
      <c r="K365" s="121"/>
      <c r="L365" s="121"/>
      <c r="M365" s="110"/>
      <c r="N365" s="110"/>
      <c r="O365" s="110"/>
      <c r="P365" s="110"/>
      <c r="Q365" s="110"/>
      <c r="R365" s="110"/>
      <c r="S365" s="104"/>
      <c r="T365" s="110"/>
      <c r="U365" s="110"/>
      <c r="V365" s="110"/>
      <c r="W365" s="110"/>
      <c r="X365" s="110"/>
      <c r="Y365" s="110"/>
      <c r="Z365" s="110"/>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7"/>
      <c r="BK365" s="227"/>
    </row>
    <row r="366" spans="1:63" hidden="1" outlineLevel="1">
      <c r="A366" s="9"/>
      <c r="B366" s="44"/>
      <c r="C366" s="278" t="str">
        <f>Asset1</f>
        <v>Transmission Lines and Cables</v>
      </c>
      <c r="D366" s="9"/>
      <c r="E366" s="9"/>
      <c r="F366" s="9"/>
      <c r="G366" s="210">
        <f>Input!M7</f>
        <v>3.4044998441965704</v>
      </c>
      <c r="H366" s="121"/>
      <c r="I366" s="121"/>
      <c r="J366" s="121"/>
      <c r="K366" s="121"/>
      <c r="L366" s="121"/>
      <c r="M366" s="110"/>
      <c r="N366" s="110"/>
      <c r="O366" s="110"/>
      <c r="P366" s="110"/>
      <c r="Q366" s="110"/>
      <c r="R366" s="110"/>
      <c r="S366" s="104"/>
      <c r="T366" s="110"/>
      <c r="U366" s="110"/>
      <c r="V366" s="110"/>
      <c r="W366" s="110"/>
      <c r="X366" s="110"/>
      <c r="Y366" s="110"/>
      <c r="Z366" s="110"/>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7"/>
      <c r="BK366" s="227"/>
    </row>
    <row r="367" spans="1:63" hidden="1" outlineLevel="1">
      <c r="A367" s="9"/>
      <c r="B367" s="44"/>
      <c r="C367" s="278" t="str">
        <f>Asset2</f>
        <v>Transmission Substations</v>
      </c>
      <c r="D367" s="9"/>
      <c r="E367" s="9"/>
      <c r="F367" s="9"/>
      <c r="G367" s="210">
        <f>Input!M8</f>
        <v>62.450138395488089</v>
      </c>
      <c r="H367" s="121"/>
      <c r="I367" s="121"/>
      <c r="J367" s="121"/>
      <c r="K367" s="121"/>
      <c r="L367" s="121"/>
      <c r="M367" s="110"/>
      <c r="N367" s="110"/>
      <c r="O367" s="110"/>
      <c r="P367" s="110"/>
      <c r="Q367" s="110"/>
      <c r="R367" s="110"/>
      <c r="S367" s="104"/>
      <c r="T367" s="110"/>
      <c r="U367" s="110"/>
      <c r="V367" s="110"/>
      <c r="W367" s="110"/>
      <c r="X367" s="110"/>
      <c r="Y367" s="110"/>
      <c r="Z367" s="110"/>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7"/>
      <c r="BK367" s="227"/>
    </row>
    <row r="368" spans="1:63" hidden="1" outlineLevel="1">
      <c r="A368" s="9"/>
      <c r="B368" s="44"/>
      <c r="C368" s="278" t="str">
        <f>Asset3</f>
        <v>Protection and Control</v>
      </c>
      <c r="D368" s="9"/>
      <c r="E368" s="9"/>
      <c r="F368" s="9"/>
      <c r="G368" s="210">
        <f>Input!M9</f>
        <v>9.4118856801581483</v>
      </c>
      <c r="H368" s="121"/>
      <c r="I368" s="121"/>
      <c r="J368" s="121"/>
      <c r="K368" s="121"/>
      <c r="L368" s="121"/>
      <c r="M368" s="110"/>
      <c r="N368" s="110"/>
      <c r="O368" s="110"/>
      <c r="P368" s="110"/>
      <c r="Q368" s="110"/>
      <c r="R368" s="110"/>
      <c r="S368" s="104"/>
      <c r="T368" s="110"/>
      <c r="U368" s="110"/>
      <c r="V368" s="110"/>
      <c r="W368" s="110"/>
      <c r="X368" s="110"/>
      <c r="Y368" s="110"/>
      <c r="Z368" s="110"/>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7"/>
      <c r="BK368" s="227"/>
    </row>
    <row r="369" spans="1:63" hidden="1" outlineLevel="1">
      <c r="A369" s="9"/>
      <c r="B369" s="44"/>
      <c r="C369" s="278" t="str">
        <f>Asset4</f>
        <v>Refurbishment</v>
      </c>
      <c r="D369" s="9"/>
      <c r="E369" s="9"/>
      <c r="F369" s="9"/>
      <c r="G369" s="210">
        <f>Input!M10</f>
        <v>0</v>
      </c>
      <c r="H369" s="121"/>
      <c r="I369" s="121"/>
      <c r="J369" s="121"/>
      <c r="K369" s="121"/>
      <c r="L369" s="121"/>
      <c r="M369" s="110"/>
      <c r="N369" s="110"/>
      <c r="O369" s="110"/>
      <c r="P369" s="110"/>
      <c r="Q369" s="110"/>
      <c r="R369" s="110"/>
      <c r="S369" s="104"/>
      <c r="T369" s="110"/>
      <c r="U369" s="110"/>
      <c r="V369" s="110"/>
      <c r="W369" s="110"/>
      <c r="X369" s="110"/>
      <c r="Y369" s="110"/>
      <c r="Z369" s="110"/>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7"/>
      <c r="BK369" s="227"/>
    </row>
    <row r="370" spans="1:63" hidden="1" outlineLevel="1">
      <c r="A370" s="9"/>
      <c r="B370" s="44"/>
      <c r="C370" s="278" t="str">
        <f>Asset5</f>
        <v>Other</v>
      </c>
      <c r="D370" s="9"/>
      <c r="E370" s="9"/>
      <c r="F370" s="9"/>
      <c r="G370" s="210">
        <f>Input!M11</f>
        <v>0</v>
      </c>
      <c r="H370" s="121"/>
      <c r="I370" s="121"/>
      <c r="J370" s="121"/>
      <c r="K370" s="121"/>
      <c r="L370" s="121"/>
      <c r="M370" s="110"/>
      <c r="N370" s="110"/>
      <c r="O370" s="110"/>
      <c r="P370" s="110"/>
      <c r="Q370" s="110"/>
      <c r="R370" s="110"/>
      <c r="S370" s="104"/>
      <c r="T370" s="110"/>
      <c r="U370" s="110"/>
      <c r="V370" s="110"/>
      <c r="W370" s="110"/>
      <c r="X370" s="110"/>
      <c r="Y370" s="110"/>
      <c r="Z370" s="110"/>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7"/>
      <c r="BK370" s="227"/>
    </row>
    <row r="371" spans="1:63" hidden="1" outlineLevel="1">
      <c r="A371" s="9"/>
      <c r="B371" s="44"/>
      <c r="C371" s="278" t="str">
        <f>Asset6</f>
        <v>Other - IT</v>
      </c>
      <c r="D371" s="9"/>
      <c r="E371" s="9"/>
      <c r="F371" s="9"/>
      <c r="G371" s="210">
        <f>Input!M12</f>
        <v>4.7021850436574333</v>
      </c>
      <c r="H371" s="121"/>
      <c r="I371" s="121"/>
      <c r="J371" s="121"/>
      <c r="K371" s="121"/>
      <c r="L371" s="121"/>
      <c r="M371" s="110"/>
      <c r="N371" s="110"/>
      <c r="O371" s="110"/>
      <c r="P371" s="110"/>
      <c r="Q371" s="110"/>
      <c r="R371" s="110"/>
      <c r="S371" s="104"/>
      <c r="T371" s="110"/>
      <c r="U371" s="110"/>
      <c r="V371" s="110"/>
      <c r="W371" s="110"/>
      <c r="X371" s="110"/>
      <c r="Y371" s="110"/>
      <c r="Z371" s="110"/>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7"/>
      <c r="BK371" s="227"/>
    </row>
    <row r="372" spans="1:63" hidden="1" outlineLevel="1">
      <c r="A372" s="9"/>
      <c r="B372" s="44"/>
      <c r="C372" s="278" t="str">
        <f>Asset7</f>
        <v>Other - General</v>
      </c>
      <c r="D372" s="9"/>
      <c r="E372" s="9"/>
      <c r="F372" s="9"/>
      <c r="G372" s="210">
        <f>Input!M13</f>
        <v>0</v>
      </c>
      <c r="H372" s="121"/>
      <c r="I372" s="121"/>
      <c r="J372" s="121"/>
      <c r="K372" s="121"/>
      <c r="L372" s="121"/>
      <c r="M372" s="110"/>
      <c r="N372" s="110"/>
      <c r="O372" s="110"/>
      <c r="P372" s="110"/>
      <c r="Q372" s="110"/>
      <c r="R372" s="110"/>
      <c r="S372" s="104"/>
      <c r="T372" s="110"/>
      <c r="U372" s="110"/>
      <c r="V372" s="110"/>
      <c r="W372" s="110"/>
      <c r="X372" s="110"/>
      <c r="Y372" s="110"/>
      <c r="Z372" s="110"/>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7"/>
      <c r="BK372" s="227"/>
    </row>
    <row r="373" spans="1:63" hidden="1" outlineLevel="1">
      <c r="A373" s="9"/>
      <c r="B373" s="44"/>
      <c r="C373" s="278" t="str">
        <f>Asset8</f>
        <v>Other - Buildings</v>
      </c>
      <c r="D373" s="9"/>
      <c r="E373" s="9"/>
      <c r="F373" s="9"/>
      <c r="G373" s="210">
        <f>Input!M14</f>
        <v>3.149271747091551</v>
      </c>
      <c r="H373" s="121"/>
      <c r="I373" s="121"/>
      <c r="J373" s="121"/>
      <c r="K373" s="121"/>
      <c r="L373" s="121"/>
      <c r="M373" s="110"/>
      <c r="N373" s="110"/>
      <c r="O373" s="110"/>
      <c r="P373" s="110"/>
      <c r="Q373" s="110"/>
      <c r="R373" s="110"/>
      <c r="S373" s="104"/>
      <c r="T373" s="110"/>
      <c r="U373" s="110"/>
      <c r="V373" s="110"/>
      <c r="W373" s="110"/>
      <c r="X373" s="110"/>
      <c r="Y373" s="110"/>
      <c r="Z373" s="110"/>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7"/>
      <c r="BK373" s="227"/>
    </row>
    <row r="374" spans="1:63" hidden="1" outlineLevel="1">
      <c r="A374" s="9"/>
      <c r="B374" s="44"/>
      <c r="C374" s="278" t="str">
        <f>Asset9</f>
        <v>Land and Easements</v>
      </c>
      <c r="D374" s="9"/>
      <c r="E374" s="9"/>
      <c r="F374" s="9"/>
      <c r="G374" s="210">
        <f>Input!M15</f>
        <v>1.0673675182676838E-2</v>
      </c>
      <c r="H374" s="121"/>
      <c r="I374" s="121"/>
      <c r="J374" s="121"/>
      <c r="K374" s="121"/>
      <c r="L374" s="121"/>
      <c r="M374" s="110"/>
      <c r="N374" s="110"/>
      <c r="O374" s="110"/>
      <c r="P374" s="110"/>
      <c r="Q374" s="110"/>
      <c r="R374" s="110"/>
      <c r="S374" s="104"/>
      <c r="T374" s="110"/>
      <c r="U374" s="110"/>
      <c r="V374" s="110"/>
      <c r="W374" s="110"/>
      <c r="X374" s="110"/>
      <c r="Y374" s="110"/>
      <c r="Z374" s="110"/>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7"/>
      <c r="BK374" s="227"/>
    </row>
    <row r="375" spans="1:63" hidden="1" outlineLevel="1">
      <c r="A375" s="9"/>
      <c r="B375" s="44"/>
      <c r="C375" s="278" t="str">
        <f>Asset10</f>
        <v>Transmission line assets - long life (60)</v>
      </c>
      <c r="D375" s="9"/>
      <c r="E375" s="9"/>
      <c r="F375" s="9"/>
      <c r="G375" s="210">
        <f>Input!M16</f>
        <v>0</v>
      </c>
      <c r="H375" s="121"/>
      <c r="I375" s="121"/>
      <c r="J375" s="121"/>
      <c r="K375" s="121"/>
      <c r="L375" s="121"/>
      <c r="M375" s="110"/>
      <c r="N375" s="110"/>
      <c r="O375" s="110"/>
      <c r="P375" s="110"/>
      <c r="Q375" s="110"/>
      <c r="R375" s="110"/>
      <c r="S375" s="104"/>
      <c r="T375" s="110"/>
      <c r="U375" s="110"/>
      <c r="V375" s="110"/>
      <c r="W375" s="110"/>
      <c r="X375" s="110"/>
      <c r="Y375" s="110"/>
      <c r="Z375" s="110"/>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7"/>
      <c r="BK375" s="227"/>
    </row>
    <row r="376" spans="1:63" hidden="1" outlineLevel="1">
      <c r="A376" s="9"/>
      <c r="B376" s="44"/>
      <c r="C376" s="278" t="str">
        <f>Asset11</f>
        <v>Transmission line assets - medium life (45)</v>
      </c>
      <c r="D376" s="9"/>
      <c r="E376" s="9"/>
      <c r="F376" s="9"/>
      <c r="G376" s="210">
        <f>Input!M17</f>
        <v>0</v>
      </c>
      <c r="H376" s="121"/>
      <c r="I376" s="121"/>
      <c r="J376" s="121"/>
      <c r="K376" s="121"/>
      <c r="L376" s="121"/>
      <c r="M376" s="110"/>
      <c r="N376" s="110"/>
      <c r="O376" s="110"/>
      <c r="P376" s="110"/>
      <c r="Q376" s="110"/>
      <c r="R376" s="110"/>
      <c r="S376" s="104"/>
      <c r="T376" s="110"/>
      <c r="U376" s="110"/>
      <c r="V376" s="110"/>
      <c r="W376" s="110"/>
      <c r="X376" s="110"/>
      <c r="Y376" s="110"/>
      <c r="Z376" s="110"/>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7"/>
      <c r="BK376" s="227"/>
    </row>
    <row r="377" spans="1:63" hidden="1" outlineLevel="1">
      <c r="A377" s="9"/>
      <c r="B377" s="44"/>
      <c r="C377" s="278" t="str">
        <f>Asset12</f>
        <v>Transmission line assets - short life (10)</v>
      </c>
      <c r="D377" s="9"/>
      <c r="E377" s="9"/>
      <c r="F377" s="9"/>
      <c r="G377" s="210">
        <f>Input!M18</f>
        <v>0</v>
      </c>
      <c r="H377" s="121"/>
      <c r="I377" s="121"/>
      <c r="J377" s="121"/>
      <c r="K377" s="121"/>
      <c r="L377" s="121"/>
      <c r="M377" s="110"/>
      <c r="N377" s="110"/>
      <c r="O377" s="110"/>
      <c r="P377" s="110"/>
      <c r="Q377" s="110"/>
      <c r="R377" s="110"/>
      <c r="S377" s="104"/>
      <c r="T377" s="110"/>
      <c r="U377" s="110"/>
      <c r="V377" s="110"/>
      <c r="W377" s="110"/>
      <c r="X377" s="110"/>
      <c r="Y377" s="110"/>
      <c r="Z377" s="110"/>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7"/>
      <c r="BK377" s="227"/>
    </row>
    <row r="378" spans="1:63" hidden="1" outlineLevel="1">
      <c r="A378" s="9"/>
      <c r="B378" s="44"/>
      <c r="C378" s="278" t="str">
        <f>Asset13</f>
        <v>Substation assets - long life (60)</v>
      </c>
      <c r="D378" s="9"/>
      <c r="E378" s="9"/>
      <c r="F378" s="9"/>
      <c r="G378" s="210">
        <f>Input!M19</f>
        <v>0</v>
      </c>
      <c r="H378" s="121"/>
      <c r="I378" s="121"/>
      <c r="J378" s="121"/>
      <c r="K378" s="121"/>
      <c r="L378" s="121"/>
      <c r="M378" s="110"/>
      <c r="N378" s="110"/>
      <c r="O378" s="110"/>
      <c r="P378" s="110"/>
      <c r="Q378" s="110"/>
      <c r="R378" s="110"/>
      <c r="S378" s="104"/>
      <c r="T378" s="110"/>
      <c r="U378" s="110"/>
      <c r="V378" s="110"/>
      <c r="W378" s="110"/>
      <c r="X378" s="110"/>
      <c r="Y378" s="110"/>
      <c r="Z378" s="110"/>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7"/>
      <c r="BK378" s="227"/>
    </row>
    <row r="379" spans="1:63" hidden="1" outlineLevel="1">
      <c r="A379" s="9"/>
      <c r="B379" s="44"/>
      <c r="C379" s="278" t="str">
        <f>Asset14</f>
        <v>Substation assets - medium life (45)</v>
      </c>
      <c r="D379" s="9"/>
      <c r="E379" s="9"/>
      <c r="F379" s="9"/>
      <c r="G379" s="210">
        <f>Input!M20</f>
        <v>0</v>
      </c>
      <c r="H379" s="121"/>
      <c r="I379" s="121"/>
      <c r="J379" s="121"/>
      <c r="K379" s="121"/>
      <c r="L379" s="121"/>
      <c r="M379" s="110"/>
      <c r="N379" s="110"/>
      <c r="O379" s="110"/>
      <c r="P379" s="110"/>
      <c r="Q379" s="110"/>
      <c r="R379" s="110"/>
      <c r="S379" s="104"/>
      <c r="T379" s="110"/>
      <c r="U379" s="110"/>
      <c r="V379" s="110"/>
      <c r="W379" s="110"/>
      <c r="X379" s="110"/>
      <c r="Y379" s="110"/>
      <c r="Z379" s="110"/>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7"/>
      <c r="BK379" s="227"/>
    </row>
    <row r="380" spans="1:63" hidden="1" outlineLevel="1">
      <c r="A380" s="9"/>
      <c r="B380" s="44"/>
      <c r="C380" s="278" t="str">
        <f>Asset15</f>
        <v>Substation assets - short life (15)</v>
      </c>
      <c r="D380" s="9"/>
      <c r="E380" s="9"/>
      <c r="F380" s="9"/>
      <c r="G380" s="210">
        <f>Input!M21</f>
        <v>0</v>
      </c>
      <c r="H380" s="121"/>
      <c r="I380" s="121"/>
      <c r="J380" s="121"/>
      <c r="K380" s="121"/>
      <c r="L380" s="121"/>
      <c r="M380" s="110"/>
      <c r="N380" s="110"/>
      <c r="O380" s="110"/>
      <c r="P380" s="110"/>
      <c r="Q380" s="110"/>
      <c r="R380" s="110"/>
      <c r="S380" s="104"/>
      <c r="T380" s="110"/>
      <c r="U380" s="110"/>
      <c r="V380" s="110"/>
      <c r="W380" s="110"/>
      <c r="X380" s="110"/>
      <c r="Y380" s="110"/>
      <c r="Z380" s="110"/>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7"/>
      <c r="BK380" s="227"/>
    </row>
    <row r="381" spans="1:63" hidden="1" outlineLevel="1">
      <c r="A381" s="9"/>
      <c r="B381" s="44"/>
      <c r="C381" s="278" t="str">
        <f>Asset16</f>
        <v>Protection and control - short life (15)</v>
      </c>
      <c r="D381" s="9"/>
      <c r="E381" s="9"/>
      <c r="F381" s="9"/>
      <c r="G381" s="210">
        <f>Input!M22</f>
        <v>0</v>
      </c>
      <c r="H381" s="121"/>
      <c r="I381" s="121"/>
      <c r="J381" s="121"/>
      <c r="K381" s="121"/>
      <c r="L381" s="121"/>
      <c r="M381" s="110"/>
      <c r="N381" s="110"/>
      <c r="O381" s="110"/>
      <c r="P381" s="110"/>
      <c r="Q381" s="110"/>
      <c r="R381" s="110"/>
      <c r="S381" s="104"/>
      <c r="T381" s="110"/>
      <c r="U381" s="110"/>
      <c r="V381" s="110"/>
      <c r="W381" s="110"/>
      <c r="X381" s="110"/>
      <c r="Y381" s="110"/>
      <c r="Z381" s="110"/>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7"/>
      <c r="BK381" s="227"/>
    </row>
    <row r="382" spans="1:63" hidden="1" outlineLevel="1">
      <c r="A382" s="9"/>
      <c r="B382" s="44"/>
      <c r="C382" s="278" t="str">
        <f>Asset17</f>
        <v>Protection and control - short life (4)</v>
      </c>
      <c r="D382" s="9"/>
      <c r="E382" s="9"/>
      <c r="F382" s="9"/>
      <c r="G382" s="210">
        <f>Input!M23</f>
        <v>0</v>
      </c>
      <c r="H382" s="121"/>
      <c r="I382" s="121"/>
      <c r="J382" s="121"/>
      <c r="K382" s="121"/>
      <c r="L382" s="121"/>
      <c r="M382" s="110"/>
      <c r="N382" s="110"/>
      <c r="O382" s="110"/>
      <c r="P382" s="110"/>
      <c r="Q382" s="110"/>
      <c r="R382" s="110"/>
      <c r="S382" s="104"/>
      <c r="T382" s="110"/>
      <c r="U382" s="110"/>
      <c r="V382" s="110"/>
      <c r="W382" s="110"/>
      <c r="X382" s="110"/>
      <c r="Y382" s="110"/>
      <c r="Z382" s="110"/>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7"/>
      <c r="BK382" s="227"/>
    </row>
    <row r="383" spans="1:63" hidden="1" outlineLevel="1">
      <c r="A383" s="9"/>
      <c r="B383" s="44"/>
      <c r="C383" s="278" t="str">
        <f>Asset18</f>
        <v>Transmission operations - short life (10)</v>
      </c>
      <c r="D383" s="9"/>
      <c r="E383" s="9"/>
      <c r="F383" s="9"/>
      <c r="G383" s="210">
        <f>Input!M24</f>
        <v>0</v>
      </c>
      <c r="H383" s="121"/>
      <c r="I383" s="121"/>
      <c r="J383" s="121"/>
      <c r="K383" s="121"/>
      <c r="L383" s="121"/>
      <c r="M383" s="110"/>
      <c r="N383" s="110"/>
      <c r="O383" s="110"/>
      <c r="P383" s="110"/>
      <c r="Q383" s="110"/>
      <c r="R383" s="110"/>
      <c r="S383" s="104"/>
      <c r="T383" s="110"/>
      <c r="U383" s="110"/>
      <c r="V383" s="110"/>
      <c r="W383" s="110"/>
      <c r="X383" s="110"/>
      <c r="Y383" s="110"/>
      <c r="Z383" s="110"/>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7"/>
      <c r="BK383" s="227"/>
    </row>
    <row r="384" spans="1:63" hidden="1" outlineLevel="1">
      <c r="A384" s="9"/>
      <c r="B384" s="44"/>
      <c r="C384" s="278" t="str">
        <f>Asset19</f>
        <v>Transmission operations - short life (4)</v>
      </c>
      <c r="D384" s="9"/>
      <c r="E384" s="9"/>
      <c r="F384" s="9"/>
      <c r="G384" s="210">
        <f>Input!M25</f>
        <v>0</v>
      </c>
      <c r="H384" s="121"/>
      <c r="I384" s="121"/>
      <c r="J384" s="121"/>
      <c r="K384" s="121"/>
      <c r="L384" s="121"/>
      <c r="M384" s="110"/>
      <c r="N384" s="110"/>
      <c r="O384" s="110"/>
      <c r="P384" s="110"/>
      <c r="Q384" s="110"/>
      <c r="R384" s="110"/>
      <c r="S384" s="104"/>
      <c r="T384" s="110"/>
      <c r="U384" s="110"/>
      <c r="V384" s="110"/>
      <c r="W384" s="110"/>
      <c r="X384" s="110"/>
      <c r="Y384" s="110"/>
      <c r="Z384" s="110"/>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7"/>
      <c r="BK384" s="227"/>
    </row>
    <row r="385" spans="1:63" hidden="1" outlineLevel="1">
      <c r="A385" s="9"/>
      <c r="B385" s="44"/>
      <c r="C385" s="278" t="str">
        <f>Asset20</f>
        <v>Other - medium life (40)</v>
      </c>
      <c r="D385" s="9"/>
      <c r="E385" s="9"/>
      <c r="F385" s="9"/>
      <c r="G385" s="210">
        <f>Input!M26</f>
        <v>0</v>
      </c>
      <c r="H385" s="121"/>
      <c r="I385" s="121"/>
      <c r="J385" s="121"/>
      <c r="K385" s="121"/>
      <c r="L385" s="121"/>
      <c r="M385" s="110"/>
      <c r="N385" s="110"/>
      <c r="O385" s="110"/>
      <c r="P385" s="110"/>
      <c r="Q385" s="110"/>
      <c r="R385" s="110"/>
      <c r="S385" s="104"/>
      <c r="T385" s="110"/>
      <c r="U385" s="110"/>
      <c r="V385" s="110"/>
      <c r="W385" s="110"/>
      <c r="X385" s="110"/>
      <c r="Y385" s="110"/>
      <c r="Z385" s="110"/>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7"/>
      <c r="BK385" s="227"/>
    </row>
    <row r="386" spans="1:63" hidden="1" outlineLevel="1">
      <c r="A386" s="9"/>
      <c r="B386" s="44"/>
      <c r="C386" s="278" t="str">
        <f>Asset21</f>
        <v>Other - short life (9)</v>
      </c>
      <c r="D386" s="9"/>
      <c r="E386" s="9"/>
      <c r="F386" s="9"/>
      <c r="G386" s="210">
        <f>Input!M27</f>
        <v>0</v>
      </c>
      <c r="H386" s="121"/>
      <c r="I386" s="121"/>
      <c r="J386" s="121"/>
      <c r="K386" s="121"/>
      <c r="L386" s="121"/>
      <c r="M386" s="110"/>
      <c r="N386" s="110"/>
      <c r="O386" s="110"/>
      <c r="P386" s="110"/>
      <c r="Q386" s="110"/>
      <c r="R386" s="110"/>
      <c r="S386" s="104"/>
      <c r="T386" s="110"/>
      <c r="U386" s="110"/>
      <c r="V386" s="110"/>
      <c r="W386" s="110"/>
      <c r="X386" s="110"/>
      <c r="Y386" s="110"/>
      <c r="Z386" s="110"/>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7"/>
      <c r="BK386" s="227"/>
    </row>
    <row r="387" spans="1:63" hidden="1" outlineLevel="1">
      <c r="A387" s="9"/>
      <c r="B387" s="44"/>
      <c r="C387" s="278" t="str">
        <f>Asset22</f>
        <v>Other - short life (4)</v>
      </c>
      <c r="D387" s="9"/>
      <c r="E387" s="9"/>
      <c r="F387" s="9"/>
      <c r="G387" s="210">
        <f>Input!M28</f>
        <v>0</v>
      </c>
      <c r="H387" s="121"/>
      <c r="I387" s="121"/>
      <c r="J387" s="121"/>
      <c r="K387" s="121"/>
      <c r="L387" s="121"/>
      <c r="M387" s="110"/>
      <c r="N387" s="110"/>
      <c r="O387" s="110"/>
      <c r="P387" s="110"/>
      <c r="Q387" s="110"/>
      <c r="R387" s="110"/>
      <c r="S387" s="104"/>
      <c r="T387" s="110"/>
      <c r="U387" s="110"/>
      <c r="V387" s="110"/>
      <c r="W387" s="110"/>
      <c r="X387" s="110"/>
      <c r="Y387" s="110"/>
      <c r="Z387" s="110"/>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7"/>
      <c r="BK387" s="227"/>
    </row>
    <row r="388" spans="1:63" hidden="1" outlineLevel="1">
      <c r="A388" s="9"/>
      <c r="B388" s="44"/>
      <c r="C388" s="278" t="str">
        <f>Asset23</f>
        <v>Land and Easements</v>
      </c>
      <c r="D388" s="9"/>
      <c r="E388" s="9"/>
      <c r="F388" s="9"/>
      <c r="G388" s="210">
        <f>Input!M29</f>
        <v>0</v>
      </c>
      <c r="H388" s="121"/>
      <c r="I388" s="121"/>
      <c r="J388" s="121"/>
      <c r="K388" s="121"/>
      <c r="L388" s="121"/>
      <c r="M388" s="110"/>
      <c r="N388" s="110"/>
      <c r="O388" s="110"/>
      <c r="P388" s="110"/>
      <c r="Q388" s="110"/>
      <c r="R388" s="110"/>
      <c r="S388" s="104"/>
      <c r="T388" s="110"/>
      <c r="U388" s="110"/>
      <c r="V388" s="110"/>
      <c r="W388" s="110"/>
      <c r="X388" s="110"/>
      <c r="Y388" s="110"/>
      <c r="Z388" s="110"/>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7"/>
      <c r="BK388" s="227"/>
    </row>
    <row r="389" spans="1:63" hidden="1" outlineLevel="1">
      <c r="A389" s="9"/>
      <c r="B389" s="44"/>
      <c r="C389" s="278" t="str">
        <f>Asset24</f>
        <v>Equity Raising</v>
      </c>
      <c r="D389" s="9"/>
      <c r="E389" s="9"/>
      <c r="F389" s="9"/>
      <c r="G389" s="210">
        <f>Input!M30</f>
        <v>0</v>
      </c>
      <c r="H389" s="121"/>
      <c r="I389" s="121"/>
      <c r="J389" s="121"/>
      <c r="K389" s="121"/>
      <c r="L389" s="121"/>
      <c r="M389" s="110"/>
      <c r="N389" s="110"/>
      <c r="O389" s="110"/>
      <c r="P389" s="110"/>
      <c r="Q389" s="110"/>
      <c r="R389" s="110"/>
      <c r="S389" s="104"/>
      <c r="T389" s="110"/>
      <c r="U389" s="110"/>
      <c r="V389" s="110"/>
      <c r="W389" s="110"/>
      <c r="X389" s="110"/>
      <c r="Y389" s="110"/>
      <c r="Z389" s="110"/>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7"/>
      <c r="BK389" s="227"/>
    </row>
    <row r="390" spans="1:63" hidden="1" outlineLevel="1">
      <c r="A390" s="9"/>
      <c r="B390" s="44"/>
      <c r="C390" s="278">
        <f>Asset25</f>
        <v>0</v>
      </c>
      <c r="D390" s="9"/>
      <c r="E390" s="9"/>
      <c r="F390" s="9"/>
      <c r="G390" s="210">
        <f>Input!M31</f>
        <v>0</v>
      </c>
      <c r="H390" s="121"/>
      <c r="I390" s="121"/>
      <c r="J390" s="121"/>
      <c r="K390" s="121"/>
      <c r="L390" s="121"/>
      <c r="M390" s="110"/>
      <c r="N390" s="110"/>
      <c r="O390" s="110"/>
      <c r="P390" s="110"/>
      <c r="Q390" s="110"/>
      <c r="R390" s="110"/>
      <c r="S390" s="104"/>
      <c r="T390" s="110"/>
      <c r="U390" s="110"/>
      <c r="V390" s="110"/>
      <c r="W390" s="110"/>
      <c r="X390" s="110"/>
      <c r="Y390" s="110"/>
      <c r="Z390" s="110"/>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7"/>
      <c r="BK390" s="227"/>
    </row>
    <row r="391" spans="1:63" hidden="1" outlineLevel="1">
      <c r="A391" s="9"/>
      <c r="B391" s="44"/>
      <c r="C391" s="278">
        <f>Asset26</f>
        <v>0</v>
      </c>
      <c r="D391" s="9"/>
      <c r="E391" s="9"/>
      <c r="F391" s="9"/>
      <c r="G391" s="210">
        <f>Input!M32</f>
        <v>0</v>
      </c>
      <c r="H391" s="121"/>
      <c r="I391" s="121"/>
      <c r="J391" s="121"/>
      <c r="K391" s="121"/>
      <c r="L391" s="121"/>
      <c r="M391" s="110"/>
      <c r="N391" s="110"/>
      <c r="O391" s="110"/>
      <c r="P391" s="110"/>
      <c r="Q391" s="110"/>
      <c r="R391" s="110"/>
      <c r="S391" s="104"/>
      <c r="T391" s="110"/>
      <c r="U391" s="110"/>
      <c r="V391" s="110"/>
      <c r="W391" s="110"/>
      <c r="X391" s="110"/>
      <c r="Y391" s="110"/>
      <c r="Z391" s="110"/>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7"/>
      <c r="BK391" s="227"/>
    </row>
    <row r="392" spans="1:63" hidden="1" outlineLevel="1">
      <c r="A392" s="9"/>
      <c r="B392" s="44"/>
      <c r="C392" s="278">
        <f>Asset27</f>
        <v>0</v>
      </c>
      <c r="D392" s="9"/>
      <c r="E392" s="9"/>
      <c r="F392" s="9"/>
      <c r="G392" s="210">
        <f>Input!M33</f>
        <v>0</v>
      </c>
      <c r="H392" s="121"/>
      <c r="I392" s="121"/>
      <c r="J392" s="121"/>
      <c r="K392" s="121"/>
      <c r="L392" s="121"/>
      <c r="M392" s="110"/>
      <c r="N392" s="110"/>
      <c r="O392" s="110"/>
      <c r="P392" s="110"/>
      <c r="Q392" s="110"/>
      <c r="R392" s="110"/>
      <c r="S392" s="104"/>
      <c r="T392" s="110"/>
      <c r="U392" s="110"/>
      <c r="V392" s="110"/>
      <c r="W392" s="110"/>
      <c r="X392" s="110"/>
      <c r="Y392" s="110"/>
      <c r="Z392" s="110"/>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7"/>
      <c r="BK392" s="227"/>
    </row>
    <row r="393" spans="1:63" hidden="1" outlineLevel="1">
      <c r="A393" s="9"/>
      <c r="B393" s="44"/>
      <c r="C393" s="278">
        <f>Asset28</f>
        <v>0</v>
      </c>
      <c r="D393" s="9"/>
      <c r="E393" s="9"/>
      <c r="F393" s="9"/>
      <c r="G393" s="210">
        <f>Input!M34</f>
        <v>0</v>
      </c>
      <c r="H393" s="121"/>
      <c r="I393" s="121"/>
      <c r="J393" s="121"/>
      <c r="K393" s="121"/>
      <c r="L393" s="121"/>
      <c r="M393" s="110"/>
      <c r="N393" s="110"/>
      <c r="O393" s="110"/>
      <c r="P393" s="110"/>
      <c r="Q393" s="110"/>
      <c r="R393" s="110"/>
      <c r="S393" s="104"/>
      <c r="T393" s="110"/>
      <c r="U393" s="110"/>
      <c r="V393" s="110"/>
      <c r="W393" s="110"/>
      <c r="X393" s="110"/>
      <c r="Y393" s="110"/>
      <c r="Z393" s="110"/>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7"/>
      <c r="BK393" s="227"/>
    </row>
    <row r="394" spans="1:63" hidden="1" outlineLevel="1">
      <c r="A394" s="9"/>
      <c r="B394" s="44"/>
      <c r="C394" s="278">
        <f>Asset29</f>
        <v>0</v>
      </c>
      <c r="D394" s="9"/>
      <c r="E394" s="9"/>
      <c r="F394" s="9"/>
      <c r="G394" s="210">
        <f>Input!M35</f>
        <v>0</v>
      </c>
      <c r="H394" s="121"/>
      <c r="I394" s="121"/>
      <c r="J394" s="121"/>
      <c r="K394" s="121"/>
      <c r="L394" s="121"/>
      <c r="M394" s="110"/>
      <c r="N394" s="110"/>
      <c r="O394" s="110"/>
      <c r="P394" s="110"/>
      <c r="Q394" s="110"/>
      <c r="R394" s="110"/>
      <c r="S394" s="104"/>
      <c r="T394" s="110"/>
      <c r="U394" s="110"/>
      <c r="V394" s="110"/>
      <c r="W394" s="110"/>
      <c r="X394" s="110"/>
      <c r="Y394" s="110"/>
      <c r="Z394" s="110"/>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7"/>
      <c r="BK394" s="227"/>
    </row>
    <row r="395" spans="1:63" hidden="1" outlineLevel="1">
      <c r="A395" s="9"/>
      <c r="B395" s="44"/>
      <c r="C395" s="278">
        <f>Asset30</f>
        <v>0</v>
      </c>
      <c r="D395" s="9"/>
      <c r="E395" s="9"/>
      <c r="F395" s="9"/>
      <c r="G395" s="210">
        <f>Input!M36</f>
        <v>0</v>
      </c>
      <c r="H395" s="121"/>
      <c r="I395" s="121"/>
      <c r="J395" s="121"/>
      <c r="K395" s="121"/>
      <c r="L395" s="121"/>
      <c r="M395" s="110"/>
      <c r="N395" s="110"/>
      <c r="O395" s="110"/>
      <c r="P395" s="110"/>
      <c r="Q395" s="110"/>
      <c r="R395" s="110"/>
      <c r="S395" s="104"/>
      <c r="T395" s="110"/>
      <c r="U395" s="110"/>
      <c r="V395" s="110"/>
      <c r="W395" s="110"/>
      <c r="X395" s="110"/>
      <c r="Y395" s="110"/>
      <c r="Z395" s="110"/>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7"/>
      <c r="BK395" s="227"/>
    </row>
    <row r="396" spans="1:63" collapsed="1">
      <c r="A396" s="9"/>
      <c r="B396" s="44"/>
      <c r="C396" s="116"/>
      <c r="D396" s="9"/>
      <c r="E396" s="9"/>
      <c r="F396" s="28"/>
      <c r="G396" s="211"/>
      <c r="H396" s="121"/>
      <c r="I396" s="121"/>
      <c r="J396" s="121"/>
      <c r="K396" s="121"/>
      <c r="L396" s="121"/>
      <c r="M396" s="110"/>
      <c r="N396" s="110"/>
      <c r="O396" s="110"/>
      <c r="P396" s="110"/>
      <c r="Q396" s="110"/>
      <c r="R396" s="110"/>
      <c r="S396" s="110"/>
      <c r="T396" s="110"/>
      <c r="U396" s="110"/>
      <c r="V396" s="110"/>
      <c r="W396" s="110"/>
      <c r="X396" s="110"/>
      <c r="Y396" s="110"/>
      <c r="Z396" s="110"/>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7"/>
      <c r="BK396" s="227"/>
    </row>
    <row r="397" spans="1:63">
      <c r="A397" s="9"/>
      <c r="B397" s="94" t="s">
        <v>69</v>
      </c>
      <c r="C397" s="12"/>
      <c r="D397" s="9"/>
      <c r="E397" s="9"/>
      <c r="F397" s="9"/>
      <c r="G397" s="208">
        <f>SUM(G398:G427)</f>
        <v>-22.262805038529823</v>
      </c>
      <c r="H397" s="121"/>
      <c r="I397" s="121"/>
      <c r="J397" s="121"/>
      <c r="K397" s="121"/>
      <c r="L397" s="121"/>
      <c r="M397" s="110"/>
      <c r="N397" s="110"/>
      <c r="O397" s="110"/>
      <c r="P397" s="110"/>
      <c r="Q397" s="110"/>
      <c r="R397" s="110"/>
      <c r="S397" s="110"/>
      <c r="T397" s="110"/>
      <c r="U397" s="110"/>
      <c r="V397" s="110"/>
      <c r="W397" s="110"/>
      <c r="X397" s="110"/>
      <c r="Y397" s="110"/>
      <c r="Z397" s="110"/>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7"/>
      <c r="BK397" s="227"/>
    </row>
    <row r="398" spans="1:63" ht="12.75" hidden="1" customHeight="1" outlineLevel="1">
      <c r="A398" s="9"/>
      <c r="B398" s="44"/>
      <c r="C398" s="278" t="str">
        <f>Asset1</f>
        <v>Transmission Lines and Cables</v>
      </c>
      <c r="D398" s="9"/>
      <c r="E398" s="9"/>
      <c r="F398" s="28"/>
      <c r="G398" s="210">
        <f>-Input!N7</f>
        <v>-6.5708704093471146</v>
      </c>
      <c r="H398" s="121"/>
      <c r="I398" s="121"/>
      <c r="J398" s="121"/>
      <c r="K398" s="121"/>
      <c r="L398" s="121"/>
      <c r="M398" s="110"/>
      <c r="N398" s="110"/>
      <c r="O398" s="110"/>
      <c r="P398" s="110"/>
      <c r="Q398" s="110"/>
      <c r="R398" s="110"/>
      <c r="S398" s="110"/>
      <c r="T398" s="110"/>
      <c r="U398" s="110"/>
      <c r="V398" s="110"/>
      <c r="W398" s="110"/>
      <c r="X398" s="110"/>
      <c r="Y398" s="110"/>
      <c r="Z398" s="110"/>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7"/>
      <c r="BK398" s="227"/>
    </row>
    <row r="399" spans="1:63" ht="12.75" hidden="1" customHeight="1" outlineLevel="1">
      <c r="A399" s="9"/>
      <c r="B399" s="44"/>
      <c r="C399" s="278" t="str">
        <f>Asset2</f>
        <v>Transmission Substations</v>
      </c>
      <c r="D399" s="9"/>
      <c r="E399" s="9"/>
      <c r="F399" s="28"/>
      <c r="G399" s="210">
        <f>-Input!N8</f>
        <v>-4.6151674774377103</v>
      </c>
      <c r="H399" s="121"/>
      <c r="I399" s="121"/>
      <c r="J399" s="121"/>
      <c r="K399" s="121"/>
      <c r="L399" s="121"/>
      <c r="M399" s="110"/>
      <c r="N399" s="110"/>
      <c r="O399" s="110"/>
      <c r="P399" s="110"/>
      <c r="Q399" s="110"/>
      <c r="R399" s="110"/>
      <c r="S399" s="110"/>
      <c r="T399" s="110"/>
      <c r="U399" s="110"/>
      <c r="V399" s="110"/>
      <c r="W399" s="110"/>
      <c r="X399" s="110"/>
      <c r="Y399" s="110"/>
      <c r="Z399" s="110"/>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7"/>
      <c r="BK399" s="227"/>
    </row>
    <row r="400" spans="1:63" ht="12.75" hidden="1" customHeight="1" outlineLevel="1">
      <c r="A400" s="9"/>
      <c r="B400" s="44"/>
      <c r="C400" s="278" t="str">
        <f>Asset3</f>
        <v>Protection and Control</v>
      </c>
      <c r="D400" s="9"/>
      <c r="E400" s="9"/>
      <c r="F400" s="28"/>
      <c r="G400" s="210">
        <f>-Input!N9</f>
        <v>-5.514909320251248</v>
      </c>
      <c r="H400" s="121"/>
      <c r="I400" s="121"/>
      <c r="J400" s="121"/>
      <c r="K400" s="121"/>
      <c r="L400" s="121"/>
      <c r="M400" s="110"/>
      <c r="N400" s="110"/>
      <c r="O400" s="110"/>
      <c r="P400" s="110"/>
      <c r="Q400" s="110"/>
      <c r="R400" s="110"/>
      <c r="S400" s="110"/>
      <c r="T400" s="110"/>
      <c r="U400" s="110"/>
      <c r="V400" s="110"/>
      <c r="W400" s="110"/>
      <c r="X400" s="110"/>
      <c r="Y400" s="110"/>
      <c r="Z400" s="110"/>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7"/>
      <c r="BK400" s="227"/>
    </row>
    <row r="401" spans="1:63" ht="12.75" hidden="1" customHeight="1" outlineLevel="1">
      <c r="A401" s="9"/>
      <c r="B401" s="44"/>
      <c r="C401" s="278" t="str">
        <f>Asset4</f>
        <v>Refurbishment</v>
      </c>
      <c r="D401" s="9"/>
      <c r="E401" s="9"/>
      <c r="F401" s="28"/>
      <c r="G401" s="210">
        <f>-Input!N10</f>
        <v>-3.1271970408972707</v>
      </c>
      <c r="H401" s="121"/>
      <c r="I401" s="121"/>
      <c r="J401" s="121"/>
      <c r="K401" s="121"/>
      <c r="L401" s="121"/>
      <c r="M401" s="110"/>
      <c r="N401" s="110"/>
      <c r="O401" s="110"/>
      <c r="P401" s="110"/>
      <c r="Q401" s="110"/>
      <c r="R401" s="110"/>
      <c r="S401" s="110"/>
      <c r="T401" s="110"/>
      <c r="U401" s="110"/>
      <c r="V401" s="110"/>
      <c r="W401" s="110"/>
      <c r="X401" s="110"/>
      <c r="Y401" s="110"/>
      <c r="Z401" s="110"/>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7"/>
      <c r="BK401" s="227"/>
    </row>
    <row r="402" spans="1:63" ht="12.75" hidden="1" customHeight="1" outlineLevel="1">
      <c r="A402" s="9"/>
      <c r="B402" s="44"/>
      <c r="C402" s="278" t="str">
        <f>Asset5</f>
        <v>Other</v>
      </c>
      <c r="D402" s="9"/>
      <c r="E402" s="9"/>
      <c r="F402" s="28"/>
      <c r="G402" s="210">
        <f>-Input!N11</f>
        <v>-1.6357162905502329</v>
      </c>
      <c r="H402" s="121"/>
      <c r="I402" s="121"/>
      <c r="J402" s="121"/>
      <c r="K402" s="121"/>
      <c r="L402" s="121"/>
      <c r="M402" s="110"/>
      <c r="N402" s="110"/>
      <c r="O402" s="110"/>
      <c r="P402" s="110"/>
      <c r="Q402" s="110"/>
      <c r="R402" s="110"/>
      <c r="S402" s="110"/>
      <c r="T402" s="110"/>
      <c r="U402" s="110"/>
      <c r="V402" s="110"/>
      <c r="W402" s="110"/>
      <c r="X402" s="110"/>
      <c r="Y402" s="110"/>
      <c r="Z402" s="110"/>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7"/>
      <c r="BK402" s="227"/>
    </row>
    <row r="403" spans="1:63" ht="12.75" hidden="1" customHeight="1" outlineLevel="1">
      <c r="A403" s="9"/>
      <c r="B403" s="44"/>
      <c r="C403" s="278" t="str">
        <f>Asset6</f>
        <v>Other - IT</v>
      </c>
      <c r="D403" s="9"/>
      <c r="E403" s="9"/>
      <c r="F403" s="28"/>
      <c r="G403" s="210">
        <f>-Input!N12</f>
        <v>-1.3605739922335367</v>
      </c>
      <c r="H403" s="121"/>
      <c r="I403" s="121"/>
      <c r="J403" s="121"/>
      <c r="K403" s="121"/>
      <c r="L403" s="121"/>
      <c r="M403" s="110"/>
      <c r="N403" s="110"/>
      <c r="O403" s="110"/>
      <c r="P403" s="110"/>
      <c r="Q403" s="110"/>
      <c r="R403" s="110"/>
      <c r="S403" s="110"/>
      <c r="T403" s="110"/>
      <c r="U403" s="110"/>
      <c r="V403" s="110"/>
      <c r="W403" s="110"/>
      <c r="X403" s="110"/>
      <c r="Y403" s="110"/>
      <c r="Z403" s="110"/>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7"/>
      <c r="BK403" s="227"/>
    </row>
    <row r="404" spans="1:63" ht="12.75" hidden="1" customHeight="1" outlineLevel="1">
      <c r="A404" s="9"/>
      <c r="B404" s="44"/>
      <c r="C404" s="278" t="str">
        <f>Asset7</f>
        <v>Other - General</v>
      </c>
      <c r="D404" s="9"/>
      <c r="E404" s="9"/>
      <c r="F404" s="28"/>
      <c r="G404" s="210">
        <f>-Input!N13</f>
        <v>-1.4546996008642703</v>
      </c>
      <c r="H404" s="121"/>
      <c r="I404" s="121"/>
      <c r="J404" s="121"/>
      <c r="K404" s="121"/>
      <c r="L404" s="121"/>
      <c r="M404" s="110"/>
      <c r="N404" s="110"/>
      <c r="O404" s="110"/>
      <c r="P404" s="110"/>
      <c r="Q404" s="110"/>
      <c r="R404" s="110"/>
      <c r="S404" s="110"/>
      <c r="T404" s="110"/>
      <c r="U404" s="110"/>
      <c r="V404" s="110"/>
      <c r="W404" s="110"/>
      <c r="X404" s="110"/>
      <c r="Y404" s="110"/>
      <c r="Z404" s="110"/>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7"/>
      <c r="BK404" s="227"/>
    </row>
    <row r="405" spans="1:63" ht="12.75" hidden="1" customHeight="1" outlineLevel="1">
      <c r="A405" s="9"/>
      <c r="B405" s="44"/>
      <c r="C405" s="278" t="str">
        <f>Asset8</f>
        <v>Other - Buildings</v>
      </c>
      <c r="D405" s="9"/>
      <c r="E405" s="9"/>
      <c r="F405" s="28"/>
      <c r="G405" s="210">
        <f>-Input!N14</f>
        <v>-2.9632298603983503E-2</v>
      </c>
      <c r="H405" s="121"/>
      <c r="I405" s="121"/>
      <c r="J405" s="121"/>
      <c r="K405" s="121"/>
      <c r="L405" s="121"/>
      <c r="M405" s="110"/>
      <c r="N405" s="110"/>
      <c r="O405" s="110"/>
      <c r="P405" s="110"/>
      <c r="Q405" s="110"/>
      <c r="R405" s="110"/>
      <c r="S405" s="110"/>
      <c r="T405" s="110"/>
      <c r="U405" s="110"/>
      <c r="V405" s="110"/>
      <c r="W405" s="110"/>
      <c r="X405" s="110"/>
      <c r="Y405" s="110"/>
      <c r="Z405" s="110"/>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7"/>
      <c r="BK405" s="227"/>
    </row>
    <row r="406" spans="1:63" ht="12.75" hidden="1" customHeight="1" outlineLevel="1">
      <c r="A406" s="9"/>
      <c r="B406" s="44"/>
      <c r="C406" s="278" t="str">
        <f>Asset9</f>
        <v>Land and Easements</v>
      </c>
      <c r="D406" s="9"/>
      <c r="E406" s="9"/>
      <c r="F406" s="28"/>
      <c r="G406" s="210">
        <f>-Input!N15</f>
        <v>2.0459613916555419</v>
      </c>
      <c r="H406" s="121"/>
      <c r="I406" s="121"/>
      <c r="J406" s="121"/>
      <c r="K406" s="121"/>
      <c r="L406" s="121"/>
      <c r="M406" s="110"/>
      <c r="N406" s="110"/>
      <c r="O406" s="110"/>
      <c r="P406" s="110"/>
      <c r="Q406" s="110"/>
      <c r="R406" s="110"/>
      <c r="S406" s="110"/>
      <c r="T406" s="110"/>
      <c r="U406" s="110"/>
      <c r="V406" s="110"/>
      <c r="W406" s="110"/>
      <c r="X406" s="110"/>
      <c r="Y406" s="110"/>
      <c r="Z406" s="110"/>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7"/>
      <c r="BK406" s="227"/>
    </row>
    <row r="407" spans="1:63" ht="12.75" hidden="1" customHeight="1" outlineLevel="1">
      <c r="A407" s="9"/>
      <c r="B407" s="44"/>
      <c r="C407" s="278" t="str">
        <f>Asset10</f>
        <v>Transmission line assets - long life (60)</v>
      </c>
      <c r="D407" s="9"/>
      <c r="E407" s="9"/>
      <c r="F407" s="28"/>
      <c r="G407" s="210">
        <f>-Input!N16</f>
        <v>0</v>
      </c>
      <c r="H407" s="121"/>
      <c r="I407" s="121"/>
      <c r="J407" s="121"/>
      <c r="K407" s="121"/>
      <c r="L407" s="121"/>
      <c r="M407" s="110"/>
      <c r="N407" s="110"/>
      <c r="O407" s="110"/>
      <c r="P407" s="110"/>
      <c r="Q407" s="110"/>
      <c r="R407" s="110"/>
      <c r="S407" s="110"/>
      <c r="T407" s="110"/>
      <c r="U407" s="110"/>
      <c r="V407" s="110"/>
      <c r="W407" s="110"/>
      <c r="X407" s="110"/>
      <c r="Y407" s="110"/>
      <c r="Z407" s="110"/>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7"/>
      <c r="BK407" s="227"/>
    </row>
    <row r="408" spans="1:63" ht="12.75" hidden="1" customHeight="1" outlineLevel="1">
      <c r="A408" s="9"/>
      <c r="B408" s="44"/>
      <c r="C408" s="278" t="str">
        <f>Asset11</f>
        <v>Transmission line assets - medium life (45)</v>
      </c>
      <c r="D408" s="9"/>
      <c r="E408" s="9"/>
      <c r="F408" s="28"/>
      <c r="G408" s="210">
        <f>-Input!N17</f>
        <v>0</v>
      </c>
      <c r="H408" s="121"/>
      <c r="I408" s="121"/>
      <c r="J408" s="121"/>
      <c r="K408" s="121"/>
      <c r="L408" s="121"/>
      <c r="M408" s="110"/>
      <c r="N408" s="110"/>
      <c r="O408" s="110"/>
      <c r="P408" s="110"/>
      <c r="Q408" s="110"/>
      <c r="R408" s="110"/>
      <c r="S408" s="110"/>
      <c r="T408" s="110"/>
      <c r="U408" s="110"/>
      <c r="V408" s="110"/>
      <c r="W408" s="110"/>
      <c r="X408" s="110"/>
      <c r="Y408" s="110"/>
      <c r="Z408" s="110"/>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7"/>
      <c r="BK408" s="227"/>
    </row>
    <row r="409" spans="1:63" ht="12.75" hidden="1" customHeight="1" outlineLevel="1">
      <c r="A409" s="9"/>
      <c r="B409" s="44"/>
      <c r="C409" s="278" t="str">
        <f>Asset12</f>
        <v>Transmission line assets - short life (10)</v>
      </c>
      <c r="D409" s="9"/>
      <c r="E409" s="9"/>
      <c r="F409" s="28"/>
      <c r="G409" s="210">
        <f>-Input!N18</f>
        <v>0</v>
      </c>
      <c r="H409" s="121"/>
      <c r="I409" s="121"/>
      <c r="J409" s="121"/>
      <c r="K409" s="121"/>
      <c r="L409" s="121"/>
      <c r="M409" s="110"/>
      <c r="N409" s="110"/>
      <c r="O409" s="110"/>
      <c r="P409" s="110"/>
      <c r="Q409" s="110"/>
      <c r="R409" s="110"/>
      <c r="S409" s="110"/>
      <c r="T409" s="110"/>
      <c r="U409" s="110"/>
      <c r="V409" s="110"/>
      <c r="W409" s="110"/>
      <c r="X409" s="110"/>
      <c r="Y409" s="110"/>
      <c r="Z409" s="110"/>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7"/>
      <c r="BK409" s="227"/>
    </row>
    <row r="410" spans="1:63" ht="12.75" hidden="1" customHeight="1" outlineLevel="1">
      <c r="A410" s="9"/>
      <c r="B410" s="44"/>
      <c r="C410" s="278" t="str">
        <f>Asset13</f>
        <v>Substation assets - long life (60)</v>
      </c>
      <c r="D410" s="9"/>
      <c r="E410" s="9"/>
      <c r="F410" s="28"/>
      <c r="G410" s="210">
        <f>-Input!N19</f>
        <v>0</v>
      </c>
      <c r="H410" s="121"/>
      <c r="I410" s="121"/>
      <c r="J410" s="121"/>
      <c r="K410" s="121"/>
      <c r="L410" s="121"/>
      <c r="M410" s="110"/>
      <c r="N410" s="110"/>
      <c r="O410" s="110"/>
      <c r="P410" s="110"/>
      <c r="Q410" s="110"/>
      <c r="R410" s="110"/>
      <c r="S410" s="110"/>
      <c r="T410" s="110"/>
      <c r="U410" s="110"/>
      <c r="V410" s="110"/>
      <c r="W410" s="110"/>
      <c r="X410" s="110"/>
      <c r="Y410" s="110"/>
      <c r="Z410" s="110"/>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7"/>
      <c r="BK410" s="227"/>
    </row>
    <row r="411" spans="1:63" ht="12.75" hidden="1" customHeight="1" outlineLevel="1">
      <c r="A411" s="9"/>
      <c r="B411" s="44"/>
      <c r="C411" s="278" t="str">
        <f>Asset14</f>
        <v>Substation assets - medium life (45)</v>
      </c>
      <c r="D411" s="9"/>
      <c r="E411" s="9"/>
      <c r="F411" s="28"/>
      <c r="G411" s="210">
        <f>-Input!N20</f>
        <v>0</v>
      </c>
      <c r="H411" s="121"/>
      <c r="I411" s="121"/>
      <c r="J411" s="121"/>
      <c r="K411" s="121"/>
      <c r="L411" s="121"/>
      <c r="M411" s="110"/>
      <c r="N411" s="110"/>
      <c r="O411" s="110"/>
      <c r="P411" s="110"/>
      <c r="Q411" s="110"/>
      <c r="R411" s="110"/>
      <c r="S411" s="110"/>
      <c r="T411" s="110"/>
      <c r="U411" s="110"/>
      <c r="V411" s="110"/>
      <c r="W411" s="110"/>
      <c r="X411" s="110"/>
      <c r="Y411" s="110"/>
      <c r="Z411" s="110"/>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7"/>
      <c r="BK411" s="227"/>
    </row>
    <row r="412" spans="1:63" ht="12.75" hidden="1" customHeight="1" outlineLevel="1">
      <c r="A412" s="9"/>
      <c r="B412" s="44"/>
      <c r="C412" s="278" t="str">
        <f>Asset15</f>
        <v>Substation assets - short life (15)</v>
      </c>
      <c r="D412" s="9"/>
      <c r="E412" s="9"/>
      <c r="F412" s="28"/>
      <c r="G412" s="210">
        <f>-Input!N21</f>
        <v>0</v>
      </c>
      <c r="H412" s="121"/>
      <c r="I412" s="121"/>
      <c r="J412" s="121"/>
      <c r="K412" s="121"/>
      <c r="L412" s="121"/>
      <c r="M412" s="110"/>
      <c r="N412" s="110"/>
      <c r="O412" s="110"/>
      <c r="P412" s="110"/>
      <c r="Q412" s="110"/>
      <c r="R412" s="110"/>
      <c r="S412" s="110"/>
      <c r="T412" s="110"/>
      <c r="U412" s="110"/>
      <c r="V412" s="110"/>
      <c r="W412" s="110"/>
      <c r="X412" s="110"/>
      <c r="Y412" s="110"/>
      <c r="Z412" s="110"/>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7"/>
      <c r="BK412" s="227"/>
    </row>
    <row r="413" spans="1:63" ht="12.75" hidden="1" customHeight="1" outlineLevel="1">
      <c r="A413" s="9"/>
      <c r="B413" s="44"/>
      <c r="C413" s="278" t="str">
        <f>Asset16</f>
        <v>Protection and control - short life (15)</v>
      </c>
      <c r="D413" s="9"/>
      <c r="E413" s="9"/>
      <c r="F413" s="28"/>
      <c r="G413" s="210">
        <f>-Input!N22</f>
        <v>0</v>
      </c>
      <c r="H413" s="121"/>
      <c r="I413" s="121"/>
      <c r="J413" s="121"/>
      <c r="K413" s="121"/>
      <c r="L413" s="121"/>
      <c r="M413" s="110"/>
      <c r="N413" s="110"/>
      <c r="O413" s="110"/>
      <c r="P413" s="110"/>
      <c r="Q413" s="110"/>
      <c r="R413" s="110"/>
      <c r="S413" s="110"/>
      <c r="T413" s="110"/>
      <c r="U413" s="110"/>
      <c r="V413" s="110"/>
      <c r="W413" s="110"/>
      <c r="X413" s="110"/>
      <c r="Y413" s="110"/>
      <c r="Z413" s="110"/>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7"/>
      <c r="BK413" s="227"/>
    </row>
    <row r="414" spans="1:63" ht="12.75" hidden="1" customHeight="1" outlineLevel="1">
      <c r="A414" s="9"/>
      <c r="B414" s="44"/>
      <c r="C414" s="278" t="str">
        <f>Asset17</f>
        <v>Protection and control - short life (4)</v>
      </c>
      <c r="D414" s="9"/>
      <c r="E414" s="9"/>
      <c r="F414" s="28"/>
      <c r="G414" s="210">
        <f>-Input!N23</f>
        <v>0</v>
      </c>
      <c r="H414" s="121"/>
      <c r="I414" s="121"/>
      <c r="J414" s="121"/>
      <c r="K414" s="121"/>
      <c r="L414" s="121"/>
      <c r="M414" s="110"/>
      <c r="N414" s="110"/>
      <c r="O414" s="110"/>
      <c r="P414" s="110"/>
      <c r="Q414" s="110"/>
      <c r="R414" s="110"/>
      <c r="S414" s="110"/>
      <c r="T414" s="110"/>
      <c r="U414" s="110"/>
      <c r="V414" s="110"/>
      <c r="W414" s="110"/>
      <c r="X414" s="110"/>
      <c r="Y414" s="110"/>
      <c r="Z414" s="110"/>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7"/>
      <c r="BK414" s="227"/>
    </row>
    <row r="415" spans="1:63" ht="12.75" hidden="1" customHeight="1" outlineLevel="1">
      <c r="A415" s="9"/>
      <c r="B415" s="44"/>
      <c r="C415" s="278" t="str">
        <f>Asset18</f>
        <v>Transmission operations - short life (10)</v>
      </c>
      <c r="D415" s="9"/>
      <c r="E415" s="9"/>
      <c r="F415" s="28"/>
      <c r="G415" s="210">
        <f>-Input!N24</f>
        <v>0</v>
      </c>
      <c r="H415" s="121"/>
      <c r="I415" s="121"/>
      <c r="J415" s="121"/>
      <c r="K415" s="121"/>
      <c r="L415" s="121"/>
      <c r="M415" s="110"/>
      <c r="N415" s="110"/>
      <c r="O415" s="110"/>
      <c r="P415" s="110"/>
      <c r="Q415" s="110"/>
      <c r="R415" s="110"/>
      <c r="S415" s="110"/>
      <c r="T415" s="110"/>
      <c r="U415" s="110"/>
      <c r="V415" s="110"/>
      <c r="W415" s="110"/>
      <c r="X415" s="110"/>
      <c r="Y415" s="110"/>
      <c r="Z415" s="110"/>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7"/>
      <c r="BK415" s="227"/>
    </row>
    <row r="416" spans="1:63" ht="12.75" hidden="1" customHeight="1" outlineLevel="1">
      <c r="A416" s="9"/>
      <c r="B416" s="44"/>
      <c r="C416" s="278" t="str">
        <f>Asset19</f>
        <v>Transmission operations - short life (4)</v>
      </c>
      <c r="D416" s="9"/>
      <c r="E416" s="9"/>
      <c r="F416" s="28"/>
      <c r="G416" s="210">
        <f>-Input!N25</f>
        <v>0</v>
      </c>
      <c r="H416" s="121"/>
      <c r="I416" s="121"/>
      <c r="J416" s="121"/>
      <c r="K416" s="121"/>
      <c r="L416" s="121"/>
      <c r="M416" s="110"/>
      <c r="N416" s="110"/>
      <c r="O416" s="110"/>
      <c r="P416" s="110"/>
      <c r="Q416" s="110"/>
      <c r="R416" s="110"/>
      <c r="S416" s="110"/>
      <c r="T416" s="110"/>
      <c r="U416" s="110"/>
      <c r="V416" s="110"/>
      <c r="W416" s="110"/>
      <c r="X416" s="110"/>
      <c r="Y416" s="110"/>
      <c r="Z416" s="110"/>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7"/>
      <c r="BK416" s="227"/>
    </row>
    <row r="417" spans="1:63" ht="12.75" hidden="1" customHeight="1" outlineLevel="1">
      <c r="A417" s="9"/>
      <c r="B417" s="44"/>
      <c r="C417" s="278" t="str">
        <f>Asset20</f>
        <v>Other - medium life (40)</v>
      </c>
      <c r="D417" s="9"/>
      <c r="E417" s="9"/>
      <c r="F417" s="28"/>
      <c r="G417" s="210">
        <f>-Input!N26</f>
        <v>0</v>
      </c>
      <c r="H417" s="121"/>
      <c r="I417" s="121"/>
      <c r="J417" s="121"/>
      <c r="K417" s="121"/>
      <c r="L417" s="121"/>
      <c r="M417" s="110"/>
      <c r="N417" s="110"/>
      <c r="O417" s="110"/>
      <c r="P417" s="110"/>
      <c r="Q417" s="110"/>
      <c r="R417" s="110"/>
      <c r="S417" s="110"/>
      <c r="T417" s="110"/>
      <c r="U417" s="110"/>
      <c r="V417" s="110"/>
      <c r="W417" s="110"/>
      <c r="X417" s="110"/>
      <c r="Y417" s="110"/>
      <c r="Z417" s="110"/>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7"/>
      <c r="BK417" s="227"/>
    </row>
    <row r="418" spans="1:63" ht="12.75" hidden="1" customHeight="1" outlineLevel="1">
      <c r="A418" s="9"/>
      <c r="B418" s="44"/>
      <c r="C418" s="278" t="str">
        <f>Asset21</f>
        <v>Other - short life (9)</v>
      </c>
      <c r="D418" s="9"/>
      <c r="E418" s="9"/>
      <c r="F418" s="28"/>
      <c r="G418" s="210">
        <f>-Input!N27</f>
        <v>0</v>
      </c>
      <c r="H418" s="121"/>
      <c r="I418" s="121"/>
      <c r="J418" s="121"/>
      <c r="K418" s="121"/>
      <c r="L418" s="121"/>
      <c r="M418" s="110"/>
      <c r="N418" s="110"/>
      <c r="O418" s="110"/>
      <c r="P418" s="110"/>
      <c r="Q418" s="110"/>
      <c r="R418" s="110"/>
      <c r="S418" s="110"/>
      <c r="T418" s="110"/>
      <c r="U418" s="110"/>
      <c r="V418" s="110"/>
      <c r="W418" s="110"/>
      <c r="X418" s="110"/>
      <c r="Y418" s="110"/>
      <c r="Z418" s="110"/>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7"/>
      <c r="BK418" s="227"/>
    </row>
    <row r="419" spans="1:63" ht="12.75" hidden="1" customHeight="1" outlineLevel="1">
      <c r="A419" s="9"/>
      <c r="B419" s="44"/>
      <c r="C419" s="278" t="str">
        <f>Asset22</f>
        <v>Other - short life (4)</v>
      </c>
      <c r="D419" s="9"/>
      <c r="E419" s="9"/>
      <c r="F419" s="28"/>
      <c r="G419" s="210">
        <f>-Input!N28</f>
        <v>0</v>
      </c>
      <c r="H419" s="121"/>
      <c r="I419" s="121"/>
      <c r="J419" s="121"/>
      <c r="K419" s="121"/>
      <c r="L419" s="121"/>
      <c r="M419" s="110"/>
      <c r="N419" s="110"/>
      <c r="O419" s="110"/>
      <c r="P419" s="110"/>
      <c r="Q419" s="110"/>
      <c r="R419" s="110"/>
      <c r="S419" s="110"/>
      <c r="T419" s="110"/>
      <c r="U419" s="110"/>
      <c r="V419" s="110"/>
      <c r="W419" s="110"/>
      <c r="X419" s="110"/>
      <c r="Y419" s="110"/>
      <c r="Z419" s="110"/>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7"/>
      <c r="BK419" s="227"/>
    </row>
    <row r="420" spans="1:63" ht="12.75" hidden="1" customHeight="1" outlineLevel="1">
      <c r="A420" s="9"/>
      <c r="B420" s="44"/>
      <c r="C420" s="278" t="str">
        <f>Asset23</f>
        <v>Land and Easements</v>
      </c>
      <c r="D420" s="9"/>
      <c r="E420" s="9"/>
      <c r="F420" s="28"/>
      <c r="G420" s="210">
        <f>-Input!N29</f>
        <v>0</v>
      </c>
      <c r="H420" s="121"/>
      <c r="I420" s="121"/>
      <c r="J420" s="121"/>
      <c r="K420" s="121"/>
      <c r="L420" s="121"/>
      <c r="M420" s="110"/>
      <c r="N420" s="110"/>
      <c r="O420" s="110"/>
      <c r="P420" s="110"/>
      <c r="Q420" s="110"/>
      <c r="R420" s="110"/>
      <c r="S420" s="110"/>
      <c r="T420" s="110"/>
      <c r="U420" s="110"/>
      <c r="V420" s="110"/>
      <c r="W420" s="110"/>
      <c r="X420" s="110"/>
      <c r="Y420" s="110"/>
      <c r="Z420" s="110"/>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7"/>
      <c r="BK420" s="227"/>
    </row>
    <row r="421" spans="1:63" ht="12.75" hidden="1" customHeight="1" outlineLevel="1">
      <c r="A421" s="9"/>
      <c r="B421" s="44"/>
      <c r="C421" s="278" t="str">
        <f>Asset24</f>
        <v>Equity Raising</v>
      </c>
      <c r="D421" s="9"/>
      <c r="E421" s="9"/>
      <c r="F421" s="28"/>
      <c r="G421" s="210">
        <f>-Input!N30</f>
        <v>0</v>
      </c>
      <c r="H421" s="121"/>
      <c r="I421" s="121"/>
      <c r="J421" s="121"/>
      <c r="K421" s="121"/>
      <c r="L421" s="121"/>
      <c r="M421" s="110"/>
      <c r="N421" s="110"/>
      <c r="O421" s="110"/>
      <c r="P421" s="110"/>
      <c r="Q421" s="110"/>
      <c r="R421" s="110"/>
      <c r="S421" s="110"/>
      <c r="T421" s="110"/>
      <c r="U421" s="110"/>
      <c r="V421" s="110"/>
      <c r="W421" s="110"/>
      <c r="X421" s="110"/>
      <c r="Y421" s="110"/>
      <c r="Z421" s="110"/>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7"/>
      <c r="BK421" s="227"/>
    </row>
    <row r="422" spans="1:63" ht="12.75" hidden="1" customHeight="1" outlineLevel="1">
      <c r="A422" s="9"/>
      <c r="B422" s="44"/>
      <c r="C422" s="278">
        <f>Asset25</f>
        <v>0</v>
      </c>
      <c r="D422" s="9"/>
      <c r="E422" s="9"/>
      <c r="F422" s="28"/>
      <c r="G422" s="210">
        <f>-Input!N31</f>
        <v>0</v>
      </c>
      <c r="H422" s="121"/>
      <c r="I422" s="121"/>
      <c r="J422" s="121"/>
      <c r="K422" s="121"/>
      <c r="L422" s="121"/>
      <c r="M422" s="110"/>
      <c r="N422" s="110"/>
      <c r="O422" s="110"/>
      <c r="P422" s="110"/>
      <c r="Q422" s="110"/>
      <c r="R422" s="110"/>
      <c r="S422" s="110"/>
      <c r="T422" s="110"/>
      <c r="U422" s="110"/>
      <c r="V422" s="110"/>
      <c r="W422" s="110"/>
      <c r="X422" s="110"/>
      <c r="Y422" s="110"/>
      <c r="Z422" s="110"/>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7"/>
      <c r="BK422" s="227"/>
    </row>
    <row r="423" spans="1:63" ht="12.75" hidden="1" customHeight="1" outlineLevel="1">
      <c r="A423" s="9"/>
      <c r="B423" s="44"/>
      <c r="C423" s="278">
        <f>Asset26</f>
        <v>0</v>
      </c>
      <c r="D423" s="9"/>
      <c r="E423" s="9"/>
      <c r="F423" s="28"/>
      <c r="G423" s="210">
        <f>-Input!N32</f>
        <v>0</v>
      </c>
      <c r="H423" s="121"/>
      <c r="I423" s="121"/>
      <c r="J423" s="121"/>
      <c r="K423" s="121"/>
      <c r="L423" s="121"/>
      <c r="M423" s="110"/>
      <c r="N423" s="110"/>
      <c r="O423" s="110"/>
      <c r="P423" s="110"/>
      <c r="Q423" s="110"/>
      <c r="R423" s="110"/>
      <c r="S423" s="110"/>
      <c r="T423" s="110"/>
      <c r="U423" s="110"/>
      <c r="V423" s="110"/>
      <c r="W423" s="110"/>
      <c r="X423" s="110"/>
      <c r="Y423" s="110"/>
      <c r="Z423" s="110"/>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7"/>
      <c r="BK423" s="227"/>
    </row>
    <row r="424" spans="1:63" ht="12.75" hidden="1" customHeight="1" outlineLevel="1">
      <c r="A424" s="9"/>
      <c r="B424" s="44"/>
      <c r="C424" s="278">
        <f>Asset27</f>
        <v>0</v>
      </c>
      <c r="D424" s="9"/>
      <c r="E424" s="9"/>
      <c r="F424" s="28"/>
      <c r="G424" s="210">
        <f>-Input!N33</f>
        <v>0</v>
      </c>
      <c r="H424" s="121"/>
      <c r="I424" s="121"/>
      <c r="J424" s="121"/>
      <c r="K424" s="121"/>
      <c r="L424" s="121"/>
      <c r="M424" s="110"/>
      <c r="N424" s="110"/>
      <c r="O424" s="110"/>
      <c r="P424" s="110"/>
      <c r="Q424" s="110"/>
      <c r="R424" s="110"/>
      <c r="S424" s="110"/>
      <c r="T424" s="110"/>
      <c r="U424" s="110"/>
      <c r="V424" s="110"/>
      <c r="W424" s="110"/>
      <c r="X424" s="110"/>
      <c r="Y424" s="110"/>
      <c r="Z424" s="110"/>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7"/>
      <c r="BK424" s="227"/>
    </row>
    <row r="425" spans="1:63" ht="12.75" hidden="1" customHeight="1" outlineLevel="1">
      <c r="A425" s="9"/>
      <c r="B425" s="44"/>
      <c r="C425" s="278">
        <f>Asset28</f>
        <v>0</v>
      </c>
      <c r="D425" s="9"/>
      <c r="E425" s="9"/>
      <c r="F425" s="28"/>
      <c r="G425" s="210">
        <f>-Input!N34</f>
        <v>0</v>
      </c>
      <c r="H425" s="121"/>
      <c r="I425" s="121"/>
      <c r="J425" s="121"/>
      <c r="K425" s="121"/>
      <c r="L425" s="121"/>
      <c r="M425" s="110"/>
      <c r="N425" s="110"/>
      <c r="O425" s="110"/>
      <c r="P425" s="110"/>
      <c r="Q425" s="110"/>
      <c r="R425" s="110"/>
      <c r="S425" s="110"/>
      <c r="T425" s="110"/>
      <c r="U425" s="110"/>
      <c r="V425" s="110"/>
      <c r="W425" s="110"/>
      <c r="X425" s="110"/>
      <c r="Y425" s="110"/>
      <c r="Z425" s="110"/>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7"/>
      <c r="BK425" s="227"/>
    </row>
    <row r="426" spans="1:63" ht="12.75" hidden="1" customHeight="1" outlineLevel="1">
      <c r="A426" s="9"/>
      <c r="B426" s="44"/>
      <c r="C426" s="278">
        <f>Asset29</f>
        <v>0</v>
      </c>
      <c r="D426" s="9"/>
      <c r="E426" s="9"/>
      <c r="F426" s="28"/>
      <c r="G426" s="210">
        <f>-Input!N35</f>
        <v>0</v>
      </c>
      <c r="H426" s="121"/>
      <c r="I426" s="121"/>
      <c r="J426" s="121"/>
      <c r="K426" s="121"/>
      <c r="L426" s="121"/>
      <c r="M426" s="110"/>
      <c r="N426" s="110"/>
      <c r="O426" s="110"/>
      <c r="P426" s="110"/>
      <c r="Q426" s="110"/>
      <c r="R426" s="110"/>
      <c r="S426" s="110"/>
      <c r="T426" s="110"/>
      <c r="U426" s="110"/>
      <c r="V426" s="110"/>
      <c r="W426" s="110"/>
      <c r="X426" s="110"/>
      <c r="Y426" s="110"/>
      <c r="Z426" s="110"/>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7"/>
      <c r="BK426" s="227"/>
    </row>
    <row r="427" spans="1:63" ht="12.75" hidden="1" customHeight="1" outlineLevel="1">
      <c r="A427" s="9"/>
      <c r="B427" s="44"/>
      <c r="C427" s="278">
        <f>Asset30</f>
        <v>0</v>
      </c>
      <c r="D427" s="9"/>
      <c r="E427" s="9"/>
      <c r="F427" s="28"/>
      <c r="G427" s="210">
        <f>-Input!N36</f>
        <v>0</v>
      </c>
      <c r="H427" s="121"/>
      <c r="I427" s="121"/>
      <c r="J427" s="121"/>
      <c r="K427" s="121"/>
      <c r="L427" s="121"/>
      <c r="M427" s="110"/>
      <c r="N427" s="110"/>
      <c r="O427" s="110"/>
      <c r="P427" s="110"/>
      <c r="Q427" s="110"/>
      <c r="R427" s="110"/>
      <c r="S427" s="110"/>
      <c r="T427" s="110"/>
      <c r="U427" s="110"/>
      <c r="V427" s="110"/>
      <c r="W427" s="110"/>
      <c r="X427" s="110"/>
      <c r="Y427" s="110"/>
      <c r="Z427" s="110"/>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7"/>
      <c r="BK427" s="227"/>
    </row>
    <row r="428" spans="1:63" collapsed="1">
      <c r="A428" s="9"/>
      <c r="B428" s="44"/>
      <c r="C428" s="130"/>
      <c r="D428" s="9"/>
      <c r="E428" s="9"/>
      <c r="F428" s="28"/>
      <c r="G428" s="211"/>
      <c r="H428" s="121"/>
      <c r="I428" s="121"/>
      <c r="J428" s="121"/>
      <c r="K428" s="121"/>
      <c r="L428" s="121"/>
      <c r="M428" s="110"/>
      <c r="N428" s="110"/>
      <c r="O428" s="110"/>
      <c r="P428" s="110"/>
      <c r="Q428" s="110"/>
      <c r="R428" s="110"/>
      <c r="S428" s="110"/>
      <c r="T428" s="110"/>
      <c r="U428" s="110"/>
      <c r="V428" s="110"/>
      <c r="W428" s="110"/>
      <c r="X428" s="110"/>
      <c r="Y428" s="110"/>
      <c r="Z428" s="110"/>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7"/>
      <c r="BK428" s="227"/>
    </row>
    <row r="429" spans="1:63">
      <c r="A429" s="9"/>
      <c r="B429" s="44" t="s">
        <v>48</v>
      </c>
      <c r="C429" s="130"/>
      <c r="D429" s="9"/>
      <c r="E429" s="9"/>
      <c r="F429" s="142"/>
      <c r="G429" s="209">
        <f>SUM(G430:G459)</f>
        <v>-9.3282752599801135</v>
      </c>
      <c r="H429" s="121"/>
      <c r="I429" s="121"/>
      <c r="J429" s="121"/>
      <c r="K429" s="121"/>
      <c r="L429" s="121"/>
      <c r="M429" s="110"/>
      <c r="N429" s="110"/>
      <c r="O429" s="110"/>
      <c r="P429" s="110"/>
      <c r="Q429" s="110"/>
      <c r="R429" s="110"/>
      <c r="S429" s="110"/>
      <c r="T429" s="110"/>
      <c r="U429" s="110"/>
      <c r="V429" s="110"/>
      <c r="W429" s="110"/>
      <c r="X429" s="110"/>
      <c r="Y429" s="110"/>
      <c r="Z429" s="110"/>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7"/>
      <c r="BK429" s="227"/>
    </row>
    <row r="430" spans="1:63" hidden="1" outlineLevel="1">
      <c r="A430" s="9"/>
      <c r="B430" s="9"/>
      <c r="C430" s="278" t="str">
        <f>Asset1</f>
        <v>Transmission Lines and Cables</v>
      </c>
      <c r="D430" s="9"/>
      <c r="E430" s="9"/>
      <c r="F430" s="142"/>
      <c r="G430" s="207">
        <f>Input!O7</f>
        <v>-6.670889526632461</v>
      </c>
      <c r="H430" s="121"/>
      <c r="I430" s="121"/>
      <c r="J430" s="121"/>
      <c r="K430" s="121"/>
      <c r="L430" s="121"/>
      <c r="M430" s="110"/>
      <c r="N430" s="110"/>
      <c r="O430" s="110"/>
      <c r="P430" s="110"/>
      <c r="Q430" s="110"/>
      <c r="R430" s="110"/>
      <c r="S430" s="110"/>
      <c r="T430" s="110"/>
      <c r="U430" s="110"/>
      <c r="V430" s="110"/>
      <c r="W430" s="110"/>
      <c r="X430" s="110"/>
      <c r="Y430" s="110"/>
      <c r="Z430" s="110"/>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7"/>
      <c r="BK430" s="227"/>
    </row>
    <row r="431" spans="1:63" hidden="1" outlineLevel="1">
      <c r="A431" s="9"/>
      <c r="B431" s="44"/>
      <c r="C431" s="278" t="str">
        <f>Asset2</f>
        <v>Transmission Substations</v>
      </c>
      <c r="D431" s="9"/>
      <c r="E431" s="9"/>
      <c r="F431" s="142"/>
      <c r="G431" s="207">
        <f>Input!O8</f>
        <v>-24.619744597623882</v>
      </c>
      <c r="H431" s="121"/>
      <c r="I431" s="121"/>
      <c r="J431" s="121"/>
      <c r="K431" s="121"/>
      <c r="L431" s="121"/>
      <c r="M431" s="110"/>
      <c r="N431" s="110"/>
      <c r="O431" s="110"/>
      <c r="P431" s="110"/>
      <c r="Q431" s="110"/>
      <c r="R431" s="110"/>
      <c r="S431" s="110"/>
      <c r="T431" s="110"/>
      <c r="U431" s="110"/>
      <c r="V431" s="110"/>
      <c r="W431" s="110"/>
      <c r="X431" s="110"/>
      <c r="Y431" s="110"/>
      <c r="Z431" s="110"/>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7"/>
      <c r="BK431" s="227"/>
    </row>
    <row r="432" spans="1:63" hidden="1" outlineLevel="1">
      <c r="A432" s="9"/>
      <c r="B432" s="44"/>
      <c r="C432" s="278" t="str">
        <f>Asset3</f>
        <v>Protection and Control</v>
      </c>
      <c r="D432" s="9"/>
      <c r="E432" s="9"/>
      <c r="F432" s="142"/>
      <c r="G432" s="207">
        <f>Input!O9</f>
        <v>8.0081413556646659</v>
      </c>
      <c r="H432" s="121"/>
      <c r="I432" s="121"/>
      <c r="J432" s="121"/>
      <c r="K432" s="121"/>
      <c r="L432" s="121"/>
      <c r="M432" s="110"/>
      <c r="N432" s="110"/>
      <c r="O432" s="110"/>
      <c r="P432" s="110"/>
      <c r="Q432" s="110"/>
      <c r="R432" s="110"/>
      <c r="S432" s="110"/>
      <c r="T432" s="110"/>
      <c r="U432" s="110"/>
      <c r="V432" s="110"/>
      <c r="W432" s="110"/>
      <c r="X432" s="110"/>
      <c r="Y432" s="110"/>
      <c r="Z432" s="110"/>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7"/>
      <c r="BK432" s="227"/>
    </row>
    <row r="433" spans="1:63" hidden="1" outlineLevel="1">
      <c r="A433" s="9"/>
      <c r="B433" s="44"/>
      <c r="C433" s="278" t="str">
        <f>Asset4</f>
        <v>Refurbishment</v>
      </c>
      <c r="D433" s="9"/>
      <c r="E433" s="9"/>
      <c r="F433" s="142"/>
      <c r="G433" s="207">
        <f>Input!O10</f>
        <v>-15.141625906629972</v>
      </c>
      <c r="H433" s="121"/>
      <c r="I433" s="121"/>
      <c r="J433" s="121"/>
      <c r="K433" s="121"/>
      <c r="L433" s="121"/>
      <c r="M433" s="110"/>
      <c r="N433" s="110"/>
      <c r="O433" s="110"/>
      <c r="P433" s="110"/>
      <c r="Q433" s="110"/>
      <c r="R433" s="110"/>
      <c r="S433" s="110"/>
      <c r="T433" s="110"/>
      <c r="U433" s="110"/>
      <c r="V433" s="110"/>
      <c r="W433" s="110"/>
      <c r="X433" s="110"/>
      <c r="Y433" s="110"/>
      <c r="Z433" s="110"/>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7"/>
      <c r="BK433" s="227"/>
    </row>
    <row r="434" spans="1:63" hidden="1" outlineLevel="1">
      <c r="A434" s="9"/>
      <c r="B434" s="44"/>
      <c r="C434" s="278" t="str">
        <f>Asset5</f>
        <v>Other</v>
      </c>
      <c r="D434" s="9"/>
      <c r="E434" s="9"/>
      <c r="F434" s="142"/>
      <c r="G434" s="207">
        <f>Input!O11</f>
        <v>-0.4872756071361764</v>
      </c>
      <c r="H434" s="121"/>
      <c r="I434" s="121"/>
      <c r="J434" s="121"/>
      <c r="K434" s="121"/>
      <c r="L434" s="121"/>
      <c r="M434" s="110"/>
      <c r="N434" s="110"/>
      <c r="O434" s="110"/>
      <c r="P434" s="110"/>
      <c r="Q434" s="110"/>
      <c r="R434" s="110"/>
      <c r="S434" s="110"/>
      <c r="T434" s="110"/>
      <c r="U434" s="110"/>
      <c r="V434" s="110"/>
      <c r="W434" s="110"/>
      <c r="X434" s="110"/>
      <c r="Y434" s="110"/>
      <c r="Z434" s="110"/>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7"/>
      <c r="BK434" s="227"/>
    </row>
    <row r="435" spans="1:63" hidden="1" outlineLevel="1">
      <c r="A435" s="9"/>
      <c r="B435" s="44"/>
      <c r="C435" s="278" t="str">
        <f>Asset6</f>
        <v>Other - IT</v>
      </c>
      <c r="D435" s="9"/>
      <c r="E435" s="9"/>
      <c r="F435" s="142"/>
      <c r="G435" s="207">
        <f>Input!O12</f>
        <v>18.655537634766787</v>
      </c>
      <c r="H435" s="121"/>
      <c r="I435" s="121"/>
      <c r="J435" s="121"/>
      <c r="K435" s="121"/>
      <c r="L435" s="121"/>
      <c r="M435" s="110"/>
      <c r="N435" s="110"/>
      <c r="O435" s="110"/>
      <c r="P435" s="110"/>
      <c r="Q435" s="110"/>
      <c r="R435" s="110"/>
      <c r="S435" s="110"/>
      <c r="T435" s="110"/>
      <c r="U435" s="110"/>
      <c r="V435" s="110"/>
      <c r="W435" s="110"/>
      <c r="X435" s="110"/>
      <c r="Y435" s="110"/>
      <c r="Z435" s="110"/>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7"/>
      <c r="BK435" s="227"/>
    </row>
    <row r="436" spans="1:63" hidden="1" outlineLevel="1">
      <c r="A436" s="9"/>
      <c r="B436" s="44"/>
      <c r="C436" s="278" t="str">
        <f>Asset7</f>
        <v>Other - General</v>
      </c>
      <c r="D436" s="9"/>
      <c r="E436" s="9"/>
      <c r="F436" s="142"/>
      <c r="G436" s="207">
        <f>Input!O13</f>
        <v>-4.3670255217504392</v>
      </c>
      <c r="H436" s="121"/>
      <c r="I436" s="121"/>
      <c r="J436" s="121"/>
      <c r="K436" s="121"/>
      <c r="L436" s="121"/>
      <c r="M436" s="110"/>
      <c r="N436" s="110"/>
      <c r="O436" s="110"/>
      <c r="P436" s="110"/>
      <c r="Q436" s="110"/>
      <c r="R436" s="110"/>
      <c r="S436" s="110"/>
      <c r="T436" s="110"/>
      <c r="U436" s="110"/>
      <c r="V436" s="110"/>
      <c r="W436" s="110"/>
      <c r="X436" s="110"/>
      <c r="Y436" s="110"/>
      <c r="Z436" s="110"/>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7"/>
      <c r="BK436" s="227"/>
    </row>
    <row r="437" spans="1:63" hidden="1" outlineLevel="1">
      <c r="A437" s="9"/>
      <c r="B437" s="44"/>
      <c r="C437" s="278" t="str">
        <f>Asset8</f>
        <v>Other - Buildings</v>
      </c>
      <c r="D437" s="9"/>
      <c r="E437" s="9"/>
      <c r="F437" s="142"/>
      <c r="G437" s="207">
        <f>Input!O14</f>
        <v>12.501824253719461</v>
      </c>
      <c r="H437" s="121"/>
      <c r="I437" s="121"/>
      <c r="J437" s="121"/>
      <c r="K437" s="121"/>
      <c r="L437" s="121"/>
      <c r="M437" s="110"/>
      <c r="N437" s="110"/>
      <c r="O437" s="110"/>
      <c r="P437" s="110"/>
      <c r="Q437" s="110"/>
      <c r="R437" s="110"/>
      <c r="S437" s="110"/>
      <c r="T437" s="110"/>
      <c r="U437" s="110"/>
      <c r="V437" s="110"/>
      <c r="W437" s="110"/>
      <c r="X437" s="110"/>
      <c r="Y437" s="110"/>
      <c r="Z437" s="110"/>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7"/>
      <c r="BK437" s="227"/>
    </row>
    <row r="438" spans="1:63" hidden="1" outlineLevel="1">
      <c r="A438" s="9"/>
      <c r="B438" s="44"/>
      <c r="C438" s="278" t="str">
        <f>Asset9</f>
        <v>Land and Easements</v>
      </c>
      <c r="D438" s="9"/>
      <c r="E438" s="9"/>
      <c r="F438" s="142"/>
      <c r="G438" s="207">
        <f>Input!O15</f>
        <v>2.7927826556419029</v>
      </c>
      <c r="H438" s="121"/>
      <c r="I438" s="121"/>
      <c r="J438" s="121"/>
      <c r="K438" s="121"/>
      <c r="L438" s="121"/>
      <c r="M438" s="110"/>
      <c r="N438" s="110"/>
      <c r="O438" s="110"/>
      <c r="P438" s="110"/>
      <c r="Q438" s="110"/>
      <c r="R438" s="110"/>
      <c r="S438" s="110"/>
      <c r="T438" s="110"/>
      <c r="U438" s="110"/>
      <c r="V438" s="110"/>
      <c r="W438" s="110"/>
      <c r="X438" s="110"/>
      <c r="Y438" s="110"/>
      <c r="Z438" s="110"/>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7"/>
      <c r="BK438" s="227"/>
    </row>
    <row r="439" spans="1:63" hidden="1" outlineLevel="1">
      <c r="A439" s="9"/>
      <c r="B439" s="44"/>
      <c r="C439" s="278" t="str">
        <f>Asset10</f>
        <v>Transmission line assets - long life (60)</v>
      </c>
      <c r="D439" s="9"/>
      <c r="E439" s="9"/>
      <c r="F439" s="142"/>
      <c r="G439" s="207">
        <f>Input!O16</f>
        <v>0</v>
      </c>
      <c r="H439" s="121"/>
      <c r="I439" s="121"/>
      <c r="J439" s="121"/>
      <c r="K439" s="121"/>
      <c r="L439" s="121"/>
      <c r="M439" s="110"/>
      <c r="N439" s="110"/>
      <c r="O439" s="110"/>
      <c r="P439" s="110"/>
      <c r="Q439" s="110"/>
      <c r="R439" s="110"/>
      <c r="S439" s="110"/>
      <c r="T439" s="110"/>
      <c r="U439" s="110"/>
      <c r="V439" s="110"/>
      <c r="W439" s="110"/>
      <c r="X439" s="110"/>
      <c r="Y439" s="110"/>
      <c r="Z439" s="110"/>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7"/>
      <c r="BK439" s="227"/>
    </row>
    <row r="440" spans="1:63" hidden="1" outlineLevel="1">
      <c r="A440" s="9"/>
      <c r="B440" s="44"/>
      <c r="C440" s="278" t="str">
        <f>Asset11</f>
        <v>Transmission line assets - medium life (45)</v>
      </c>
      <c r="D440" s="9"/>
      <c r="E440" s="9"/>
      <c r="F440" s="142"/>
      <c r="G440" s="207">
        <f>Input!O17</f>
        <v>0</v>
      </c>
      <c r="H440" s="121"/>
      <c r="I440" s="121"/>
      <c r="J440" s="121"/>
      <c r="K440" s="121"/>
      <c r="L440" s="121"/>
      <c r="M440" s="110"/>
      <c r="N440" s="110"/>
      <c r="O440" s="110"/>
      <c r="P440" s="110"/>
      <c r="Q440" s="110"/>
      <c r="R440" s="110"/>
      <c r="S440" s="110"/>
      <c r="T440" s="110"/>
      <c r="U440" s="110"/>
      <c r="V440" s="110"/>
      <c r="W440" s="110"/>
      <c r="X440" s="110"/>
      <c r="Y440" s="110"/>
      <c r="Z440" s="110"/>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7"/>
      <c r="BK440" s="227"/>
    </row>
    <row r="441" spans="1:63" hidden="1" outlineLevel="1">
      <c r="A441" s="9"/>
      <c r="B441" s="44"/>
      <c r="C441" s="278" t="str">
        <f>Asset12</f>
        <v>Transmission line assets - short life (10)</v>
      </c>
      <c r="D441" s="9"/>
      <c r="E441" s="9"/>
      <c r="F441" s="142"/>
      <c r="G441" s="207">
        <f>Input!O18</f>
        <v>0</v>
      </c>
      <c r="H441" s="121"/>
      <c r="I441" s="121"/>
      <c r="J441" s="121"/>
      <c r="K441" s="121"/>
      <c r="L441" s="121"/>
      <c r="M441" s="110"/>
      <c r="N441" s="110"/>
      <c r="O441" s="110"/>
      <c r="P441" s="110"/>
      <c r="Q441" s="110"/>
      <c r="R441" s="110"/>
      <c r="S441" s="110"/>
      <c r="T441" s="110"/>
      <c r="U441" s="110"/>
      <c r="V441" s="110"/>
      <c r="W441" s="110"/>
      <c r="X441" s="110"/>
      <c r="Y441" s="110"/>
      <c r="Z441" s="110"/>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7"/>
      <c r="BK441" s="227"/>
    </row>
    <row r="442" spans="1:63" hidden="1" outlineLevel="1">
      <c r="A442" s="9"/>
      <c r="B442" s="44"/>
      <c r="C442" s="278" t="str">
        <f>Asset13</f>
        <v>Substation assets - long life (60)</v>
      </c>
      <c r="D442" s="9"/>
      <c r="E442" s="9"/>
      <c r="F442" s="142"/>
      <c r="G442" s="207">
        <f>Input!O19</f>
        <v>0</v>
      </c>
      <c r="H442" s="121"/>
      <c r="I442" s="121"/>
      <c r="J442" s="121"/>
      <c r="K442" s="121"/>
      <c r="L442" s="121"/>
      <c r="M442" s="110"/>
      <c r="N442" s="110"/>
      <c r="O442" s="110"/>
      <c r="P442" s="110"/>
      <c r="Q442" s="110"/>
      <c r="R442" s="110"/>
      <c r="S442" s="110"/>
      <c r="T442" s="110"/>
      <c r="U442" s="110"/>
      <c r="V442" s="110"/>
      <c r="W442" s="110"/>
      <c r="X442" s="110"/>
      <c r="Y442" s="110"/>
      <c r="Z442" s="110"/>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7"/>
      <c r="BK442" s="227"/>
    </row>
    <row r="443" spans="1:63" hidden="1" outlineLevel="1">
      <c r="A443" s="9"/>
      <c r="B443" s="44"/>
      <c r="C443" s="278" t="str">
        <f>Asset14</f>
        <v>Substation assets - medium life (45)</v>
      </c>
      <c r="D443" s="9"/>
      <c r="E443" s="9"/>
      <c r="F443" s="142"/>
      <c r="G443" s="207">
        <f>Input!O20</f>
        <v>0</v>
      </c>
      <c r="H443" s="121"/>
      <c r="I443" s="121"/>
      <c r="J443" s="121"/>
      <c r="K443" s="121"/>
      <c r="L443" s="121"/>
      <c r="M443" s="110"/>
      <c r="N443" s="110"/>
      <c r="O443" s="110"/>
      <c r="P443" s="110"/>
      <c r="Q443" s="110"/>
      <c r="R443" s="110"/>
      <c r="S443" s="110"/>
      <c r="T443" s="110"/>
      <c r="U443" s="110"/>
      <c r="V443" s="110"/>
      <c r="W443" s="110"/>
      <c r="X443" s="110"/>
      <c r="Y443" s="110"/>
      <c r="Z443" s="110"/>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7"/>
      <c r="BK443" s="227"/>
    </row>
    <row r="444" spans="1:63" hidden="1" outlineLevel="1">
      <c r="A444" s="9"/>
      <c r="B444" s="44"/>
      <c r="C444" s="278" t="str">
        <f>Asset15</f>
        <v>Substation assets - short life (15)</v>
      </c>
      <c r="D444" s="9"/>
      <c r="E444" s="9"/>
      <c r="F444" s="142"/>
      <c r="G444" s="207">
        <f>Input!O21</f>
        <v>0</v>
      </c>
      <c r="H444" s="121"/>
      <c r="I444" s="121"/>
      <c r="J444" s="121"/>
      <c r="K444" s="121"/>
      <c r="L444" s="121"/>
      <c r="M444" s="110"/>
      <c r="N444" s="110"/>
      <c r="O444" s="110"/>
      <c r="P444" s="110"/>
      <c r="Q444" s="110"/>
      <c r="R444" s="110"/>
      <c r="S444" s="110"/>
      <c r="T444" s="110"/>
      <c r="U444" s="110"/>
      <c r="V444" s="110"/>
      <c r="W444" s="110"/>
      <c r="X444" s="110"/>
      <c r="Y444" s="110"/>
      <c r="Z444" s="110"/>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7"/>
      <c r="BK444" s="227"/>
    </row>
    <row r="445" spans="1:63" hidden="1" outlineLevel="1">
      <c r="A445" s="9"/>
      <c r="B445" s="44"/>
      <c r="C445" s="278" t="str">
        <f>Asset16</f>
        <v>Protection and control - short life (15)</v>
      </c>
      <c r="D445" s="9"/>
      <c r="E445" s="9"/>
      <c r="F445" s="142"/>
      <c r="G445" s="207">
        <f>Input!O22</f>
        <v>0</v>
      </c>
      <c r="H445" s="121"/>
      <c r="I445" s="121"/>
      <c r="J445" s="121"/>
      <c r="K445" s="121"/>
      <c r="L445" s="121"/>
      <c r="M445" s="110"/>
      <c r="N445" s="110"/>
      <c r="O445" s="110"/>
      <c r="P445" s="110"/>
      <c r="Q445" s="110"/>
      <c r="R445" s="110"/>
      <c r="S445" s="110"/>
      <c r="T445" s="110"/>
      <c r="U445" s="110"/>
      <c r="V445" s="110"/>
      <c r="W445" s="110"/>
      <c r="X445" s="110"/>
      <c r="Y445" s="110"/>
      <c r="Z445" s="110"/>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7"/>
      <c r="BK445" s="227"/>
    </row>
    <row r="446" spans="1:63" hidden="1" outlineLevel="1">
      <c r="A446" s="9"/>
      <c r="B446" s="44"/>
      <c r="C446" s="278" t="str">
        <f>Asset17</f>
        <v>Protection and control - short life (4)</v>
      </c>
      <c r="D446" s="9"/>
      <c r="E446" s="9"/>
      <c r="F446" s="142"/>
      <c r="G446" s="207">
        <f>Input!O23</f>
        <v>0</v>
      </c>
      <c r="H446" s="121"/>
      <c r="I446" s="121"/>
      <c r="J446" s="121"/>
      <c r="K446" s="121"/>
      <c r="L446" s="121"/>
      <c r="M446" s="110"/>
      <c r="N446" s="110"/>
      <c r="O446" s="110"/>
      <c r="P446" s="110"/>
      <c r="Q446" s="110"/>
      <c r="R446" s="110"/>
      <c r="S446" s="110"/>
      <c r="T446" s="110"/>
      <c r="U446" s="110"/>
      <c r="V446" s="110"/>
      <c r="W446" s="110"/>
      <c r="X446" s="110"/>
      <c r="Y446" s="110"/>
      <c r="Z446" s="110"/>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7"/>
      <c r="BK446" s="227"/>
    </row>
    <row r="447" spans="1:63" hidden="1" outlineLevel="1">
      <c r="A447" s="9"/>
      <c r="B447" s="44"/>
      <c r="C447" s="278" t="str">
        <f>Asset18</f>
        <v>Transmission operations - short life (10)</v>
      </c>
      <c r="D447" s="9"/>
      <c r="E447" s="9"/>
      <c r="F447" s="142"/>
      <c r="G447" s="207">
        <f>Input!O24</f>
        <v>0</v>
      </c>
      <c r="H447" s="121"/>
      <c r="I447" s="121"/>
      <c r="J447" s="121"/>
      <c r="K447" s="121"/>
      <c r="L447" s="121"/>
      <c r="M447" s="110"/>
      <c r="N447" s="110"/>
      <c r="O447" s="110"/>
      <c r="P447" s="110"/>
      <c r="Q447" s="110"/>
      <c r="R447" s="110"/>
      <c r="S447" s="110"/>
      <c r="T447" s="110"/>
      <c r="U447" s="110"/>
      <c r="V447" s="110"/>
      <c r="W447" s="110"/>
      <c r="X447" s="110"/>
      <c r="Y447" s="110"/>
      <c r="Z447" s="110"/>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7"/>
      <c r="BK447" s="227"/>
    </row>
    <row r="448" spans="1:63" hidden="1" outlineLevel="1">
      <c r="A448" s="9"/>
      <c r="B448" s="44"/>
      <c r="C448" s="278" t="str">
        <f>Asset19</f>
        <v>Transmission operations - short life (4)</v>
      </c>
      <c r="D448" s="9"/>
      <c r="E448" s="9"/>
      <c r="F448" s="142"/>
      <c r="G448" s="207">
        <f>Input!O25</f>
        <v>0</v>
      </c>
      <c r="H448" s="121"/>
      <c r="I448" s="121"/>
      <c r="J448" s="121"/>
      <c r="K448" s="121"/>
      <c r="L448" s="121"/>
      <c r="M448" s="110"/>
      <c r="N448" s="110"/>
      <c r="O448" s="110"/>
      <c r="P448" s="110"/>
      <c r="Q448" s="110"/>
      <c r="R448" s="110"/>
      <c r="S448" s="110"/>
      <c r="T448" s="110"/>
      <c r="U448" s="110"/>
      <c r="V448" s="110"/>
      <c r="W448" s="110"/>
      <c r="X448" s="110"/>
      <c r="Y448" s="110"/>
      <c r="Z448" s="110"/>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7"/>
      <c r="BK448" s="227"/>
    </row>
    <row r="449" spans="1:63" hidden="1" outlineLevel="1">
      <c r="A449" s="9"/>
      <c r="B449" s="44"/>
      <c r="C449" s="278" t="str">
        <f>Asset20</f>
        <v>Other - medium life (40)</v>
      </c>
      <c r="D449" s="9"/>
      <c r="E449" s="9"/>
      <c r="F449" s="142"/>
      <c r="G449" s="207">
        <f>Input!O26</f>
        <v>0</v>
      </c>
      <c r="H449" s="121"/>
      <c r="I449" s="121"/>
      <c r="J449" s="121"/>
      <c r="K449" s="121"/>
      <c r="L449" s="121"/>
      <c r="M449" s="110"/>
      <c r="N449" s="110"/>
      <c r="O449" s="110"/>
      <c r="P449" s="110"/>
      <c r="Q449" s="110"/>
      <c r="R449" s="110"/>
      <c r="S449" s="110"/>
      <c r="T449" s="110"/>
      <c r="U449" s="110"/>
      <c r="V449" s="110"/>
      <c r="W449" s="110"/>
      <c r="X449" s="110"/>
      <c r="Y449" s="110"/>
      <c r="Z449" s="110"/>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7"/>
      <c r="BK449" s="227"/>
    </row>
    <row r="450" spans="1:63" hidden="1" outlineLevel="1">
      <c r="A450" s="9"/>
      <c r="B450" s="44"/>
      <c r="C450" s="278" t="str">
        <f>Asset21</f>
        <v>Other - short life (9)</v>
      </c>
      <c r="D450" s="9"/>
      <c r="E450" s="9"/>
      <c r="F450" s="142"/>
      <c r="G450" s="207">
        <f>Input!O27</f>
        <v>0</v>
      </c>
      <c r="H450" s="121"/>
      <c r="I450" s="121"/>
      <c r="J450" s="121"/>
      <c r="K450" s="121"/>
      <c r="L450" s="121"/>
      <c r="M450" s="110"/>
      <c r="N450" s="110"/>
      <c r="O450" s="110"/>
      <c r="P450" s="110"/>
      <c r="Q450" s="110"/>
      <c r="R450" s="110"/>
      <c r="S450" s="110"/>
      <c r="T450" s="110"/>
      <c r="U450" s="110"/>
      <c r="V450" s="110"/>
      <c r="W450" s="110"/>
      <c r="X450" s="110"/>
      <c r="Y450" s="110"/>
      <c r="Z450" s="110"/>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7"/>
      <c r="BK450" s="227"/>
    </row>
    <row r="451" spans="1:63" hidden="1" outlineLevel="1">
      <c r="A451" s="9"/>
      <c r="B451" s="44"/>
      <c r="C451" s="278" t="str">
        <f>Asset22</f>
        <v>Other - short life (4)</v>
      </c>
      <c r="D451" s="9"/>
      <c r="E451" s="9"/>
      <c r="F451" s="142"/>
      <c r="G451" s="207">
        <f>Input!O28</f>
        <v>0</v>
      </c>
      <c r="H451" s="121"/>
      <c r="I451" s="121"/>
      <c r="J451" s="121"/>
      <c r="K451" s="121"/>
      <c r="L451" s="121"/>
      <c r="M451" s="110"/>
      <c r="N451" s="110"/>
      <c r="O451" s="110"/>
      <c r="P451" s="110"/>
      <c r="Q451" s="110"/>
      <c r="R451" s="110"/>
      <c r="S451" s="110"/>
      <c r="T451" s="110"/>
      <c r="U451" s="110"/>
      <c r="V451" s="110"/>
      <c r="W451" s="110"/>
      <c r="X451" s="110"/>
      <c r="Y451" s="110"/>
      <c r="Z451" s="110"/>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7"/>
      <c r="BK451" s="227"/>
    </row>
    <row r="452" spans="1:63" hidden="1" outlineLevel="1">
      <c r="A452" s="9"/>
      <c r="B452" s="44"/>
      <c r="C452" s="278" t="str">
        <f>Asset23</f>
        <v>Land and Easements</v>
      </c>
      <c r="D452" s="9"/>
      <c r="E452" s="9"/>
      <c r="F452" s="142"/>
      <c r="G452" s="207">
        <f>Input!O29</f>
        <v>0</v>
      </c>
      <c r="H452" s="121"/>
      <c r="I452" s="121"/>
      <c r="J452" s="121"/>
      <c r="K452" s="121"/>
      <c r="L452" s="121"/>
      <c r="M452" s="110"/>
      <c r="N452" s="110"/>
      <c r="O452" s="110"/>
      <c r="P452" s="110"/>
      <c r="Q452" s="110"/>
      <c r="R452" s="110"/>
      <c r="S452" s="110"/>
      <c r="T452" s="110"/>
      <c r="U452" s="110"/>
      <c r="V452" s="110"/>
      <c r="W452" s="110"/>
      <c r="X452" s="110"/>
      <c r="Y452" s="110"/>
      <c r="Z452" s="110"/>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7"/>
      <c r="BK452" s="227"/>
    </row>
    <row r="453" spans="1:63" hidden="1" outlineLevel="1">
      <c r="A453" s="9"/>
      <c r="B453" s="44"/>
      <c r="C453" s="278" t="str">
        <f>Asset24</f>
        <v>Equity Raising</v>
      </c>
      <c r="D453" s="9"/>
      <c r="E453" s="9"/>
      <c r="F453" s="142"/>
      <c r="G453" s="207">
        <f>Input!O30</f>
        <v>0</v>
      </c>
      <c r="H453" s="121"/>
      <c r="I453" s="121"/>
      <c r="J453" s="121"/>
      <c r="K453" s="121"/>
      <c r="L453" s="121"/>
      <c r="M453" s="110"/>
      <c r="N453" s="110"/>
      <c r="O453" s="110"/>
      <c r="P453" s="110"/>
      <c r="Q453" s="110"/>
      <c r="R453" s="110"/>
      <c r="S453" s="110"/>
      <c r="T453" s="110"/>
      <c r="U453" s="110"/>
      <c r="V453" s="110"/>
      <c r="W453" s="110"/>
      <c r="X453" s="110"/>
      <c r="Y453" s="110"/>
      <c r="Z453" s="110"/>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7"/>
      <c r="BK453" s="227"/>
    </row>
    <row r="454" spans="1:63" hidden="1" outlineLevel="1">
      <c r="A454" s="9"/>
      <c r="B454" s="44"/>
      <c r="C454" s="278">
        <f>Asset25</f>
        <v>0</v>
      </c>
      <c r="D454" s="9"/>
      <c r="E454" s="9"/>
      <c r="F454" s="142"/>
      <c r="G454" s="207">
        <f>Input!O31</f>
        <v>0</v>
      </c>
      <c r="H454" s="121"/>
      <c r="I454" s="121"/>
      <c r="J454" s="121"/>
      <c r="K454" s="121"/>
      <c r="L454" s="121"/>
      <c r="M454" s="110"/>
      <c r="N454" s="110"/>
      <c r="O454" s="110"/>
      <c r="P454" s="110"/>
      <c r="Q454" s="110"/>
      <c r="R454" s="110"/>
      <c r="S454" s="110"/>
      <c r="T454" s="110"/>
      <c r="U454" s="110"/>
      <c r="V454" s="110"/>
      <c r="W454" s="110"/>
      <c r="X454" s="110"/>
      <c r="Y454" s="110"/>
      <c r="Z454" s="110"/>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7"/>
      <c r="BK454" s="227"/>
    </row>
    <row r="455" spans="1:63" hidden="1" outlineLevel="1">
      <c r="A455" s="9"/>
      <c r="B455" s="44"/>
      <c r="C455" s="278">
        <f>Asset26</f>
        <v>0</v>
      </c>
      <c r="D455" s="9"/>
      <c r="E455" s="9"/>
      <c r="F455" s="142"/>
      <c r="G455" s="207">
        <f>Input!O32</f>
        <v>0</v>
      </c>
      <c r="H455" s="121"/>
      <c r="I455" s="121"/>
      <c r="J455" s="121"/>
      <c r="K455" s="121"/>
      <c r="L455" s="121"/>
      <c r="M455" s="110"/>
      <c r="N455" s="110"/>
      <c r="O455" s="110"/>
      <c r="P455" s="110"/>
      <c r="Q455" s="110"/>
      <c r="R455" s="110"/>
      <c r="S455" s="110"/>
      <c r="T455" s="110"/>
      <c r="U455" s="110"/>
      <c r="V455" s="110"/>
      <c r="W455" s="110"/>
      <c r="X455" s="110"/>
      <c r="Y455" s="110"/>
      <c r="Z455" s="110"/>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7"/>
      <c r="BK455" s="227"/>
    </row>
    <row r="456" spans="1:63" hidden="1" outlineLevel="1">
      <c r="A456" s="9"/>
      <c r="B456" s="44"/>
      <c r="C456" s="278">
        <f>Asset27</f>
        <v>0</v>
      </c>
      <c r="D456" s="9"/>
      <c r="E456" s="9"/>
      <c r="F456" s="142"/>
      <c r="G456" s="207">
        <f>Input!O33</f>
        <v>0</v>
      </c>
      <c r="H456" s="121"/>
      <c r="I456" s="121"/>
      <c r="J456" s="121"/>
      <c r="K456" s="121"/>
      <c r="L456" s="121"/>
      <c r="M456" s="110"/>
      <c r="N456" s="110"/>
      <c r="O456" s="110"/>
      <c r="P456" s="110"/>
      <c r="Q456" s="110"/>
      <c r="R456" s="110"/>
      <c r="S456" s="110"/>
      <c r="T456" s="110"/>
      <c r="U456" s="110"/>
      <c r="V456" s="110"/>
      <c r="W456" s="110"/>
      <c r="X456" s="110"/>
      <c r="Y456" s="110"/>
      <c r="Z456" s="110"/>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7"/>
      <c r="BK456" s="227"/>
    </row>
    <row r="457" spans="1:63" hidden="1" outlineLevel="1">
      <c r="A457" s="9"/>
      <c r="B457" s="44"/>
      <c r="C457" s="278">
        <f>Asset28</f>
        <v>0</v>
      </c>
      <c r="D457" s="9"/>
      <c r="E457" s="9"/>
      <c r="F457" s="142"/>
      <c r="G457" s="207">
        <f>Input!O34</f>
        <v>0</v>
      </c>
      <c r="H457" s="121"/>
      <c r="I457" s="121"/>
      <c r="J457" s="121"/>
      <c r="K457" s="121"/>
      <c r="L457" s="121"/>
      <c r="M457" s="110"/>
      <c r="N457" s="110"/>
      <c r="O457" s="110"/>
      <c r="P457" s="110"/>
      <c r="Q457" s="110"/>
      <c r="R457" s="110"/>
      <c r="S457" s="110"/>
      <c r="T457" s="110"/>
      <c r="U457" s="110"/>
      <c r="V457" s="110"/>
      <c r="W457" s="110"/>
      <c r="X457" s="110"/>
      <c r="Y457" s="110"/>
      <c r="Z457" s="110"/>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7"/>
      <c r="BK457" s="227"/>
    </row>
    <row r="458" spans="1:63" hidden="1" outlineLevel="1">
      <c r="A458" s="9"/>
      <c r="B458" s="44"/>
      <c r="C458" s="278">
        <f>Asset29</f>
        <v>0</v>
      </c>
      <c r="D458" s="9"/>
      <c r="E458" s="9"/>
      <c r="F458" s="142"/>
      <c r="G458" s="207">
        <f>Input!O35</f>
        <v>0</v>
      </c>
      <c r="H458" s="121"/>
      <c r="I458" s="121"/>
      <c r="J458" s="121"/>
      <c r="K458" s="121"/>
      <c r="L458" s="121"/>
      <c r="M458" s="110"/>
      <c r="N458" s="110"/>
      <c r="O458" s="110"/>
      <c r="P458" s="110"/>
      <c r="Q458" s="110"/>
      <c r="R458" s="110"/>
      <c r="S458" s="110"/>
      <c r="T458" s="110"/>
      <c r="U458" s="110"/>
      <c r="V458" s="110"/>
      <c r="W458" s="110"/>
      <c r="X458" s="110"/>
      <c r="Y458" s="110"/>
      <c r="Z458" s="110"/>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7"/>
      <c r="BK458" s="227"/>
    </row>
    <row r="459" spans="1:63" hidden="1" outlineLevel="1">
      <c r="A459" s="9"/>
      <c r="B459" s="44"/>
      <c r="C459" s="278">
        <f>Asset30</f>
        <v>0</v>
      </c>
      <c r="D459" s="9"/>
      <c r="E459" s="9"/>
      <c r="F459" s="142"/>
      <c r="G459" s="207">
        <f>Input!O36</f>
        <v>0</v>
      </c>
      <c r="H459" s="121"/>
      <c r="I459" s="121"/>
      <c r="J459" s="121"/>
      <c r="K459" s="121"/>
      <c r="L459" s="121"/>
      <c r="M459" s="110"/>
      <c r="N459" s="110"/>
      <c r="O459" s="110"/>
      <c r="P459" s="110"/>
      <c r="Q459" s="110"/>
      <c r="R459" s="110"/>
      <c r="S459" s="110"/>
      <c r="T459" s="110"/>
      <c r="U459" s="110"/>
      <c r="V459" s="110"/>
      <c r="W459" s="110"/>
      <c r="X459" s="110"/>
      <c r="Y459" s="110"/>
      <c r="Z459" s="110"/>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7"/>
      <c r="BK459" s="227"/>
    </row>
    <row r="460" spans="1:63" collapsed="1">
      <c r="A460" s="9"/>
      <c r="B460" s="44"/>
      <c r="C460" s="130"/>
      <c r="D460" s="9"/>
      <c r="E460" s="9"/>
      <c r="F460" s="142"/>
      <c r="G460" s="207"/>
      <c r="H460" s="121"/>
      <c r="I460" s="121"/>
      <c r="J460" s="121"/>
      <c r="K460" s="121"/>
      <c r="L460" s="121"/>
      <c r="M460" s="110"/>
      <c r="N460" s="110"/>
      <c r="O460" s="110"/>
      <c r="P460" s="110"/>
      <c r="Q460" s="110"/>
      <c r="R460" s="110"/>
      <c r="S460" s="110"/>
      <c r="T460" s="110"/>
      <c r="U460" s="110"/>
      <c r="V460" s="110"/>
      <c r="W460" s="110"/>
      <c r="X460" s="110"/>
      <c r="Y460" s="110"/>
      <c r="Z460" s="110"/>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7"/>
      <c r="BK460" s="227"/>
    </row>
    <row r="461" spans="1:63">
      <c r="A461" s="9"/>
      <c r="B461" s="44" t="s">
        <v>60</v>
      </c>
      <c r="C461" s="130"/>
      <c r="D461" s="9"/>
      <c r="E461" s="9"/>
      <c r="F461" s="142"/>
      <c r="G461" s="209">
        <f>SUM(G462:G491)</f>
        <v>-5.8894452447240129</v>
      </c>
      <c r="H461" s="121"/>
      <c r="I461" s="121"/>
      <c r="J461" s="121"/>
      <c r="K461" s="121"/>
      <c r="L461" s="121"/>
      <c r="M461" s="110"/>
      <c r="N461" s="110"/>
      <c r="O461" s="110"/>
      <c r="P461" s="110"/>
      <c r="Q461" s="110"/>
      <c r="R461" s="110"/>
      <c r="S461" s="110"/>
      <c r="T461" s="110"/>
      <c r="U461" s="110"/>
      <c r="V461" s="110"/>
      <c r="W461" s="110"/>
      <c r="X461" s="110"/>
      <c r="Y461" s="110"/>
      <c r="Z461" s="110"/>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7"/>
      <c r="BK461" s="227"/>
    </row>
    <row r="462" spans="1:63" ht="12.75" hidden="1" customHeight="1" outlineLevel="1">
      <c r="A462" s="9"/>
      <c r="B462" s="9"/>
      <c r="C462" s="278" t="str">
        <f>Asset1</f>
        <v>Transmission Lines and Cables</v>
      </c>
      <c r="D462" s="9"/>
      <c r="E462" s="9"/>
      <c r="F462" s="142"/>
      <c r="G462" s="207">
        <f>Input!P7</f>
        <v>1.8023162780666071</v>
      </c>
      <c r="H462" s="121"/>
      <c r="I462" s="121"/>
      <c r="J462" s="121"/>
      <c r="K462" s="121"/>
      <c r="L462" s="121"/>
      <c r="M462" s="110"/>
      <c r="N462" s="110"/>
      <c r="O462" s="110"/>
      <c r="P462" s="110"/>
      <c r="Q462" s="110"/>
      <c r="R462" s="110"/>
      <c r="S462" s="110"/>
      <c r="T462" s="110"/>
      <c r="U462" s="110"/>
      <c r="V462" s="110"/>
      <c r="W462" s="110"/>
      <c r="X462" s="110"/>
      <c r="Y462" s="110"/>
      <c r="Z462" s="110"/>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7"/>
      <c r="BK462" s="227"/>
    </row>
    <row r="463" spans="1:63" ht="12.75" hidden="1" customHeight="1" outlineLevel="1">
      <c r="A463" s="9"/>
      <c r="B463" s="44"/>
      <c r="C463" s="278" t="str">
        <f>Asset2</f>
        <v>Transmission Substations</v>
      </c>
      <c r="D463" s="9"/>
      <c r="E463" s="9"/>
      <c r="F463" s="142"/>
      <c r="G463" s="207">
        <f>Input!P8</f>
        <v>-2.0600227695986688</v>
      </c>
      <c r="H463" s="121"/>
      <c r="I463" s="121"/>
      <c r="J463" s="121"/>
      <c r="K463" s="121"/>
      <c r="L463" s="121"/>
      <c r="M463" s="110"/>
      <c r="N463" s="110"/>
      <c r="O463" s="110"/>
      <c r="P463" s="110"/>
      <c r="Q463" s="110"/>
      <c r="R463" s="110"/>
      <c r="S463" s="110"/>
      <c r="T463" s="110"/>
      <c r="U463" s="110"/>
      <c r="V463" s="110"/>
      <c r="W463" s="110"/>
      <c r="X463" s="110"/>
      <c r="Y463" s="110"/>
      <c r="Z463" s="110"/>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7"/>
      <c r="BK463" s="227"/>
    </row>
    <row r="464" spans="1:63" ht="12.75" hidden="1" customHeight="1" outlineLevel="1">
      <c r="A464" s="9"/>
      <c r="B464" s="44"/>
      <c r="C464" s="278" t="str">
        <f>Asset3</f>
        <v>Protection and Control</v>
      </c>
      <c r="D464" s="9"/>
      <c r="E464" s="9"/>
      <c r="F464" s="142"/>
      <c r="G464" s="207">
        <f>Input!P9</f>
        <v>-0.94185138279832004</v>
      </c>
      <c r="H464" s="121"/>
      <c r="I464" s="121"/>
      <c r="J464" s="121"/>
      <c r="K464" s="121"/>
      <c r="L464" s="121"/>
      <c r="M464" s="110"/>
      <c r="N464" s="110"/>
      <c r="O464" s="110"/>
      <c r="P464" s="110"/>
      <c r="Q464" s="110"/>
      <c r="R464" s="110"/>
      <c r="S464" s="110"/>
      <c r="T464" s="110"/>
      <c r="U464" s="110"/>
      <c r="V464" s="110"/>
      <c r="W464" s="110"/>
      <c r="X464" s="110"/>
      <c r="Y464" s="110"/>
      <c r="Z464" s="110"/>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7"/>
      <c r="BK464" s="227"/>
    </row>
    <row r="465" spans="1:63" ht="12.75" hidden="1" customHeight="1" outlineLevel="1">
      <c r="A465" s="9"/>
      <c r="B465" s="44"/>
      <c r="C465" s="278" t="str">
        <f>Asset4</f>
        <v>Refurbishment</v>
      </c>
      <c r="D465" s="9"/>
      <c r="E465" s="9"/>
      <c r="F465" s="142"/>
      <c r="G465" s="207">
        <f>Input!P10</f>
        <v>-3.779957175596103</v>
      </c>
      <c r="H465" s="121"/>
      <c r="I465" s="121"/>
      <c r="J465" s="121"/>
      <c r="K465" s="121"/>
      <c r="L465" s="121"/>
      <c r="M465" s="110"/>
      <c r="N465" s="110"/>
      <c r="O465" s="110"/>
      <c r="P465" s="110"/>
      <c r="Q465" s="110"/>
      <c r="R465" s="110"/>
      <c r="S465" s="110"/>
      <c r="T465" s="110"/>
      <c r="U465" s="110"/>
      <c r="V465" s="110"/>
      <c r="W465" s="110"/>
      <c r="X465" s="110"/>
      <c r="Y465" s="110"/>
      <c r="Z465" s="110"/>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7"/>
      <c r="BK465" s="227"/>
    </row>
    <row r="466" spans="1:63" ht="12.75" hidden="1" customHeight="1" outlineLevel="1">
      <c r="A466" s="9"/>
      <c r="B466" s="44"/>
      <c r="C466" s="278" t="str">
        <f>Asset5</f>
        <v>Other</v>
      </c>
      <c r="D466" s="9"/>
      <c r="E466" s="9"/>
      <c r="F466" s="142"/>
      <c r="G466" s="207">
        <f>Input!P11</f>
        <v>0</v>
      </c>
      <c r="H466" s="121"/>
      <c r="I466" s="121"/>
      <c r="J466" s="121"/>
      <c r="K466" s="121"/>
      <c r="L466" s="121"/>
      <c r="M466" s="110"/>
      <c r="N466" s="110"/>
      <c r="O466" s="110"/>
      <c r="P466" s="110"/>
      <c r="Q466" s="110"/>
      <c r="R466" s="110"/>
      <c r="S466" s="110"/>
      <c r="T466" s="110"/>
      <c r="U466" s="110"/>
      <c r="V466" s="110"/>
      <c r="W466" s="110"/>
      <c r="X466" s="110"/>
      <c r="Y466" s="110"/>
      <c r="Z466" s="110"/>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7"/>
      <c r="BK466" s="227"/>
    </row>
    <row r="467" spans="1:63" ht="12.75" hidden="1" customHeight="1" outlineLevel="1">
      <c r="A467" s="9"/>
      <c r="B467" s="44"/>
      <c r="C467" s="278" t="str">
        <f>Asset6</f>
        <v>Other - IT</v>
      </c>
      <c r="D467" s="9"/>
      <c r="E467" s="9"/>
      <c r="F467" s="142"/>
      <c r="G467" s="207">
        <f>Input!P12</f>
        <v>0.53659365359905431</v>
      </c>
      <c r="H467" s="121"/>
      <c r="I467" s="121"/>
      <c r="J467" s="121"/>
      <c r="K467" s="121"/>
      <c r="L467" s="121"/>
      <c r="M467" s="110"/>
      <c r="N467" s="110"/>
      <c r="O467" s="110"/>
      <c r="P467" s="110"/>
      <c r="Q467" s="110"/>
      <c r="R467" s="110"/>
      <c r="S467" s="110"/>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7"/>
      <c r="BK467" s="227"/>
    </row>
    <row r="468" spans="1:63" ht="12.75" hidden="1" customHeight="1" outlineLevel="1">
      <c r="A468" s="9"/>
      <c r="B468" s="44"/>
      <c r="C468" s="278" t="str">
        <f>Asset7</f>
        <v>Other - General</v>
      </c>
      <c r="D468" s="9"/>
      <c r="E468" s="9"/>
      <c r="F468" s="142"/>
      <c r="G468" s="207">
        <f>Input!P13</f>
        <v>-0.6870561688414184</v>
      </c>
      <c r="H468" s="121"/>
      <c r="I468" s="121"/>
      <c r="J468" s="121"/>
      <c r="K468" s="121"/>
      <c r="L468" s="121"/>
      <c r="M468" s="110"/>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7"/>
      <c r="BK468" s="227"/>
    </row>
    <row r="469" spans="1:63" ht="12.75" hidden="1" customHeight="1" outlineLevel="1">
      <c r="A469" s="9"/>
      <c r="B469" s="44"/>
      <c r="C469" s="278" t="str">
        <f>Asset8</f>
        <v>Other - Buildings</v>
      </c>
      <c r="D469" s="9"/>
      <c r="E469" s="9"/>
      <c r="F469" s="142"/>
      <c r="G469" s="207">
        <f>Input!P14</f>
        <v>-0.94861976687876493</v>
      </c>
      <c r="H469" s="121"/>
      <c r="I469" s="121"/>
      <c r="J469" s="121"/>
      <c r="K469" s="121"/>
      <c r="L469" s="121"/>
      <c r="M469" s="110"/>
      <c r="N469" s="110"/>
      <c r="O469" s="110"/>
      <c r="P469" s="110"/>
      <c r="Q469" s="110"/>
      <c r="R469" s="110"/>
      <c r="S469" s="110"/>
      <c r="T469" s="110"/>
      <c r="U469" s="110"/>
      <c r="V469" s="110"/>
      <c r="W469" s="110"/>
      <c r="X469" s="110"/>
      <c r="Y469" s="110"/>
      <c r="Z469" s="110"/>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7"/>
      <c r="BK469" s="227"/>
    </row>
    <row r="470" spans="1:63" ht="12.75" hidden="1" customHeight="1" outlineLevel="1">
      <c r="A470" s="9"/>
      <c r="B470" s="44"/>
      <c r="C470" s="278" t="str">
        <f>Asset9</f>
        <v>Land and Easements</v>
      </c>
      <c r="D470" s="9"/>
      <c r="E470" s="9"/>
      <c r="F470" s="142"/>
      <c r="G470" s="207">
        <f>Input!P15</f>
        <v>0.18915208732360167</v>
      </c>
      <c r="H470" s="121"/>
      <c r="I470" s="121"/>
      <c r="J470" s="121"/>
      <c r="K470" s="121"/>
      <c r="L470" s="121"/>
      <c r="M470" s="110"/>
      <c r="N470" s="110"/>
      <c r="O470" s="110"/>
      <c r="P470" s="110"/>
      <c r="Q470" s="110"/>
      <c r="R470" s="110"/>
      <c r="S470" s="110"/>
      <c r="T470" s="110"/>
      <c r="U470" s="110"/>
      <c r="V470" s="110"/>
      <c r="W470" s="110"/>
      <c r="X470" s="110"/>
      <c r="Y470" s="110"/>
      <c r="Z470" s="110"/>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7"/>
      <c r="BK470" s="227"/>
    </row>
    <row r="471" spans="1:63" ht="12.75" hidden="1" customHeight="1" outlineLevel="1">
      <c r="A471" s="9"/>
      <c r="B471" s="44"/>
      <c r="C471" s="278" t="str">
        <f>Asset10</f>
        <v>Transmission line assets - long life (60)</v>
      </c>
      <c r="D471" s="9"/>
      <c r="E471" s="9"/>
      <c r="F471" s="142"/>
      <c r="G471" s="207">
        <f>Input!P16</f>
        <v>0</v>
      </c>
      <c r="H471" s="121"/>
      <c r="I471" s="121"/>
      <c r="J471" s="121"/>
      <c r="K471" s="121"/>
      <c r="L471" s="121"/>
      <c r="M471" s="110"/>
      <c r="N471" s="110"/>
      <c r="O471" s="110"/>
      <c r="P471" s="110"/>
      <c r="Q471" s="110"/>
      <c r="R471" s="110"/>
      <c r="S471" s="110"/>
      <c r="T471" s="110"/>
      <c r="U471" s="110"/>
      <c r="V471" s="110"/>
      <c r="W471" s="110"/>
      <c r="X471" s="110"/>
      <c r="Y471" s="110"/>
      <c r="Z471" s="110"/>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7"/>
      <c r="BK471" s="227"/>
    </row>
    <row r="472" spans="1:63" ht="12.75" hidden="1" customHeight="1" outlineLevel="1">
      <c r="A472" s="9"/>
      <c r="B472" s="44"/>
      <c r="C472" s="278" t="str">
        <f>Asset11</f>
        <v>Transmission line assets - medium life (45)</v>
      </c>
      <c r="D472" s="9"/>
      <c r="E472" s="9"/>
      <c r="F472" s="142"/>
      <c r="G472" s="207">
        <f>Input!P17</f>
        <v>0</v>
      </c>
      <c r="H472" s="121"/>
      <c r="I472" s="121"/>
      <c r="J472" s="121"/>
      <c r="K472" s="121"/>
      <c r="L472" s="121"/>
      <c r="M472" s="110"/>
      <c r="N472" s="110"/>
      <c r="O472" s="110"/>
      <c r="P472" s="110"/>
      <c r="Q472" s="110"/>
      <c r="R472" s="110"/>
      <c r="S472" s="110"/>
      <c r="T472" s="110"/>
      <c r="U472" s="110"/>
      <c r="V472" s="110"/>
      <c r="W472" s="110"/>
      <c r="X472" s="110"/>
      <c r="Y472" s="110"/>
      <c r="Z472" s="110"/>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7"/>
      <c r="BK472" s="227"/>
    </row>
    <row r="473" spans="1:63" ht="12.75" hidden="1" customHeight="1" outlineLevel="1">
      <c r="A473" s="9"/>
      <c r="B473" s="44"/>
      <c r="C473" s="278" t="str">
        <f>Asset12</f>
        <v>Transmission line assets - short life (10)</v>
      </c>
      <c r="D473" s="9"/>
      <c r="E473" s="9"/>
      <c r="F473" s="142"/>
      <c r="G473" s="207">
        <f>Input!P18</f>
        <v>0</v>
      </c>
      <c r="H473" s="121"/>
      <c r="I473" s="121"/>
      <c r="J473" s="121"/>
      <c r="K473" s="121"/>
      <c r="L473" s="121"/>
      <c r="M473" s="110"/>
      <c r="N473" s="110"/>
      <c r="O473" s="110"/>
      <c r="P473" s="110"/>
      <c r="Q473" s="110"/>
      <c r="R473" s="110"/>
      <c r="S473" s="110"/>
      <c r="T473" s="110"/>
      <c r="U473" s="110"/>
      <c r="V473" s="110"/>
      <c r="W473" s="110"/>
      <c r="X473" s="110"/>
      <c r="Y473" s="110"/>
      <c r="Z473" s="110"/>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7"/>
      <c r="BK473" s="227"/>
    </row>
    <row r="474" spans="1:63" ht="12.75" hidden="1" customHeight="1" outlineLevel="1">
      <c r="A474" s="9"/>
      <c r="B474" s="44"/>
      <c r="C474" s="278" t="str">
        <f>Asset13</f>
        <v>Substation assets - long life (60)</v>
      </c>
      <c r="D474" s="9"/>
      <c r="E474" s="9"/>
      <c r="F474" s="142"/>
      <c r="G474" s="207">
        <f>Input!P19</f>
        <v>0</v>
      </c>
      <c r="H474" s="121"/>
      <c r="I474" s="121"/>
      <c r="J474" s="121"/>
      <c r="K474" s="121"/>
      <c r="L474" s="121"/>
      <c r="M474" s="110"/>
      <c r="N474" s="110"/>
      <c r="O474" s="110"/>
      <c r="P474" s="110"/>
      <c r="Q474" s="110"/>
      <c r="R474" s="110"/>
      <c r="S474" s="110"/>
      <c r="T474" s="110"/>
      <c r="U474" s="110"/>
      <c r="V474" s="110"/>
      <c r="W474" s="110"/>
      <c r="X474" s="110"/>
      <c r="Y474" s="110"/>
      <c r="Z474" s="110"/>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7"/>
      <c r="BK474" s="227"/>
    </row>
    <row r="475" spans="1:63" ht="12.75" hidden="1" customHeight="1" outlineLevel="1">
      <c r="A475" s="9"/>
      <c r="B475" s="44"/>
      <c r="C475" s="278" t="str">
        <f>Asset14</f>
        <v>Substation assets - medium life (45)</v>
      </c>
      <c r="D475" s="9"/>
      <c r="E475" s="9"/>
      <c r="F475" s="142"/>
      <c r="G475" s="207">
        <f>Input!P20</f>
        <v>0</v>
      </c>
      <c r="H475" s="121"/>
      <c r="I475" s="121"/>
      <c r="J475" s="121"/>
      <c r="K475" s="121"/>
      <c r="L475" s="121"/>
      <c r="M475" s="110"/>
      <c r="N475" s="110"/>
      <c r="O475" s="110"/>
      <c r="P475" s="110"/>
      <c r="Q475" s="110"/>
      <c r="R475" s="110"/>
      <c r="S475" s="110"/>
      <c r="T475" s="110"/>
      <c r="U475" s="110"/>
      <c r="V475" s="110"/>
      <c r="W475" s="110"/>
      <c r="X475" s="110"/>
      <c r="Y475" s="110"/>
      <c r="Z475" s="110"/>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7"/>
      <c r="BK475" s="227"/>
    </row>
    <row r="476" spans="1:63" ht="12.75" hidden="1" customHeight="1" outlineLevel="1">
      <c r="A476" s="9"/>
      <c r="B476" s="44"/>
      <c r="C476" s="278" t="str">
        <f>Asset15</f>
        <v>Substation assets - short life (15)</v>
      </c>
      <c r="D476" s="9"/>
      <c r="E476" s="9"/>
      <c r="F476" s="142"/>
      <c r="G476" s="207">
        <f>Input!P21</f>
        <v>0</v>
      </c>
      <c r="H476" s="121"/>
      <c r="I476" s="121"/>
      <c r="J476" s="121"/>
      <c r="K476" s="121"/>
      <c r="L476" s="121"/>
      <c r="M476" s="110"/>
      <c r="N476" s="110"/>
      <c r="O476" s="110"/>
      <c r="P476" s="110"/>
      <c r="Q476" s="110"/>
      <c r="R476" s="110"/>
      <c r="S476" s="110"/>
      <c r="T476" s="110"/>
      <c r="U476" s="110"/>
      <c r="V476" s="110"/>
      <c r="W476" s="110"/>
      <c r="X476" s="110"/>
      <c r="Y476" s="110"/>
      <c r="Z476" s="110"/>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7"/>
      <c r="BK476" s="227"/>
    </row>
    <row r="477" spans="1:63" ht="12.75" hidden="1" customHeight="1" outlineLevel="1">
      <c r="A477" s="9"/>
      <c r="B477" s="44"/>
      <c r="C477" s="278" t="str">
        <f>Asset16</f>
        <v>Protection and control - short life (15)</v>
      </c>
      <c r="D477" s="9"/>
      <c r="E477" s="9"/>
      <c r="F477" s="142"/>
      <c r="G477" s="207">
        <f>Input!P22</f>
        <v>0</v>
      </c>
      <c r="H477" s="121"/>
      <c r="I477" s="121"/>
      <c r="J477" s="121"/>
      <c r="K477" s="121"/>
      <c r="L477" s="121"/>
      <c r="M477" s="110"/>
      <c r="N477" s="110"/>
      <c r="O477" s="110"/>
      <c r="P477" s="110"/>
      <c r="Q477" s="110"/>
      <c r="R477" s="110"/>
      <c r="S477" s="110"/>
      <c r="T477" s="110"/>
      <c r="U477" s="110"/>
      <c r="V477" s="110"/>
      <c r="W477" s="110"/>
      <c r="X477" s="110"/>
      <c r="Y477" s="110"/>
      <c r="Z477" s="110"/>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7"/>
      <c r="BK477" s="227"/>
    </row>
    <row r="478" spans="1:63" ht="12.75" hidden="1" customHeight="1" outlineLevel="1">
      <c r="A478" s="9"/>
      <c r="B478" s="44"/>
      <c r="C478" s="278" t="str">
        <f>Asset17</f>
        <v>Protection and control - short life (4)</v>
      </c>
      <c r="D478" s="9"/>
      <c r="E478" s="9"/>
      <c r="F478" s="142"/>
      <c r="G478" s="207">
        <f>Input!P23</f>
        <v>0</v>
      </c>
      <c r="H478" s="121"/>
      <c r="I478" s="121"/>
      <c r="J478" s="121"/>
      <c r="K478" s="121"/>
      <c r="L478" s="121"/>
      <c r="M478" s="110"/>
      <c r="N478" s="110"/>
      <c r="O478" s="110"/>
      <c r="P478" s="110"/>
      <c r="Q478" s="110"/>
      <c r="R478" s="110"/>
      <c r="S478" s="110"/>
      <c r="T478" s="110"/>
      <c r="U478" s="110"/>
      <c r="V478" s="110"/>
      <c r="W478" s="110"/>
      <c r="X478" s="110"/>
      <c r="Y478" s="110"/>
      <c r="Z478" s="110"/>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7"/>
      <c r="BK478" s="227"/>
    </row>
    <row r="479" spans="1:63" ht="12.75" hidden="1" customHeight="1" outlineLevel="1">
      <c r="A479" s="9"/>
      <c r="B479" s="44"/>
      <c r="C479" s="278" t="str">
        <f>Asset18</f>
        <v>Transmission operations - short life (10)</v>
      </c>
      <c r="D479" s="9"/>
      <c r="E479" s="9"/>
      <c r="F479" s="142"/>
      <c r="G479" s="207">
        <f>Input!P24</f>
        <v>0</v>
      </c>
      <c r="H479" s="121"/>
      <c r="I479" s="121"/>
      <c r="J479" s="121"/>
      <c r="K479" s="121"/>
      <c r="L479" s="121"/>
      <c r="M479" s="110"/>
      <c r="N479" s="110"/>
      <c r="O479" s="110"/>
      <c r="P479" s="110"/>
      <c r="Q479" s="110"/>
      <c r="R479" s="110"/>
      <c r="S479" s="110"/>
      <c r="T479" s="110"/>
      <c r="U479" s="110"/>
      <c r="V479" s="110"/>
      <c r="W479" s="110"/>
      <c r="X479" s="110"/>
      <c r="Y479" s="110"/>
      <c r="Z479" s="110"/>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7"/>
      <c r="BK479" s="227"/>
    </row>
    <row r="480" spans="1:63" ht="12.75" hidden="1" customHeight="1" outlineLevel="1">
      <c r="A480" s="9"/>
      <c r="B480" s="44"/>
      <c r="C480" s="278" t="str">
        <f>Asset19</f>
        <v>Transmission operations - short life (4)</v>
      </c>
      <c r="D480" s="9"/>
      <c r="E480" s="9"/>
      <c r="F480" s="142"/>
      <c r="G480" s="207">
        <f>Input!P25</f>
        <v>0</v>
      </c>
      <c r="H480" s="121"/>
      <c r="I480" s="121"/>
      <c r="J480" s="121"/>
      <c r="K480" s="121"/>
      <c r="L480" s="121"/>
      <c r="M480" s="110"/>
      <c r="N480" s="110"/>
      <c r="O480" s="110"/>
      <c r="P480" s="110"/>
      <c r="Q480" s="110"/>
      <c r="R480" s="110"/>
      <c r="S480" s="110"/>
      <c r="T480" s="110"/>
      <c r="U480" s="110"/>
      <c r="V480" s="110"/>
      <c r="W480" s="110"/>
      <c r="X480" s="110"/>
      <c r="Y480" s="110"/>
      <c r="Z480" s="110"/>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7"/>
      <c r="BK480" s="227"/>
    </row>
    <row r="481" spans="1:63" ht="12.75" hidden="1" customHeight="1" outlineLevel="1">
      <c r="A481" s="9"/>
      <c r="B481" s="44"/>
      <c r="C481" s="278" t="str">
        <f>Asset20</f>
        <v>Other - medium life (40)</v>
      </c>
      <c r="D481" s="9"/>
      <c r="E481" s="9"/>
      <c r="F481" s="142"/>
      <c r="G481" s="207">
        <f>Input!P26</f>
        <v>0</v>
      </c>
      <c r="H481" s="121"/>
      <c r="I481" s="121"/>
      <c r="J481" s="121"/>
      <c r="K481" s="121"/>
      <c r="L481" s="121"/>
      <c r="M481" s="110"/>
      <c r="N481" s="110"/>
      <c r="O481" s="110"/>
      <c r="P481" s="110"/>
      <c r="Q481" s="110"/>
      <c r="R481" s="110"/>
      <c r="S481" s="110"/>
      <c r="T481" s="110"/>
      <c r="U481" s="110"/>
      <c r="V481" s="110"/>
      <c r="W481" s="110"/>
      <c r="X481" s="110"/>
      <c r="Y481" s="110"/>
      <c r="Z481" s="110"/>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7"/>
      <c r="BK481" s="227"/>
    </row>
    <row r="482" spans="1:63" ht="12.75" hidden="1" customHeight="1" outlineLevel="1">
      <c r="A482" s="9"/>
      <c r="B482" s="44"/>
      <c r="C482" s="278" t="str">
        <f>Asset21</f>
        <v>Other - short life (9)</v>
      </c>
      <c r="D482" s="9"/>
      <c r="E482" s="9"/>
      <c r="F482" s="142"/>
      <c r="G482" s="207">
        <f>Input!P27</f>
        <v>0</v>
      </c>
      <c r="H482" s="121"/>
      <c r="I482" s="121"/>
      <c r="J482" s="121"/>
      <c r="K482" s="121"/>
      <c r="L482" s="121"/>
      <c r="M482" s="110"/>
      <c r="N482" s="110"/>
      <c r="O482" s="110"/>
      <c r="P482" s="110"/>
      <c r="Q482" s="110"/>
      <c r="R482" s="110"/>
      <c r="S482" s="110"/>
      <c r="T482" s="110"/>
      <c r="U482" s="110"/>
      <c r="V482" s="110"/>
      <c r="W482" s="110"/>
      <c r="X482" s="110"/>
      <c r="Y482" s="110"/>
      <c r="Z482" s="110"/>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7"/>
      <c r="BK482" s="227"/>
    </row>
    <row r="483" spans="1:63" ht="12.75" hidden="1" customHeight="1" outlineLevel="1">
      <c r="A483" s="9"/>
      <c r="B483" s="44"/>
      <c r="C483" s="278" t="str">
        <f>Asset22</f>
        <v>Other - short life (4)</v>
      </c>
      <c r="D483" s="9"/>
      <c r="E483" s="9"/>
      <c r="F483" s="142"/>
      <c r="G483" s="207">
        <f>Input!P28</f>
        <v>0</v>
      </c>
      <c r="H483" s="121"/>
      <c r="I483" s="121"/>
      <c r="J483" s="121"/>
      <c r="K483" s="121"/>
      <c r="L483" s="121"/>
      <c r="M483" s="110"/>
      <c r="N483" s="110"/>
      <c r="O483" s="110"/>
      <c r="P483" s="110"/>
      <c r="Q483" s="110"/>
      <c r="R483" s="110"/>
      <c r="S483" s="110"/>
      <c r="T483" s="110"/>
      <c r="U483" s="110"/>
      <c r="V483" s="110"/>
      <c r="W483" s="110"/>
      <c r="X483" s="110"/>
      <c r="Y483" s="110"/>
      <c r="Z483" s="110"/>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7"/>
      <c r="BK483" s="227"/>
    </row>
    <row r="484" spans="1:63" ht="12.75" hidden="1" customHeight="1" outlineLevel="1">
      <c r="A484" s="9"/>
      <c r="B484" s="44"/>
      <c r="C484" s="278" t="str">
        <f>Asset23</f>
        <v>Land and Easements</v>
      </c>
      <c r="D484" s="9"/>
      <c r="E484" s="9"/>
      <c r="F484" s="142"/>
      <c r="G484" s="207">
        <f>Input!P29</f>
        <v>0</v>
      </c>
      <c r="H484" s="121"/>
      <c r="I484" s="121"/>
      <c r="J484" s="121"/>
      <c r="K484" s="121"/>
      <c r="L484" s="121"/>
      <c r="M484" s="110"/>
      <c r="N484" s="110"/>
      <c r="O484" s="110"/>
      <c r="P484" s="110"/>
      <c r="Q484" s="110"/>
      <c r="R484" s="110"/>
      <c r="S484" s="110"/>
      <c r="T484" s="110"/>
      <c r="U484" s="110"/>
      <c r="V484" s="110"/>
      <c r="W484" s="110"/>
      <c r="X484" s="110"/>
      <c r="Y484" s="110"/>
      <c r="Z484" s="110"/>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7"/>
      <c r="BK484" s="227"/>
    </row>
    <row r="485" spans="1:63" ht="12.75" hidden="1" customHeight="1" outlineLevel="1">
      <c r="A485" s="9"/>
      <c r="B485" s="44"/>
      <c r="C485" s="278" t="str">
        <f>Asset24</f>
        <v>Equity Raising</v>
      </c>
      <c r="D485" s="9"/>
      <c r="E485" s="9"/>
      <c r="F485" s="142"/>
      <c r="G485" s="207">
        <f>Input!P30</f>
        <v>0</v>
      </c>
      <c r="H485" s="121"/>
      <c r="I485" s="121"/>
      <c r="J485" s="121"/>
      <c r="K485" s="121"/>
      <c r="L485" s="121"/>
      <c r="M485" s="110"/>
      <c r="N485" s="110"/>
      <c r="O485" s="110"/>
      <c r="P485" s="110"/>
      <c r="Q485" s="110"/>
      <c r="R485" s="110"/>
      <c r="S485" s="110"/>
      <c r="T485" s="110"/>
      <c r="U485" s="110"/>
      <c r="V485" s="110"/>
      <c r="W485" s="110"/>
      <c r="X485" s="110"/>
      <c r="Y485" s="110"/>
      <c r="Z485" s="110"/>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7"/>
      <c r="BK485" s="227"/>
    </row>
    <row r="486" spans="1:63" ht="12.75" hidden="1" customHeight="1" outlineLevel="1">
      <c r="A486" s="9"/>
      <c r="B486" s="44"/>
      <c r="C486" s="278">
        <f>Asset25</f>
        <v>0</v>
      </c>
      <c r="D486" s="9"/>
      <c r="E486" s="9"/>
      <c r="F486" s="142"/>
      <c r="G486" s="207">
        <f>Input!P31</f>
        <v>0</v>
      </c>
      <c r="H486" s="121"/>
      <c r="I486" s="121"/>
      <c r="J486" s="121"/>
      <c r="K486" s="121"/>
      <c r="L486" s="121"/>
      <c r="M486" s="110"/>
      <c r="N486" s="110"/>
      <c r="O486" s="110"/>
      <c r="P486" s="110"/>
      <c r="Q486" s="110"/>
      <c r="R486" s="110"/>
      <c r="S486" s="110"/>
      <c r="T486" s="110"/>
      <c r="U486" s="110"/>
      <c r="V486" s="110"/>
      <c r="W486" s="110"/>
      <c r="X486" s="110"/>
      <c r="Y486" s="110"/>
      <c r="Z486" s="110"/>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7"/>
      <c r="BK486" s="227"/>
    </row>
    <row r="487" spans="1:63" ht="12.75" hidden="1" customHeight="1" outlineLevel="1">
      <c r="A487" s="9"/>
      <c r="B487" s="44"/>
      <c r="C487" s="278">
        <f>Asset26</f>
        <v>0</v>
      </c>
      <c r="D487" s="9"/>
      <c r="E487" s="9"/>
      <c r="F487" s="142"/>
      <c r="G487" s="207">
        <f>Input!P32</f>
        <v>0</v>
      </c>
      <c r="H487" s="121"/>
      <c r="I487" s="121"/>
      <c r="J487" s="121"/>
      <c r="K487" s="121"/>
      <c r="L487" s="121"/>
      <c r="M487" s="110"/>
      <c r="N487" s="110"/>
      <c r="O487" s="110"/>
      <c r="P487" s="110"/>
      <c r="Q487" s="110"/>
      <c r="R487" s="110"/>
      <c r="S487" s="110"/>
      <c r="T487" s="110"/>
      <c r="U487" s="110"/>
      <c r="V487" s="110"/>
      <c r="W487" s="110"/>
      <c r="X487" s="110"/>
      <c r="Y487" s="110"/>
      <c r="Z487" s="110"/>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7"/>
      <c r="BK487" s="227"/>
    </row>
    <row r="488" spans="1:63" ht="12.75" hidden="1" customHeight="1" outlineLevel="1">
      <c r="A488" s="9"/>
      <c r="B488" s="44"/>
      <c r="C488" s="278">
        <f>Asset27</f>
        <v>0</v>
      </c>
      <c r="D488" s="9"/>
      <c r="E488" s="9"/>
      <c r="F488" s="142"/>
      <c r="G488" s="207">
        <f>Input!P33</f>
        <v>0</v>
      </c>
      <c r="H488" s="121"/>
      <c r="I488" s="121"/>
      <c r="J488" s="121"/>
      <c r="K488" s="121"/>
      <c r="L488" s="121"/>
      <c r="M488" s="110"/>
      <c r="N488" s="110"/>
      <c r="O488" s="110"/>
      <c r="P488" s="110"/>
      <c r="Q488" s="110"/>
      <c r="R488" s="110"/>
      <c r="S488" s="110"/>
      <c r="T488" s="110"/>
      <c r="U488" s="110"/>
      <c r="V488" s="110"/>
      <c r="W488" s="110"/>
      <c r="X488" s="110"/>
      <c r="Y488" s="110"/>
      <c r="Z488" s="110"/>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7"/>
      <c r="BK488" s="227"/>
    </row>
    <row r="489" spans="1:63" ht="12.75" hidden="1" customHeight="1" outlineLevel="1">
      <c r="A489" s="9"/>
      <c r="B489" s="44"/>
      <c r="C489" s="278">
        <f>Asset28</f>
        <v>0</v>
      </c>
      <c r="D489" s="9"/>
      <c r="E489" s="9"/>
      <c r="F489" s="142"/>
      <c r="G489" s="207">
        <f>Input!P34</f>
        <v>0</v>
      </c>
      <c r="H489" s="121"/>
      <c r="I489" s="121"/>
      <c r="J489" s="121"/>
      <c r="K489" s="121"/>
      <c r="L489" s="121"/>
      <c r="M489" s="110"/>
      <c r="N489" s="110"/>
      <c r="O489" s="110"/>
      <c r="P489" s="110"/>
      <c r="Q489" s="110"/>
      <c r="R489" s="110"/>
      <c r="S489" s="110"/>
      <c r="T489" s="110"/>
      <c r="U489" s="110"/>
      <c r="V489" s="110"/>
      <c r="W489" s="110"/>
      <c r="X489" s="110"/>
      <c r="Y489" s="110"/>
      <c r="Z489" s="110"/>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7"/>
      <c r="BK489" s="227"/>
    </row>
    <row r="490" spans="1:63" ht="12.75" hidden="1" customHeight="1" outlineLevel="1">
      <c r="A490" s="9"/>
      <c r="B490" s="44"/>
      <c r="C490" s="278">
        <f>Asset29</f>
        <v>0</v>
      </c>
      <c r="D490" s="9"/>
      <c r="E490" s="9"/>
      <c r="F490" s="142"/>
      <c r="G490" s="207">
        <f>Input!P35</f>
        <v>0</v>
      </c>
      <c r="H490" s="121"/>
      <c r="I490" s="121"/>
      <c r="J490" s="121"/>
      <c r="K490" s="121"/>
      <c r="L490" s="121"/>
      <c r="M490" s="110"/>
      <c r="N490" s="110"/>
      <c r="O490" s="110"/>
      <c r="P490" s="110"/>
      <c r="Q490" s="110"/>
      <c r="R490" s="110"/>
      <c r="S490" s="110"/>
      <c r="T490" s="110"/>
      <c r="U490" s="110"/>
      <c r="V490" s="110"/>
      <c r="W490" s="110"/>
      <c r="X490" s="110"/>
      <c r="Y490" s="110"/>
      <c r="Z490" s="110"/>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7"/>
      <c r="BK490" s="227"/>
    </row>
    <row r="491" spans="1:63" ht="12.75" hidden="1" customHeight="1" outlineLevel="1">
      <c r="A491" s="9"/>
      <c r="B491" s="44"/>
      <c r="C491" s="278">
        <f>Asset30</f>
        <v>0</v>
      </c>
      <c r="D491" s="9"/>
      <c r="E491" s="9"/>
      <c r="F491" s="142"/>
      <c r="G491" s="207">
        <f>Input!P36</f>
        <v>0</v>
      </c>
      <c r="H491" s="121"/>
      <c r="I491" s="121"/>
      <c r="J491" s="121"/>
      <c r="K491" s="121"/>
      <c r="L491" s="121"/>
      <c r="M491" s="110"/>
      <c r="N491" s="110"/>
      <c r="O491" s="110"/>
      <c r="P491" s="110"/>
      <c r="Q491" s="110"/>
      <c r="R491" s="110"/>
      <c r="S491" s="110"/>
      <c r="T491" s="110"/>
      <c r="U491" s="110"/>
      <c r="V491" s="110"/>
      <c r="W491" s="110"/>
      <c r="X491" s="110"/>
      <c r="Y491" s="110"/>
      <c r="Z491" s="110"/>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7"/>
      <c r="BK491" s="227"/>
    </row>
    <row r="492" spans="1:63" collapsed="1">
      <c r="A492" s="9"/>
      <c r="B492" s="44"/>
      <c r="C492" s="130"/>
      <c r="D492" s="9"/>
      <c r="E492" s="9"/>
      <c r="F492" s="142"/>
      <c r="G492" s="207"/>
      <c r="H492" s="121"/>
      <c r="I492" s="121"/>
      <c r="J492" s="121"/>
      <c r="K492" s="121"/>
      <c r="L492" s="121"/>
      <c r="M492" s="110"/>
      <c r="N492" s="110"/>
      <c r="O492" s="110"/>
      <c r="P492" s="110"/>
      <c r="Q492" s="110"/>
      <c r="R492" s="110"/>
      <c r="S492" s="110"/>
      <c r="T492" s="110"/>
      <c r="U492" s="110"/>
      <c r="V492" s="110"/>
      <c r="W492" s="110"/>
      <c r="X492" s="110"/>
      <c r="Y492" s="110"/>
      <c r="Z492" s="110"/>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7"/>
      <c r="BK492" s="227"/>
    </row>
    <row r="493" spans="1:63">
      <c r="A493" s="9"/>
      <c r="B493" s="44" t="s">
        <v>57</v>
      </c>
      <c r="C493" s="130"/>
      <c r="D493" s="9"/>
      <c r="E493" s="9"/>
      <c r="F493" s="28"/>
      <c r="G493" s="211">
        <f>SUM(G494:G523)</f>
        <v>55.314363999999991</v>
      </c>
      <c r="H493" s="121"/>
      <c r="I493" s="121"/>
      <c r="J493" s="121"/>
      <c r="K493" s="121"/>
      <c r="L493" s="121"/>
      <c r="M493" s="110"/>
      <c r="N493" s="110"/>
      <c r="O493" s="110"/>
      <c r="P493" s="110"/>
      <c r="Q493" s="110"/>
      <c r="R493" s="110"/>
      <c r="S493" s="110"/>
      <c r="T493" s="110"/>
      <c r="U493" s="110"/>
      <c r="V493" s="110"/>
      <c r="W493" s="110"/>
      <c r="X493" s="110"/>
      <c r="Y493" s="110"/>
      <c r="Z493" s="110"/>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7"/>
      <c r="BK493" s="227"/>
    </row>
    <row r="494" spans="1:63" ht="12.75" hidden="1" customHeight="1" outlineLevel="1">
      <c r="A494" s="9"/>
      <c r="B494" s="44"/>
      <c r="C494" s="278" t="str">
        <f>Asset1</f>
        <v>Transmission Lines and Cables</v>
      </c>
      <c r="D494" s="9"/>
      <c r="E494" s="9"/>
      <c r="F494" s="28"/>
      <c r="G494" s="210">
        <f>Input!Q7</f>
        <v>0</v>
      </c>
      <c r="H494" s="121"/>
      <c r="I494" s="121"/>
      <c r="J494" s="121"/>
      <c r="K494" s="121"/>
      <c r="L494" s="121"/>
      <c r="M494" s="110"/>
      <c r="N494" s="110"/>
      <c r="O494" s="110"/>
      <c r="P494" s="110"/>
      <c r="Q494" s="110"/>
      <c r="R494" s="110"/>
      <c r="S494" s="110"/>
      <c r="T494" s="110"/>
      <c r="U494" s="110"/>
      <c r="V494" s="110"/>
      <c r="W494" s="110"/>
      <c r="X494" s="110"/>
      <c r="Y494" s="110"/>
      <c r="Z494" s="110"/>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7"/>
      <c r="BK494" s="227"/>
    </row>
    <row r="495" spans="1:63" ht="12.75" hidden="1" customHeight="1" outlineLevel="1">
      <c r="A495" s="9"/>
      <c r="B495" s="44"/>
      <c r="C495" s="278" t="str">
        <f>Asset2</f>
        <v>Transmission Substations</v>
      </c>
      <c r="D495" s="9"/>
      <c r="E495" s="9"/>
      <c r="F495" s="28"/>
      <c r="G495" s="210">
        <f>Input!Q8</f>
        <v>0</v>
      </c>
      <c r="H495" s="121"/>
      <c r="I495" s="121"/>
      <c r="J495" s="121"/>
      <c r="K495" s="121"/>
      <c r="L495" s="121"/>
      <c r="M495" s="110"/>
      <c r="N495" s="110"/>
      <c r="O495" s="110"/>
      <c r="P495" s="110"/>
      <c r="Q495" s="110"/>
      <c r="R495" s="110"/>
      <c r="S495" s="110"/>
      <c r="T495" s="110"/>
      <c r="U495" s="110"/>
      <c r="V495" s="110"/>
      <c r="W495" s="110"/>
      <c r="X495" s="110"/>
      <c r="Y495" s="110"/>
      <c r="Z495" s="110"/>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7"/>
      <c r="BK495" s="227"/>
    </row>
    <row r="496" spans="1:63" ht="12.75" hidden="1" customHeight="1" outlineLevel="1">
      <c r="A496" s="9"/>
      <c r="B496" s="44"/>
      <c r="C496" s="278" t="str">
        <f>Asset3</f>
        <v>Protection and Control</v>
      </c>
      <c r="D496" s="9"/>
      <c r="E496" s="9"/>
      <c r="F496" s="28"/>
      <c r="G496" s="210">
        <f>Input!Q9</f>
        <v>0</v>
      </c>
      <c r="H496" s="121"/>
      <c r="I496" s="121"/>
      <c r="J496" s="121"/>
      <c r="K496" s="121"/>
      <c r="L496" s="121"/>
      <c r="M496" s="110"/>
      <c r="N496" s="110"/>
      <c r="O496" s="110"/>
      <c r="P496" s="110"/>
      <c r="Q496" s="110"/>
      <c r="R496" s="110"/>
      <c r="S496" s="110"/>
      <c r="T496" s="110"/>
      <c r="U496" s="110"/>
      <c r="V496" s="110"/>
      <c r="W496" s="110"/>
      <c r="X496" s="110"/>
      <c r="Y496" s="110"/>
      <c r="Z496" s="110"/>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7"/>
      <c r="BK496" s="227"/>
    </row>
    <row r="497" spans="1:63" ht="12.75" hidden="1" customHeight="1" outlineLevel="1">
      <c r="A497" s="9"/>
      <c r="B497" s="44"/>
      <c r="C497" s="278" t="str">
        <f>Asset4</f>
        <v>Refurbishment</v>
      </c>
      <c r="D497" s="9"/>
      <c r="E497" s="9"/>
      <c r="F497" s="28"/>
      <c r="G497" s="210">
        <f>Input!Q10</f>
        <v>0</v>
      </c>
      <c r="H497" s="121"/>
      <c r="I497" s="121"/>
      <c r="J497" s="121"/>
      <c r="K497" s="121"/>
      <c r="L497" s="121"/>
      <c r="M497" s="110"/>
      <c r="N497" s="110"/>
      <c r="O497" s="110"/>
      <c r="P497" s="110"/>
      <c r="Q497" s="110"/>
      <c r="R497" s="110"/>
      <c r="S497" s="110"/>
      <c r="T497" s="110"/>
      <c r="U497" s="110"/>
      <c r="V497" s="110"/>
      <c r="W497" s="110"/>
      <c r="X497" s="110"/>
      <c r="Y497" s="110"/>
      <c r="Z497" s="110"/>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7"/>
      <c r="BK497" s="227"/>
    </row>
    <row r="498" spans="1:63" ht="12.75" hidden="1" customHeight="1" outlineLevel="1">
      <c r="A498" s="9"/>
      <c r="B498" s="44"/>
      <c r="C498" s="278" t="str">
        <f>Asset5</f>
        <v>Other</v>
      </c>
      <c r="D498" s="9"/>
      <c r="E498" s="9"/>
      <c r="F498" s="28"/>
      <c r="G498" s="210">
        <f>Input!Q11</f>
        <v>0</v>
      </c>
      <c r="H498" s="121"/>
      <c r="I498" s="121"/>
      <c r="J498" s="121"/>
      <c r="K498" s="121"/>
      <c r="L498" s="121"/>
      <c r="M498" s="110"/>
      <c r="N498" s="110"/>
      <c r="O498" s="110"/>
      <c r="P498" s="110"/>
      <c r="Q498" s="110"/>
      <c r="R498" s="110"/>
      <c r="S498" s="110"/>
      <c r="T498" s="110"/>
      <c r="U498" s="110"/>
      <c r="V498" s="110"/>
      <c r="W498" s="110"/>
      <c r="X498" s="110"/>
      <c r="Y498" s="110"/>
      <c r="Z498" s="110"/>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7"/>
      <c r="BK498" s="227"/>
    </row>
    <row r="499" spans="1:63" ht="12.75" hidden="1" customHeight="1" outlineLevel="1">
      <c r="A499" s="9"/>
      <c r="B499" s="44"/>
      <c r="C499" s="278" t="str">
        <f>Asset6</f>
        <v>Other - IT</v>
      </c>
      <c r="D499" s="9"/>
      <c r="E499" s="9"/>
      <c r="F499" s="28"/>
      <c r="G499" s="210">
        <f>Input!Q12</f>
        <v>0</v>
      </c>
      <c r="H499" s="121"/>
      <c r="I499" s="121"/>
      <c r="J499" s="121"/>
      <c r="K499" s="121"/>
      <c r="L499" s="121"/>
      <c r="M499" s="110"/>
      <c r="N499" s="110"/>
      <c r="O499" s="110"/>
      <c r="P499" s="110"/>
      <c r="Q499" s="110"/>
      <c r="R499" s="110"/>
      <c r="S499" s="110"/>
      <c r="T499" s="110"/>
      <c r="U499" s="110"/>
      <c r="V499" s="110"/>
      <c r="W499" s="110"/>
      <c r="X499" s="110"/>
      <c r="Y499" s="110"/>
      <c r="Z499" s="110"/>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7"/>
      <c r="BK499" s="227"/>
    </row>
    <row r="500" spans="1:63" ht="12.75" hidden="1" customHeight="1" outlineLevel="1">
      <c r="A500" s="9"/>
      <c r="B500" s="44"/>
      <c r="C500" s="278" t="str">
        <f>Asset7</f>
        <v>Other - General</v>
      </c>
      <c r="D500" s="9"/>
      <c r="E500" s="9"/>
      <c r="F500" s="28"/>
      <c r="G500" s="210">
        <f>Input!Q13</f>
        <v>0</v>
      </c>
      <c r="H500" s="121"/>
      <c r="I500" s="121"/>
      <c r="J500" s="121"/>
      <c r="K500" s="121"/>
      <c r="L500" s="121"/>
      <c r="M500" s="110"/>
      <c r="N500" s="110"/>
      <c r="O500" s="110"/>
      <c r="P500" s="110"/>
      <c r="Q500" s="110"/>
      <c r="R500" s="110"/>
      <c r="S500" s="110"/>
      <c r="T500" s="110"/>
      <c r="U500" s="110"/>
      <c r="V500" s="110"/>
      <c r="W500" s="110"/>
      <c r="X500" s="110"/>
      <c r="Y500" s="110"/>
      <c r="Z500" s="110"/>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7"/>
      <c r="BK500" s="227"/>
    </row>
    <row r="501" spans="1:63" ht="12.75" hidden="1" customHeight="1" outlineLevel="1">
      <c r="A501" s="9"/>
      <c r="B501" s="44"/>
      <c r="C501" s="278" t="str">
        <f>Asset8</f>
        <v>Other - Buildings</v>
      </c>
      <c r="D501" s="9"/>
      <c r="E501" s="9"/>
      <c r="F501" s="28"/>
      <c r="G501" s="210">
        <f>Input!Q14</f>
        <v>0</v>
      </c>
      <c r="H501" s="121"/>
      <c r="I501" s="121"/>
      <c r="J501" s="121"/>
      <c r="K501" s="121"/>
      <c r="L501" s="121"/>
      <c r="M501" s="110"/>
      <c r="N501" s="110"/>
      <c r="O501" s="110"/>
      <c r="P501" s="110"/>
      <c r="Q501" s="110"/>
      <c r="R501" s="110"/>
      <c r="S501" s="110"/>
      <c r="T501" s="110"/>
      <c r="U501" s="110"/>
      <c r="V501" s="110"/>
      <c r="W501" s="110"/>
      <c r="X501" s="110"/>
      <c r="Y501" s="110"/>
      <c r="Z501" s="110"/>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7"/>
      <c r="BK501" s="227"/>
    </row>
    <row r="502" spans="1:63" ht="12.75" hidden="1" customHeight="1" outlineLevel="1">
      <c r="A502" s="9"/>
      <c r="B502" s="44"/>
      <c r="C502" s="278" t="str">
        <f>Asset9</f>
        <v>Land and Easements</v>
      </c>
      <c r="D502" s="9"/>
      <c r="E502" s="9"/>
      <c r="F502" s="28"/>
      <c r="G502" s="210">
        <f>Input!Q15</f>
        <v>0</v>
      </c>
      <c r="H502" s="121"/>
      <c r="I502" s="121"/>
      <c r="J502" s="121"/>
      <c r="K502" s="121"/>
      <c r="L502" s="121"/>
      <c r="M502" s="110"/>
      <c r="N502" s="110"/>
      <c r="O502" s="110"/>
      <c r="P502" s="110"/>
      <c r="Q502" s="110"/>
      <c r="R502" s="110"/>
      <c r="S502" s="110"/>
      <c r="T502" s="110"/>
      <c r="U502" s="110"/>
      <c r="V502" s="110"/>
      <c r="W502" s="110"/>
      <c r="X502" s="110"/>
      <c r="Y502" s="110"/>
      <c r="Z502" s="110"/>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7"/>
      <c r="BK502" s="227"/>
    </row>
    <row r="503" spans="1:63" ht="12.75" hidden="1" customHeight="1" outlineLevel="1">
      <c r="A503" s="9"/>
      <c r="B503" s="44"/>
      <c r="C503" s="278" t="str">
        <f>Asset10</f>
        <v>Transmission line assets - long life (60)</v>
      </c>
      <c r="D503" s="9"/>
      <c r="E503" s="9"/>
      <c r="F503" s="28"/>
      <c r="G503" s="210">
        <f>Input!Q16</f>
        <v>27.66680798284586</v>
      </c>
      <c r="H503" s="121"/>
      <c r="I503" s="121"/>
      <c r="J503" s="121"/>
      <c r="K503" s="121"/>
      <c r="L503" s="121"/>
      <c r="M503" s="110"/>
      <c r="N503" s="110"/>
      <c r="O503" s="110"/>
      <c r="P503" s="110"/>
      <c r="Q503" s="110"/>
      <c r="R503" s="110"/>
      <c r="S503" s="110"/>
      <c r="T503" s="110"/>
      <c r="U503" s="110"/>
      <c r="V503" s="110"/>
      <c r="W503" s="110"/>
      <c r="X503" s="110"/>
      <c r="Y503" s="110"/>
      <c r="Z503" s="110"/>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7"/>
      <c r="BK503" s="227"/>
    </row>
    <row r="504" spans="1:63" ht="12.75" hidden="1" customHeight="1" outlineLevel="1">
      <c r="A504" s="9"/>
      <c r="B504" s="44"/>
      <c r="C504" s="278" t="str">
        <f>Asset11</f>
        <v>Transmission line assets - medium life (45)</v>
      </c>
      <c r="D504" s="9"/>
      <c r="E504" s="9"/>
      <c r="F504" s="28"/>
      <c r="G504" s="210">
        <f>Input!Q17</f>
        <v>0.7908975054500671</v>
      </c>
      <c r="H504" s="121"/>
      <c r="I504" s="121"/>
      <c r="J504" s="121"/>
      <c r="K504" s="121"/>
      <c r="L504" s="121"/>
      <c r="M504" s="110"/>
      <c r="N504" s="110"/>
      <c r="O504" s="110"/>
      <c r="P504" s="110"/>
      <c r="Q504" s="110"/>
      <c r="R504" s="110"/>
      <c r="S504" s="110"/>
      <c r="T504" s="110"/>
      <c r="U504" s="110"/>
      <c r="V504" s="110"/>
      <c r="W504" s="110"/>
      <c r="X504" s="110"/>
      <c r="Y504" s="110"/>
      <c r="Z504" s="110"/>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7"/>
      <c r="BK504" s="227"/>
    </row>
    <row r="505" spans="1:63" ht="12.75" hidden="1" customHeight="1" outlineLevel="1">
      <c r="A505" s="9"/>
      <c r="B505" s="44"/>
      <c r="C505" s="278" t="str">
        <f>Asset12</f>
        <v>Transmission line assets - short life (10)</v>
      </c>
      <c r="D505" s="9"/>
      <c r="E505" s="9"/>
      <c r="F505" s="28"/>
      <c r="G505" s="210">
        <f>Input!Q18</f>
        <v>2.0824479126873228</v>
      </c>
      <c r="H505" s="121"/>
      <c r="I505" s="121"/>
      <c r="J505" s="121"/>
      <c r="K505" s="121"/>
      <c r="L505" s="121"/>
      <c r="M505" s="110"/>
      <c r="N505" s="110"/>
      <c r="O505" s="110"/>
      <c r="P505" s="110"/>
      <c r="Q505" s="110"/>
      <c r="R505" s="110"/>
      <c r="S505" s="110"/>
      <c r="T505" s="110"/>
      <c r="U505" s="110"/>
      <c r="V505" s="110"/>
      <c r="W505" s="110"/>
      <c r="X505" s="110"/>
      <c r="Y505" s="110"/>
      <c r="Z505" s="110"/>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7"/>
      <c r="BK505" s="227"/>
    </row>
    <row r="506" spans="1:63" ht="12.75" hidden="1" customHeight="1" outlineLevel="1">
      <c r="A506" s="9"/>
      <c r="B506" s="44"/>
      <c r="C506" s="278" t="str">
        <f>Asset13</f>
        <v>Substation assets - long life (60)</v>
      </c>
      <c r="D506" s="9"/>
      <c r="E506" s="9"/>
      <c r="F506" s="28"/>
      <c r="G506" s="210">
        <f>Input!Q19</f>
        <v>3.63820723960978</v>
      </c>
      <c r="H506" s="121"/>
      <c r="I506" s="121"/>
      <c r="J506" s="121"/>
      <c r="K506" s="121"/>
      <c r="L506" s="121"/>
      <c r="M506" s="110"/>
      <c r="N506" s="110"/>
      <c r="O506" s="110"/>
      <c r="P506" s="110"/>
      <c r="Q506" s="110"/>
      <c r="R506" s="110"/>
      <c r="S506" s="110"/>
      <c r="T506" s="110"/>
      <c r="U506" s="110"/>
      <c r="V506" s="110"/>
      <c r="W506" s="110"/>
      <c r="X506" s="110"/>
      <c r="Y506" s="110"/>
      <c r="Z506" s="110"/>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7"/>
      <c r="BK506" s="227"/>
    </row>
    <row r="507" spans="1:63" ht="12.75" hidden="1" customHeight="1" outlineLevel="1">
      <c r="A507" s="9"/>
      <c r="B507" s="44"/>
      <c r="C507" s="278" t="str">
        <f>Asset14</f>
        <v>Substation assets - medium life (45)</v>
      </c>
      <c r="D507" s="9"/>
      <c r="E507" s="9"/>
      <c r="F507" s="28"/>
      <c r="G507" s="210">
        <f>Input!Q20</f>
        <v>9.1604921113680948</v>
      </c>
      <c r="H507" s="121"/>
      <c r="I507" s="121"/>
      <c r="J507" s="121"/>
      <c r="K507" s="121"/>
      <c r="L507" s="121"/>
      <c r="M507" s="110"/>
      <c r="N507" s="110"/>
      <c r="O507" s="110"/>
      <c r="P507" s="110"/>
      <c r="Q507" s="110"/>
      <c r="R507" s="110"/>
      <c r="S507" s="110"/>
      <c r="T507" s="110"/>
      <c r="U507" s="110"/>
      <c r="V507" s="110"/>
      <c r="W507" s="110"/>
      <c r="X507" s="110"/>
      <c r="Y507" s="110"/>
      <c r="Z507" s="110"/>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7"/>
      <c r="BK507" s="227"/>
    </row>
    <row r="508" spans="1:63" ht="12.75" hidden="1" customHeight="1" outlineLevel="1">
      <c r="A508" s="9"/>
      <c r="B508" s="44"/>
      <c r="C508" s="278" t="str">
        <f>Asset15</f>
        <v>Substation assets - short life (15)</v>
      </c>
      <c r="D508" s="9"/>
      <c r="E508" s="9"/>
      <c r="F508" s="28"/>
      <c r="G508" s="210">
        <f>Input!Q21</f>
        <v>0.36737337230990852</v>
      </c>
      <c r="H508" s="121"/>
      <c r="I508" s="121"/>
      <c r="J508" s="121"/>
      <c r="K508" s="121"/>
      <c r="L508" s="121"/>
      <c r="M508" s="110"/>
      <c r="N508" s="110"/>
      <c r="O508" s="110"/>
      <c r="P508" s="110"/>
      <c r="Q508" s="110"/>
      <c r="R508" s="110"/>
      <c r="S508" s="110"/>
      <c r="T508" s="110"/>
      <c r="U508" s="110"/>
      <c r="V508" s="110"/>
      <c r="W508" s="110"/>
      <c r="X508" s="110"/>
      <c r="Y508" s="110"/>
      <c r="Z508" s="110"/>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7"/>
      <c r="BK508" s="227"/>
    </row>
    <row r="509" spans="1:63" ht="12.75" hidden="1" customHeight="1" outlineLevel="1">
      <c r="A509" s="9"/>
      <c r="B509" s="44"/>
      <c r="C509" s="278" t="str">
        <f>Asset16</f>
        <v>Protection and control - short life (15)</v>
      </c>
      <c r="D509" s="9"/>
      <c r="E509" s="9"/>
      <c r="F509" s="28"/>
      <c r="G509" s="210">
        <f>Input!Q22</f>
        <v>4.0917857999755638</v>
      </c>
      <c r="H509" s="121"/>
      <c r="I509" s="121"/>
      <c r="J509" s="121"/>
      <c r="K509" s="121"/>
      <c r="L509" s="121"/>
      <c r="M509" s="110"/>
      <c r="N509" s="110"/>
      <c r="O509" s="110"/>
      <c r="P509" s="110"/>
      <c r="Q509" s="110"/>
      <c r="R509" s="110"/>
      <c r="S509" s="110"/>
      <c r="T509" s="110"/>
      <c r="U509" s="110"/>
      <c r="V509" s="110"/>
      <c r="W509" s="110"/>
      <c r="X509" s="110"/>
      <c r="Y509" s="110"/>
      <c r="Z509" s="110"/>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7"/>
      <c r="BK509" s="227"/>
    </row>
    <row r="510" spans="1:63" ht="12.75" hidden="1" customHeight="1" outlineLevel="1">
      <c r="A510" s="9"/>
      <c r="B510" s="44"/>
      <c r="C510" s="278" t="str">
        <f>Asset17</f>
        <v>Protection and control - short life (4)</v>
      </c>
      <c r="D510" s="9"/>
      <c r="E510" s="9"/>
      <c r="F510" s="28"/>
      <c r="G510" s="210">
        <f>Input!Q23</f>
        <v>0</v>
      </c>
      <c r="H510" s="121"/>
      <c r="I510" s="121"/>
      <c r="J510" s="121"/>
      <c r="K510" s="121"/>
      <c r="L510" s="121"/>
      <c r="M510" s="110"/>
      <c r="N510" s="110"/>
      <c r="O510" s="110"/>
      <c r="P510" s="110"/>
      <c r="Q510" s="110"/>
      <c r="R510" s="110"/>
      <c r="S510" s="110"/>
      <c r="T510" s="110"/>
      <c r="U510" s="110"/>
      <c r="V510" s="110"/>
      <c r="W510" s="110"/>
      <c r="X510" s="110"/>
      <c r="Y510" s="110"/>
      <c r="Z510" s="110"/>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7"/>
      <c r="BK510" s="227"/>
    </row>
    <row r="511" spans="1:63" ht="12.75" hidden="1" customHeight="1" outlineLevel="1">
      <c r="A511" s="9"/>
      <c r="B511" s="44"/>
      <c r="C511" s="278" t="str">
        <f>Asset18</f>
        <v>Transmission operations - short life (10)</v>
      </c>
      <c r="D511" s="9"/>
      <c r="E511" s="9"/>
      <c r="F511" s="28"/>
      <c r="G511" s="210">
        <f>Input!Q24</f>
        <v>0</v>
      </c>
      <c r="H511" s="121"/>
      <c r="I511" s="121"/>
      <c r="J511" s="121"/>
      <c r="K511" s="121"/>
      <c r="L511" s="121"/>
      <c r="M511" s="110"/>
      <c r="N511" s="110"/>
      <c r="O511" s="110"/>
      <c r="P511" s="110"/>
      <c r="Q511" s="110"/>
      <c r="R511" s="110"/>
      <c r="S511" s="110"/>
      <c r="T511" s="110"/>
      <c r="U511" s="110"/>
      <c r="V511" s="110"/>
      <c r="W511" s="110"/>
      <c r="X511" s="110"/>
      <c r="Y511" s="110"/>
      <c r="Z511" s="110"/>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7"/>
      <c r="BK511" s="227"/>
    </row>
    <row r="512" spans="1:63" ht="12.75" hidden="1" customHeight="1" outlineLevel="1">
      <c r="A512" s="9"/>
      <c r="B512" s="44"/>
      <c r="C512" s="278" t="str">
        <f>Asset19</f>
        <v>Transmission operations - short life (4)</v>
      </c>
      <c r="D512" s="9"/>
      <c r="E512" s="9"/>
      <c r="F512" s="28"/>
      <c r="G512" s="210">
        <f>Input!Q25</f>
        <v>0</v>
      </c>
      <c r="H512" s="121"/>
      <c r="I512" s="121"/>
      <c r="J512" s="121"/>
      <c r="K512" s="121"/>
      <c r="L512" s="121"/>
      <c r="M512" s="110"/>
      <c r="N512" s="110"/>
      <c r="O512" s="110"/>
      <c r="P512" s="110"/>
      <c r="Q512" s="110"/>
      <c r="R512" s="110"/>
      <c r="S512" s="110"/>
      <c r="T512" s="110"/>
      <c r="U512" s="110"/>
      <c r="V512" s="110"/>
      <c r="W512" s="110"/>
      <c r="X512" s="110"/>
      <c r="Y512" s="110"/>
      <c r="Z512" s="110"/>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7"/>
      <c r="BK512" s="227"/>
    </row>
    <row r="513" spans="1:63" ht="12.75" hidden="1" customHeight="1" outlineLevel="1">
      <c r="A513" s="9"/>
      <c r="B513" s="44"/>
      <c r="C513" s="278" t="str">
        <f>Asset20</f>
        <v>Other - medium life (40)</v>
      </c>
      <c r="D513" s="9"/>
      <c r="E513" s="9"/>
      <c r="F513" s="28"/>
      <c r="G513" s="210">
        <f>Input!Q26</f>
        <v>6.8615870000000001</v>
      </c>
      <c r="H513" s="121"/>
      <c r="I513" s="121"/>
      <c r="J513" s="121"/>
      <c r="K513" s="121"/>
      <c r="L513" s="121"/>
      <c r="M513" s="110"/>
      <c r="N513" s="110"/>
      <c r="O513" s="110"/>
      <c r="P513" s="110"/>
      <c r="Q513" s="110"/>
      <c r="R513" s="110"/>
      <c r="S513" s="110"/>
      <c r="T513" s="110"/>
      <c r="U513" s="110"/>
      <c r="V513" s="110"/>
      <c r="W513" s="110"/>
      <c r="X513" s="110"/>
      <c r="Y513" s="110"/>
      <c r="Z513" s="110"/>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7"/>
      <c r="BK513" s="227"/>
    </row>
    <row r="514" spans="1:63" ht="12.75" hidden="1" customHeight="1" outlineLevel="1">
      <c r="A514" s="9"/>
      <c r="B514" s="44"/>
      <c r="C514" s="278" t="str">
        <f>Asset21</f>
        <v>Other - short life (9)</v>
      </c>
      <c r="D514" s="9"/>
      <c r="E514" s="9"/>
      <c r="F514" s="28"/>
      <c r="G514" s="210">
        <f>Input!Q27</f>
        <v>0</v>
      </c>
      <c r="H514" s="121"/>
      <c r="I514" s="121"/>
      <c r="J514" s="121"/>
      <c r="K514" s="121"/>
      <c r="L514" s="121"/>
      <c r="M514" s="110"/>
      <c r="N514" s="110"/>
      <c r="O514" s="110"/>
      <c r="P514" s="110"/>
      <c r="Q514" s="110"/>
      <c r="R514" s="110"/>
      <c r="S514" s="110"/>
      <c r="T514" s="110"/>
      <c r="U514" s="110"/>
      <c r="V514" s="110"/>
      <c r="W514" s="110"/>
      <c r="X514" s="110"/>
      <c r="Y514" s="110"/>
      <c r="Z514" s="110"/>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7"/>
      <c r="BK514" s="227"/>
    </row>
    <row r="515" spans="1:63" ht="12.75" hidden="1" customHeight="1" outlineLevel="1">
      <c r="A515" s="9"/>
      <c r="B515" s="44"/>
      <c r="C515" s="278" t="str">
        <f>Asset22</f>
        <v>Other - short life (4)</v>
      </c>
      <c r="D515" s="9"/>
      <c r="E515" s="9"/>
      <c r="F515" s="28"/>
      <c r="G515" s="210">
        <f>Input!Q28</f>
        <v>0.53168400000000005</v>
      </c>
      <c r="H515" s="121"/>
      <c r="I515" s="121"/>
      <c r="J515" s="121"/>
      <c r="K515" s="121"/>
      <c r="L515" s="121"/>
      <c r="M515" s="110"/>
      <c r="N515" s="110"/>
      <c r="O515" s="110"/>
      <c r="P515" s="110"/>
      <c r="Q515" s="110"/>
      <c r="R515" s="110"/>
      <c r="S515" s="110"/>
      <c r="T515" s="110"/>
      <c r="U515" s="110"/>
      <c r="V515" s="110"/>
      <c r="W515" s="110"/>
      <c r="X515" s="110"/>
      <c r="Y515" s="110"/>
      <c r="Z515" s="110"/>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7"/>
      <c r="BK515" s="227"/>
    </row>
    <row r="516" spans="1:63" ht="12.75" hidden="1" customHeight="1" outlineLevel="1">
      <c r="A516" s="9"/>
      <c r="B516" s="44"/>
      <c r="C516" s="278" t="str">
        <f>Asset23</f>
        <v>Land and Easements</v>
      </c>
      <c r="D516" s="9"/>
      <c r="E516" s="9"/>
      <c r="F516" s="28"/>
      <c r="G516" s="210">
        <f>Input!Q29</f>
        <v>0.12308107575340384</v>
      </c>
      <c r="H516" s="121"/>
      <c r="I516" s="121"/>
      <c r="J516" s="121"/>
      <c r="K516" s="121"/>
      <c r="L516" s="121"/>
      <c r="M516" s="110"/>
      <c r="N516" s="110"/>
      <c r="O516" s="110"/>
      <c r="P516" s="110"/>
      <c r="Q516" s="110"/>
      <c r="R516" s="110"/>
      <c r="S516" s="110"/>
      <c r="T516" s="110"/>
      <c r="U516" s="110"/>
      <c r="V516" s="110"/>
      <c r="W516" s="110"/>
      <c r="X516" s="110"/>
      <c r="Y516" s="110"/>
      <c r="Z516" s="110"/>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7"/>
      <c r="BK516" s="227"/>
    </row>
    <row r="517" spans="1:63" ht="12.75" hidden="1" customHeight="1" outlineLevel="1">
      <c r="A517" s="9"/>
      <c r="B517" s="44"/>
      <c r="C517" s="278" t="str">
        <f>Asset24</f>
        <v>Equity Raising</v>
      </c>
      <c r="D517" s="9"/>
      <c r="E517" s="9"/>
      <c r="F517" s="28"/>
      <c r="G517" s="210">
        <f>Input!Q30</f>
        <v>0</v>
      </c>
      <c r="H517" s="121"/>
      <c r="I517" s="121"/>
      <c r="J517" s="121"/>
      <c r="K517" s="121"/>
      <c r="L517" s="121"/>
      <c r="M517" s="110"/>
      <c r="N517" s="110"/>
      <c r="O517" s="110"/>
      <c r="P517" s="110"/>
      <c r="Q517" s="110"/>
      <c r="R517" s="110"/>
      <c r="S517" s="110"/>
      <c r="T517" s="110"/>
      <c r="U517" s="110"/>
      <c r="V517" s="110"/>
      <c r="W517" s="110"/>
      <c r="X517" s="110"/>
      <c r="Y517" s="110"/>
      <c r="Z517" s="110"/>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7"/>
      <c r="BK517" s="227"/>
    </row>
    <row r="518" spans="1:63" ht="12.75" hidden="1" customHeight="1" outlineLevel="1">
      <c r="A518" s="9"/>
      <c r="B518" s="44"/>
      <c r="C518" s="278">
        <f>Asset25</f>
        <v>0</v>
      </c>
      <c r="D518" s="9"/>
      <c r="E518" s="9"/>
      <c r="F518" s="28"/>
      <c r="G518" s="210">
        <f>Input!Q31</f>
        <v>0</v>
      </c>
      <c r="H518" s="121"/>
      <c r="I518" s="121"/>
      <c r="J518" s="121"/>
      <c r="K518" s="121"/>
      <c r="L518" s="121"/>
      <c r="M518" s="110"/>
      <c r="N518" s="110"/>
      <c r="O518" s="110"/>
      <c r="P518" s="110"/>
      <c r="Q518" s="110"/>
      <c r="R518" s="110"/>
      <c r="S518" s="110"/>
      <c r="T518" s="110"/>
      <c r="U518" s="110"/>
      <c r="V518" s="110"/>
      <c r="W518" s="110"/>
      <c r="X518" s="110"/>
      <c r="Y518" s="110"/>
      <c r="Z518" s="110"/>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7"/>
      <c r="BK518" s="227"/>
    </row>
    <row r="519" spans="1:63" ht="12.75" hidden="1" customHeight="1" outlineLevel="1">
      <c r="A519" s="9"/>
      <c r="B519" s="44"/>
      <c r="C519" s="278">
        <f>Asset26</f>
        <v>0</v>
      </c>
      <c r="D519" s="9"/>
      <c r="E519" s="9"/>
      <c r="F519" s="28"/>
      <c r="G519" s="210">
        <f>Input!Q32</f>
        <v>0</v>
      </c>
      <c r="H519" s="121"/>
      <c r="I519" s="121"/>
      <c r="J519" s="121"/>
      <c r="K519" s="121"/>
      <c r="L519" s="121"/>
      <c r="M519" s="110"/>
      <c r="N519" s="110"/>
      <c r="O519" s="110"/>
      <c r="P519" s="110"/>
      <c r="Q519" s="110"/>
      <c r="R519" s="110"/>
      <c r="S519" s="110"/>
      <c r="T519" s="110"/>
      <c r="U519" s="110"/>
      <c r="V519" s="110"/>
      <c r="W519" s="110"/>
      <c r="X519" s="110"/>
      <c r="Y519" s="110"/>
      <c r="Z519" s="110"/>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7"/>
      <c r="BK519" s="227"/>
    </row>
    <row r="520" spans="1:63" ht="12.75" hidden="1" customHeight="1" outlineLevel="1">
      <c r="A520" s="9"/>
      <c r="B520" s="44"/>
      <c r="C520" s="278">
        <f>Asset27</f>
        <v>0</v>
      </c>
      <c r="D520" s="9"/>
      <c r="E520" s="9"/>
      <c r="F520" s="28"/>
      <c r="G520" s="210">
        <f>Input!Q33</f>
        <v>0</v>
      </c>
      <c r="H520" s="121"/>
      <c r="I520" s="121"/>
      <c r="J520" s="121"/>
      <c r="K520" s="121"/>
      <c r="L520" s="121"/>
      <c r="M520" s="110"/>
      <c r="N520" s="110"/>
      <c r="O520" s="110"/>
      <c r="P520" s="110"/>
      <c r="Q520" s="110"/>
      <c r="R520" s="110"/>
      <c r="S520" s="110"/>
      <c r="T520" s="110"/>
      <c r="U520" s="110"/>
      <c r="V520" s="110"/>
      <c r="W520" s="110"/>
      <c r="X520" s="110"/>
      <c r="Y520" s="110"/>
      <c r="Z520" s="110"/>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7"/>
      <c r="BK520" s="227"/>
    </row>
    <row r="521" spans="1:63" ht="12.75" hidden="1" customHeight="1" outlineLevel="1">
      <c r="A521" s="9"/>
      <c r="B521" s="44"/>
      <c r="C521" s="278">
        <f>Asset28</f>
        <v>0</v>
      </c>
      <c r="D521" s="9"/>
      <c r="E521" s="9"/>
      <c r="F521" s="28"/>
      <c r="G521" s="210">
        <f>Input!Q34</f>
        <v>0</v>
      </c>
      <c r="H521" s="121"/>
      <c r="I521" s="121"/>
      <c r="J521" s="121"/>
      <c r="K521" s="121"/>
      <c r="L521" s="121"/>
      <c r="M521" s="110"/>
      <c r="N521" s="110"/>
      <c r="O521" s="110"/>
      <c r="P521" s="110"/>
      <c r="Q521" s="110"/>
      <c r="R521" s="110"/>
      <c r="S521" s="110"/>
      <c r="T521" s="110"/>
      <c r="U521" s="110"/>
      <c r="V521" s="110"/>
      <c r="W521" s="110"/>
      <c r="X521" s="110"/>
      <c r="Y521" s="110"/>
      <c r="Z521" s="110"/>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7"/>
      <c r="BK521" s="227"/>
    </row>
    <row r="522" spans="1:63" ht="12.75" hidden="1" customHeight="1" outlineLevel="1">
      <c r="A522" s="9"/>
      <c r="B522" s="44"/>
      <c r="C522" s="278">
        <f>Asset29</f>
        <v>0</v>
      </c>
      <c r="D522" s="9"/>
      <c r="E522" s="9"/>
      <c r="F522" s="28"/>
      <c r="G522" s="210">
        <f>Input!Q35</f>
        <v>0</v>
      </c>
      <c r="H522" s="121"/>
      <c r="I522" s="121"/>
      <c r="J522" s="121"/>
      <c r="K522" s="121"/>
      <c r="L522" s="121"/>
      <c r="M522" s="110"/>
      <c r="N522" s="110"/>
      <c r="O522" s="110"/>
      <c r="P522" s="110"/>
      <c r="Q522" s="110"/>
      <c r="R522" s="110"/>
      <c r="S522" s="110"/>
      <c r="T522" s="110"/>
      <c r="U522" s="110"/>
      <c r="V522" s="110"/>
      <c r="W522" s="110"/>
      <c r="X522" s="110"/>
      <c r="Y522" s="110"/>
      <c r="Z522" s="110"/>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7"/>
      <c r="BK522" s="227"/>
    </row>
    <row r="523" spans="1:63" ht="12.75" hidden="1" customHeight="1" outlineLevel="1">
      <c r="A523" s="9"/>
      <c r="B523" s="44"/>
      <c r="C523" s="278">
        <f>Asset30</f>
        <v>0</v>
      </c>
      <c r="D523" s="9"/>
      <c r="E523" s="9"/>
      <c r="F523" s="28"/>
      <c r="G523" s="210">
        <f>Input!Q36</f>
        <v>0</v>
      </c>
      <c r="H523" s="121"/>
      <c r="I523" s="121"/>
      <c r="J523" s="121"/>
      <c r="K523" s="121"/>
      <c r="L523" s="121"/>
      <c r="M523" s="110"/>
      <c r="N523" s="110"/>
      <c r="O523" s="110"/>
      <c r="P523" s="110"/>
      <c r="Q523" s="110"/>
      <c r="R523" s="110"/>
      <c r="S523" s="110"/>
      <c r="T523" s="110"/>
      <c r="U523" s="110"/>
      <c r="V523" s="110"/>
      <c r="W523" s="110"/>
      <c r="X523" s="110"/>
      <c r="Y523" s="110"/>
      <c r="Z523" s="110"/>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7"/>
      <c r="BK523" s="227"/>
    </row>
    <row r="524" spans="1:63" collapsed="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c r="BF524" s="204"/>
      <c r="BG524" s="204"/>
      <c r="BH524" s="204"/>
      <c r="BI524" s="204"/>
      <c r="BJ524" s="204"/>
      <c r="BK524" s="20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204"/>
      <c r="AB525" s="204"/>
      <c r="AC525" s="204"/>
      <c r="AD525" s="204"/>
      <c r="AE525" s="204"/>
      <c r="AF525" s="204"/>
      <c r="AG525" s="204"/>
      <c r="AH525" s="204"/>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c r="BF525" s="204"/>
      <c r="BG525" s="204"/>
      <c r="BH525" s="204"/>
      <c r="BI525" s="204"/>
      <c r="BJ525" s="204"/>
      <c r="BK525" s="20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204"/>
      <c r="AB526" s="204"/>
      <c r="AC526" s="204"/>
      <c r="AD526" s="204"/>
      <c r="AE526" s="204"/>
      <c r="AF526" s="204"/>
      <c r="AG526" s="204"/>
      <c r="AH526" s="204"/>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c r="BF526" s="204"/>
      <c r="BG526" s="204"/>
      <c r="BH526" s="204"/>
      <c r="BI526" s="204"/>
      <c r="BJ526" s="204"/>
      <c r="BK526" s="20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204"/>
      <c r="AB527" s="204"/>
      <c r="AC527" s="204"/>
      <c r="AD527" s="204"/>
      <c r="AE527" s="204"/>
      <c r="AF527" s="204"/>
      <c r="AG527" s="204"/>
      <c r="AH527" s="204"/>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c r="BF527" s="204"/>
      <c r="BG527" s="204"/>
      <c r="BH527" s="204"/>
      <c r="BI527" s="204"/>
      <c r="BJ527" s="204"/>
      <c r="BK527" s="20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204"/>
      <c r="AB528" s="204"/>
      <c r="AC528" s="204"/>
      <c r="AD528" s="204"/>
      <c r="AE528" s="204"/>
      <c r="AF528" s="204"/>
      <c r="AG528" s="204"/>
      <c r="AH528" s="204"/>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c r="BF528" s="204"/>
      <c r="BG528" s="204"/>
      <c r="BH528" s="204"/>
      <c r="BI528" s="204"/>
      <c r="BJ528" s="204"/>
      <c r="BK528" s="20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204"/>
      <c r="AB529" s="204"/>
      <c r="AC529" s="204"/>
      <c r="AD529" s="204"/>
      <c r="AE529" s="204"/>
      <c r="AF529" s="204"/>
      <c r="AG529" s="204"/>
      <c r="AH529" s="204"/>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c r="BF529" s="204"/>
      <c r="BG529" s="204"/>
      <c r="BH529" s="204"/>
      <c r="BI529" s="204"/>
      <c r="BJ529" s="204"/>
      <c r="BK529" s="20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204"/>
      <c r="AB530" s="204"/>
      <c r="AC530" s="204"/>
      <c r="AD530" s="204"/>
      <c r="AE530" s="204"/>
      <c r="AF530" s="204"/>
      <c r="AG530" s="204"/>
      <c r="AH530" s="204"/>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c r="BF530" s="204"/>
      <c r="BG530" s="204"/>
      <c r="BH530" s="204"/>
      <c r="BI530" s="204"/>
      <c r="BJ530" s="204"/>
      <c r="BK530" s="20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204"/>
      <c r="AB531" s="204"/>
      <c r="AC531" s="204"/>
      <c r="AD531" s="204"/>
      <c r="AE531" s="204"/>
      <c r="AF531" s="204"/>
      <c r="AG531" s="204"/>
      <c r="AH531" s="204"/>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c r="BF531" s="204"/>
      <c r="BG531" s="204"/>
      <c r="BH531" s="204"/>
      <c r="BI531" s="204"/>
      <c r="BJ531" s="204"/>
      <c r="BK531" s="20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204"/>
      <c r="AB532" s="204"/>
      <c r="AC532" s="204"/>
      <c r="AD532" s="204"/>
      <c r="AE532" s="204"/>
      <c r="AF532" s="204"/>
      <c r="AG532" s="204"/>
      <c r="AH532" s="204"/>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c r="BF532" s="204"/>
      <c r="BG532" s="204"/>
      <c r="BH532" s="204"/>
      <c r="BI532" s="204"/>
      <c r="BJ532" s="204"/>
      <c r="BK532" s="20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204"/>
      <c r="AB533" s="204"/>
      <c r="AC533" s="204"/>
      <c r="AD533" s="204"/>
      <c r="AE533" s="204"/>
      <c r="AF533" s="204"/>
      <c r="AG533" s="204"/>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c r="BF533" s="204"/>
      <c r="BG533" s="204"/>
      <c r="BH533" s="204"/>
      <c r="BI533" s="204"/>
      <c r="BJ533" s="204"/>
      <c r="BK533" s="20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204"/>
      <c r="AB534" s="204"/>
      <c r="AC534" s="204"/>
      <c r="AD534" s="204"/>
      <c r="AE534" s="204"/>
      <c r="AF534" s="204"/>
      <c r="AG534" s="204"/>
      <c r="AH534" s="204"/>
      <c r="AI534" s="204"/>
      <c r="AJ534" s="204"/>
      <c r="AK534" s="204"/>
      <c r="AL534" s="204"/>
      <c r="AM534" s="204"/>
      <c r="AN534" s="204"/>
      <c r="AO534" s="204"/>
      <c r="AP534" s="204"/>
      <c r="AQ534" s="204"/>
      <c r="AR534" s="204"/>
      <c r="AS534" s="204"/>
      <c r="AT534" s="204"/>
      <c r="AU534" s="204"/>
      <c r="AV534" s="204"/>
      <c r="AW534" s="204"/>
      <c r="AX534" s="204"/>
      <c r="AY534" s="204"/>
      <c r="AZ534" s="204"/>
      <c r="BA534" s="204"/>
      <c r="BB534" s="204"/>
      <c r="BC534" s="204"/>
      <c r="BD534" s="204"/>
      <c r="BE534" s="204"/>
      <c r="BF534" s="204"/>
      <c r="BG534" s="204"/>
      <c r="BH534" s="204"/>
      <c r="BI534" s="204"/>
      <c r="BJ534" s="204"/>
      <c r="BK534" s="20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c r="BF535" s="204"/>
      <c r="BG535" s="204"/>
      <c r="BH535" s="204"/>
      <c r="BI535" s="204"/>
      <c r="BJ535" s="204"/>
      <c r="BK535" s="20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c r="BF536" s="204"/>
      <c r="BG536" s="204"/>
      <c r="BH536" s="204"/>
      <c r="BI536" s="204"/>
      <c r="BJ536" s="204"/>
      <c r="BK536" s="20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c r="BH537" s="204"/>
      <c r="BI537" s="204"/>
      <c r="BJ537" s="204"/>
      <c r="BK537" s="20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204"/>
      <c r="AB538" s="204"/>
      <c r="AC538" s="204"/>
      <c r="AD538" s="204"/>
      <c r="AE538" s="204"/>
      <c r="AF538" s="204"/>
      <c r="AG538" s="204"/>
      <c r="AH538" s="204"/>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c r="BF538" s="204"/>
      <c r="BG538" s="204"/>
      <c r="BH538" s="204"/>
      <c r="BI538" s="204"/>
      <c r="BJ538" s="204"/>
      <c r="BK538" s="20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204"/>
      <c r="AB539" s="204"/>
      <c r="AC539" s="204"/>
      <c r="AD539" s="204"/>
      <c r="AE539" s="204"/>
      <c r="AF539" s="204"/>
      <c r="AG539" s="204"/>
      <c r="AH539" s="204"/>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c r="BF539" s="204"/>
      <c r="BG539" s="204"/>
      <c r="BH539" s="204"/>
      <c r="BI539" s="204"/>
      <c r="BJ539" s="204"/>
      <c r="BK539" s="20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204"/>
      <c r="AB540" s="204"/>
      <c r="AC540" s="204"/>
      <c r="AD540" s="204"/>
      <c r="AE540" s="204"/>
      <c r="AF540" s="204"/>
      <c r="AG540" s="204"/>
      <c r="AH540" s="204"/>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c r="BF540" s="204"/>
      <c r="BG540" s="204"/>
      <c r="BH540" s="204"/>
      <c r="BI540" s="204"/>
      <c r="BJ540" s="204"/>
      <c r="BK540" s="20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204"/>
      <c r="AB541" s="204"/>
      <c r="AC541" s="204"/>
      <c r="AD541" s="204"/>
      <c r="AE541" s="204"/>
      <c r="AF541" s="204"/>
      <c r="AG541" s="204"/>
      <c r="AH541" s="204"/>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c r="BF541" s="204"/>
      <c r="BG541" s="204"/>
      <c r="BH541" s="204"/>
      <c r="BI541" s="204"/>
      <c r="BJ541" s="204"/>
      <c r="BK541" s="20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204"/>
      <c r="AB542" s="204"/>
      <c r="AC542" s="204"/>
      <c r="AD542" s="204"/>
      <c r="AE542" s="204"/>
      <c r="AF542" s="204"/>
      <c r="AG542" s="204"/>
      <c r="AH542" s="204"/>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c r="BF542" s="204"/>
      <c r="BG542" s="204"/>
      <c r="BH542" s="204"/>
      <c r="BI542" s="204"/>
      <c r="BJ542" s="204"/>
      <c r="BK542" s="20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204"/>
      <c r="AB543" s="204"/>
      <c r="AC543" s="204"/>
      <c r="AD543" s="204"/>
      <c r="AE543" s="204"/>
      <c r="AF543" s="204"/>
      <c r="AG543" s="204"/>
      <c r="AH543" s="204"/>
      <c r="AI543" s="204"/>
      <c r="AJ543" s="204"/>
      <c r="AK543" s="204"/>
      <c r="AL543" s="204"/>
      <c r="AM543" s="204"/>
      <c r="AN543" s="204"/>
      <c r="AO543" s="204"/>
      <c r="AP543" s="204"/>
      <c r="AQ543" s="204"/>
      <c r="AR543" s="204"/>
      <c r="AS543" s="204"/>
      <c r="AT543" s="204"/>
      <c r="AU543" s="204"/>
      <c r="AV543" s="204"/>
      <c r="AW543" s="204"/>
      <c r="AX543" s="204"/>
      <c r="AY543" s="204"/>
      <c r="AZ543" s="204"/>
      <c r="BA543" s="204"/>
      <c r="BB543" s="204"/>
      <c r="BC543" s="204"/>
      <c r="BD543" s="204"/>
      <c r="BE543" s="204"/>
      <c r="BF543" s="204"/>
      <c r="BG543" s="204"/>
      <c r="BH543" s="204"/>
      <c r="BI543" s="204"/>
      <c r="BJ543" s="204"/>
      <c r="BK543" s="20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204"/>
      <c r="AB544" s="204"/>
      <c r="AC544" s="204"/>
      <c r="AD544" s="204"/>
      <c r="AE544" s="204"/>
      <c r="AF544" s="204"/>
      <c r="AG544" s="204"/>
      <c r="AH544" s="204"/>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c r="BF544" s="204"/>
      <c r="BG544" s="204"/>
      <c r="BH544" s="204"/>
      <c r="BI544" s="204"/>
      <c r="BJ544" s="204"/>
      <c r="BK544" s="20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204"/>
      <c r="AB545" s="204"/>
      <c r="AC545" s="204"/>
      <c r="AD545" s="204"/>
      <c r="AE545" s="204"/>
      <c r="AF545" s="204"/>
      <c r="AG545" s="204"/>
      <c r="AH545" s="204"/>
      <c r="AI545" s="204"/>
      <c r="AJ545" s="204"/>
      <c r="AK545" s="204"/>
      <c r="AL545" s="204"/>
      <c r="AM545" s="204"/>
      <c r="AN545" s="204"/>
      <c r="AO545" s="204"/>
      <c r="AP545" s="204"/>
      <c r="AQ545" s="204"/>
      <c r="AR545" s="204"/>
      <c r="AS545" s="204"/>
      <c r="AT545" s="204"/>
      <c r="AU545" s="204"/>
      <c r="AV545" s="204"/>
      <c r="AW545" s="204"/>
      <c r="AX545" s="204"/>
      <c r="AY545" s="204"/>
      <c r="AZ545" s="204"/>
      <c r="BA545" s="204"/>
      <c r="BB545" s="204"/>
      <c r="BC545" s="204"/>
      <c r="BD545" s="204"/>
      <c r="BE545" s="204"/>
      <c r="BF545" s="204"/>
      <c r="BG545" s="204"/>
      <c r="BH545" s="204"/>
      <c r="BI545" s="204"/>
      <c r="BJ545" s="204"/>
      <c r="BK545" s="20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204"/>
      <c r="AB546" s="204"/>
      <c r="AC546" s="204"/>
      <c r="AD546" s="204"/>
      <c r="AE546" s="204"/>
      <c r="AF546" s="204"/>
      <c r="AG546" s="204"/>
      <c r="AH546" s="204"/>
      <c r="AI546" s="204"/>
      <c r="AJ546" s="204"/>
      <c r="AK546" s="204"/>
      <c r="AL546" s="204"/>
      <c r="AM546" s="204"/>
      <c r="AN546" s="204"/>
      <c r="AO546" s="204"/>
      <c r="AP546" s="204"/>
      <c r="AQ546" s="204"/>
      <c r="AR546" s="204"/>
      <c r="AS546" s="204"/>
      <c r="AT546" s="204"/>
      <c r="AU546" s="204"/>
      <c r="AV546" s="204"/>
      <c r="AW546" s="204"/>
      <c r="AX546" s="204"/>
      <c r="AY546" s="204"/>
      <c r="AZ546" s="204"/>
      <c r="BA546" s="204"/>
      <c r="BB546" s="204"/>
      <c r="BC546" s="204"/>
      <c r="BD546" s="204"/>
      <c r="BE546" s="204"/>
      <c r="BF546" s="204"/>
      <c r="BG546" s="204"/>
      <c r="BH546" s="204"/>
      <c r="BI546" s="204"/>
      <c r="BJ546" s="204"/>
      <c r="BK546" s="20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204"/>
      <c r="AB547" s="204"/>
      <c r="AC547" s="204"/>
      <c r="AD547" s="204"/>
      <c r="AE547" s="204"/>
      <c r="AF547" s="204"/>
      <c r="AG547" s="204"/>
      <c r="AH547" s="204"/>
      <c r="AI547" s="204"/>
      <c r="AJ547" s="204"/>
      <c r="AK547" s="204"/>
      <c r="AL547" s="204"/>
      <c r="AM547" s="204"/>
      <c r="AN547" s="204"/>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c r="BI547" s="204"/>
      <c r="BJ547" s="204"/>
      <c r="BK547" s="20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204"/>
      <c r="AB548" s="204"/>
      <c r="AC548" s="204"/>
      <c r="AD548" s="204"/>
      <c r="AE548" s="204"/>
      <c r="AF548" s="204"/>
      <c r="AG548" s="204"/>
      <c r="AH548" s="204"/>
      <c r="AI548" s="204"/>
      <c r="AJ548" s="204"/>
      <c r="AK548" s="204"/>
      <c r="AL548" s="204"/>
      <c r="AM548" s="204"/>
      <c r="AN548" s="204"/>
      <c r="AO548" s="204"/>
      <c r="AP548" s="204"/>
      <c r="AQ548" s="204"/>
      <c r="AR548" s="204"/>
      <c r="AS548" s="204"/>
      <c r="AT548" s="204"/>
      <c r="AU548" s="204"/>
      <c r="AV548" s="204"/>
      <c r="AW548" s="204"/>
      <c r="AX548" s="204"/>
      <c r="AY548" s="204"/>
      <c r="AZ548" s="204"/>
      <c r="BA548" s="204"/>
      <c r="BB548" s="204"/>
      <c r="BC548" s="204"/>
      <c r="BD548" s="204"/>
      <c r="BE548" s="204"/>
      <c r="BF548" s="204"/>
      <c r="BG548" s="204"/>
      <c r="BH548" s="204"/>
      <c r="BI548" s="204"/>
      <c r="BJ548" s="204"/>
      <c r="BK548" s="20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204"/>
      <c r="AB549" s="204"/>
      <c r="AC549" s="204"/>
      <c r="AD549" s="204"/>
      <c r="AE549" s="204"/>
      <c r="AF549" s="204"/>
      <c r="AG549" s="204"/>
      <c r="AH549" s="204"/>
      <c r="AI549" s="204"/>
      <c r="AJ549" s="204"/>
      <c r="AK549" s="204"/>
      <c r="AL549" s="204"/>
      <c r="AM549" s="204"/>
      <c r="AN549" s="204"/>
      <c r="AO549" s="204"/>
      <c r="AP549" s="204"/>
      <c r="AQ549" s="204"/>
      <c r="AR549" s="204"/>
      <c r="AS549" s="204"/>
      <c r="AT549" s="204"/>
      <c r="AU549" s="204"/>
      <c r="AV549" s="204"/>
      <c r="AW549" s="204"/>
      <c r="AX549" s="204"/>
      <c r="AY549" s="204"/>
      <c r="AZ549" s="204"/>
      <c r="BA549" s="204"/>
      <c r="BB549" s="204"/>
      <c r="BC549" s="204"/>
      <c r="BD549" s="204"/>
      <c r="BE549" s="204"/>
      <c r="BF549" s="204"/>
      <c r="BG549" s="204"/>
      <c r="BH549" s="204"/>
      <c r="BI549" s="204"/>
      <c r="BJ549" s="204"/>
      <c r="BK549" s="20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204"/>
      <c r="AB550" s="204"/>
      <c r="AC550" s="204"/>
      <c r="AD550" s="204"/>
      <c r="AE550" s="204"/>
      <c r="AF550" s="204"/>
      <c r="AG550" s="204"/>
      <c r="AH550" s="204"/>
      <c r="AI550" s="204"/>
      <c r="AJ550" s="204"/>
      <c r="AK550" s="204"/>
      <c r="AL550" s="204"/>
      <c r="AM550" s="204"/>
      <c r="AN550" s="204"/>
      <c r="AO550" s="204"/>
      <c r="AP550" s="204"/>
      <c r="AQ550" s="204"/>
      <c r="AR550" s="204"/>
      <c r="AS550" s="204"/>
      <c r="AT550" s="204"/>
      <c r="AU550" s="204"/>
      <c r="AV550" s="204"/>
      <c r="AW550" s="204"/>
      <c r="AX550" s="204"/>
      <c r="AY550" s="204"/>
      <c r="AZ550" s="204"/>
      <c r="BA550" s="204"/>
      <c r="BB550" s="204"/>
      <c r="BC550" s="204"/>
      <c r="BD550" s="204"/>
      <c r="BE550" s="204"/>
      <c r="BF550" s="204"/>
      <c r="BG550" s="204"/>
      <c r="BH550" s="204"/>
      <c r="BI550" s="204"/>
      <c r="BJ550" s="204"/>
      <c r="BK550" s="20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204"/>
      <c r="AB551" s="204"/>
      <c r="AC551" s="204"/>
      <c r="AD551" s="204"/>
      <c r="AE551" s="204"/>
      <c r="AF551" s="204"/>
      <c r="AG551" s="204"/>
      <c r="AH551" s="204"/>
      <c r="AI551" s="204"/>
      <c r="AJ551" s="204"/>
      <c r="AK551" s="204"/>
      <c r="AL551" s="204"/>
      <c r="AM551" s="204"/>
      <c r="AN551" s="204"/>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c r="BI551" s="204"/>
      <c r="BJ551" s="204"/>
      <c r="BK551" s="20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204"/>
      <c r="AB552" s="204"/>
      <c r="AC552" s="204"/>
      <c r="AD552" s="204"/>
      <c r="AE552" s="204"/>
      <c r="AF552" s="204"/>
      <c r="AG552" s="204"/>
      <c r="AH552" s="204"/>
      <c r="AI552" s="204"/>
      <c r="AJ552" s="204"/>
      <c r="AK552" s="204"/>
      <c r="AL552" s="204"/>
      <c r="AM552" s="204"/>
      <c r="AN552" s="204"/>
      <c r="AO552" s="204"/>
      <c r="AP552" s="204"/>
      <c r="AQ552" s="204"/>
      <c r="AR552" s="204"/>
      <c r="AS552" s="204"/>
      <c r="AT552" s="204"/>
      <c r="AU552" s="204"/>
      <c r="AV552" s="204"/>
      <c r="AW552" s="204"/>
      <c r="AX552" s="204"/>
      <c r="AY552" s="204"/>
      <c r="AZ552" s="204"/>
      <c r="BA552" s="204"/>
      <c r="BB552" s="204"/>
      <c r="BC552" s="204"/>
      <c r="BD552" s="204"/>
      <c r="BE552" s="204"/>
      <c r="BF552" s="204"/>
      <c r="BG552" s="204"/>
      <c r="BH552" s="204"/>
      <c r="BI552" s="204"/>
      <c r="BJ552" s="204"/>
      <c r="BK552" s="20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204"/>
      <c r="AB553" s="204"/>
      <c r="AC553" s="204"/>
      <c r="AD553" s="204"/>
      <c r="AE553" s="204"/>
      <c r="AF553" s="204"/>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c r="BI553" s="204"/>
      <c r="BJ553" s="204"/>
      <c r="BK553" s="20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204"/>
      <c r="AB554" s="204"/>
      <c r="AC554" s="204"/>
      <c r="AD554" s="204"/>
      <c r="AE554" s="204"/>
      <c r="AF554" s="204"/>
      <c r="AG554" s="204"/>
      <c r="AH554" s="204"/>
      <c r="AI554" s="204"/>
      <c r="AJ554" s="204"/>
      <c r="AK554" s="204"/>
      <c r="AL554" s="204"/>
      <c r="AM554" s="204"/>
      <c r="AN554" s="204"/>
      <c r="AO554" s="204"/>
      <c r="AP554" s="204"/>
      <c r="AQ554" s="204"/>
      <c r="AR554" s="204"/>
      <c r="AS554" s="204"/>
      <c r="AT554" s="204"/>
      <c r="AU554" s="204"/>
      <c r="AV554" s="204"/>
      <c r="AW554" s="204"/>
      <c r="AX554" s="204"/>
      <c r="AY554" s="204"/>
      <c r="AZ554" s="204"/>
      <c r="BA554" s="204"/>
      <c r="BB554" s="204"/>
      <c r="BC554" s="204"/>
      <c r="BD554" s="204"/>
      <c r="BE554" s="204"/>
      <c r="BF554" s="204"/>
      <c r="BG554" s="204"/>
      <c r="BH554" s="204"/>
      <c r="BI554" s="204"/>
      <c r="BJ554" s="204"/>
      <c r="BK554" s="20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204"/>
      <c r="AB555" s="204"/>
      <c r="AC555" s="204"/>
      <c r="AD555" s="204"/>
      <c r="AE555" s="204"/>
      <c r="AF555" s="204"/>
      <c r="AG555" s="204"/>
      <c r="AH555" s="204"/>
      <c r="AI555" s="204"/>
      <c r="AJ555" s="204"/>
      <c r="AK555" s="204"/>
      <c r="AL555" s="204"/>
      <c r="AM555" s="204"/>
      <c r="AN555" s="204"/>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c r="BI555" s="204"/>
      <c r="BJ555" s="204"/>
      <c r="BK555" s="20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204"/>
      <c r="AB556" s="204"/>
      <c r="AC556" s="204"/>
      <c r="AD556" s="204"/>
      <c r="AE556" s="204"/>
      <c r="AF556" s="204"/>
      <c r="AG556" s="204"/>
      <c r="AH556" s="204"/>
      <c r="AI556" s="204"/>
      <c r="AJ556" s="204"/>
      <c r="AK556" s="204"/>
      <c r="AL556" s="204"/>
      <c r="AM556" s="204"/>
      <c r="AN556" s="204"/>
      <c r="AO556" s="204"/>
      <c r="AP556" s="204"/>
      <c r="AQ556" s="204"/>
      <c r="AR556" s="204"/>
      <c r="AS556" s="204"/>
      <c r="AT556" s="204"/>
      <c r="AU556" s="204"/>
      <c r="AV556" s="204"/>
      <c r="AW556" s="204"/>
      <c r="AX556" s="204"/>
      <c r="AY556" s="204"/>
      <c r="AZ556" s="204"/>
      <c r="BA556" s="204"/>
      <c r="BB556" s="204"/>
      <c r="BC556" s="204"/>
      <c r="BD556" s="204"/>
      <c r="BE556" s="204"/>
      <c r="BF556" s="204"/>
      <c r="BG556" s="204"/>
      <c r="BH556" s="204"/>
      <c r="BI556" s="204"/>
      <c r="BJ556" s="204"/>
      <c r="BK556" s="20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204"/>
      <c r="AB557" s="204"/>
      <c r="AC557" s="204"/>
      <c r="AD557" s="204"/>
      <c r="AE557" s="204"/>
      <c r="AF557" s="204"/>
      <c r="AG557" s="204"/>
      <c r="AH557" s="204"/>
      <c r="AI557" s="204"/>
      <c r="AJ557" s="204"/>
      <c r="AK557" s="204"/>
      <c r="AL557" s="204"/>
      <c r="AM557" s="204"/>
      <c r="AN557" s="204"/>
      <c r="AO557" s="204"/>
      <c r="AP557" s="204"/>
      <c r="AQ557" s="204"/>
      <c r="AR557" s="204"/>
      <c r="AS557" s="204"/>
      <c r="AT557" s="204"/>
      <c r="AU557" s="204"/>
      <c r="AV557" s="204"/>
      <c r="AW557" s="204"/>
      <c r="AX557" s="204"/>
      <c r="AY557" s="204"/>
      <c r="AZ557" s="204"/>
      <c r="BA557" s="204"/>
      <c r="BB557" s="204"/>
      <c r="BC557" s="204"/>
      <c r="BD557" s="204"/>
      <c r="BE557" s="204"/>
      <c r="BF557" s="204"/>
      <c r="BG557" s="204"/>
      <c r="BH557" s="204"/>
      <c r="BI557" s="204"/>
      <c r="BJ557" s="204"/>
      <c r="BK557" s="20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c r="BI558" s="204"/>
      <c r="BJ558" s="204"/>
      <c r="BK558" s="20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c r="BI560" s="204"/>
      <c r="BJ560" s="204"/>
      <c r="BK560" s="20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c r="BI561" s="204"/>
      <c r="BJ561" s="204"/>
      <c r="BK561" s="20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c r="BI562" s="204"/>
      <c r="BJ562" s="204"/>
      <c r="BK562" s="20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row>
    <row r="570" spans="1:6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c r="BI570" s="204"/>
      <c r="BJ570" s="204"/>
      <c r="BK570" s="204"/>
    </row>
    <row r="571" spans="1:6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row>
    <row r="572" spans="1:6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c r="BI572" s="204"/>
      <c r="BJ572" s="204"/>
      <c r="BK572" s="204"/>
    </row>
    <row r="573" spans="1:6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c r="BI573" s="204"/>
      <c r="BJ573" s="204"/>
      <c r="BK573" s="204"/>
    </row>
    <row r="574" spans="1:6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row>
    <row r="575" spans="1:6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row>
    <row r="576" spans="1:6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c r="BI576" s="204"/>
      <c r="BJ576" s="204"/>
      <c r="BK576" s="204"/>
    </row>
    <row r="577" spans="1:7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c r="BI577" s="204"/>
      <c r="BJ577" s="204"/>
      <c r="BK577" s="204"/>
    </row>
    <row r="578" spans="1:7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c r="BI578" s="204"/>
      <c r="BJ578" s="204"/>
      <c r="BK578" s="204"/>
    </row>
    <row r="579" spans="1:7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4"/>
      <c r="BM579" s="204"/>
      <c r="BN579" s="204"/>
      <c r="BO579" s="204"/>
      <c r="BP579" s="204"/>
      <c r="BQ579" s="204"/>
      <c r="BR579" s="204"/>
      <c r="BS579" s="204"/>
      <c r="BT579" s="204"/>
    </row>
    <row r="580" spans="1:7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c r="BI580" s="204"/>
      <c r="BJ580" s="204"/>
      <c r="BK580" s="204"/>
      <c r="BL580" s="204"/>
      <c r="BM580" s="204"/>
      <c r="BN580" s="204"/>
      <c r="BO580" s="204"/>
      <c r="BP580" s="204"/>
      <c r="BQ580" s="204"/>
      <c r="BR580" s="204"/>
      <c r="BS580" s="204"/>
      <c r="BT580" s="204"/>
    </row>
    <row r="581" spans="1:7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c r="BI581" s="204"/>
      <c r="BJ581" s="204"/>
      <c r="BK581" s="204"/>
      <c r="BL581" s="204"/>
      <c r="BM581" s="204"/>
      <c r="BN581" s="204"/>
      <c r="BO581" s="204"/>
      <c r="BP581" s="204"/>
      <c r="BQ581" s="204"/>
      <c r="BR581" s="204"/>
      <c r="BS581" s="204"/>
      <c r="BT581" s="204"/>
    </row>
    <row r="582" spans="1:7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c r="BJ582" s="204"/>
      <c r="BK582" s="204"/>
      <c r="BL582" s="204"/>
      <c r="BM582" s="204"/>
      <c r="BN582" s="204"/>
      <c r="BO582" s="204"/>
      <c r="BP582" s="204"/>
      <c r="BQ582" s="204"/>
      <c r="BR582" s="204"/>
      <c r="BS582" s="204"/>
      <c r="BT582" s="204"/>
    </row>
    <row r="583" spans="1:7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c r="BI583" s="204"/>
      <c r="BJ583" s="204"/>
      <c r="BK583" s="204"/>
      <c r="BL583" s="204"/>
      <c r="BM583" s="204"/>
      <c r="BN583" s="204"/>
      <c r="BO583" s="204"/>
      <c r="BP583" s="204"/>
      <c r="BQ583" s="204"/>
      <c r="BR583" s="204"/>
      <c r="BS583" s="204"/>
      <c r="BT583" s="204"/>
    </row>
    <row r="584" spans="1:7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c r="BI584" s="204"/>
      <c r="BJ584" s="204"/>
      <c r="BK584" s="204"/>
      <c r="BL584" s="204"/>
      <c r="BM584" s="204"/>
      <c r="BN584" s="204"/>
      <c r="BO584" s="204"/>
      <c r="BP584" s="204"/>
      <c r="BQ584" s="204"/>
      <c r="BR584" s="204"/>
      <c r="BS584" s="204"/>
      <c r="BT584" s="204"/>
    </row>
    <row r="585" spans="1:7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c r="BI585" s="204"/>
      <c r="BJ585" s="204"/>
      <c r="BK585" s="204"/>
      <c r="BL585" s="204"/>
      <c r="BM585" s="204"/>
      <c r="BN585" s="204"/>
      <c r="BO585" s="204"/>
      <c r="BP585" s="204"/>
      <c r="BQ585" s="204"/>
      <c r="BR585" s="204"/>
      <c r="BS585" s="204"/>
      <c r="BT585" s="204"/>
    </row>
    <row r="586" spans="1:7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c r="BJ586" s="204"/>
      <c r="BK586" s="204"/>
      <c r="BL586" s="204"/>
      <c r="BM586" s="204"/>
      <c r="BN586" s="204"/>
      <c r="BO586" s="204"/>
      <c r="BP586" s="204"/>
      <c r="BQ586" s="204"/>
      <c r="BR586" s="204"/>
      <c r="BS586" s="204"/>
      <c r="BT586" s="204"/>
    </row>
    <row r="587" spans="1:7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c r="BI587" s="204"/>
      <c r="BJ587" s="204"/>
      <c r="BK587" s="204"/>
      <c r="BL587" s="204"/>
      <c r="BM587" s="204"/>
      <c r="BN587" s="204"/>
      <c r="BO587" s="204"/>
      <c r="BP587" s="204"/>
      <c r="BQ587" s="204"/>
      <c r="BR587" s="204"/>
      <c r="BS587" s="204"/>
      <c r="BT587" s="204"/>
    </row>
    <row r="588" spans="1:7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c r="BI588" s="204"/>
      <c r="BJ588" s="204"/>
      <c r="BK588" s="204"/>
      <c r="BL588" s="204"/>
      <c r="BM588" s="204"/>
      <c r="BN588" s="204"/>
      <c r="BO588" s="204"/>
      <c r="BP588" s="204"/>
      <c r="BQ588" s="204"/>
      <c r="BR588" s="204"/>
      <c r="BS588" s="204"/>
      <c r="BT588" s="204"/>
    </row>
    <row r="589" spans="1:7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c r="BI589" s="204"/>
      <c r="BJ589" s="204"/>
      <c r="BK589" s="204"/>
      <c r="BL589" s="204"/>
      <c r="BM589" s="204"/>
      <c r="BN589" s="204"/>
      <c r="BO589" s="204"/>
      <c r="BP589" s="204"/>
      <c r="BQ589" s="204"/>
      <c r="BR589" s="204"/>
      <c r="BS589" s="204"/>
      <c r="BT589" s="204"/>
    </row>
    <row r="590" spans="1:7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c r="BI590" s="204"/>
      <c r="BJ590" s="204"/>
      <c r="BK590" s="204"/>
      <c r="BL590" s="204"/>
      <c r="BM590" s="204"/>
      <c r="BN590" s="204"/>
      <c r="BO590" s="204"/>
      <c r="BP590" s="204"/>
      <c r="BQ590" s="204"/>
      <c r="BR590" s="204"/>
      <c r="BS590" s="204"/>
      <c r="BT590" s="204"/>
    </row>
    <row r="591" spans="1:7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c r="BI591" s="204"/>
      <c r="BJ591" s="204"/>
      <c r="BK591" s="204"/>
      <c r="BL591" s="204"/>
      <c r="BM591" s="204"/>
      <c r="BN591" s="204"/>
      <c r="BO591" s="204"/>
      <c r="BP591" s="204"/>
      <c r="BQ591" s="204"/>
      <c r="BR591" s="204"/>
      <c r="BS591" s="204"/>
      <c r="BT591" s="204"/>
    </row>
    <row r="592" spans="1:7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c r="BI592" s="204"/>
      <c r="BJ592" s="204"/>
      <c r="BK592" s="204"/>
      <c r="BL592" s="204"/>
      <c r="BM592" s="204"/>
      <c r="BN592" s="204"/>
      <c r="BO592" s="204"/>
      <c r="BP592" s="204"/>
      <c r="BQ592" s="204"/>
      <c r="BR592" s="204"/>
      <c r="BS592" s="204"/>
      <c r="BT592" s="204"/>
    </row>
    <row r="593" spans="1:7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c r="BI593" s="204"/>
      <c r="BJ593" s="204"/>
      <c r="BK593" s="204"/>
      <c r="BL593" s="204"/>
      <c r="BM593" s="204"/>
      <c r="BN593" s="204"/>
      <c r="BO593" s="204"/>
      <c r="BP593" s="204"/>
      <c r="BQ593" s="204"/>
      <c r="BR593" s="204"/>
      <c r="BS593" s="204"/>
      <c r="BT593" s="204"/>
    </row>
    <row r="594" spans="1:7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c r="BI594" s="204"/>
      <c r="BJ594" s="204"/>
      <c r="BK594" s="204"/>
      <c r="BL594" s="204"/>
      <c r="BM594" s="204"/>
      <c r="BN594" s="204"/>
      <c r="BO594" s="204"/>
      <c r="BP594" s="204"/>
      <c r="BQ594" s="204"/>
      <c r="BR594" s="204"/>
      <c r="BS594" s="204"/>
      <c r="BT594" s="204"/>
    </row>
    <row r="595" spans="1:7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c r="BI595" s="204"/>
      <c r="BJ595" s="204"/>
      <c r="BK595" s="204"/>
      <c r="BL595" s="204"/>
      <c r="BM595" s="204"/>
      <c r="BN595" s="204"/>
      <c r="BO595" s="204"/>
      <c r="BP595" s="204"/>
      <c r="BQ595" s="204"/>
      <c r="BR595" s="204"/>
      <c r="BS595" s="204"/>
      <c r="BT595" s="204"/>
    </row>
    <row r="596" spans="1:7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c r="BI596" s="204"/>
      <c r="BJ596" s="204"/>
      <c r="BK596" s="204"/>
      <c r="BL596" s="204"/>
      <c r="BM596" s="204"/>
      <c r="BN596" s="204"/>
      <c r="BO596" s="204"/>
      <c r="BP596" s="204"/>
      <c r="BQ596" s="204"/>
      <c r="BR596" s="204"/>
      <c r="BS596" s="204"/>
      <c r="BT596" s="204"/>
    </row>
    <row r="597" spans="1:7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c r="BI597" s="204"/>
      <c r="BJ597" s="204"/>
      <c r="BK597" s="204"/>
      <c r="BL597" s="204"/>
      <c r="BM597" s="204"/>
      <c r="BN597" s="204"/>
      <c r="BO597" s="204"/>
      <c r="BP597" s="204"/>
      <c r="BQ597" s="204"/>
      <c r="BR597" s="204"/>
      <c r="BS597" s="204"/>
      <c r="BT597" s="204"/>
    </row>
    <row r="598" spans="1:7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c r="BI598" s="204"/>
      <c r="BJ598" s="204"/>
      <c r="BK598" s="204"/>
      <c r="BL598" s="204"/>
      <c r="BM598" s="204"/>
      <c r="BN598" s="204"/>
      <c r="BO598" s="204"/>
      <c r="BP598" s="204"/>
      <c r="BQ598" s="204"/>
      <c r="BR598" s="204"/>
      <c r="BS598" s="204"/>
      <c r="BT598" s="204"/>
    </row>
    <row r="599" spans="1:7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c r="BI599" s="204"/>
      <c r="BJ599" s="204"/>
      <c r="BK599" s="204"/>
      <c r="BL599" s="204"/>
      <c r="BM599" s="204"/>
      <c r="BN599" s="204"/>
      <c r="BO599" s="204"/>
      <c r="BP599" s="204"/>
      <c r="BQ599" s="204"/>
      <c r="BR599" s="204"/>
      <c r="BS599" s="204"/>
      <c r="BT599" s="204"/>
    </row>
    <row r="600" spans="1:7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c r="BI600" s="204"/>
      <c r="BJ600" s="204"/>
      <c r="BK600" s="204"/>
      <c r="BL600" s="204"/>
      <c r="BM600" s="204"/>
      <c r="BN600" s="204"/>
      <c r="BO600" s="204"/>
      <c r="BP600" s="204"/>
      <c r="BQ600" s="204"/>
      <c r="BR600" s="204"/>
      <c r="BS600" s="204"/>
      <c r="BT600" s="204"/>
    </row>
    <row r="601" spans="1:7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c r="BI601" s="204"/>
      <c r="BJ601" s="204"/>
      <c r="BK601" s="204"/>
      <c r="BL601" s="204"/>
      <c r="BM601" s="204"/>
      <c r="BN601" s="204"/>
      <c r="BO601" s="204"/>
      <c r="BP601" s="204"/>
      <c r="BQ601" s="204"/>
      <c r="BR601" s="204"/>
      <c r="BS601" s="204"/>
      <c r="BT601" s="204"/>
    </row>
    <row r="602" spans="1:7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c r="BI602" s="204"/>
      <c r="BJ602" s="204"/>
      <c r="BK602" s="204"/>
      <c r="BL602" s="204"/>
      <c r="BM602" s="204"/>
      <c r="BN602" s="204"/>
      <c r="BO602" s="204"/>
      <c r="BP602" s="204"/>
      <c r="BQ602" s="204"/>
      <c r="BR602" s="204"/>
      <c r="BS602" s="204"/>
      <c r="BT602" s="204"/>
    </row>
    <row r="603" spans="1:7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c r="BI603" s="204"/>
      <c r="BJ603" s="204"/>
      <c r="BK603" s="204"/>
      <c r="BL603" s="204"/>
      <c r="BM603" s="204"/>
      <c r="BN603" s="204"/>
      <c r="BO603" s="204"/>
      <c r="BP603" s="204"/>
      <c r="BQ603" s="204"/>
      <c r="BR603" s="204"/>
      <c r="BS603" s="204"/>
      <c r="BT603" s="204"/>
    </row>
    <row r="604" spans="1:7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c r="BI604" s="204"/>
      <c r="BJ604" s="204"/>
      <c r="BK604" s="204"/>
      <c r="BL604" s="204"/>
      <c r="BM604" s="204"/>
      <c r="BN604" s="204"/>
      <c r="BO604" s="204"/>
      <c r="BP604" s="204"/>
      <c r="BQ604" s="204"/>
      <c r="BR604" s="204"/>
      <c r="BS604" s="204"/>
      <c r="BT604" s="204"/>
    </row>
    <row r="605" spans="1:7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c r="BI605" s="204"/>
      <c r="BJ605" s="204"/>
      <c r="BK605" s="204"/>
      <c r="BL605" s="204"/>
      <c r="BM605" s="204"/>
      <c r="BN605" s="204"/>
      <c r="BO605" s="204"/>
      <c r="BP605" s="204"/>
      <c r="BQ605" s="204"/>
      <c r="BR605" s="204"/>
      <c r="BS605" s="204"/>
      <c r="BT605" s="204"/>
    </row>
    <row r="606" spans="1:7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c r="BI606" s="204"/>
      <c r="BJ606" s="204"/>
      <c r="BK606" s="204"/>
      <c r="BL606" s="204"/>
      <c r="BM606" s="204"/>
      <c r="BN606" s="204"/>
      <c r="BO606" s="204"/>
      <c r="BP606" s="204"/>
      <c r="BQ606" s="204"/>
      <c r="BR606" s="204"/>
      <c r="BS606" s="204"/>
      <c r="BT606" s="204"/>
    </row>
    <row r="607" spans="1:7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c r="BI607" s="204"/>
      <c r="BJ607" s="204"/>
      <c r="BK607" s="204"/>
      <c r="BL607" s="204"/>
      <c r="BM607" s="204"/>
      <c r="BN607" s="204"/>
      <c r="BO607" s="204"/>
      <c r="BP607" s="204"/>
      <c r="BQ607" s="204"/>
      <c r="BR607" s="204"/>
      <c r="BS607" s="204"/>
      <c r="BT607" s="204"/>
    </row>
    <row r="608" spans="1:7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c r="BI608" s="204"/>
      <c r="BJ608" s="204"/>
      <c r="BK608" s="204"/>
      <c r="BL608" s="204"/>
      <c r="BM608" s="204"/>
      <c r="BN608" s="204"/>
      <c r="BO608" s="204"/>
      <c r="BP608" s="204"/>
      <c r="BQ608" s="204"/>
      <c r="BR608" s="204"/>
      <c r="BS608" s="204"/>
      <c r="BT608" s="204"/>
    </row>
    <row r="609" spans="1:7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c r="BI609" s="204"/>
      <c r="BJ609" s="204"/>
      <c r="BK609" s="204"/>
      <c r="BL609" s="204"/>
      <c r="BM609" s="204"/>
      <c r="BN609" s="204"/>
      <c r="BO609" s="204"/>
      <c r="BP609" s="204"/>
      <c r="BQ609" s="204"/>
      <c r="BR609" s="204"/>
      <c r="BS609" s="204"/>
      <c r="BT609" s="204"/>
    </row>
    <row r="610" spans="1:7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c r="BI610" s="204"/>
      <c r="BJ610" s="204"/>
      <c r="BK610" s="204"/>
      <c r="BL610" s="204"/>
      <c r="BM610" s="204"/>
      <c r="BN610" s="204"/>
      <c r="BO610" s="204"/>
      <c r="BP610" s="204"/>
      <c r="BQ610" s="204"/>
      <c r="BR610" s="204"/>
      <c r="BS610" s="204"/>
      <c r="BT610" s="204"/>
    </row>
    <row r="611" spans="1:7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c r="BI611" s="204"/>
      <c r="BJ611" s="204"/>
      <c r="BK611" s="204"/>
      <c r="BL611" s="204"/>
      <c r="BM611" s="204"/>
      <c r="BN611" s="204"/>
      <c r="BO611" s="204"/>
      <c r="BP611" s="204"/>
      <c r="BQ611" s="204"/>
      <c r="BR611" s="204"/>
      <c r="BS611" s="204"/>
      <c r="BT611" s="204"/>
    </row>
    <row r="612" spans="1:7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c r="BI612" s="204"/>
      <c r="BJ612" s="204"/>
      <c r="BK612" s="204"/>
      <c r="BL612" s="204"/>
      <c r="BM612" s="204"/>
      <c r="BN612" s="204"/>
      <c r="BO612" s="204"/>
      <c r="BP612" s="204"/>
      <c r="BQ612" s="204"/>
      <c r="BR612" s="204"/>
      <c r="BS612" s="204"/>
      <c r="BT612" s="204"/>
    </row>
    <row r="613" spans="1:7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c r="BI613" s="204"/>
      <c r="BJ613" s="204"/>
      <c r="BK613" s="204"/>
      <c r="BL613" s="204"/>
      <c r="BM613" s="204"/>
      <c r="BN613" s="204"/>
      <c r="BO613" s="204"/>
      <c r="BP613" s="204"/>
      <c r="BQ613" s="204"/>
      <c r="BR613" s="204"/>
      <c r="BS613" s="204"/>
      <c r="BT613" s="204"/>
    </row>
    <row r="614" spans="1:7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c r="BI614" s="204"/>
      <c r="BJ614" s="204"/>
      <c r="BK614" s="204"/>
      <c r="BL614" s="204"/>
      <c r="BM614" s="204"/>
      <c r="BN614" s="204"/>
      <c r="BO614" s="204"/>
      <c r="BP614" s="204"/>
      <c r="BQ614" s="204"/>
      <c r="BR614" s="204"/>
      <c r="BS614" s="204"/>
      <c r="BT614" s="204"/>
    </row>
    <row r="615" spans="1:7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4"/>
      <c r="BM615" s="204"/>
      <c r="BN615" s="204"/>
      <c r="BO615" s="204"/>
      <c r="BP615" s="204"/>
      <c r="BQ615" s="204"/>
      <c r="BR615" s="204"/>
      <c r="BS615" s="204"/>
      <c r="BT615" s="204"/>
    </row>
    <row r="616" spans="1:7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204"/>
      <c r="AA616" s="204"/>
      <c r="AB616" s="204"/>
      <c r="AC616" s="204"/>
      <c r="AD616" s="204"/>
      <c r="AE616" s="204"/>
      <c r="AF616" s="204"/>
      <c r="AG616" s="204"/>
      <c r="AH616" s="204"/>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c r="BI616" s="204"/>
      <c r="BJ616" s="204"/>
      <c r="BK616" s="204"/>
      <c r="BL616" s="204"/>
      <c r="BM616" s="204"/>
      <c r="BN616" s="204"/>
      <c r="BO616" s="204"/>
      <c r="BP616" s="204"/>
      <c r="BQ616" s="204"/>
      <c r="BR616" s="204"/>
      <c r="BS616" s="204"/>
      <c r="BT616" s="204"/>
    </row>
    <row r="617" spans="1:7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204"/>
      <c r="AA617" s="204"/>
      <c r="AB617" s="204"/>
      <c r="AC617" s="204"/>
      <c r="AD617" s="204"/>
      <c r="AE617" s="204"/>
      <c r="AF617" s="204"/>
      <c r="AG617" s="204"/>
      <c r="AH617" s="204"/>
      <c r="AI617" s="204"/>
      <c r="AJ617" s="204"/>
      <c r="AK617" s="204"/>
      <c r="AL617" s="204"/>
      <c r="AM617" s="204"/>
      <c r="AN617" s="204"/>
      <c r="AO617" s="204"/>
      <c r="AP617" s="204"/>
      <c r="AQ617" s="204"/>
      <c r="AR617" s="204"/>
      <c r="AS617" s="204"/>
      <c r="AT617" s="204"/>
      <c r="AU617" s="204"/>
      <c r="AV617" s="204"/>
      <c r="AW617" s="204"/>
      <c r="AX617" s="204"/>
      <c r="AY617" s="204"/>
      <c r="AZ617" s="204"/>
      <c r="BA617" s="204"/>
      <c r="BB617" s="204"/>
      <c r="BC617" s="204"/>
      <c r="BD617" s="204"/>
      <c r="BE617" s="204"/>
      <c r="BF617" s="204"/>
      <c r="BG617" s="204"/>
      <c r="BH617" s="204"/>
      <c r="BI617" s="204"/>
      <c r="BJ617" s="204"/>
      <c r="BK617" s="204"/>
      <c r="BL617" s="204"/>
      <c r="BM617" s="204"/>
      <c r="BN617" s="204"/>
      <c r="BO617" s="204"/>
      <c r="BP617" s="204"/>
      <c r="BQ617" s="204"/>
      <c r="BR617" s="204"/>
      <c r="BS617" s="204"/>
      <c r="BT617" s="204"/>
    </row>
    <row r="618" spans="1:7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204"/>
      <c r="AA618" s="204"/>
      <c r="AB618" s="204"/>
      <c r="AC618" s="204"/>
      <c r="AD618" s="204"/>
      <c r="AE618" s="204"/>
      <c r="AF618" s="204"/>
      <c r="AG618" s="204"/>
      <c r="AH618" s="204"/>
      <c r="AI618" s="204"/>
      <c r="AJ618" s="204"/>
      <c r="AK618" s="204"/>
      <c r="AL618" s="204"/>
      <c r="AM618" s="204"/>
      <c r="AN618" s="204"/>
      <c r="AO618" s="204"/>
      <c r="AP618" s="204"/>
      <c r="AQ618" s="204"/>
      <c r="AR618" s="204"/>
      <c r="AS618" s="204"/>
      <c r="AT618" s="204"/>
      <c r="AU618" s="204"/>
      <c r="AV618" s="204"/>
      <c r="AW618" s="204"/>
      <c r="AX618" s="204"/>
      <c r="AY618" s="204"/>
      <c r="AZ618" s="204"/>
      <c r="BA618" s="204"/>
      <c r="BB618" s="204"/>
      <c r="BC618" s="204"/>
      <c r="BD618" s="204"/>
      <c r="BE618" s="204"/>
      <c r="BF618" s="204"/>
      <c r="BG618" s="204"/>
      <c r="BH618" s="204"/>
      <c r="BI618" s="204"/>
      <c r="BJ618" s="204"/>
      <c r="BK618" s="204"/>
      <c r="BL618" s="204"/>
      <c r="BM618" s="204"/>
      <c r="BN618" s="204"/>
      <c r="BO618" s="204"/>
      <c r="BP618" s="204"/>
      <c r="BQ618" s="204"/>
      <c r="BR618" s="204"/>
      <c r="BS618" s="204"/>
      <c r="BT618" s="204"/>
    </row>
    <row r="619" spans="1:7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204"/>
      <c r="AA619" s="204"/>
      <c r="AB619" s="204"/>
      <c r="AC619" s="204"/>
      <c r="AD619" s="204"/>
      <c r="AE619" s="204"/>
      <c r="AF619" s="204"/>
      <c r="AG619" s="204"/>
      <c r="AH619" s="204"/>
      <c r="AI619" s="204"/>
      <c r="AJ619" s="204"/>
      <c r="AK619" s="204"/>
      <c r="AL619" s="204"/>
      <c r="AM619" s="204"/>
      <c r="AN619" s="204"/>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c r="BI619" s="204"/>
      <c r="BJ619" s="204"/>
      <c r="BK619" s="204"/>
      <c r="BL619" s="204"/>
      <c r="BM619" s="204"/>
      <c r="BN619" s="204"/>
      <c r="BO619" s="204"/>
      <c r="BP619" s="204"/>
      <c r="BQ619" s="204"/>
      <c r="BR619" s="204"/>
      <c r="BS619" s="204"/>
      <c r="BT619" s="204"/>
    </row>
    <row r="620" spans="1:7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204"/>
      <c r="AA620" s="204"/>
      <c r="AB620" s="204"/>
      <c r="AC620" s="204"/>
      <c r="AD620" s="204"/>
      <c r="AE620" s="204"/>
      <c r="AF620" s="204"/>
      <c r="AG620" s="204"/>
      <c r="AH620" s="204"/>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c r="BI620" s="204"/>
      <c r="BJ620" s="204"/>
      <c r="BK620" s="204"/>
      <c r="BL620" s="204"/>
      <c r="BM620" s="204"/>
      <c r="BN620" s="204"/>
      <c r="BO620" s="204"/>
      <c r="BP620" s="204"/>
      <c r="BQ620" s="204"/>
      <c r="BR620" s="204"/>
      <c r="BS620" s="204"/>
      <c r="BT620" s="204"/>
    </row>
    <row r="621" spans="1:7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204"/>
      <c r="AA621" s="204"/>
      <c r="AB621" s="204"/>
      <c r="AC621" s="204"/>
      <c r="AD621" s="204"/>
      <c r="AE621" s="204"/>
      <c r="AF621" s="204"/>
      <c r="AG621" s="204"/>
      <c r="AH621" s="204"/>
      <c r="AI621" s="204"/>
      <c r="AJ621" s="204"/>
      <c r="AK621" s="204"/>
      <c r="AL621" s="204"/>
      <c r="AM621" s="204"/>
      <c r="AN621" s="204"/>
      <c r="AO621" s="204"/>
      <c r="AP621" s="204"/>
      <c r="AQ621" s="204"/>
      <c r="AR621" s="204"/>
      <c r="AS621" s="204"/>
      <c r="AT621" s="204"/>
      <c r="AU621" s="204"/>
      <c r="AV621" s="204"/>
      <c r="AW621" s="204"/>
      <c r="AX621" s="204"/>
      <c r="AY621" s="204"/>
      <c r="AZ621" s="204"/>
      <c r="BA621" s="204"/>
      <c r="BB621" s="204"/>
      <c r="BC621" s="204"/>
      <c r="BD621" s="204"/>
      <c r="BE621" s="204"/>
      <c r="BF621" s="204"/>
      <c r="BG621" s="204"/>
      <c r="BH621" s="204"/>
      <c r="BI621" s="204"/>
      <c r="BJ621" s="204"/>
      <c r="BK621" s="204"/>
      <c r="BL621" s="204"/>
      <c r="BM621" s="204"/>
      <c r="BN621" s="204"/>
      <c r="BO621" s="204"/>
      <c r="BP621" s="204"/>
      <c r="BQ621" s="204"/>
      <c r="BR621" s="204"/>
      <c r="BS621" s="204"/>
      <c r="BT621" s="204"/>
    </row>
    <row r="622" spans="1:7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204"/>
      <c r="AA622" s="204"/>
      <c r="AB622" s="204"/>
      <c r="AC622" s="204"/>
      <c r="AD622" s="204"/>
      <c r="AE622" s="204"/>
      <c r="AF622" s="204"/>
      <c r="AG622" s="204"/>
      <c r="AH622" s="204"/>
      <c r="AI622" s="204"/>
      <c r="AJ622" s="204"/>
      <c r="AK622" s="204"/>
      <c r="AL622" s="204"/>
      <c r="AM622" s="204"/>
      <c r="AN622" s="204"/>
      <c r="AO622" s="204"/>
      <c r="AP622" s="204"/>
      <c r="AQ622" s="204"/>
      <c r="AR622" s="204"/>
      <c r="AS622" s="204"/>
      <c r="AT622" s="204"/>
      <c r="AU622" s="204"/>
      <c r="AV622" s="204"/>
      <c r="AW622" s="204"/>
      <c r="AX622" s="204"/>
      <c r="AY622" s="204"/>
      <c r="AZ622" s="204"/>
      <c r="BA622" s="204"/>
      <c r="BB622" s="204"/>
      <c r="BC622" s="204"/>
      <c r="BD622" s="204"/>
      <c r="BE622" s="204"/>
      <c r="BF622" s="204"/>
      <c r="BG622" s="204"/>
      <c r="BH622" s="204"/>
      <c r="BI622" s="204"/>
      <c r="BJ622" s="204"/>
      <c r="BK622" s="204"/>
      <c r="BL622" s="204"/>
      <c r="BM622" s="204"/>
      <c r="BN622" s="204"/>
      <c r="BO622" s="204"/>
      <c r="BP622" s="204"/>
      <c r="BQ622" s="204"/>
      <c r="BR622" s="204"/>
      <c r="BS622" s="204"/>
      <c r="BT622" s="204"/>
    </row>
    <row r="623" spans="1:7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204"/>
      <c r="AA623" s="204"/>
      <c r="AB623" s="204"/>
      <c r="AC623" s="204"/>
      <c r="AD623" s="204"/>
      <c r="AE623" s="204"/>
      <c r="AF623" s="204"/>
      <c r="AG623" s="204"/>
      <c r="AH623" s="204"/>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c r="BI623" s="204"/>
      <c r="BJ623" s="204"/>
      <c r="BK623" s="204"/>
      <c r="BL623" s="204"/>
      <c r="BM623" s="204"/>
      <c r="BN623" s="204"/>
      <c r="BO623" s="204"/>
      <c r="BP623" s="204"/>
      <c r="BQ623" s="204"/>
      <c r="BR623" s="204"/>
      <c r="BS623" s="204"/>
      <c r="BT623" s="204"/>
    </row>
    <row r="624" spans="1:7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204"/>
      <c r="AA624" s="204"/>
      <c r="AB624" s="204"/>
      <c r="AC624" s="204"/>
      <c r="AD624" s="204"/>
      <c r="AE624" s="204"/>
      <c r="AF624" s="204"/>
      <c r="AG624" s="204"/>
      <c r="AH624" s="204"/>
      <c r="AI624" s="204"/>
      <c r="AJ624" s="204"/>
      <c r="AK624" s="204"/>
      <c r="AL624" s="204"/>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c r="BI624" s="204"/>
      <c r="BJ624" s="204"/>
      <c r="BK624" s="204"/>
      <c r="BL624" s="204"/>
      <c r="BM624" s="204"/>
      <c r="BN624" s="204"/>
      <c r="BO624" s="204"/>
      <c r="BP624" s="204"/>
      <c r="BQ624" s="204"/>
      <c r="BR624" s="204"/>
      <c r="BS624" s="204"/>
      <c r="BT624" s="204"/>
    </row>
    <row r="625" spans="1:7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204"/>
      <c r="AA625" s="204"/>
      <c r="AB625" s="204"/>
      <c r="AC625" s="204"/>
      <c r="AD625" s="204"/>
      <c r="AE625" s="204"/>
      <c r="AF625" s="204"/>
      <c r="AG625" s="204"/>
      <c r="AH625" s="204"/>
      <c r="AI625" s="204"/>
      <c r="AJ625" s="204"/>
      <c r="AK625" s="204"/>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c r="BI625" s="204"/>
      <c r="BJ625" s="204"/>
      <c r="BK625" s="204"/>
      <c r="BL625" s="204"/>
      <c r="BM625" s="204"/>
      <c r="BN625" s="204"/>
      <c r="BO625" s="204"/>
      <c r="BP625" s="204"/>
      <c r="BQ625" s="204"/>
      <c r="BR625" s="204"/>
      <c r="BS625" s="204"/>
      <c r="BT625" s="204"/>
    </row>
    <row r="626" spans="1:7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204"/>
      <c r="AA626" s="204"/>
      <c r="AB626" s="204"/>
      <c r="AC626" s="204"/>
      <c r="AD626" s="204"/>
      <c r="AE626" s="204"/>
      <c r="AF626" s="204"/>
      <c r="AG626" s="204"/>
      <c r="AH626" s="204"/>
      <c r="AI626" s="204"/>
      <c r="AJ626" s="204"/>
      <c r="AK626" s="204"/>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c r="BI626" s="204"/>
      <c r="BJ626" s="204"/>
      <c r="BK626" s="204"/>
      <c r="BL626" s="204"/>
      <c r="BM626" s="204"/>
      <c r="BN626" s="204"/>
      <c r="BO626" s="204"/>
      <c r="BP626" s="204"/>
      <c r="BQ626" s="204"/>
      <c r="BR626" s="204"/>
      <c r="BS626" s="204"/>
      <c r="BT626" s="204"/>
    </row>
    <row r="627" spans="1:7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204"/>
      <c r="AA627" s="204"/>
      <c r="AB627" s="204"/>
      <c r="AC627" s="204"/>
      <c r="AD627" s="204"/>
      <c r="AE627" s="204"/>
      <c r="AF627" s="204"/>
      <c r="AG627" s="204"/>
      <c r="AH627" s="204"/>
      <c r="AI627" s="204"/>
      <c r="AJ627" s="204"/>
      <c r="AK627" s="204"/>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c r="BI627" s="204"/>
      <c r="BJ627" s="204"/>
      <c r="BK627" s="204"/>
      <c r="BL627" s="204"/>
      <c r="BM627" s="204"/>
      <c r="BN627" s="204"/>
      <c r="BO627" s="204"/>
      <c r="BP627" s="204"/>
      <c r="BQ627" s="204"/>
      <c r="BR627" s="204"/>
      <c r="BS627" s="204"/>
      <c r="BT627" s="204"/>
    </row>
    <row r="628" spans="1:7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204"/>
      <c r="AA628" s="204"/>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c r="BM628" s="204"/>
      <c r="BN628" s="204"/>
      <c r="BO628" s="204"/>
      <c r="BP628" s="204"/>
      <c r="BQ628" s="204"/>
      <c r="BR628" s="204"/>
      <c r="BS628" s="204"/>
      <c r="BT628" s="204"/>
    </row>
    <row r="629" spans="1:7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204"/>
      <c r="AA629" s="204"/>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c r="BM629" s="204"/>
      <c r="BN629" s="204"/>
      <c r="BO629" s="204"/>
      <c r="BP629" s="204"/>
      <c r="BQ629" s="204"/>
      <c r="BR629" s="204"/>
      <c r="BS629" s="204"/>
      <c r="BT629" s="204"/>
    </row>
    <row r="630" spans="1:7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204"/>
      <c r="AA630" s="204"/>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c r="BM630" s="204"/>
      <c r="BN630" s="204"/>
      <c r="BO630" s="204"/>
      <c r="BP630" s="204"/>
      <c r="BQ630" s="204"/>
      <c r="BR630" s="204"/>
      <c r="BS630" s="204"/>
      <c r="BT630" s="204"/>
    </row>
    <row r="631" spans="1:7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204"/>
      <c r="AA631" s="204"/>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c r="BM631" s="204"/>
      <c r="BN631" s="204"/>
      <c r="BO631" s="204"/>
      <c r="BP631" s="204"/>
      <c r="BQ631" s="204"/>
      <c r="BR631" s="204"/>
      <c r="BS631" s="204"/>
      <c r="BT631" s="204"/>
    </row>
    <row r="632" spans="1:7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204"/>
      <c r="AA632" s="204"/>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c r="BM632" s="204"/>
      <c r="BN632" s="204"/>
      <c r="BO632" s="204"/>
      <c r="BP632" s="204"/>
      <c r="BQ632" s="204"/>
      <c r="BR632" s="204"/>
      <c r="BS632" s="204"/>
      <c r="BT632" s="204"/>
    </row>
    <row r="633" spans="1:7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204"/>
      <c r="AA633" s="204"/>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c r="BM633" s="204"/>
      <c r="BN633" s="204"/>
      <c r="BO633" s="204"/>
      <c r="BP633" s="204"/>
      <c r="BQ633" s="204"/>
      <c r="BR633" s="204"/>
      <c r="BS633" s="204"/>
      <c r="BT633" s="204"/>
    </row>
    <row r="634" spans="1:7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204"/>
      <c r="AA634" s="204"/>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c r="BM634" s="204"/>
      <c r="BN634" s="204"/>
      <c r="BO634" s="204"/>
      <c r="BP634" s="204"/>
      <c r="BQ634" s="204"/>
      <c r="BR634" s="204"/>
      <c r="BS634" s="204"/>
      <c r="BT634" s="204"/>
    </row>
    <row r="635" spans="1:7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204"/>
      <c r="AA635" s="204"/>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c r="BM635" s="204"/>
      <c r="BN635" s="204"/>
      <c r="BO635" s="204"/>
      <c r="BP635" s="204"/>
      <c r="BQ635" s="204"/>
      <c r="BR635" s="204"/>
      <c r="BS635" s="204"/>
      <c r="BT635" s="204"/>
    </row>
    <row r="636" spans="1:7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204"/>
      <c r="AA636" s="204"/>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c r="BM636" s="204"/>
      <c r="BN636" s="204"/>
      <c r="BO636" s="204"/>
      <c r="BP636" s="204"/>
      <c r="BQ636" s="204"/>
      <c r="BR636" s="204"/>
      <c r="BS636" s="204"/>
      <c r="BT636" s="204"/>
    </row>
    <row r="637" spans="1:7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204"/>
      <c r="AA637" s="204"/>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c r="BM637" s="204"/>
      <c r="BN637" s="204"/>
      <c r="BO637" s="204"/>
      <c r="BP637" s="204"/>
      <c r="BQ637" s="204"/>
      <c r="BR637" s="204"/>
      <c r="BS637" s="204"/>
      <c r="BT637" s="204"/>
    </row>
    <row r="638" spans="1:7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204"/>
      <c r="AA638" s="204"/>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c r="BM638" s="204"/>
      <c r="BN638" s="204"/>
      <c r="BO638" s="204"/>
      <c r="BP638" s="204"/>
      <c r="BQ638" s="204"/>
      <c r="BR638" s="204"/>
      <c r="BS638" s="204"/>
      <c r="BT638" s="204"/>
    </row>
    <row r="639" spans="1:7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204"/>
      <c r="AA639" s="204"/>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c r="BM639" s="204"/>
      <c r="BN639" s="204"/>
      <c r="BO639" s="204"/>
      <c r="BP639" s="204"/>
      <c r="BQ639" s="204"/>
      <c r="BR639" s="204"/>
      <c r="BS639" s="204"/>
      <c r="BT639" s="204"/>
    </row>
    <row r="640" spans="1:7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204"/>
      <c r="AA640" s="204"/>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c r="BM640" s="204"/>
      <c r="BN640" s="204"/>
      <c r="BO640" s="204"/>
      <c r="BP640" s="204"/>
      <c r="BQ640" s="204"/>
      <c r="BR640" s="204"/>
      <c r="BS640" s="204"/>
      <c r="BT640" s="204"/>
    </row>
    <row r="641" spans="1:7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204"/>
      <c r="AA641" s="204"/>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c r="BM641" s="204"/>
      <c r="BN641" s="204"/>
      <c r="BO641" s="204"/>
      <c r="BP641" s="204"/>
      <c r="BQ641" s="204"/>
      <c r="BR641" s="204"/>
      <c r="BS641" s="204"/>
      <c r="BT641" s="204"/>
    </row>
    <row r="642" spans="1:7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204"/>
      <c r="AA642" s="204"/>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c r="BM642" s="204"/>
      <c r="BN642" s="204"/>
      <c r="BO642" s="204"/>
      <c r="BP642" s="204"/>
      <c r="BQ642" s="204"/>
      <c r="BR642" s="204"/>
      <c r="BS642" s="204"/>
      <c r="BT642" s="204"/>
    </row>
    <row r="643" spans="1:7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c r="BM643" s="204"/>
      <c r="BN643" s="204"/>
      <c r="BO643" s="204"/>
      <c r="BP643" s="204"/>
      <c r="BQ643" s="204"/>
      <c r="BR643" s="204"/>
      <c r="BS643" s="204"/>
      <c r="BT643" s="204"/>
    </row>
    <row r="644" spans="1:7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c r="BM644" s="204"/>
      <c r="BN644" s="204"/>
      <c r="BO644" s="204"/>
      <c r="BP644" s="204"/>
      <c r="BQ644" s="204"/>
      <c r="BR644" s="204"/>
      <c r="BS644" s="204"/>
      <c r="BT644" s="204"/>
    </row>
    <row r="645" spans="1:7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c r="BM645" s="204"/>
      <c r="BN645" s="204"/>
      <c r="BO645" s="204"/>
      <c r="BP645" s="204"/>
      <c r="BQ645" s="204"/>
      <c r="BR645" s="204"/>
      <c r="BS645" s="204"/>
      <c r="BT645" s="204"/>
    </row>
    <row r="646" spans="1:7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204"/>
      <c r="AA646" s="204"/>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c r="BM646" s="204"/>
      <c r="BN646" s="204"/>
      <c r="BO646" s="204"/>
      <c r="BP646" s="204"/>
      <c r="BQ646" s="204"/>
      <c r="BR646" s="204"/>
      <c r="BS646" s="204"/>
      <c r="BT646" s="204"/>
    </row>
    <row r="647" spans="1:7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204"/>
      <c r="AA647" s="204"/>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c r="BM647" s="204"/>
      <c r="BN647" s="204"/>
      <c r="BO647" s="204"/>
      <c r="BP647" s="204"/>
      <c r="BQ647" s="204"/>
      <c r="BR647" s="204"/>
      <c r="BS647" s="204"/>
      <c r="BT647" s="204"/>
    </row>
    <row r="648" spans="1:7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204"/>
      <c r="AA648" s="204"/>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c r="BM648" s="204"/>
      <c r="BN648" s="204"/>
      <c r="BO648" s="204"/>
      <c r="BP648" s="204"/>
      <c r="BQ648" s="204"/>
      <c r="BR648" s="204"/>
      <c r="BS648" s="204"/>
      <c r="BT648" s="204"/>
    </row>
    <row r="649" spans="1:7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204"/>
      <c r="AA649" s="204"/>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c r="BM649" s="204"/>
      <c r="BN649" s="204"/>
      <c r="BO649" s="204"/>
      <c r="BP649" s="204"/>
      <c r="BQ649" s="204"/>
      <c r="BR649" s="204"/>
      <c r="BS649" s="204"/>
      <c r="BT649" s="204"/>
    </row>
    <row r="650" spans="1:7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204"/>
      <c r="AA650" s="204"/>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c r="BM650" s="204"/>
      <c r="BN650" s="204"/>
      <c r="BO650" s="204"/>
      <c r="BP650" s="204"/>
      <c r="BQ650" s="204"/>
      <c r="BR650" s="204"/>
      <c r="BS650" s="204"/>
      <c r="BT650" s="204"/>
    </row>
    <row r="651" spans="1:7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204"/>
      <c r="AA651" s="204"/>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c r="BM651" s="204"/>
      <c r="BN651" s="204"/>
      <c r="BO651" s="204"/>
      <c r="BP651" s="204"/>
      <c r="BQ651" s="204"/>
      <c r="BR651" s="204"/>
      <c r="BS651" s="204"/>
      <c r="BT651" s="204"/>
    </row>
    <row r="652" spans="1:7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204"/>
      <c r="AA652" s="204"/>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c r="BM652" s="204"/>
      <c r="BN652" s="204"/>
      <c r="BO652" s="204"/>
      <c r="BP652" s="204"/>
      <c r="BQ652" s="204"/>
      <c r="BR652" s="204"/>
      <c r="BS652" s="204"/>
      <c r="BT652" s="204"/>
    </row>
    <row r="653" spans="1:7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204"/>
      <c r="AA653" s="204"/>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c r="BM653" s="204"/>
      <c r="BN653" s="204"/>
      <c r="BO653" s="204"/>
      <c r="BP653" s="204"/>
      <c r="BQ653" s="204"/>
      <c r="BR653" s="204"/>
      <c r="BS653" s="204"/>
      <c r="BT653" s="204"/>
    </row>
    <row r="654" spans="1:7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204"/>
      <c r="AA654" s="204"/>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c r="BM654" s="204"/>
      <c r="BN654" s="204"/>
      <c r="BO654" s="204"/>
      <c r="BP654" s="204"/>
      <c r="BQ654" s="204"/>
      <c r="BR654" s="204"/>
      <c r="BS654" s="204"/>
      <c r="BT654" s="204"/>
    </row>
    <row r="655" spans="1:7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204"/>
      <c r="AA655" s="204"/>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c r="BM655" s="204"/>
      <c r="BN655" s="204"/>
      <c r="BO655" s="204"/>
      <c r="BP655" s="204"/>
      <c r="BQ655" s="204"/>
      <c r="BR655" s="204"/>
      <c r="BS655" s="204"/>
      <c r="BT655" s="204"/>
    </row>
    <row r="656" spans="1:7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204"/>
      <c r="AA656" s="204"/>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c r="BM656" s="204"/>
      <c r="BN656" s="204"/>
      <c r="BO656" s="204"/>
      <c r="BP656" s="204"/>
      <c r="BQ656" s="204"/>
      <c r="BR656" s="204"/>
      <c r="BS656" s="204"/>
      <c r="BT656" s="204"/>
    </row>
    <row r="657" spans="1:7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204"/>
      <c r="AA657" s="204"/>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c r="BM657" s="204"/>
      <c r="BN657" s="204"/>
      <c r="BO657" s="204"/>
      <c r="BP657" s="204"/>
      <c r="BQ657" s="204"/>
      <c r="BR657" s="204"/>
      <c r="BS657" s="204"/>
      <c r="BT657" s="204"/>
    </row>
    <row r="658" spans="1:7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204"/>
      <c r="AA658" s="204"/>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c r="BM658" s="204"/>
      <c r="BN658" s="204"/>
      <c r="BO658" s="204"/>
      <c r="BP658" s="204"/>
      <c r="BQ658" s="204"/>
      <c r="BR658" s="204"/>
      <c r="BS658" s="204"/>
      <c r="BT658" s="204"/>
    </row>
    <row r="659" spans="1:7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204"/>
      <c r="AA659" s="204"/>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c r="BM659" s="204"/>
      <c r="BN659" s="204"/>
      <c r="BO659" s="204"/>
      <c r="BP659" s="204"/>
      <c r="BQ659" s="204"/>
      <c r="BR659" s="204"/>
      <c r="BS659" s="204"/>
      <c r="BT659" s="204"/>
    </row>
    <row r="660" spans="1:7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204"/>
      <c r="AA660" s="204"/>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c r="BM660" s="204"/>
      <c r="BN660" s="204"/>
      <c r="BO660" s="204"/>
      <c r="BP660" s="204"/>
      <c r="BQ660" s="204"/>
      <c r="BR660" s="204"/>
      <c r="BS660" s="204"/>
      <c r="BT660" s="204"/>
    </row>
    <row r="661" spans="1:7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204"/>
      <c r="AA661" s="204"/>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c r="BM661" s="204"/>
      <c r="BN661" s="204"/>
      <c r="BO661" s="204"/>
      <c r="BP661" s="204"/>
      <c r="BQ661" s="204"/>
      <c r="BR661" s="204"/>
      <c r="BS661" s="204"/>
      <c r="BT661" s="204"/>
    </row>
    <row r="662" spans="1:7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204"/>
      <c r="AA662" s="204"/>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c r="BM662" s="204"/>
      <c r="BN662" s="204"/>
      <c r="BO662" s="204"/>
      <c r="BP662" s="204"/>
      <c r="BQ662" s="204"/>
      <c r="BR662" s="204"/>
      <c r="BS662" s="204"/>
      <c r="BT662" s="204"/>
    </row>
    <row r="663" spans="1:7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204"/>
      <c r="AA663" s="204"/>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c r="BM663" s="204"/>
      <c r="BN663" s="204"/>
      <c r="BO663" s="204"/>
      <c r="BP663" s="204"/>
      <c r="BQ663" s="204"/>
      <c r="BR663" s="204"/>
      <c r="BS663" s="204"/>
      <c r="BT663" s="204"/>
    </row>
    <row r="664" spans="1:7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204"/>
      <c r="AA664" s="204"/>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c r="BM664" s="204"/>
      <c r="BN664" s="204"/>
      <c r="BO664" s="204"/>
      <c r="BP664" s="204"/>
      <c r="BQ664" s="204"/>
      <c r="BR664" s="204"/>
      <c r="BS664" s="204"/>
      <c r="BT664" s="204"/>
    </row>
    <row r="665" spans="1:7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204"/>
      <c r="AA665" s="204"/>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c r="BM665" s="204"/>
      <c r="BN665" s="204"/>
      <c r="BO665" s="204"/>
      <c r="BP665" s="204"/>
      <c r="BQ665" s="204"/>
      <c r="BR665" s="204"/>
      <c r="BS665" s="204"/>
      <c r="BT665" s="204"/>
    </row>
    <row r="666" spans="1:7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204"/>
      <c r="AA666" s="204"/>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c r="BM666" s="204"/>
      <c r="BN666" s="204"/>
      <c r="BO666" s="204"/>
      <c r="BP666" s="204"/>
      <c r="BQ666" s="204"/>
      <c r="BR666" s="204"/>
      <c r="BS666" s="204"/>
      <c r="BT666" s="204"/>
    </row>
    <row r="667" spans="1:7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204"/>
      <c r="AA667" s="204"/>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c r="BM667" s="204"/>
      <c r="BN667" s="204"/>
      <c r="BO667" s="204"/>
      <c r="BP667" s="204"/>
      <c r="BQ667" s="204"/>
      <c r="BR667" s="204"/>
      <c r="BS667" s="204"/>
      <c r="BT667" s="204"/>
    </row>
    <row r="668" spans="1:7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c r="BM668" s="204"/>
      <c r="BN668" s="204"/>
      <c r="BO668" s="204"/>
      <c r="BP668" s="204"/>
      <c r="BQ668" s="204"/>
      <c r="BR668" s="204"/>
      <c r="BS668" s="204"/>
      <c r="BT668" s="204"/>
    </row>
    <row r="669" spans="1:7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204"/>
      <c r="AA669" s="204"/>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c r="BM669" s="204"/>
      <c r="BN669" s="204"/>
      <c r="BO669" s="204"/>
      <c r="BP669" s="204"/>
      <c r="BQ669" s="204"/>
      <c r="BR669" s="204"/>
      <c r="BS669" s="204"/>
      <c r="BT669" s="204"/>
    </row>
    <row r="670" spans="1:7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204"/>
      <c r="AA670" s="204"/>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c r="BM670" s="204"/>
      <c r="BN670" s="204"/>
      <c r="BO670" s="204"/>
      <c r="BP670" s="204"/>
      <c r="BQ670" s="204"/>
      <c r="BR670" s="204"/>
      <c r="BS670" s="204"/>
      <c r="BT670" s="204"/>
    </row>
    <row r="671" spans="1:7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204"/>
      <c r="AA671" s="204"/>
      <c r="AB671" s="204"/>
      <c r="AC671" s="204"/>
      <c r="AD671" s="204"/>
      <c r="BH671" s="204"/>
      <c r="BI671" s="204"/>
      <c r="BJ671" s="204"/>
      <c r="BK671" s="204"/>
      <c r="BL671" s="204"/>
      <c r="BM671" s="204"/>
      <c r="BN671" s="204"/>
      <c r="BO671" s="204"/>
      <c r="BP671" s="204"/>
      <c r="BQ671" s="204"/>
      <c r="BR671" s="204"/>
      <c r="BS671" s="204"/>
      <c r="BT671" s="204"/>
    </row>
    <row r="672" spans="1: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204"/>
      <c r="AA672" s="204"/>
      <c r="AB672" s="204"/>
      <c r="AC672" s="204"/>
      <c r="AD672" s="204"/>
      <c r="BH672" s="204"/>
      <c r="BI672" s="204"/>
      <c r="BJ672" s="204"/>
      <c r="BK672" s="204"/>
      <c r="BL672" s="204"/>
      <c r="BM672" s="204"/>
      <c r="BN672" s="204"/>
      <c r="BO672" s="204"/>
      <c r="BP672" s="204"/>
      <c r="BQ672" s="204"/>
      <c r="BR672" s="204"/>
      <c r="BS672" s="204"/>
      <c r="BT672" s="204"/>
    </row>
    <row r="673" spans="1:7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204"/>
      <c r="AA673" s="204"/>
      <c r="AB673" s="204"/>
      <c r="AC673" s="204"/>
      <c r="AD673" s="204"/>
      <c r="BH673" s="204"/>
      <c r="BI673" s="204"/>
      <c r="BJ673" s="204"/>
      <c r="BK673" s="204"/>
      <c r="BL673" s="204"/>
      <c r="BM673" s="204"/>
      <c r="BN673" s="204"/>
      <c r="BO673" s="204"/>
      <c r="BP673" s="204"/>
      <c r="BQ673" s="204"/>
      <c r="BR673" s="204"/>
      <c r="BS673" s="204"/>
      <c r="BT673" s="204"/>
    </row>
    <row r="674" spans="1:7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204"/>
      <c r="AA674" s="204"/>
      <c r="AB674" s="204"/>
      <c r="AC674" s="204"/>
      <c r="AD674" s="204"/>
      <c r="BH674" s="204"/>
      <c r="BI674" s="204"/>
      <c r="BJ674" s="204"/>
      <c r="BK674" s="204"/>
      <c r="BL674" s="204"/>
      <c r="BM674" s="204"/>
      <c r="BN674" s="204"/>
      <c r="BO674" s="204"/>
      <c r="BP674" s="204"/>
      <c r="BQ674" s="204"/>
      <c r="BR674" s="204"/>
      <c r="BS674" s="204"/>
      <c r="BT674" s="204"/>
    </row>
    <row r="675" spans="1:7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204"/>
      <c r="AA675" s="204"/>
      <c r="AB675" s="204"/>
      <c r="AC675" s="204"/>
      <c r="AD675" s="204"/>
      <c r="BH675" s="204"/>
      <c r="BI675" s="204"/>
      <c r="BJ675" s="204"/>
      <c r="BK675" s="204"/>
      <c r="BL675" s="204"/>
      <c r="BM675" s="204"/>
      <c r="BN675" s="204"/>
      <c r="BO675" s="204"/>
      <c r="BP675" s="204"/>
      <c r="BQ675" s="204"/>
      <c r="BR675" s="204"/>
      <c r="BS675" s="204"/>
      <c r="BT675" s="204"/>
    </row>
    <row r="676" spans="1:7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204"/>
      <c r="AA676" s="204"/>
      <c r="AB676" s="204"/>
      <c r="AC676" s="204"/>
      <c r="AD676" s="204"/>
      <c r="BH676" s="204"/>
      <c r="BI676" s="204"/>
      <c r="BJ676" s="204"/>
      <c r="BK676" s="204"/>
      <c r="BL676" s="204"/>
      <c r="BM676" s="204"/>
      <c r="BN676" s="204"/>
      <c r="BO676" s="204"/>
      <c r="BP676" s="204"/>
      <c r="BQ676" s="204"/>
      <c r="BR676" s="204"/>
      <c r="BS676" s="204"/>
      <c r="BT676" s="204"/>
    </row>
    <row r="677" spans="1:7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204"/>
      <c r="AA677" s="204"/>
      <c r="AB677" s="204"/>
      <c r="AC677" s="204"/>
      <c r="AD677" s="204"/>
      <c r="BH677" s="204"/>
      <c r="BI677" s="204"/>
      <c r="BJ677" s="204"/>
      <c r="BK677" s="204"/>
      <c r="BL677" s="204"/>
      <c r="BM677" s="204"/>
      <c r="BN677" s="204"/>
      <c r="BO677" s="204"/>
      <c r="BP677" s="204"/>
      <c r="BQ677" s="204"/>
      <c r="BR677" s="204"/>
      <c r="BS677" s="204"/>
      <c r="BT677" s="204"/>
    </row>
    <row r="678" spans="1:7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204"/>
      <c r="AA678" s="204"/>
      <c r="AB678" s="204"/>
      <c r="AC678" s="204"/>
      <c r="AD678" s="204"/>
      <c r="BH678" s="204"/>
      <c r="BI678" s="204"/>
      <c r="BJ678" s="204"/>
      <c r="BK678" s="204"/>
      <c r="BL678" s="204"/>
      <c r="BM678" s="204"/>
      <c r="BN678" s="204"/>
      <c r="BO678" s="204"/>
      <c r="BP678" s="204"/>
      <c r="BQ678" s="204"/>
      <c r="BR678" s="204"/>
      <c r="BS678" s="204"/>
      <c r="BT678" s="204"/>
    </row>
    <row r="679" spans="1:7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204"/>
      <c r="AA679" s="204"/>
      <c r="AB679" s="204"/>
      <c r="AC679" s="204"/>
      <c r="AD679" s="204"/>
      <c r="BH679" s="204"/>
      <c r="BI679" s="204"/>
      <c r="BJ679" s="204"/>
      <c r="BK679" s="204"/>
      <c r="BL679" s="204"/>
      <c r="BM679" s="204"/>
      <c r="BN679" s="204"/>
      <c r="BO679" s="204"/>
      <c r="BP679" s="204"/>
      <c r="BQ679" s="204"/>
      <c r="BR679" s="204"/>
      <c r="BS679" s="204"/>
      <c r="BT679" s="204"/>
    </row>
    <row r="680" spans="1:7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204"/>
      <c r="AA680" s="204"/>
      <c r="AB680" s="204"/>
      <c r="AC680" s="204"/>
      <c r="AD680" s="204"/>
      <c r="BH680" s="204"/>
      <c r="BI680" s="204"/>
      <c r="BJ680" s="204"/>
      <c r="BK680" s="204"/>
      <c r="BL680" s="204"/>
      <c r="BM680" s="204"/>
      <c r="BN680" s="204"/>
      <c r="BO680" s="204"/>
      <c r="BP680" s="204"/>
      <c r="BQ680" s="204"/>
      <c r="BR680" s="204"/>
      <c r="BS680" s="204"/>
      <c r="BT680" s="204"/>
    </row>
    <row r="681" spans="1:7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204"/>
      <c r="AA681" s="204"/>
      <c r="AB681" s="204"/>
      <c r="AC681" s="204"/>
      <c r="AD681" s="204"/>
      <c r="BH681" s="204"/>
      <c r="BI681" s="204"/>
      <c r="BJ681" s="204"/>
      <c r="BK681" s="204"/>
      <c r="BL681" s="204"/>
      <c r="BM681" s="204"/>
      <c r="BN681" s="204"/>
      <c r="BO681" s="204"/>
      <c r="BP681" s="204"/>
      <c r="BQ681" s="204"/>
      <c r="BR681" s="204"/>
      <c r="BS681" s="204"/>
      <c r="BT681" s="204"/>
    </row>
    <row r="682" spans="1:7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204"/>
      <c r="AA682" s="204"/>
      <c r="AB682" s="204"/>
      <c r="AC682" s="204"/>
      <c r="AD682" s="204"/>
      <c r="BH682" s="204"/>
      <c r="BI682" s="204"/>
      <c r="BJ682" s="204"/>
      <c r="BK682" s="204"/>
      <c r="BL682" s="204"/>
      <c r="BM682" s="204"/>
      <c r="BN682" s="204"/>
      <c r="BO682" s="204"/>
      <c r="BP682" s="204"/>
      <c r="BQ682" s="204"/>
      <c r="BR682" s="204"/>
      <c r="BS682" s="204"/>
      <c r="BT682" s="204"/>
    </row>
    <row r="683" spans="1:7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204"/>
      <c r="AA683" s="204"/>
      <c r="AB683" s="204"/>
      <c r="AC683" s="204"/>
      <c r="AD683" s="204"/>
      <c r="BH683" s="204"/>
      <c r="BI683" s="204"/>
      <c r="BJ683" s="204"/>
      <c r="BK683" s="204"/>
      <c r="BL683" s="204"/>
      <c r="BM683" s="204"/>
      <c r="BN683" s="204"/>
      <c r="BO683" s="204"/>
      <c r="BP683" s="204"/>
      <c r="BQ683" s="204"/>
      <c r="BR683" s="204"/>
      <c r="BS683" s="204"/>
      <c r="BT683" s="204"/>
    </row>
    <row r="684" spans="1:7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204"/>
      <c r="AA684" s="204"/>
      <c r="AB684" s="204"/>
      <c r="AC684" s="204"/>
      <c r="AD684" s="204"/>
      <c r="BH684" s="204"/>
      <c r="BI684" s="204"/>
      <c r="BJ684" s="204"/>
      <c r="BK684" s="204"/>
      <c r="BL684" s="204"/>
      <c r="BM684" s="204"/>
      <c r="BN684" s="204"/>
      <c r="BO684" s="204"/>
      <c r="BP684" s="204"/>
      <c r="BQ684" s="204"/>
      <c r="BR684" s="204"/>
      <c r="BS684" s="204"/>
      <c r="BT684" s="204"/>
    </row>
    <row r="685" spans="1:7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204"/>
      <c r="AA685" s="204"/>
      <c r="AB685" s="204"/>
      <c r="AC685" s="204"/>
      <c r="AD685" s="204"/>
      <c r="BH685" s="204"/>
      <c r="BI685" s="204"/>
      <c r="BJ685" s="204"/>
      <c r="BK685" s="204"/>
      <c r="BL685" s="204"/>
      <c r="BM685" s="204"/>
      <c r="BN685" s="204"/>
      <c r="BO685" s="204"/>
      <c r="BP685" s="204"/>
      <c r="BQ685" s="204"/>
      <c r="BR685" s="204"/>
      <c r="BS685" s="204"/>
      <c r="BT685" s="204"/>
    </row>
    <row r="686" spans="1:7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204"/>
      <c r="AA686" s="204"/>
      <c r="AB686" s="204"/>
      <c r="AC686" s="204"/>
      <c r="AD686" s="204"/>
      <c r="BH686" s="204"/>
      <c r="BI686" s="204"/>
      <c r="BJ686" s="204"/>
      <c r="BK686" s="204"/>
      <c r="BL686" s="204"/>
      <c r="BM686" s="204"/>
      <c r="BN686" s="204"/>
      <c r="BO686" s="204"/>
      <c r="BP686" s="204"/>
      <c r="BQ686" s="204"/>
      <c r="BR686" s="204"/>
      <c r="BS686" s="204"/>
      <c r="BT686" s="204"/>
    </row>
    <row r="687" spans="1:7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204"/>
      <c r="AA687" s="204"/>
      <c r="AB687" s="204"/>
      <c r="AC687" s="204"/>
      <c r="AD687" s="204"/>
      <c r="BH687" s="204"/>
      <c r="BI687" s="204"/>
      <c r="BJ687" s="204"/>
      <c r="BK687" s="204"/>
      <c r="BL687" s="204"/>
      <c r="BM687" s="204"/>
      <c r="BN687" s="204"/>
      <c r="BO687" s="204"/>
      <c r="BP687" s="204"/>
      <c r="BQ687" s="204"/>
      <c r="BR687" s="204"/>
      <c r="BS687" s="204"/>
      <c r="BT687" s="204"/>
    </row>
    <row r="688" spans="1:7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204"/>
      <c r="AA688" s="204"/>
      <c r="AB688" s="204"/>
      <c r="AC688" s="204"/>
      <c r="AD688" s="204"/>
      <c r="BH688" s="204"/>
      <c r="BI688" s="204"/>
      <c r="BJ688" s="204"/>
      <c r="BK688" s="204"/>
      <c r="BL688" s="204"/>
      <c r="BM688" s="204"/>
      <c r="BN688" s="204"/>
      <c r="BO688" s="204"/>
      <c r="BP688" s="204"/>
      <c r="BQ688" s="204"/>
      <c r="BR688" s="204"/>
      <c r="BS688" s="204"/>
      <c r="BT688" s="204"/>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204"/>
      <c r="AA689" s="204"/>
      <c r="AB689" s="204"/>
      <c r="AC689" s="204"/>
      <c r="AD689" s="204"/>
      <c r="BH689" s="204"/>
      <c r="BI689" s="204"/>
      <c r="BJ689" s="204"/>
      <c r="BK689" s="204"/>
      <c r="BL689" s="204"/>
      <c r="BM689" s="204"/>
      <c r="BN689" s="204"/>
      <c r="BO689" s="204"/>
      <c r="BP689" s="204"/>
      <c r="BQ689" s="204"/>
      <c r="BR689" s="204"/>
      <c r="BS689" s="204"/>
      <c r="BT689" s="204"/>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204"/>
      <c r="AA690" s="204"/>
      <c r="AB690" s="204"/>
      <c r="AC690" s="204"/>
      <c r="AD690" s="204"/>
      <c r="BH690" s="204"/>
      <c r="BI690" s="204"/>
      <c r="BJ690" s="204"/>
      <c r="BK690" s="204"/>
      <c r="BL690" s="204"/>
      <c r="BM690" s="204"/>
      <c r="BN690" s="204"/>
      <c r="BO690" s="204"/>
      <c r="BP690" s="204"/>
      <c r="BQ690" s="204"/>
      <c r="BR690" s="204"/>
      <c r="BS690" s="204"/>
      <c r="BT690" s="204"/>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204"/>
      <c r="AA691" s="204"/>
      <c r="AB691" s="204"/>
      <c r="AC691" s="204"/>
      <c r="AD691" s="204"/>
      <c r="BH691" s="204"/>
      <c r="BI691" s="204"/>
      <c r="BJ691" s="204"/>
      <c r="BK691" s="204"/>
      <c r="BL691" s="204"/>
      <c r="BM691" s="204"/>
      <c r="BN691" s="204"/>
      <c r="BO691" s="204"/>
      <c r="BP691" s="204"/>
      <c r="BQ691" s="204"/>
      <c r="BR691" s="204"/>
      <c r="BS691" s="204"/>
      <c r="BT691" s="204"/>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204"/>
      <c r="AA692" s="204"/>
      <c r="AB692" s="204"/>
      <c r="AC692" s="204"/>
      <c r="AD692" s="204"/>
      <c r="BH692" s="204"/>
      <c r="BI692" s="204"/>
      <c r="BJ692" s="204"/>
      <c r="BK692" s="204"/>
      <c r="BL692" s="204"/>
      <c r="BM692" s="204"/>
      <c r="BN692" s="204"/>
      <c r="BO692" s="204"/>
      <c r="BP692" s="204"/>
      <c r="BQ692" s="204"/>
      <c r="BR692" s="204"/>
      <c r="BS692" s="204"/>
      <c r="BT692" s="204"/>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204"/>
      <c r="AA693" s="204"/>
      <c r="AB693" s="204"/>
      <c r="AC693" s="204"/>
      <c r="AD693" s="204"/>
      <c r="BH693" s="204"/>
      <c r="BI693" s="204"/>
      <c r="BJ693" s="204"/>
      <c r="BK693" s="204"/>
      <c r="BL693" s="204"/>
      <c r="BM693" s="204"/>
      <c r="BN693" s="204"/>
      <c r="BO693" s="204"/>
      <c r="BP693" s="204"/>
      <c r="BQ693" s="204"/>
      <c r="BR693" s="204"/>
      <c r="BS693" s="204"/>
      <c r="BT693" s="204"/>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204"/>
      <c r="AA694" s="204"/>
      <c r="AB694" s="204"/>
      <c r="AC694" s="204"/>
      <c r="AD694" s="204"/>
      <c r="BH694" s="204"/>
      <c r="BI694" s="204"/>
      <c r="BJ694" s="204"/>
      <c r="BK694" s="204"/>
      <c r="BL694" s="204"/>
      <c r="BM694" s="204"/>
      <c r="BN694" s="204"/>
      <c r="BO694" s="204"/>
      <c r="BP694" s="204"/>
      <c r="BQ694" s="204"/>
      <c r="BR694" s="204"/>
      <c r="BS694" s="204"/>
      <c r="BT694" s="204"/>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204"/>
      <c r="AA695" s="204"/>
      <c r="AB695" s="204"/>
      <c r="AC695" s="204"/>
      <c r="AD695" s="204"/>
      <c r="BH695" s="204"/>
      <c r="BI695" s="204"/>
      <c r="BJ695" s="204"/>
      <c r="BK695" s="204"/>
      <c r="BL695" s="204"/>
      <c r="BM695" s="204"/>
      <c r="BN695" s="204"/>
      <c r="BO695" s="204"/>
      <c r="BP695" s="204"/>
      <c r="BQ695" s="204"/>
      <c r="BR695" s="204"/>
      <c r="BS695" s="204"/>
      <c r="BT695" s="204"/>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204"/>
      <c r="AA696" s="204"/>
      <c r="AB696" s="204"/>
      <c r="AC696" s="204"/>
      <c r="AD696" s="204"/>
      <c r="BH696" s="204"/>
      <c r="BI696" s="204"/>
      <c r="BJ696" s="204"/>
      <c r="BK696" s="204"/>
      <c r="BL696" s="204"/>
      <c r="BM696" s="204"/>
      <c r="BN696" s="204"/>
      <c r="BO696" s="204"/>
      <c r="BP696" s="204"/>
      <c r="BQ696" s="204"/>
      <c r="BR696" s="204"/>
      <c r="BS696" s="204"/>
      <c r="BT696" s="204"/>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204"/>
      <c r="AA697" s="204"/>
      <c r="AB697" s="204"/>
      <c r="AC697" s="204"/>
      <c r="AD697" s="204"/>
      <c r="BH697" s="204"/>
      <c r="BI697" s="204"/>
      <c r="BJ697" s="204"/>
      <c r="BK697" s="204"/>
      <c r="BL697" s="204"/>
      <c r="BM697" s="204"/>
      <c r="BN697" s="204"/>
      <c r="BO697" s="204"/>
      <c r="BP697" s="204"/>
      <c r="BQ697" s="204"/>
      <c r="BR697" s="204"/>
      <c r="BS697" s="204"/>
      <c r="BT697" s="204"/>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204"/>
      <c r="AA698" s="204"/>
      <c r="AB698" s="204"/>
      <c r="AC698" s="204"/>
      <c r="AD698" s="204"/>
      <c r="BH698" s="204"/>
      <c r="BI698" s="204"/>
      <c r="BJ698" s="204"/>
      <c r="BK698" s="204"/>
      <c r="BL698" s="204"/>
      <c r="BM698" s="204"/>
      <c r="BN698" s="204"/>
      <c r="BO698" s="204"/>
      <c r="BP698" s="204"/>
      <c r="BQ698" s="204"/>
      <c r="BR698" s="204"/>
      <c r="BS698" s="204"/>
      <c r="BT698" s="204"/>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204"/>
      <c r="AA699" s="204"/>
      <c r="AB699" s="204"/>
      <c r="AC699" s="204"/>
      <c r="AD699" s="204"/>
      <c r="BH699" s="204"/>
      <c r="BI699" s="204"/>
      <c r="BJ699" s="204"/>
      <c r="BK699" s="204"/>
      <c r="BL699" s="204"/>
      <c r="BM699" s="204"/>
      <c r="BN699" s="204"/>
      <c r="BO699" s="204"/>
      <c r="BP699" s="204"/>
      <c r="BQ699" s="204"/>
      <c r="BR699" s="204"/>
      <c r="BS699" s="204"/>
      <c r="BT699" s="204"/>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204"/>
      <c r="AA700" s="204"/>
      <c r="AB700" s="204"/>
      <c r="AC700" s="204"/>
      <c r="AD700" s="204"/>
      <c r="BH700" s="204"/>
      <c r="BI700" s="204"/>
      <c r="BJ700" s="204"/>
      <c r="BK700" s="204"/>
      <c r="BL700" s="204"/>
      <c r="BM700" s="204"/>
      <c r="BN700" s="204"/>
      <c r="BO700" s="204"/>
      <c r="BP700" s="204"/>
      <c r="BQ700" s="204"/>
      <c r="BR700" s="204"/>
      <c r="BS700" s="204"/>
      <c r="BT700" s="204"/>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204"/>
      <c r="AA701" s="204"/>
      <c r="AB701" s="204"/>
      <c r="AC701" s="204"/>
      <c r="AD701" s="204"/>
      <c r="BH701" s="204"/>
      <c r="BI701" s="204"/>
      <c r="BJ701" s="204"/>
      <c r="BK701" s="204"/>
      <c r="BL701" s="204"/>
      <c r="BM701" s="204"/>
      <c r="BN701" s="204"/>
      <c r="BO701" s="204"/>
      <c r="BP701" s="204"/>
      <c r="BQ701" s="204"/>
      <c r="BR701" s="204"/>
      <c r="BS701" s="204"/>
      <c r="BT701" s="204"/>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204"/>
      <c r="AA702" s="204"/>
      <c r="AB702" s="204"/>
      <c r="AC702" s="204"/>
      <c r="AD702" s="204"/>
      <c r="BH702" s="204"/>
      <c r="BI702" s="204"/>
      <c r="BJ702" s="204"/>
      <c r="BK702" s="204"/>
      <c r="BL702" s="204"/>
      <c r="BM702" s="204"/>
      <c r="BN702" s="204"/>
      <c r="BO702" s="204"/>
      <c r="BP702" s="204"/>
      <c r="BQ702" s="204"/>
      <c r="BR702" s="204"/>
      <c r="BS702" s="204"/>
      <c r="BT702" s="204"/>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204"/>
      <c r="AA703" s="204"/>
      <c r="AB703" s="204"/>
      <c r="AC703" s="204"/>
      <c r="AD703" s="204"/>
      <c r="BH703" s="204"/>
      <c r="BI703" s="204"/>
      <c r="BJ703" s="204"/>
      <c r="BK703" s="204"/>
      <c r="BL703" s="204"/>
      <c r="BM703" s="204"/>
      <c r="BN703" s="204"/>
      <c r="BO703" s="204"/>
      <c r="BP703" s="204"/>
      <c r="BQ703" s="204"/>
      <c r="BR703" s="204"/>
      <c r="BS703" s="204"/>
      <c r="BT703" s="204"/>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204"/>
      <c r="AA704" s="204"/>
      <c r="AB704" s="204"/>
      <c r="AC704" s="204"/>
      <c r="AD704" s="204"/>
      <c r="BH704" s="204"/>
      <c r="BI704" s="204"/>
      <c r="BJ704" s="204"/>
      <c r="BK704" s="204"/>
      <c r="BL704" s="204"/>
      <c r="BM704" s="204"/>
      <c r="BN704" s="204"/>
      <c r="BO704" s="204"/>
      <c r="BP704" s="204"/>
      <c r="BQ704" s="204"/>
      <c r="BR704" s="204"/>
      <c r="BS704" s="204"/>
      <c r="BT704" s="204"/>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204"/>
      <c r="AA705" s="204"/>
      <c r="AB705" s="204"/>
      <c r="AC705" s="204"/>
      <c r="AD705" s="204"/>
      <c r="BH705" s="204"/>
      <c r="BI705" s="204"/>
      <c r="BJ705" s="204"/>
      <c r="BK705" s="204"/>
      <c r="BL705" s="204"/>
      <c r="BM705" s="204"/>
      <c r="BN705" s="204"/>
      <c r="BO705" s="204"/>
      <c r="BP705" s="204"/>
      <c r="BQ705" s="204"/>
      <c r="BR705" s="204"/>
      <c r="BS705" s="204"/>
      <c r="BT705" s="204"/>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204"/>
      <c r="AA706" s="204"/>
      <c r="AB706" s="204"/>
      <c r="AC706" s="204"/>
      <c r="AD706" s="204"/>
      <c r="BH706" s="204"/>
      <c r="BI706" s="204"/>
      <c r="BJ706" s="204"/>
      <c r="BK706" s="204"/>
      <c r="BL706" s="204"/>
      <c r="BM706" s="204"/>
      <c r="BN706" s="204"/>
      <c r="BO706" s="204"/>
      <c r="BP706" s="204"/>
      <c r="BQ706" s="204"/>
      <c r="BR706" s="204"/>
      <c r="BS706" s="204"/>
      <c r="BT706" s="204"/>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204"/>
      <c r="AA707" s="204"/>
      <c r="AB707" s="204"/>
      <c r="AC707" s="204"/>
      <c r="AD707" s="204"/>
      <c r="BH707" s="204"/>
      <c r="BI707" s="204"/>
      <c r="BJ707" s="204"/>
      <c r="BK707" s="204"/>
      <c r="BL707" s="204"/>
      <c r="BM707" s="204"/>
      <c r="BN707" s="204"/>
      <c r="BO707" s="204"/>
      <c r="BP707" s="204"/>
      <c r="BQ707" s="204"/>
      <c r="BR707" s="204"/>
      <c r="BS707" s="204"/>
      <c r="BT707" s="204"/>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204"/>
      <c r="AA708" s="204"/>
      <c r="AB708" s="204"/>
      <c r="AC708" s="204"/>
      <c r="AD708" s="204"/>
      <c r="BH708" s="204"/>
      <c r="BI708" s="204"/>
      <c r="BJ708" s="204"/>
      <c r="BK708" s="204"/>
      <c r="BL708" s="204"/>
      <c r="BM708" s="204"/>
      <c r="BN708" s="204"/>
      <c r="BO708" s="204"/>
      <c r="BP708" s="204"/>
      <c r="BQ708" s="204"/>
      <c r="BR708" s="204"/>
      <c r="BS708" s="204"/>
      <c r="BT708" s="204"/>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204"/>
      <c r="AA709" s="204"/>
      <c r="AB709" s="204"/>
      <c r="AC709" s="204"/>
      <c r="AD709" s="204"/>
      <c r="BH709" s="204"/>
      <c r="BI709" s="204"/>
      <c r="BJ709" s="204"/>
      <c r="BK709" s="204"/>
      <c r="BL709" s="204"/>
      <c r="BM709" s="204"/>
      <c r="BN709" s="204"/>
      <c r="BO709" s="204"/>
      <c r="BP709" s="204"/>
      <c r="BQ709" s="204"/>
      <c r="BR709" s="204"/>
      <c r="BS709" s="204"/>
      <c r="BT709" s="204"/>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204"/>
      <c r="AA710" s="204"/>
      <c r="AB710" s="204"/>
      <c r="AC710" s="204"/>
      <c r="AD710" s="204"/>
      <c r="BH710" s="204"/>
      <c r="BI710" s="204"/>
      <c r="BJ710" s="204"/>
      <c r="BK710" s="204"/>
      <c r="BL710" s="204"/>
      <c r="BM710" s="204"/>
      <c r="BN710" s="204"/>
      <c r="BO710" s="204"/>
      <c r="BP710" s="204"/>
      <c r="BQ710" s="204"/>
      <c r="BR710" s="204"/>
      <c r="BS710" s="204"/>
      <c r="BT710" s="204"/>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204"/>
      <c r="AA711" s="204"/>
      <c r="AB711" s="204"/>
      <c r="AC711" s="204"/>
      <c r="AD711" s="204"/>
      <c r="BH711" s="204"/>
      <c r="BI711" s="204"/>
      <c r="BJ711" s="204"/>
      <c r="BK711" s="204"/>
      <c r="BL711" s="204"/>
      <c r="BM711" s="204"/>
      <c r="BN711" s="204"/>
      <c r="BO711" s="204"/>
      <c r="BP711" s="204"/>
      <c r="BQ711" s="204"/>
      <c r="BR711" s="204"/>
      <c r="BS711" s="204"/>
      <c r="BT711" s="204"/>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204"/>
      <c r="AA712" s="204"/>
      <c r="AB712" s="204"/>
      <c r="AC712" s="204"/>
      <c r="AD712" s="204"/>
      <c r="BH712" s="204"/>
      <c r="BI712" s="204"/>
      <c r="BJ712" s="204"/>
      <c r="BK712" s="204"/>
      <c r="BL712" s="204"/>
      <c r="BM712" s="204"/>
      <c r="BN712" s="204"/>
      <c r="BO712" s="204"/>
      <c r="BP712" s="204"/>
      <c r="BQ712" s="204"/>
      <c r="BR712" s="204"/>
      <c r="BS712" s="204"/>
      <c r="BT712" s="204"/>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204"/>
      <c r="AA713" s="204"/>
      <c r="AB713" s="204"/>
      <c r="AC713" s="204"/>
      <c r="AD713" s="204"/>
      <c r="BH713" s="204"/>
      <c r="BI713" s="204"/>
      <c r="BJ713" s="204"/>
      <c r="BK713" s="204"/>
      <c r="BL713" s="204"/>
      <c r="BM713" s="204"/>
      <c r="BN713" s="204"/>
      <c r="BO713" s="204"/>
      <c r="BP713" s="204"/>
      <c r="BQ713" s="204"/>
      <c r="BR713" s="204"/>
      <c r="BS713" s="204"/>
      <c r="BT713" s="204"/>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204"/>
      <c r="AA714" s="204"/>
      <c r="AB714" s="204"/>
      <c r="AC714" s="204"/>
      <c r="AD714" s="204"/>
      <c r="BH714" s="204"/>
      <c r="BI714" s="204"/>
      <c r="BJ714" s="204"/>
      <c r="BK714" s="204"/>
      <c r="BL714" s="204"/>
      <c r="BM714" s="204"/>
      <c r="BN714" s="204"/>
      <c r="BO714" s="204"/>
      <c r="BP714" s="204"/>
      <c r="BQ714" s="204"/>
      <c r="BR714" s="204"/>
      <c r="BS714" s="204"/>
      <c r="BT714" s="204"/>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204"/>
      <c r="AA715" s="204"/>
      <c r="AB715" s="204"/>
      <c r="AC715" s="204"/>
      <c r="AD715" s="204"/>
      <c r="BH715" s="204"/>
      <c r="BI715" s="204"/>
      <c r="BJ715" s="204"/>
      <c r="BK715" s="204"/>
      <c r="BL715" s="204"/>
      <c r="BM715" s="204"/>
      <c r="BN715" s="204"/>
      <c r="BO715" s="204"/>
      <c r="BP715" s="204"/>
      <c r="BQ715" s="204"/>
      <c r="BR715" s="204"/>
      <c r="BS715" s="204"/>
      <c r="BT715" s="204"/>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204"/>
      <c r="AA716" s="204"/>
      <c r="AB716" s="204"/>
      <c r="AC716" s="204"/>
      <c r="AD716" s="204"/>
      <c r="BH716" s="204"/>
      <c r="BI716" s="204"/>
      <c r="BJ716" s="204"/>
      <c r="BK716" s="204"/>
      <c r="BL716" s="204"/>
      <c r="BM716" s="204"/>
      <c r="BN716" s="204"/>
      <c r="BO716" s="204"/>
      <c r="BP716" s="204"/>
      <c r="BQ716" s="204"/>
      <c r="BR716" s="204"/>
      <c r="BS716" s="204"/>
      <c r="BT716" s="204"/>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204"/>
      <c r="AA717" s="204"/>
      <c r="AB717" s="204"/>
      <c r="AC717" s="204"/>
      <c r="AD717" s="204"/>
      <c r="BH717" s="204"/>
      <c r="BI717" s="204"/>
      <c r="BJ717" s="204"/>
      <c r="BK717" s="204"/>
      <c r="BL717" s="204"/>
      <c r="BM717" s="204"/>
      <c r="BN717" s="204"/>
      <c r="BO717" s="204"/>
      <c r="BP717" s="204"/>
      <c r="BQ717" s="204"/>
      <c r="BR717" s="204"/>
      <c r="BS717" s="204"/>
      <c r="BT717" s="204"/>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204"/>
      <c r="AA718" s="204"/>
      <c r="AB718" s="204"/>
      <c r="AC718" s="204"/>
      <c r="AD718" s="204"/>
      <c r="BH718" s="204"/>
      <c r="BI718" s="204"/>
      <c r="BJ718" s="204"/>
      <c r="BK718" s="204"/>
      <c r="BL718" s="204"/>
      <c r="BM718" s="204"/>
      <c r="BN718" s="204"/>
      <c r="BO718" s="204"/>
      <c r="BP718" s="204"/>
      <c r="BQ718" s="204"/>
      <c r="BR718" s="204"/>
      <c r="BS718" s="204"/>
      <c r="BT718" s="204"/>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204"/>
      <c r="AA719" s="204"/>
      <c r="AB719" s="204"/>
      <c r="AC719" s="204"/>
      <c r="AD719" s="204"/>
      <c r="BH719" s="204"/>
      <c r="BI719" s="204"/>
      <c r="BJ719" s="204"/>
      <c r="BK719" s="204"/>
      <c r="BL719" s="204"/>
      <c r="BM719" s="204"/>
      <c r="BN719" s="204"/>
      <c r="BO719" s="204"/>
      <c r="BP719" s="204"/>
      <c r="BQ719" s="204"/>
      <c r="BR719" s="204"/>
      <c r="BS719" s="204"/>
      <c r="BT719" s="204"/>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204"/>
      <c r="AA720" s="204"/>
      <c r="AB720" s="204"/>
      <c r="AC720" s="204"/>
      <c r="AD720" s="204"/>
      <c r="BH720" s="204"/>
      <c r="BI720" s="204"/>
      <c r="BJ720" s="204"/>
      <c r="BK720" s="204"/>
      <c r="BL720" s="204"/>
      <c r="BM720" s="204"/>
      <c r="BN720" s="204"/>
      <c r="BO720" s="204"/>
      <c r="BP720" s="204"/>
      <c r="BQ720" s="204"/>
      <c r="BR720" s="204"/>
      <c r="BS720" s="204"/>
      <c r="BT720" s="204"/>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204"/>
      <c r="AA721" s="204"/>
      <c r="AB721" s="204"/>
      <c r="AC721" s="204"/>
      <c r="AD721" s="204"/>
      <c r="BH721" s="204"/>
      <c r="BI721" s="204"/>
      <c r="BJ721" s="204"/>
      <c r="BK721" s="204"/>
      <c r="BL721" s="204"/>
      <c r="BM721" s="204"/>
      <c r="BN721" s="204"/>
      <c r="BO721" s="204"/>
      <c r="BP721" s="204"/>
      <c r="BQ721" s="204"/>
      <c r="BR721" s="204"/>
      <c r="BS721" s="204"/>
      <c r="BT721" s="204"/>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204"/>
      <c r="AA722" s="204"/>
      <c r="AB722" s="204"/>
      <c r="AC722" s="204"/>
      <c r="AD722" s="204"/>
      <c r="BH722" s="204"/>
      <c r="BI722" s="204"/>
      <c r="BJ722" s="204"/>
      <c r="BK722" s="204"/>
      <c r="BL722" s="204"/>
      <c r="BM722" s="204"/>
      <c r="BN722" s="204"/>
      <c r="BO722" s="204"/>
      <c r="BP722" s="204"/>
      <c r="BQ722" s="204"/>
      <c r="BR722" s="204"/>
      <c r="BS722" s="204"/>
      <c r="BT722" s="204"/>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204"/>
      <c r="AA723" s="204"/>
      <c r="AB723" s="204"/>
      <c r="AC723" s="204"/>
      <c r="AD723" s="204"/>
      <c r="BH723" s="204"/>
      <c r="BI723" s="204"/>
      <c r="BJ723" s="204"/>
      <c r="BK723" s="204"/>
      <c r="BL723" s="204"/>
      <c r="BM723" s="204"/>
      <c r="BN723" s="204"/>
      <c r="BO723" s="204"/>
      <c r="BP723" s="204"/>
      <c r="BQ723" s="204"/>
      <c r="BR723" s="204"/>
      <c r="BS723" s="204"/>
      <c r="BT723" s="204"/>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204"/>
      <c r="AA724" s="204"/>
      <c r="AB724" s="204"/>
      <c r="AC724" s="204"/>
      <c r="AD724" s="204"/>
      <c r="BH724" s="204"/>
      <c r="BI724" s="204"/>
      <c r="BJ724" s="204"/>
      <c r="BK724" s="204"/>
      <c r="BL724" s="204"/>
      <c r="BM724" s="204"/>
      <c r="BN724" s="204"/>
      <c r="BO724" s="204"/>
      <c r="BP724" s="204"/>
      <c r="BQ724" s="204"/>
      <c r="BR724" s="204"/>
      <c r="BS724" s="204"/>
      <c r="BT724" s="204"/>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204"/>
      <c r="AA725" s="204"/>
      <c r="AB725" s="204"/>
      <c r="AC725" s="204"/>
      <c r="AD725" s="204"/>
      <c r="BH725" s="204"/>
      <c r="BI725" s="204"/>
      <c r="BJ725" s="204"/>
      <c r="BK725" s="204"/>
      <c r="BL725" s="204"/>
      <c r="BM725" s="204"/>
      <c r="BN725" s="204"/>
      <c r="BO725" s="204"/>
      <c r="BP725" s="204"/>
      <c r="BQ725" s="204"/>
      <c r="BR725" s="204"/>
      <c r="BS725" s="204"/>
      <c r="BT725" s="204"/>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204"/>
      <c r="AA726" s="204"/>
      <c r="AB726" s="204"/>
      <c r="AC726" s="204"/>
      <c r="AD726" s="204"/>
      <c r="BH726" s="204"/>
      <c r="BI726" s="204"/>
      <c r="BJ726" s="204"/>
      <c r="BK726" s="204"/>
      <c r="BL726" s="204"/>
      <c r="BM726" s="204"/>
      <c r="BN726" s="204"/>
      <c r="BO726" s="204"/>
      <c r="BP726" s="204"/>
      <c r="BQ726" s="204"/>
      <c r="BR726" s="204"/>
      <c r="BS726" s="204"/>
      <c r="BT726" s="204"/>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204"/>
      <c r="AA727" s="204"/>
      <c r="AB727" s="204"/>
      <c r="AC727" s="204"/>
      <c r="AD727" s="204"/>
      <c r="BH727" s="204"/>
      <c r="BI727" s="204"/>
      <c r="BJ727" s="204"/>
      <c r="BK727" s="204"/>
      <c r="BL727" s="204"/>
      <c r="BM727" s="204"/>
      <c r="BN727" s="204"/>
      <c r="BO727" s="204"/>
      <c r="BP727" s="204"/>
      <c r="BQ727" s="204"/>
      <c r="BR727" s="204"/>
      <c r="BS727" s="204"/>
      <c r="BT727" s="204"/>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204"/>
      <c r="AA728" s="204"/>
      <c r="AB728" s="204"/>
      <c r="AC728" s="204"/>
      <c r="AD728" s="204"/>
      <c r="BH728" s="204"/>
      <c r="BI728" s="204"/>
      <c r="BJ728" s="204"/>
      <c r="BK728" s="204"/>
      <c r="BL728" s="204"/>
      <c r="BM728" s="204"/>
      <c r="BN728" s="204"/>
      <c r="BO728" s="204"/>
      <c r="BP728" s="204"/>
      <c r="BQ728" s="204"/>
      <c r="BR728" s="204"/>
      <c r="BS728" s="204"/>
      <c r="BT728" s="204"/>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204"/>
      <c r="AA729" s="204"/>
      <c r="AB729" s="204"/>
      <c r="AC729" s="204"/>
      <c r="AD729" s="204"/>
      <c r="BH729" s="204"/>
      <c r="BI729" s="204"/>
      <c r="BJ729" s="204"/>
      <c r="BK729" s="204"/>
      <c r="BL729" s="204"/>
      <c r="BM729" s="204"/>
      <c r="BN729" s="204"/>
      <c r="BO729" s="204"/>
      <c r="BP729" s="204"/>
      <c r="BQ729" s="204"/>
      <c r="BR729" s="204"/>
      <c r="BS729" s="204"/>
      <c r="BT729" s="204"/>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204"/>
      <c r="AA730" s="204"/>
      <c r="AB730" s="204"/>
      <c r="AC730" s="204"/>
      <c r="AD730" s="204"/>
      <c r="BH730" s="204"/>
      <c r="BI730" s="204"/>
      <c r="BJ730" s="204"/>
      <c r="BK730" s="204"/>
      <c r="BL730" s="204"/>
      <c r="BM730" s="204"/>
      <c r="BN730" s="204"/>
      <c r="BO730" s="204"/>
      <c r="BP730" s="204"/>
      <c r="BQ730" s="204"/>
      <c r="BR730" s="204"/>
      <c r="BS730" s="204"/>
      <c r="BT730" s="204"/>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204"/>
      <c r="AA731" s="204"/>
      <c r="AB731" s="204"/>
      <c r="AC731" s="204"/>
      <c r="AD731" s="204"/>
      <c r="BH731" s="204"/>
      <c r="BI731" s="204"/>
      <c r="BJ731" s="204"/>
      <c r="BK731" s="204"/>
      <c r="BL731" s="204"/>
      <c r="BM731" s="204"/>
      <c r="BN731" s="204"/>
      <c r="BO731" s="204"/>
      <c r="BP731" s="204"/>
      <c r="BQ731" s="204"/>
      <c r="BR731" s="204"/>
      <c r="BS731" s="204"/>
      <c r="BT731" s="204"/>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204"/>
      <c r="AA732" s="204"/>
      <c r="AB732" s="204"/>
      <c r="AC732" s="204"/>
      <c r="AD732" s="204"/>
      <c r="BH732" s="204"/>
      <c r="BI732" s="204"/>
      <c r="BJ732" s="204"/>
      <c r="BK732" s="204"/>
      <c r="BL732" s="204"/>
      <c r="BM732" s="204"/>
      <c r="BN732" s="204"/>
      <c r="BO732" s="204"/>
      <c r="BP732" s="204"/>
      <c r="BQ732" s="204"/>
      <c r="BR732" s="204"/>
      <c r="BS732" s="204"/>
      <c r="BT732" s="204"/>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204"/>
      <c r="AA733" s="204"/>
      <c r="AB733" s="204"/>
      <c r="AC733" s="204"/>
      <c r="AD733" s="204"/>
      <c r="BH733" s="204"/>
      <c r="BI733" s="204"/>
      <c r="BJ733" s="204"/>
      <c r="BK733" s="204"/>
      <c r="BL733" s="204"/>
      <c r="BM733" s="204"/>
      <c r="BN733" s="204"/>
      <c r="BO733" s="204"/>
      <c r="BP733" s="204"/>
      <c r="BQ733" s="204"/>
      <c r="BR733" s="204"/>
      <c r="BS733" s="204"/>
      <c r="BT733" s="204"/>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204"/>
      <c r="AA734" s="204"/>
      <c r="AB734" s="204"/>
      <c r="AC734" s="204"/>
      <c r="AD734" s="204"/>
      <c r="BH734" s="204"/>
      <c r="BI734" s="204"/>
      <c r="BJ734" s="204"/>
      <c r="BK734" s="204"/>
      <c r="BL734" s="204"/>
      <c r="BM734" s="204"/>
      <c r="BN734" s="204"/>
      <c r="BO734" s="204"/>
      <c r="BP734" s="204"/>
      <c r="BQ734" s="204"/>
      <c r="BR734" s="204"/>
      <c r="BS734" s="204"/>
      <c r="BT734" s="204"/>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204"/>
      <c r="AA735" s="204"/>
      <c r="AB735" s="204"/>
      <c r="AC735" s="204"/>
      <c r="AD735" s="204"/>
      <c r="BH735" s="204"/>
      <c r="BI735" s="204"/>
      <c r="BJ735" s="204"/>
      <c r="BK735" s="204"/>
      <c r="BL735" s="204"/>
      <c r="BM735" s="204"/>
      <c r="BN735" s="204"/>
      <c r="BO735" s="204"/>
      <c r="BP735" s="204"/>
      <c r="BQ735" s="204"/>
      <c r="BR735" s="204"/>
      <c r="BS735" s="204"/>
      <c r="BT735" s="204"/>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204"/>
      <c r="AA736" s="204"/>
      <c r="AB736" s="204"/>
      <c r="AC736" s="204"/>
      <c r="AD736" s="204"/>
      <c r="BH736" s="204"/>
      <c r="BI736" s="204"/>
      <c r="BJ736" s="204"/>
      <c r="BK736" s="204"/>
      <c r="BL736" s="204"/>
      <c r="BM736" s="204"/>
      <c r="BN736" s="204"/>
      <c r="BO736" s="204"/>
      <c r="BP736" s="204"/>
      <c r="BQ736" s="204"/>
      <c r="BR736" s="204"/>
      <c r="BS736" s="204"/>
      <c r="BT736" s="204"/>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204"/>
      <c r="AA737" s="204"/>
      <c r="AB737" s="204"/>
      <c r="AC737" s="204"/>
      <c r="AD737" s="204"/>
      <c r="BH737" s="204"/>
      <c r="BI737" s="204"/>
      <c r="BJ737" s="204"/>
      <c r="BK737" s="204"/>
      <c r="BL737" s="204"/>
      <c r="BM737" s="204"/>
      <c r="BN737" s="204"/>
      <c r="BO737" s="204"/>
      <c r="BP737" s="204"/>
      <c r="BQ737" s="204"/>
      <c r="BR737" s="204"/>
      <c r="BS737" s="204"/>
      <c r="BT737" s="204"/>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204"/>
      <c r="AA738" s="204"/>
      <c r="AB738" s="204"/>
      <c r="AC738" s="204"/>
      <c r="AD738" s="204"/>
      <c r="BH738" s="204"/>
      <c r="BI738" s="204"/>
      <c r="BJ738" s="204"/>
      <c r="BK738" s="204"/>
      <c r="BL738" s="204"/>
      <c r="BM738" s="204"/>
      <c r="BN738" s="204"/>
      <c r="BO738" s="204"/>
      <c r="BP738" s="204"/>
      <c r="BQ738" s="204"/>
      <c r="BR738" s="204"/>
      <c r="BS738" s="204"/>
      <c r="BT738" s="204"/>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204"/>
      <c r="AA739" s="204"/>
      <c r="AB739" s="204"/>
      <c r="AC739" s="204"/>
      <c r="AD739" s="204"/>
      <c r="BH739" s="204"/>
      <c r="BI739" s="204"/>
      <c r="BJ739" s="204"/>
      <c r="BK739" s="204"/>
      <c r="BL739" s="204"/>
      <c r="BM739" s="204"/>
      <c r="BN739" s="204"/>
      <c r="BO739" s="204"/>
      <c r="BP739" s="204"/>
      <c r="BQ739" s="204"/>
      <c r="BR739" s="204"/>
      <c r="BS739" s="204"/>
      <c r="BT739" s="204"/>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204"/>
      <c r="AA740" s="204"/>
      <c r="AB740" s="204"/>
      <c r="AC740" s="204"/>
      <c r="AD740" s="204"/>
      <c r="BH740" s="204"/>
      <c r="BI740" s="204"/>
      <c r="BJ740" s="204"/>
      <c r="BK740" s="204"/>
      <c r="BL740" s="204"/>
      <c r="BM740" s="204"/>
      <c r="BN740" s="204"/>
      <c r="BO740" s="204"/>
      <c r="BP740" s="204"/>
      <c r="BQ740" s="204"/>
      <c r="BR740" s="204"/>
      <c r="BS740" s="204"/>
      <c r="BT740" s="204"/>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204"/>
      <c r="AA741" s="204"/>
      <c r="AB741" s="204"/>
      <c r="AC741" s="204"/>
      <c r="AD741" s="204"/>
      <c r="BH741" s="204"/>
      <c r="BI741" s="204"/>
      <c r="BJ741" s="204"/>
      <c r="BK741" s="204"/>
      <c r="BL741" s="204"/>
      <c r="BM741" s="204"/>
      <c r="BN741" s="204"/>
      <c r="BO741" s="204"/>
      <c r="BP741" s="204"/>
      <c r="BQ741" s="204"/>
      <c r="BR741" s="204"/>
      <c r="BS741" s="204"/>
      <c r="BT741" s="204"/>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204"/>
      <c r="AA742" s="204"/>
      <c r="AB742" s="204"/>
      <c r="AC742" s="204"/>
      <c r="AD742" s="204"/>
      <c r="BH742" s="204"/>
      <c r="BI742" s="204"/>
      <c r="BJ742" s="204"/>
      <c r="BK742" s="204"/>
      <c r="BL742" s="204"/>
      <c r="BM742" s="204"/>
      <c r="BN742" s="204"/>
      <c r="BO742" s="204"/>
      <c r="BP742" s="204"/>
      <c r="BQ742" s="204"/>
      <c r="BR742" s="204"/>
      <c r="BS742" s="204"/>
      <c r="BT742" s="204"/>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204"/>
      <c r="AA743" s="204"/>
      <c r="AB743" s="204"/>
      <c r="AC743" s="204"/>
      <c r="AD743" s="204"/>
      <c r="BH743" s="204"/>
      <c r="BI743" s="204"/>
      <c r="BJ743" s="204"/>
      <c r="BK743" s="204"/>
      <c r="BL743" s="204"/>
      <c r="BM743" s="204"/>
      <c r="BN743" s="204"/>
      <c r="BO743" s="204"/>
      <c r="BP743" s="204"/>
      <c r="BQ743" s="204"/>
      <c r="BR743" s="204"/>
      <c r="BS743" s="204"/>
      <c r="BT743" s="204"/>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BH744" s="204"/>
      <c r="BI744" s="204"/>
      <c r="BJ744" s="204"/>
      <c r="BK744" s="204"/>
      <c r="BL744" s="204"/>
      <c r="BM744" s="204"/>
      <c r="BN744" s="204"/>
      <c r="BO744" s="204"/>
      <c r="BP744" s="204"/>
      <c r="BQ744" s="204"/>
      <c r="BR744" s="204"/>
      <c r="BS744" s="204"/>
      <c r="BT744" s="204"/>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BH745" s="204"/>
      <c r="BI745" s="204"/>
      <c r="BJ745" s="204"/>
      <c r="BK745" s="204"/>
      <c r="BL745" s="204"/>
      <c r="BM745" s="204"/>
      <c r="BN745" s="204"/>
      <c r="BO745" s="204"/>
      <c r="BP745" s="204"/>
      <c r="BQ745" s="204"/>
      <c r="BR745" s="204"/>
      <c r="BS745" s="204"/>
      <c r="BT745" s="204"/>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BH746" s="204"/>
      <c r="BI746" s="204"/>
      <c r="BJ746" s="204"/>
      <c r="BK746" s="204"/>
      <c r="BL746" s="204"/>
      <c r="BM746" s="204"/>
      <c r="BN746" s="204"/>
      <c r="BO746" s="204"/>
      <c r="BP746" s="204"/>
      <c r="BQ746" s="204"/>
      <c r="BR746" s="204"/>
      <c r="BS746" s="204"/>
      <c r="BT746" s="204"/>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BH747" s="204"/>
      <c r="BI747" s="204"/>
      <c r="BJ747" s="204"/>
      <c r="BK747" s="204"/>
      <c r="BL747" s="204"/>
      <c r="BM747" s="204"/>
      <c r="BN747" s="204"/>
      <c r="BO747" s="204"/>
      <c r="BP747" s="204"/>
      <c r="BQ747" s="204"/>
      <c r="BR747" s="204"/>
      <c r="BS747" s="204"/>
      <c r="BT747" s="204"/>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BH748" s="204"/>
      <c r="BI748" s="204"/>
      <c r="BJ748" s="204"/>
      <c r="BK748" s="204"/>
      <c r="BL748" s="204"/>
      <c r="BM748" s="204"/>
      <c r="BN748" s="204"/>
      <c r="BO748" s="204"/>
      <c r="BP748" s="204"/>
      <c r="BQ748" s="204"/>
      <c r="BR748" s="204"/>
      <c r="BS748" s="204"/>
      <c r="BT748" s="204"/>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BH749" s="204"/>
      <c r="BI749" s="204"/>
      <c r="BJ749" s="204"/>
      <c r="BK749" s="204"/>
      <c r="BL749" s="204"/>
      <c r="BM749" s="204"/>
      <c r="BN749" s="204"/>
      <c r="BO749" s="204"/>
      <c r="BP749" s="204"/>
      <c r="BQ749" s="204"/>
      <c r="BR749" s="204"/>
      <c r="BS749" s="204"/>
      <c r="BT749" s="204"/>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BH750" s="204"/>
      <c r="BI750" s="204"/>
      <c r="BJ750" s="204"/>
      <c r="BK750" s="204"/>
      <c r="BL750" s="204"/>
      <c r="BM750" s="204"/>
      <c r="BN750" s="204"/>
      <c r="BO750" s="204"/>
      <c r="BP750" s="204"/>
      <c r="BQ750" s="204"/>
      <c r="BR750" s="204"/>
      <c r="BS750" s="204"/>
      <c r="BT750" s="204"/>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BH751" s="204"/>
      <c r="BI751" s="204"/>
      <c r="BJ751" s="204"/>
      <c r="BK751" s="204"/>
      <c r="BL751" s="204"/>
      <c r="BM751" s="204"/>
      <c r="BN751" s="204"/>
      <c r="BO751" s="204"/>
      <c r="BP751" s="204"/>
      <c r="BQ751" s="204"/>
      <c r="BR751" s="204"/>
      <c r="BS751" s="204"/>
      <c r="BT751" s="204"/>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BH752" s="204"/>
      <c r="BI752" s="204"/>
      <c r="BJ752" s="204"/>
      <c r="BK752" s="204"/>
      <c r="BL752" s="204"/>
      <c r="BM752" s="204"/>
      <c r="BN752" s="204"/>
      <c r="BO752" s="204"/>
      <c r="BP752" s="204"/>
      <c r="BQ752" s="204"/>
      <c r="BR752" s="204"/>
      <c r="BS752" s="204"/>
      <c r="BT752" s="204"/>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BH753" s="204"/>
      <c r="BI753" s="204"/>
      <c r="BJ753" s="204"/>
      <c r="BK753" s="204"/>
      <c r="BL753" s="204"/>
      <c r="BM753" s="204"/>
      <c r="BN753" s="204"/>
      <c r="BO753" s="204"/>
      <c r="BP753" s="204"/>
      <c r="BQ753" s="204"/>
      <c r="BR753" s="204"/>
      <c r="BS753" s="204"/>
      <c r="BT753" s="204"/>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BH754" s="204"/>
      <c r="BI754" s="204"/>
      <c r="BJ754" s="204"/>
      <c r="BK754" s="204"/>
      <c r="BL754" s="204"/>
      <c r="BM754" s="204"/>
      <c r="BN754" s="204"/>
      <c r="BO754" s="204"/>
      <c r="BP754" s="204"/>
      <c r="BQ754" s="204"/>
      <c r="BR754" s="204"/>
      <c r="BS754" s="204"/>
      <c r="BT754" s="204"/>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BH755" s="204"/>
      <c r="BI755" s="204"/>
      <c r="BJ755" s="204"/>
      <c r="BK755" s="204"/>
      <c r="BL755" s="204"/>
      <c r="BM755" s="204"/>
      <c r="BN755" s="204"/>
      <c r="BO755" s="204"/>
      <c r="BP755" s="204"/>
      <c r="BQ755" s="204"/>
      <c r="BR755" s="204"/>
      <c r="BS755" s="204"/>
      <c r="BT755" s="204"/>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BH756" s="204"/>
      <c r="BI756" s="204"/>
      <c r="BJ756" s="204"/>
      <c r="BK756" s="204"/>
      <c r="BL756" s="204"/>
      <c r="BM756" s="204"/>
      <c r="BN756" s="204"/>
      <c r="BO756" s="204"/>
      <c r="BP756" s="204"/>
      <c r="BQ756" s="204"/>
      <c r="BR756" s="204"/>
      <c r="BS756" s="204"/>
      <c r="BT756" s="204"/>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BH757" s="204"/>
      <c r="BI757" s="204"/>
      <c r="BJ757" s="204"/>
      <c r="BK757" s="204"/>
      <c r="BL757" s="204"/>
      <c r="BM757" s="204"/>
      <c r="BN757" s="204"/>
      <c r="BO757" s="204"/>
      <c r="BP757" s="204"/>
      <c r="BQ757" s="204"/>
      <c r="BR757" s="204"/>
      <c r="BS757" s="204"/>
      <c r="BT757" s="204"/>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BH758" s="204"/>
      <c r="BI758" s="204"/>
      <c r="BJ758" s="204"/>
      <c r="BK758" s="204"/>
      <c r="BL758" s="204"/>
      <c r="BM758" s="204"/>
      <c r="BN758" s="204"/>
      <c r="BO758" s="204"/>
      <c r="BP758" s="204"/>
      <c r="BQ758" s="204"/>
      <c r="BR758" s="204"/>
      <c r="BS758" s="204"/>
      <c r="BT758" s="204"/>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BH759" s="204"/>
      <c r="BI759" s="204"/>
      <c r="BJ759" s="204"/>
      <c r="BK759" s="204"/>
      <c r="BL759" s="204"/>
      <c r="BM759" s="204"/>
      <c r="BN759" s="204"/>
      <c r="BO759" s="204"/>
      <c r="BP759" s="204"/>
      <c r="BQ759" s="204"/>
      <c r="BR759" s="204"/>
      <c r="BS759" s="204"/>
      <c r="BT759" s="204"/>
    </row>
    <row r="760" spans="1:72">
      <c r="BH760" s="204"/>
      <c r="BI760" s="204"/>
      <c r="BJ760" s="204"/>
      <c r="BK760" s="204"/>
      <c r="BL760" s="204"/>
      <c r="BM760" s="204"/>
      <c r="BN760" s="204"/>
      <c r="BO760" s="204"/>
      <c r="BP760" s="204"/>
      <c r="BQ760" s="204"/>
      <c r="BR760" s="204"/>
      <c r="BS760" s="204"/>
      <c r="BT760" s="204"/>
    </row>
    <row r="761" spans="1:72">
      <c r="BH761" s="204"/>
      <c r="BI761" s="204"/>
      <c r="BJ761" s="204"/>
      <c r="BK761" s="204"/>
      <c r="BL761" s="204"/>
      <c r="BM761" s="204"/>
      <c r="BN761" s="204"/>
      <c r="BO761" s="204"/>
      <c r="BP761" s="204"/>
      <c r="BQ761" s="204"/>
      <c r="BR761" s="204"/>
      <c r="BS761" s="204"/>
      <c r="BT761" s="204"/>
    </row>
    <row r="762" spans="1:72">
      <c r="BH762" s="204"/>
      <c r="BI762" s="204"/>
      <c r="BJ762" s="204"/>
      <c r="BK762" s="204"/>
      <c r="BL762" s="204"/>
      <c r="BM762" s="204"/>
      <c r="BN762" s="204"/>
      <c r="BO762" s="204"/>
      <c r="BP762" s="204"/>
      <c r="BQ762" s="204"/>
      <c r="BR762" s="204"/>
      <c r="BS762" s="204"/>
      <c r="BT762" s="204"/>
    </row>
    <row r="763" spans="1:72">
      <c r="BH763" s="204"/>
      <c r="BI763" s="204"/>
      <c r="BJ763" s="204"/>
      <c r="BK763" s="204"/>
      <c r="BL763" s="204"/>
      <c r="BM763" s="204"/>
      <c r="BN763" s="204"/>
      <c r="BO763" s="204"/>
      <c r="BP763" s="204"/>
      <c r="BQ763" s="204"/>
      <c r="BR763" s="204"/>
      <c r="BS763" s="204"/>
      <c r="BT763" s="204"/>
    </row>
    <row r="764" spans="1:72">
      <c r="BH764" s="204"/>
      <c r="BI764" s="204"/>
      <c r="BJ764" s="204"/>
      <c r="BK764" s="204"/>
      <c r="BL764" s="204"/>
      <c r="BM764" s="204"/>
      <c r="BN764" s="204"/>
      <c r="BO764" s="204"/>
      <c r="BP764" s="204"/>
      <c r="BQ764" s="204"/>
      <c r="BR764" s="204"/>
      <c r="BS764" s="204"/>
      <c r="BT764" s="204"/>
    </row>
    <row r="765" spans="1:72">
      <c r="BH765" s="204"/>
      <c r="BI765" s="204"/>
      <c r="BJ765" s="204"/>
      <c r="BK765" s="204"/>
      <c r="BL765" s="204"/>
      <c r="BM765" s="204"/>
      <c r="BN765" s="204"/>
      <c r="BO765" s="204"/>
      <c r="BP765" s="204"/>
      <c r="BQ765" s="204"/>
      <c r="BR765" s="204"/>
      <c r="BS765" s="204"/>
      <c r="BT765" s="204"/>
    </row>
    <row r="766" spans="1:72">
      <c r="BH766" s="204"/>
      <c r="BI766" s="204"/>
      <c r="BJ766" s="204"/>
      <c r="BK766" s="204"/>
      <c r="BL766" s="204"/>
      <c r="BM766" s="204"/>
      <c r="BN766" s="204"/>
      <c r="BO766" s="204"/>
      <c r="BP766" s="204"/>
      <c r="BQ766" s="204"/>
      <c r="BR766" s="204"/>
      <c r="BS766" s="204"/>
      <c r="BT766" s="204"/>
    </row>
    <row r="767" spans="1:72">
      <c r="BH767" s="204"/>
      <c r="BI767" s="204"/>
      <c r="BJ767" s="204"/>
      <c r="BK767" s="204"/>
      <c r="BL767" s="204"/>
      <c r="BM767" s="204"/>
      <c r="BN767" s="204"/>
      <c r="BO767" s="204"/>
      <c r="BP767" s="204"/>
      <c r="BQ767" s="204"/>
      <c r="BR767" s="204"/>
      <c r="BS767" s="204"/>
      <c r="BT767" s="204"/>
    </row>
    <row r="768" spans="1:72">
      <c r="BH768" s="204"/>
      <c r="BI768" s="204"/>
      <c r="BJ768" s="204"/>
      <c r="BK768" s="204"/>
      <c r="BL768" s="204"/>
      <c r="BM768" s="204"/>
      <c r="BN768" s="204"/>
      <c r="BO768" s="204"/>
      <c r="BP768" s="204"/>
      <c r="BQ768" s="204"/>
      <c r="BR768" s="204"/>
      <c r="BS768" s="204"/>
      <c r="BT768" s="204"/>
    </row>
    <row r="769" spans="60:72">
      <c r="BH769" s="204"/>
      <c r="BI769" s="204"/>
      <c r="BJ769" s="204"/>
      <c r="BK769" s="204"/>
      <c r="BL769" s="204"/>
      <c r="BM769" s="204"/>
      <c r="BN769" s="204"/>
      <c r="BO769" s="204"/>
      <c r="BP769" s="204"/>
      <c r="BQ769" s="204"/>
      <c r="BR769" s="204"/>
      <c r="BS769" s="204"/>
      <c r="BT769" s="204"/>
    </row>
    <row r="770" spans="60:72">
      <c r="BH770" s="204"/>
      <c r="BI770" s="204"/>
      <c r="BJ770" s="204"/>
      <c r="BK770" s="204"/>
      <c r="BL770" s="204"/>
      <c r="BM770" s="204"/>
      <c r="BN770" s="204"/>
      <c r="BO770" s="204"/>
      <c r="BP770" s="204"/>
      <c r="BQ770" s="204"/>
      <c r="BR770" s="204"/>
      <c r="BS770" s="204"/>
      <c r="BT770" s="204"/>
    </row>
    <row r="771" spans="60:72">
      <c r="BH771" s="204"/>
      <c r="BI771" s="204"/>
      <c r="BJ771" s="204"/>
      <c r="BK771" s="204"/>
      <c r="BL771" s="204"/>
      <c r="BM771" s="204"/>
      <c r="BN771" s="204"/>
      <c r="BO771" s="204"/>
      <c r="BP771" s="204"/>
      <c r="BQ771" s="204"/>
      <c r="BR771" s="204"/>
      <c r="BS771" s="204"/>
      <c r="BT771" s="204"/>
    </row>
    <row r="772" spans="60:72">
      <c r="BH772" s="204"/>
      <c r="BI772" s="204"/>
      <c r="BJ772" s="204"/>
      <c r="BK772" s="204"/>
      <c r="BL772" s="204"/>
      <c r="BM772" s="204"/>
      <c r="BN772" s="204"/>
      <c r="BO772" s="204"/>
      <c r="BP772" s="204"/>
      <c r="BQ772" s="204"/>
      <c r="BR772" s="204"/>
      <c r="BS772" s="204"/>
      <c r="BT772" s="204"/>
    </row>
    <row r="773" spans="60:72">
      <c r="BH773" s="204"/>
      <c r="BI773" s="204"/>
      <c r="BJ773" s="204"/>
      <c r="BK773" s="204"/>
      <c r="BL773" s="204"/>
      <c r="BM773" s="204"/>
      <c r="BN773" s="204"/>
      <c r="BO773" s="204"/>
      <c r="BP773" s="204"/>
      <c r="BQ773" s="204"/>
      <c r="BR773" s="204"/>
      <c r="BS773" s="204"/>
      <c r="BT773" s="204"/>
    </row>
    <row r="774" spans="60:72">
      <c r="BH774" s="204"/>
      <c r="BI774" s="204"/>
      <c r="BJ774" s="204"/>
      <c r="BK774" s="204"/>
      <c r="BL774" s="204"/>
      <c r="BM774" s="204"/>
      <c r="BN774" s="204"/>
      <c r="BO774" s="204"/>
      <c r="BP774" s="204"/>
      <c r="BQ774" s="204"/>
      <c r="BR774" s="204"/>
      <c r="BS774" s="204"/>
      <c r="BT774" s="204"/>
    </row>
    <row r="775" spans="60:72">
      <c r="BH775" s="204"/>
      <c r="BI775" s="204"/>
      <c r="BJ775" s="204"/>
      <c r="BK775" s="204"/>
      <c r="BL775" s="204"/>
      <c r="BM775" s="204"/>
      <c r="BN775" s="204"/>
      <c r="BO775" s="204"/>
      <c r="BP775" s="204"/>
      <c r="BQ775" s="204"/>
      <c r="BR775" s="204"/>
      <c r="BS775" s="204"/>
      <c r="BT775" s="204"/>
    </row>
    <row r="776" spans="60:72">
      <c r="BH776" s="204"/>
      <c r="BI776" s="204"/>
      <c r="BJ776" s="204"/>
      <c r="BK776" s="204"/>
      <c r="BL776" s="204"/>
      <c r="BM776" s="204"/>
      <c r="BN776" s="204"/>
      <c r="BO776" s="204"/>
      <c r="BP776" s="204"/>
      <c r="BQ776" s="204"/>
      <c r="BR776" s="204"/>
      <c r="BS776" s="204"/>
      <c r="BT776" s="204"/>
    </row>
    <row r="777" spans="60:72">
      <c r="BH777" s="204"/>
      <c r="BI777" s="204"/>
      <c r="BJ777" s="204"/>
      <c r="BK777" s="204"/>
      <c r="BL777" s="204"/>
      <c r="BM777" s="204"/>
      <c r="BN777" s="204"/>
      <c r="BO777" s="204"/>
      <c r="BP777" s="204"/>
      <c r="BQ777" s="204"/>
      <c r="BR777" s="204"/>
      <c r="BS777" s="204"/>
      <c r="BT777" s="204"/>
    </row>
    <row r="778" spans="60:72">
      <c r="BH778" s="204"/>
      <c r="BI778" s="204"/>
      <c r="BJ778" s="204"/>
      <c r="BK778" s="204"/>
      <c r="BL778" s="204"/>
      <c r="BM778" s="204"/>
      <c r="BN778" s="204"/>
      <c r="BO778" s="204"/>
      <c r="BP778" s="204"/>
      <c r="BQ778" s="204"/>
      <c r="BR778" s="204"/>
      <c r="BS778" s="204"/>
      <c r="BT778" s="204"/>
    </row>
    <row r="779" spans="60:72">
      <c r="BH779" s="204"/>
      <c r="BI779" s="204"/>
      <c r="BJ779" s="204"/>
      <c r="BK779" s="204"/>
      <c r="BL779" s="204"/>
      <c r="BM779" s="204"/>
      <c r="BN779" s="204"/>
      <c r="BO779" s="204"/>
      <c r="BP779" s="204"/>
      <c r="BQ779" s="204"/>
      <c r="BR779" s="204"/>
      <c r="BS779" s="204"/>
      <c r="BT779" s="204"/>
    </row>
    <row r="780" spans="60:72">
      <c r="BH780" s="204"/>
      <c r="BI780" s="204"/>
      <c r="BJ780" s="204"/>
      <c r="BK780" s="204"/>
      <c r="BL780" s="204"/>
      <c r="BM780" s="204"/>
      <c r="BN780" s="204"/>
      <c r="BO780" s="204"/>
      <c r="BP780" s="204"/>
      <c r="BQ780" s="204"/>
      <c r="BR780" s="204"/>
      <c r="BS780" s="204"/>
      <c r="BT780" s="204"/>
    </row>
    <row r="781" spans="60:72">
      <c r="BH781" s="204"/>
      <c r="BI781" s="204"/>
      <c r="BJ781" s="204"/>
      <c r="BK781" s="204"/>
      <c r="BL781" s="204"/>
      <c r="BM781" s="204"/>
      <c r="BN781" s="204"/>
      <c r="BO781" s="204"/>
      <c r="BP781" s="204"/>
      <c r="BQ781" s="204"/>
      <c r="BR781" s="204"/>
      <c r="BS781" s="204"/>
      <c r="BT781" s="204"/>
    </row>
    <row r="782" spans="60:72">
      <c r="BH782" s="204"/>
      <c r="BI782" s="204"/>
      <c r="BJ782" s="204"/>
      <c r="BK782" s="204"/>
      <c r="BL782" s="204"/>
      <c r="BM782" s="204"/>
      <c r="BN782" s="204"/>
      <c r="BO782" s="204"/>
      <c r="BP782" s="204"/>
      <c r="BQ782" s="204"/>
      <c r="BR782" s="204"/>
      <c r="BS782" s="204"/>
      <c r="BT782" s="204"/>
    </row>
    <row r="783" spans="60:72">
      <c r="BH783" s="204"/>
      <c r="BI783" s="204"/>
      <c r="BJ783" s="204"/>
      <c r="BK783" s="204"/>
      <c r="BL783" s="204"/>
      <c r="BM783" s="204"/>
      <c r="BN783" s="204"/>
      <c r="BO783" s="204"/>
      <c r="BP783" s="204"/>
      <c r="BQ783" s="204"/>
      <c r="BR783" s="204"/>
      <c r="BS783" s="204"/>
      <c r="BT783" s="204"/>
    </row>
    <row r="784" spans="60:72">
      <c r="BH784" s="204"/>
      <c r="BI784" s="204"/>
      <c r="BJ784" s="204"/>
      <c r="BK784" s="204"/>
      <c r="BL784" s="204"/>
      <c r="BM784" s="204"/>
      <c r="BN784" s="204"/>
      <c r="BO784" s="204"/>
      <c r="BP784" s="204"/>
      <c r="BQ784" s="204"/>
      <c r="BR784" s="204"/>
      <c r="BS784" s="204"/>
      <c r="BT784" s="204"/>
    </row>
    <row r="785" spans="60:72">
      <c r="BH785" s="204"/>
      <c r="BI785" s="204"/>
      <c r="BJ785" s="204"/>
      <c r="BK785" s="204"/>
      <c r="BL785" s="204"/>
      <c r="BM785" s="204"/>
      <c r="BN785" s="204"/>
      <c r="BO785" s="204"/>
      <c r="BP785" s="204"/>
      <c r="BQ785" s="204"/>
      <c r="BR785" s="204"/>
      <c r="BS785" s="204"/>
      <c r="BT785" s="204"/>
    </row>
    <row r="786" spans="60:72">
      <c r="BH786" s="204"/>
      <c r="BI786" s="204"/>
      <c r="BJ786" s="204"/>
      <c r="BK786" s="204"/>
      <c r="BL786" s="204"/>
      <c r="BM786" s="204"/>
      <c r="BN786" s="204"/>
      <c r="BO786" s="204"/>
      <c r="BP786" s="204"/>
      <c r="BQ786" s="204"/>
      <c r="BR786" s="204"/>
      <c r="BS786" s="204"/>
      <c r="BT786" s="204"/>
    </row>
    <row r="787" spans="60:72">
      <c r="BH787" s="204"/>
      <c r="BI787" s="204"/>
      <c r="BJ787" s="204"/>
      <c r="BK787" s="204"/>
      <c r="BL787" s="204"/>
      <c r="BM787" s="204"/>
      <c r="BN787" s="204"/>
      <c r="BO787" s="204"/>
      <c r="BP787" s="204"/>
      <c r="BQ787" s="204"/>
      <c r="BR787" s="204"/>
      <c r="BS787" s="204"/>
      <c r="BT787" s="204"/>
    </row>
    <row r="788" spans="60:72">
      <c r="BH788" s="204"/>
      <c r="BI788" s="204"/>
      <c r="BJ788" s="204"/>
      <c r="BK788" s="204"/>
      <c r="BL788" s="204"/>
      <c r="BM788" s="204"/>
      <c r="BN788" s="204"/>
      <c r="BO788" s="204"/>
      <c r="BP788" s="204"/>
      <c r="BQ788" s="204"/>
      <c r="BR788" s="204"/>
      <c r="BS788" s="204"/>
      <c r="BT788" s="204"/>
    </row>
    <row r="789" spans="60:72">
      <c r="BH789" s="204"/>
      <c r="BI789" s="204"/>
      <c r="BJ789" s="204"/>
      <c r="BK789" s="204"/>
      <c r="BL789" s="204"/>
      <c r="BM789" s="204"/>
      <c r="BN789" s="204"/>
      <c r="BO789" s="204"/>
      <c r="BP789" s="204"/>
      <c r="BQ789" s="204"/>
      <c r="BR789" s="204"/>
      <c r="BS789" s="204"/>
      <c r="BT789" s="204"/>
    </row>
    <row r="790" spans="60:72">
      <c r="BH790" s="204"/>
      <c r="BI790" s="204"/>
      <c r="BJ790" s="204"/>
      <c r="BK790" s="204"/>
      <c r="BL790" s="204"/>
      <c r="BM790" s="204"/>
      <c r="BN790" s="204"/>
      <c r="BO790" s="204"/>
      <c r="BP790" s="204"/>
      <c r="BQ790" s="204"/>
      <c r="BR790" s="204"/>
      <c r="BS790" s="204"/>
      <c r="BT790" s="204"/>
    </row>
    <row r="791" spans="60:72">
      <c r="BH791" s="204"/>
      <c r="BI791" s="204"/>
      <c r="BJ791" s="204"/>
      <c r="BK791" s="204"/>
      <c r="BL791" s="204"/>
      <c r="BM791" s="204"/>
      <c r="BN791" s="204"/>
      <c r="BO791" s="204"/>
      <c r="BP791" s="204"/>
      <c r="BQ791" s="204"/>
      <c r="BR791" s="204"/>
      <c r="BS791" s="204"/>
      <c r="BT791" s="204"/>
    </row>
    <row r="792" spans="60:72">
      <c r="BH792" s="204"/>
      <c r="BI792" s="204"/>
      <c r="BJ792" s="204"/>
      <c r="BK792" s="204"/>
      <c r="BL792" s="204"/>
      <c r="BM792" s="204"/>
      <c r="BN792" s="204"/>
      <c r="BO792" s="204"/>
      <c r="BP792" s="204"/>
      <c r="BQ792" s="204"/>
      <c r="BR792" s="204"/>
      <c r="BS792" s="204"/>
      <c r="BT792" s="204"/>
    </row>
    <row r="793" spans="60:72">
      <c r="BH793" s="204"/>
      <c r="BI793" s="204"/>
      <c r="BJ793" s="204"/>
      <c r="BK793" s="204"/>
      <c r="BL793" s="204"/>
      <c r="BM793" s="204"/>
      <c r="BN793" s="204"/>
      <c r="BO793" s="204"/>
      <c r="BP793" s="204"/>
      <c r="BQ793" s="204"/>
      <c r="BR793" s="204"/>
      <c r="BS793" s="204"/>
      <c r="BT793" s="204"/>
    </row>
    <row r="794" spans="60:72">
      <c r="BH794" s="204"/>
      <c r="BI794" s="204"/>
      <c r="BJ794" s="204"/>
      <c r="BK794" s="204"/>
      <c r="BL794" s="204"/>
      <c r="BM794" s="204"/>
      <c r="BN794" s="204"/>
      <c r="BO794" s="204"/>
      <c r="BP794" s="204"/>
      <c r="BQ794" s="204"/>
      <c r="BR794" s="204"/>
      <c r="BS794" s="204"/>
      <c r="BT794" s="204"/>
    </row>
    <row r="795" spans="60:72">
      <c r="BH795" s="204"/>
      <c r="BI795" s="204"/>
      <c r="BJ795" s="204"/>
      <c r="BK795" s="204"/>
      <c r="BL795" s="204"/>
      <c r="BM795" s="204"/>
      <c r="BN795" s="204"/>
      <c r="BO795" s="204"/>
      <c r="BP795" s="204"/>
      <c r="BQ795" s="204"/>
      <c r="BR795" s="204"/>
      <c r="BS795" s="204"/>
      <c r="BT795" s="204"/>
    </row>
    <row r="796" spans="60:72">
      <c r="BH796" s="204"/>
      <c r="BI796" s="204"/>
      <c r="BJ796" s="204"/>
      <c r="BK796" s="204"/>
      <c r="BL796" s="204"/>
      <c r="BM796" s="204"/>
      <c r="BN796" s="204"/>
      <c r="BO796" s="204"/>
      <c r="BP796" s="204"/>
      <c r="BQ796" s="204"/>
      <c r="BR796" s="204"/>
      <c r="BS796" s="204"/>
      <c r="BT796" s="204"/>
    </row>
    <row r="797" spans="60:72">
      <c r="BH797" s="204"/>
      <c r="BI797" s="204"/>
      <c r="BJ797" s="204"/>
      <c r="BK797" s="204"/>
      <c r="BL797" s="204"/>
      <c r="BM797" s="204"/>
      <c r="BN797" s="204"/>
      <c r="BO797" s="204"/>
      <c r="BP797" s="204"/>
      <c r="BQ797" s="204"/>
      <c r="BR797" s="204"/>
      <c r="BS797" s="204"/>
      <c r="BT797" s="204"/>
    </row>
    <row r="798" spans="60:72">
      <c r="BH798" s="204"/>
      <c r="BI798" s="204"/>
      <c r="BJ798" s="204"/>
      <c r="BK798" s="204"/>
      <c r="BL798" s="204"/>
      <c r="BM798" s="204"/>
      <c r="BN798" s="204"/>
      <c r="BO798" s="204"/>
      <c r="BP798" s="204"/>
      <c r="BQ798" s="204"/>
      <c r="BR798" s="204"/>
      <c r="BS798" s="204"/>
      <c r="BT798" s="204"/>
    </row>
    <row r="799" spans="60:72">
      <c r="BH799" s="204"/>
      <c r="BI799" s="204"/>
      <c r="BJ799" s="204"/>
      <c r="BK799" s="204"/>
      <c r="BL799" s="204"/>
      <c r="BM799" s="204"/>
      <c r="BN799" s="204"/>
      <c r="BO799" s="204"/>
      <c r="BP799" s="204"/>
      <c r="BQ799" s="204"/>
      <c r="BR799" s="204"/>
      <c r="BS799" s="204"/>
      <c r="BT799" s="204"/>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523" max="16383" man="1"/>
  </rowBreaks>
  <ignoredErrors>
    <ignoredError sqref="L110 L112 L114 L116 L118 L120 L122 L124 L126 L128 L130 L132 L134 L136 L138 L140 L142 L144 M146:Q146 L271 L273 L275 L277 L148:Q167 L281 L283 L285 L287 L289 L291 L293 L295 L297 L299 L279 M287 L146 M109 M270:Q270 M118:Q118 M113:Q113 M117:Q117 M121:Q121 M125:Q125 M129:Q129 M133:Q133 M111:Q111 M115:Q115 M119:Q119 M123:Q123 M127:Q127 M131:Q131 M134:Q134 M112:Q112 M116:Q116 M120:Q120 M122:Q122 M126:Q126 M124:Q124 M135:Q135 M128:Q128 M110:Q110 M114:Q114 M130:Q130 M137:Q137 M139:Q139 N109:Q109 M132:Q132 M141:Q141 M143:Q143 M145:Q145 M136:Q136 M138:Q138 M140:Q140 M142:Q142 M144:Q144 M278 M272 N276:Q276 N274:Q274 N306:Q306 M300 M282 M298 M280 M296 M292 M290 M306 M274 M294 M276 M288 M304 N272:Q272 N304:Q304 N302:Q302 N300:Q300 N298:Q298 N296:Q296 N294:Q294 N292:Q292 N290:Q290 N288:Q288 N286:Q286 N284:Q284 N282:Q282 N280:Q280 N278:Q278 M302 M284 M286 M307:M327 N307:Q327 M271 N275:Q275 M305 N273:Q273 M291 M299 M281 M279 M297 M295 M277 M289 M273 M293 M275 L303:M303 N279:Q279 N271:Q271 N305:Q305 N303:Q303 N301:Q301 N299:Q299 N297:Q297 N295:Q295 N293:Q293 N291:Q291 N289:Q289 N287:Q287 N285:Q285 N283:Q283 N281:Q281 N277:Q277 M301 M283 M285 L301:L302 L304:L327"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00"/>
  <sheetViews>
    <sheetView zoomScaleNormal="100" workbookViewId="0">
      <pane ySplit="4" topLeftCell="A457" activePane="bottomLeft" state="frozen"/>
      <selection activeCell="C1" sqref="C1"/>
      <selection pane="bottomLeft" activeCell="D850" sqref="D850"/>
    </sheetView>
  </sheetViews>
  <sheetFormatPr defaultRowHeight="13.2" outlineLevelRow="2"/>
  <cols>
    <col min="1" max="1" width="2" customWidth="1"/>
    <col min="2" max="2" width="2.33203125" customWidth="1"/>
    <col min="3" max="3" width="22.88671875" customWidth="1"/>
    <col min="4" max="4" width="13.33203125" customWidth="1"/>
    <col min="6" max="6" width="3.5546875" customWidth="1"/>
    <col min="7" max="7" width="12.88671875" bestFit="1" customWidth="1"/>
    <col min="8" max="8" width="10" customWidth="1"/>
    <col min="9" max="9" width="10.109375" customWidth="1"/>
    <col min="10" max="11" width="10" customWidth="1"/>
    <col min="12" max="13" width="10.6640625" customWidth="1"/>
    <col min="14" max="14" width="10.5546875" customWidth="1"/>
    <col min="15" max="26" width="9.5546875" bestFit="1" customWidth="1"/>
    <col min="27" max="27" width="9.5546875" style="204" bestFit="1" customWidth="1"/>
    <col min="28" max="62" width="9.554687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53"/>
      <c r="BE1" s="53"/>
      <c r="BF1" s="53"/>
      <c r="BG1" s="53"/>
      <c r="BH1" s="53"/>
      <c r="BI1" s="53"/>
      <c r="BJ1" s="53"/>
      <c r="BK1" s="12"/>
      <c r="BL1" s="12"/>
    </row>
    <row r="2" spans="1:256" ht="15.6">
      <c r="A2" s="9"/>
      <c r="B2" s="9"/>
      <c r="C2" s="58"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12"/>
      <c r="BE2" s="12"/>
      <c r="BF2" s="12"/>
      <c r="BG2" s="12"/>
      <c r="BH2" s="12"/>
      <c r="BI2" s="12"/>
      <c r="BJ2" s="12"/>
      <c r="BK2" s="12"/>
      <c r="BL2" s="12"/>
    </row>
    <row r="3" spans="1:256" s="1" customFormat="1">
      <c r="A3" s="59"/>
      <c r="B3" s="59"/>
      <c r="C3" s="60"/>
      <c r="D3" s="59"/>
      <c r="E3" s="59"/>
      <c r="F3" s="59"/>
      <c r="G3" s="245">
        <v>0</v>
      </c>
      <c r="H3" s="245">
        <f t="shared" ref="H3:R3" si="0">G3+1</f>
        <v>1</v>
      </c>
      <c r="I3" s="245">
        <f t="shared" si="0"/>
        <v>2</v>
      </c>
      <c r="J3" s="245">
        <f t="shared" si="0"/>
        <v>3</v>
      </c>
      <c r="K3" s="245">
        <f t="shared" si="0"/>
        <v>4</v>
      </c>
      <c r="L3" s="245">
        <f t="shared" si="0"/>
        <v>5</v>
      </c>
      <c r="M3" s="245">
        <f t="shared" si="0"/>
        <v>6</v>
      </c>
      <c r="N3" s="245">
        <f t="shared" si="0"/>
        <v>7</v>
      </c>
      <c r="O3" s="245">
        <f t="shared" si="0"/>
        <v>8</v>
      </c>
      <c r="P3" s="245">
        <f t="shared" si="0"/>
        <v>9</v>
      </c>
      <c r="Q3" s="245">
        <f t="shared" si="0"/>
        <v>10</v>
      </c>
      <c r="R3" s="245">
        <f t="shared" si="0"/>
        <v>11</v>
      </c>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53"/>
      <c r="BE3" s="53"/>
      <c r="BF3" s="53"/>
      <c r="BG3" s="53"/>
      <c r="BH3" s="53"/>
      <c r="BI3" s="53"/>
      <c r="BJ3" s="53"/>
      <c r="BK3" s="94"/>
      <c r="BL3" s="94"/>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6">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4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32</v>
      </c>
      <c r="D6" s="9"/>
      <c r="E6" s="90"/>
      <c r="F6" s="9"/>
      <c r="G6" s="212">
        <f>Input!G245</f>
        <v>2.4660912453760897E-2</v>
      </c>
      <c r="H6" s="21">
        <f>Input!H245</f>
        <v>2.8880866425992746E-2</v>
      </c>
      <c r="I6" s="21">
        <f>Input!I245</f>
        <v>3.3333333333333215E-2</v>
      </c>
      <c r="J6" s="21">
        <f>Input!J245</f>
        <v>1.5846066779853007E-2</v>
      </c>
      <c r="K6" s="21">
        <f>Input!K245</f>
        <v>2.5025025025025016E-2</v>
      </c>
      <c r="L6" s="21">
        <f>Input!L245</f>
        <v>2.5000000000000001E-2</v>
      </c>
      <c r="M6" s="21">
        <f>Input!M245</f>
        <v>0</v>
      </c>
      <c r="N6" s="21">
        <f>Input!N245</f>
        <v>0</v>
      </c>
      <c r="O6" s="21">
        <f>Input!O245</f>
        <v>0</v>
      </c>
      <c r="P6" s="21">
        <f>Input!P245</f>
        <v>0</v>
      </c>
      <c r="Q6" s="21">
        <f>Input!Q245</f>
        <v>0</v>
      </c>
      <c r="R6" s="21"/>
      <c r="S6" s="90"/>
      <c r="T6" s="90"/>
      <c r="U6" s="90"/>
      <c r="V6" s="90"/>
      <c r="W6" s="90"/>
      <c r="X6" s="90"/>
      <c r="Y6" s="90"/>
      <c r="Z6" s="90"/>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90"/>
      <c r="BE6" s="90"/>
      <c r="BF6" s="90"/>
      <c r="BG6" s="90"/>
      <c r="BH6" s="90"/>
      <c r="BI6" s="90"/>
      <c r="BJ6" s="90"/>
      <c r="BK6" s="12"/>
      <c r="BL6" s="12"/>
    </row>
    <row r="7" spans="1:256">
      <c r="A7" s="9"/>
      <c r="B7" s="9"/>
      <c r="C7" s="9" t="s">
        <v>73</v>
      </c>
      <c r="D7" s="9"/>
      <c r="E7" s="9"/>
      <c r="F7" s="9"/>
      <c r="G7" s="213">
        <f>Input!G246</f>
        <v>1</v>
      </c>
      <c r="H7" s="246">
        <f>Input!H246</f>
        <v>1.0246609124537609</v>
      </c>
      <c r="I7" s="247">
        <f>Input!I246</f>
        <v>1.0542540073982738</v>
      </c>
      <c r="J7" s="247">
        <f>Input!J246</f>
        <v>1.0893958076448829</v>
      </c>
      <c r="K7" s="247">
        <f>Input!K246</f>
        <v>1.1066584463625155</v>
      </c>
      <c r="L7" s="247">
        <f>Input!L246</f>
        <v>1.1343526016768928</v>
      </c>
      <c r="M7" s="247">
        <f>Input!M246</f>
        <v>1.1627114167188151</v>
      </c>
      <c r="N7" s="247">
        <f>Input!N246</f>
        <v>1.1627114167188151</v>
      </c>
      <c r="O7" s="247">
        <f>Input!O246</f>
        <v>1.1627114167188151</v>
      </c>
      <c r="P7" s="247">
        <f>Input!P246</f>
        <v>1.1627114167188151</v>
      </c>
      <c r="Q7" s="247">
        <f>Input!Q246</f>
        <v>1.1627114167188151</v>
      </c>
      <c r="R7" s="22"/>
      <c r="S7" s="103"/>
      <c r="T7" s="103"/>
      <c r="U7" s="103"/>
      <c r="V7" s="103"/>
      <c r="W7" s="103"/>
      <c r="X7" s="103"/>
      <c r="Y7" s="103"/>
      <c r="Z7" s="103"/>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3"/>
      <c r="BE7" s="103"/>
      <c r="BF7" s="103"/>
      <c r="BG7" s="103"/>
      <c r="BH7" s="103"/>
      <c r="BI7" s="103"/>
      <c r="BJ7" s="103"/>
      <c r="BK7" s="12"/>
      <c r="BL7" s="12"/>
    </row>
    <row r="8" spans="1:256">
      <c r="A8" s="9"/>
      <c r="B8" s="9"/>
      <c r="C8" s="9"/>
      <c r="D8" s="9"/>
      <c r="E8" s="9"/>
      <c r="F8" s="9"/>
      <c r="G8" s="102"/>
      <c r="H8" s="102"/>
      <c r="I8" s="102"/>
      <c r="J8" s="102"/>
      <c r="K8" s="102"/>
      <c r="L8" s="102"/>
      <c r="M8" s="102"/>
      <c r="N8" s="22"/>
      <c r="O8" s="22"/>
      <c r="P8" s="22"/>
      <c r="Q8" s="22"/>
      <c r="R8" s="22"/>
      <c r="S8" s="103"/>
      <c r="T8" s="103"/>
      <c r="U8" s="103"/>
      <c r="V8" s="103"/>
      <c r="W8" s="103"/>
      <c r="X8" s="103"/>
      <c r="Y8" s="103"/>
      <c r="Z8" s="103"/>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3"/>
      <c r="BE8" s="103"/>
      <c r="BF8" s="103"/>
      <c r="BG8" s="103"/>
      <c r="BH8" s="103"/>
      <c r="BI8" s="103"/>
      <c r="BJ8" s="103"/>
      <c r="BK8" s="12"/>
      <c r="BL8" s="12"/>
    </row>
    <row r="9" spans="1:256">
      <c r="A9" s="78"/>
      <c r="B9" s="78"/>
      <c r="C9" s="85" t="str">
        <f>"Asset Values ($m Real "&amp;G4&amp;")"</f>
        <v>Asset Values ($m Real 2008-09)</v>
      </c>
      <c r="D9" s="78"/>
      <c r="E9" s="78"/>
      <c r="F9" s="78"/>
      <c r="G9" s="253"/>
      <c r="H9" s="253"/>
      <c r="I9" s="253"/>
      <c r="J9" s="253"/>
      <c r="K9" s="253"/>
      <c r="L9" s="253"/>
      <c r="M9" s="253"/>
      <c r="N9" s="254"/>
      <c r="O9" s="254"/>
      <c r="P9" s="254"/>
      <c r="Q9" s="254"/>
      <c r="R9" s="254"/>
      <c r="S9" s="254"/>
      <c r="T9" s="103"/>
      <c r="U9" s="103"/>
      <c r="V9" s="103"/>
      <c r="W9" s="103"/>
      <c r="X9" s="103"/>
      <c r="Y9" s="103"/>
      <c r="Z9" s="103"/>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3"/>
      <c r="BE9" s="103"/>
      <c r="BF9" s="103"/>
      <c r="BG9" s="103"/>
      <c r="BH9" s="103"/>
      <c r="BI9" s="103"/>
      <c r="BJ9" s="103"/>
      <c r="BK9" s="12"/>
      <c r="BL9" s="12"/>
    </row>
    <row r="10" spans="1:256">
      <c r="A10" s="9"/>
      <c r="B10" s="9"/>
      <c r="C10" s="9"/>
      <c r="D10" s="9"/>
      <c r="E10" s="9"/>
      <c r="F10" s="9"/>
      <c r="G10" s="102"/>
      <c r="H10" s="102"/>
      <c r="I10" s="102"/>
      <c r="J10" s="102"/>
      <c r="K10" s="102"/>
      <c r="L10" s="102"/>
      <c r="M10" s="102"/>
      <c r="N10" s="22"/>
      <c r="O10" s="22"/>
      <c r="P10" s="22"/>
      <c r="Q10" s="22"/>
      <c r="R10" s="22"/>
      <c r="S10" s="103"/>
      <c r="T10" s="103"/>
      <c r="U10" s="103"/>
      <c r="V10" s="103"/>
      <c r="W10" s="103"/>
      <c r="X10" s="103"/>
      <c r="Y10" s="103"/>
      <c r="Z10" s="103"/>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3"/>
      <c r="BE10" s="103"/>
      <c r="BF10" s="103"/>
      <c r="BG10" s="103"/>
      <c r="BH10" s="103"/>
      <c r="BI10" s="103"/>
      <c r="BJ10" s="103"/>
      <c r="BK10" s="12"/>
      <c r="BL10" s="12"/>
    </row>
    <row r="11" spans="1:256">
      <c r="A11" s="9"/>
      <c r="B11" s="9"/>
      <c r="C11" s="44" t="s">
        <v>83</v>
      </c>
      <c r="D11" s="9"/>
      <c r="E11" s="9"/>
      <c r="F11" s="9"/>
      <c r="G11" s="35"/>
      <c r="H11" s="35">
        <f>SUM(H12:H41)</f>
        <v>136.16849728756748</v>
      </c>
      <c r="I11" s="35">
        <f t="shared" ref="I11:P11" si="1">SUM(I12:I41)</f>
        <v>114.85255266116135</v>
      </c>
      <c r="J11" s="35">
        <f t="shared" si="1"/>
        <v>120.42054782800732</v>
      </c>
      <c r="K11" s="35">
        <f t="shared" si="1"/>
        <v>80.466788450879719</v>
      </c>
      <c r="L11" s="35">
        <f t="shared" si="1"/>
        <v>80.570428584252568</v>
      </c>
      <c r="M11" s="35">
        <f t="shared" si="1"/>
        <v>0</v>
      </c>
      <c r="N11" s="35">
        <f t="shared" si="1"/>
        <v>0</v>
      </c>
      <c r="O11" s="35">
        <f t="shared" si="1"/>
        <v>0</v>
      </c>
      <c r="P11" s="35">
        <f t="shared" si="1"/>
        <v>0</v>
      </c>
      <c r="Q11" s="35">
        <f>SUM(Q12:Q41)</f>
        <v>0</v>
      </c>
      <c r="R11" s="29"/>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4"/>
      <c r="BE11" s="104"/>
      <c r="BF11" s="104"/>
      <c r="BG11" s="104"/>
      <c r="BH11" s="104"/>
      <c r="BI11" s="104"/>
      <c r="BJ11" s="104"/>
      <c r="BK11" s="12"/>
      <c r="BL11" s="12"/>
    </row>
    <row r="12" spans="1:256" hidden="1" outlineLevel="1">
      <c r="A12" s="9"/>
      <c r="B12" s="9"/>
      <c r="C12" s="44"/>
      <c r="D12" s="278" t="str">
        <f>Asset1</f>
        <v>Transmission Lines and Cables</v>
      </c>
      <c r="E12" s="9"/>
      <c r="F12" s="9"/>
      <c r="G12" s="124"/>
      <c r="H12" s="114">
        <f>Input!H109*(1+vanilla1)^0.5</f>
        <v>0</v>
      </c>
      <c r="I12" s="114">
        <f>Input!I109*(1+vanilla2)^0.5</f>
        <v>0</v>
      </c>
      <c r="J12" s="114">
        <f>Input!J109*(1+vanilla3)^0.5</f>
        <v>0</v>
      </c>
      <c r="K12" s="114">
        <f>Input!K109*(1+vanilla4)^0.5</f>
        <v>-0.21137555746767867</v>
      </c>
      <c r="L12" s="114">
        <f>Input!L109*(1+vanilla5)^0.5</f>
        <v>0</v>
      </c>
      <c r="M12" s="114">
        <f>Input!M109*(1+vanilla6)^0.5</f>
        <v>0</v>
      </c>
      <c r="N12" s="114">
        <f>Input!N109*(1+vanilla7)^0.5</f>
        <v>0</v>
      </c>
      <c r="O12" s="114">
        <f>Input!O109*(1+vanilla8)^0.5</f>
        <v>0</v>
      </c>
      <c r="P12" s="114">
        <f>Input!P109*(1+vanilla9)^0.5</f>
        <v>0</v>
      </c>
      <c r="Q12" s="114">
        <f>Input!Q109*(1+vanilla10)^0.5</f>
        <v>0</v>
      </c>
      <c r="R12" s="29"/>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4"/>
      <c r="BE12" s="104"/>
      <c r="BF12" s="104"/>
      <c r="BG12" s="104"/>
      <c r="BH12" s="104"/>
      <c r="BI12" s="104"/>
      <c r="BJ12" s="104"/>
      <c r="BK12" s="12"/>
      <c r="BL12" s="12"/>
    </row>
    <row r="13" spans="1:256" hidden="1" outlineLevel="1">
      <c r="A13" s="9"/>
      <c r="B13" s="9"/>
      <c r="C13" s="44"/>
      <c r="D13" s="278" t="str">
        <f>Asset2</f>
        <v>Transmission Substations</v>
      </c>
      <c r="E13" s="9"/>
      <c r="F13" s="9"/>
      <c r="G13" s="124"/>
      <c r="H13" s="114">
        <f>Input!H110*(1+vanilla1)^0.5</f>
        <v>0</v>
      </c>
      <c r="I13" s="114">
        <f>Input!I110*(1+vanilla2)^0.5</f>
        <v>-0.5304760143266416</v>
      </c>
      <c r="J13" s="114">
        <f>Input!J110*(1+vanilla3)^0.5</f>
        <v>0</v>
      </c>
      <c r="K13" s="114">
        <f>Input!K110*(1+vanilla4)^0.5</f>
        <v>0</v>
      </c>
      <c r="L13" s="114">
        <f>Input!L110*(1+vanilla5)^0.5</f>
        <v>0</v>
      </c>
      <c r="M13" s="114">
        <f>Input!M110*(1+vanilla6)^0.5</f>
        <v>0</v>
      </c>
      <c r="N13" s="114">
        <f>Input!N110*(1+vanilla7)^0.5</f>
        <v>0</v>
      </c>
      <c r="O13" s="114">
        <f>Input!O110*(1+vanilla8)^0.5</f>
        <v>0</v>
      </c>
      <c r="P13" s="114">
        <f>Input!P110*(1+vanilla9)^0.5</f>
        <v>0</v>
      </c>
      <c r="Q13" s="114">
        <f>Input!Q110*(1+vanilla10)^0.5</f>
        <v>0</v>
      </c>
      <c r="R13" s="29"/>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4"/>
      <c r="BE13" s="104"/>
      <c r="BF13" s="104"/>
      <c r="BG13" s="104"/>
      <c r="BH13" s="104"/>
      <c r="BI13" s="104"/>
      <c r="BJ13" s="104"/>
      <c r="BK13" s="12"/>
      <c r="BL13" s="12"/>
    </row>
    <row r="14" spans="1:256" hidden="1" outlineLevel="1">
      <c r="A14" s="9"/>
      <c r="B14" s="9"/>
      <c r="C14" s="44"/>
      <c r="D14" s="278" t="str">
        <f>Asset3</f>
        <v>Protection and Control</v>
      </c>
      <c r="E14" s="9"/>
      <c r="F14" s="9"/>
      <c r="G14" s="124"/>
      <c r="H14" s="114">
        <f>Input!H111*(1+vanilla1)^0.5</f>
        <v>0</v>
      </c>
      <c r="I14" s="114">
        <f>Input!I111*(1+vanilla2)^0.5</f>
        <v>-4.3956581224806474E-2</v>
      </c>
      <c r="J14" s="114">
        <f>Input!J111*(1+vanilla3)^0.5</f>
        <v>0</v>
      </c>
      <c r="K14" s="114">
        <f>Input!K111*(1+vanilla4)^0.5</f>
        <v>0</v>
      </c>
      <c r="L14" s="114">
        <f>Input!L111*(1+vanilla5)^0.5</f>
        <v>0</v>
      </c>
      <c r="M14" s="114">
        <f>Input!M111*(1+vanilla6)^0.5</f>
        <v>0</v>
      </c>
      <c r="N14" s="114">
        <f>Input!N111*(1+vanilla7)^0.5</f>
        <v>0</v>
      </c>
      <c r="O14" s="114">
        <f>Input!O111*(1+vanilla8)^0.5</f>
        <v>0</v>
      </c>
      <c r="P14" s="114">
        <f>Input!P111*(1+vanilla9)^0.5</f>
        <v>0</v>
      </c>
      <c r="Q14" s="114">
        <f>Input!Q111*(1+vanilla10)^0.5</f>
        <v>0</v>
      </c>
      <c r="R14" s="29"/>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4"/>
      <c r="BE14" s="104"/>
      <c r="BF14" s="104"/>
      <c r="BG14" s="104"/>
      <c r="BH14" s="104"/>
      <c r="BI14" s="104"/>
      <c r="BJ14" s="104"/>
      <c r="BK14" s="12"/>
      <c r="BL14" s="12"/>
    </row>
    <row r="15" spans="1:256" hidden="1" outlineLevel="1">
      <c r="A15" s="9"/>
      <c r="B15" s="9"/>
      <c r="C15" s="44"/>
      <c r="D15" s="278" t="str">
        <f>Asset4</f>
        <v>Refurbishment</v>
      </c>
      <c r="E15" s="9"/>
      <c r="F15" s="9"/>
      <c r="G15" s="124"/>
      <c r="H15" s="114">
        <f>Input!H112*(1+vanilla1)^0.5</f>
        <v>0</v>
      </c>
      <c r="I15" s="114">
        <f>Input!I112*(1+vanilla2)^0.5</f>
        <v>0</v>
      </c>
      <c r="J15" s="114">
        <f>Input!J112*(1+vanilla3)^0.5</f>
        <v>0</v>
      </c>
      <c r="K15" s="114">
        <f>Input!K112*(1+vanilla4)^0.5</f>
        <v>0</v>
      </c>
      <c r="L15" s="114">
        <f>Input!L112*(1+vanilla5)^0.5</f>
        <v>0</v>
      </c>
      <c r="M15" s="114">
        <f>Input!M112*(1+vanilla6)^0.5</f>
        <v>0</v>
      </c>
      <c r="N15" s="114">
        <f>Input!N112*(1+vanilla7)^0.5</f>
        <v>0</v>
      </c>
      <c r="O15" s="114">
        <f>Input!O112*(1+vanilla8)^0.5</f>
        <v>0</v>
      </c>
      <c r="P15" s="114">
        <f>Input!P112*(1+vanilla9)^0.5</f>
        <v>0</v>
      </c>
      <c r="Q15" s="114">
        <f>Input!Q112*(1+vanilla10)^0.5</f>
        <v>0</v>
      </c>
      <c r="R15" s="29"/>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4"/>
      <c r="BE15" s="104"/>
      <c r="BF15" s="104"/>
      <c r="BG15" s="104"/>
      <c r="BH15" s="104"/>
      <c r="BI15" s="104"/>
      <c r="BJ15" s="104"/>
      <c r="BK15" s="12"/>
      <c r="BL15" s="12"/>
    </row>
    <row r="16" spans="1:256" hidden="1" outlineLevel="1">
      <c r="A16" s="9"/>
      <c r="B16" s="9"/>
      <c r="C16" s="44"/>
      <c r="D16" s="278" t="str">
        <f>Asset5</f>
        <v>Other</v>
      </c>
      <c r="E16" s="9"/>
      <c r="F16" s="9"/>
      <c r="G16" s="124"/>
      <c r="H16" s="114">
        <f>Input!H113*(1+vanilla1)^0.5</f>
        <v>0</v>
      </c>
      <c r="I16" s="114">
        <f>Input!I113*(1+vanilla2)^0.5</f>
        <v>0</v>
      </c>
      <c r="J16" s="114">
        <f>Input!J113*(1+vanilla3)^0.5</f>
        <v>0</v>
      </c>
      <c r="K16" s="114">
        <f>Input!K113*(1+vanilla4)^0.5</f>
        <v>0</v>
      </c>
      <c r="L16" s="114">
        <f>Input!L113*(1+vanilla5)^0.5</f>
        <v>0</v>
      </c>
      <c r="M16" s="114">
        <f>Input!M113*(1+vanilla6)^0.5</f>
        <v>0</v>
      </c>
      <c r="N16" s="114">
        <f>Input!N113*(1+vanilla7)^0.5</f>
        <v>0</v>
      </c>
      <c r="O16" s="114">
        <f>Input!O113*(1+vanilla8)^0.5</f>
        <v>0</v>
      </c>
      <c r="P16" s="114">
        <f>Input!P113*(1+vanilla9)^0.5</f>
        <v>0</v>
      </c>
      <c r="Q16" s="114">
        <f>Input!Q113*(1+vanilla10)^0.5</f>
        <v>0</v>
      </c>
      <c r="R16" s="29"/>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4"/>
      <c r="BE16" s="104"/>
      <c r="BF16" s="104"/>
      <c r="BG16" s="104"/>
      <c r="BH16" s="104"/>
      <c r="BI16" s="104"/>
      <c r="BJ16" s="104"/>
      <c r="BK16" s="12"/>
      <c r="BL16" s="12"/>
    </row>
    <row r="17" spans="1:64" hidden="1" outlineLevel="1">
      <c r="A17" s="9"/>
      <c r="B17" s="9"/>
      <c r="C17" s="44"/>
      <c r="D17" s="278" t="str">
        <f>Asset6</f>
        <v>Other - IT</v>
      </c>
      <c r="E17" s="9"/>
      <c r="F17" s="9"/>
      <c r="G17" s="124"/>
      <c r="H17" s="114">
        <f>Input!H114*(1+vanilla1)^0.5</f>
        <v>0</v>
      </c>
      <c r="I17" s="114">
        <f>Input!I114*(1+vanilla2)^0.5</f>
        <v>-4.9950660482734619E-3</v>
      </c>
      <c r="J17" s="114">
        <f>Input!J114*(1+vanilla3)^0.5</f>
        <v>0</v>
      </c>
      <c r="K17" s="114">
        <f>Input!K114*(1+vanilla4)^0.5</f>
        <v>0</v>
      </c>
      <c r="L17" s="114">
        <f>Input!L114*(1+vanilla5)^0.5</f>
        <v>0</v>
      </c>
      <c r="M17" s="114">
        <f>Input!M114*(1+vanilla6)^0.5</f>
        <v>0</v>
      </c>
      <c r="N17" s="114">
        <f>Input!N114*(1+vanilla7)^0.5</f>
        <v>0</v>
      </c>
      <c r="O17" s="114">
        <f>Input!O114*(1+vanilla8)^0.5</f>
        <v>0</v>
      </c>
      <c r="P17" s="114">
        <f>Input!P114*(1+vanilla9)^0.5</f>
        <v>0</v>
      </c>
      <c r="Q17" s="114">
        <f>Input!Q114*(1+vanilla10)^0.5</f>
        <v>0</v>
      </c>
      <c r="R17" s="29"/>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4"/>
      <c r="BE17" s="104"/>
      <c r="BF17" s="104"/>
      <c r="BG17" s="104"/>
      <c r="BH17" s="104"/>
      <c r="BI17" s="104"/>
      <c r="BJ17" s="104"/>
      <c r="BK17" s="12"/>
      <c r="BL17" s="12"/>
    </row>
    <row r="18" spans="1:64" hidden="1" outlineLevel="1">
      <c r="A18" s="9"/>
      <c r="B18" s="9"/>
      <c r="C18" s="44"/>
      <c r="D18" s="278" t="str">
        <f>Asset7</f>
        <v>Other - General</v>
      </c>
      <c r="E18" s="9"/>
      <c r="F18" s="9"/>
      <c r="G18" s="124"/>
      <c r="H18" s="114">
        <f>Input!H115*(1+vanilla1)^0.5</f>
        <v>0</v>
      </c>
      <c r="I18" s="114">
        <f>Input!I115*(1+vanilla2)^0.5</f>
        <v>0</v>
      </c>
      <c r="J18" s="114">
        <f>Input!J115*(1+vanilla3)^0.5</f>
        <v>0</v>
      </c>
      <c r="K18" s="114">
        <f>Input!K115*(1+vanilla4)^0.5</f>
        <v>0</v>
      </c>
      <c r="L18" s="114">
        <f>Input!L115*(1+vanilla5)^0.5</f>
        <v>0</v>
      </c>
      <c r="M18" s="114">
        <f>Input!M115*(1+vanilla6)^0.5</f>
        <v>0</v>
      </c>
      <c r="N18" s="114">
        <f>Input!N115*(1+vanilla7)^0.5</f>
        <v>0</v>
      </c>
      <c r="O18" s="114">
        <f>Input!O115*(1+vanilla8)^0.5</f>
        <v>0</v>
      </c>
      <c r="P18" s="114">
        <f>Input!P115*(1+vanilla9)^0.5</f>
        <v>0</v>
      </c>
      <c r="Q18" s="114">
        <f>Input!Q115*(1+vanilla10)^0.5</f>
        <v>0</v>
      </c>
      <c r="R18" s="29"/>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4"/>
      <c r="BE18" s="104"/>
      <c r="BF18" s="104"/>
      <c r="BG18" s="104"/>
      <c r="BH18" s="104"/>
      <c r="BI18" s="104"/>
      <c r="BJ18" s="104"/>
      <c r="BK18" s="12"/>
      <c r="BL18" s="12"/>
    </row>
    <row r="19" spans="1:64" hidden="1" outlineLevel="1">
      <c r="A19" s="9"/>
      <c r="B19" s="9"/>
      <c r="C19" s="44"/>
      <c r="D19" s="278" t="str">
        <f>Asset8</f>
        <v>Other - Buildings</v>
      </c>
      <c r="E19" s="9"/>
      <c r="F19" s="9"/>
      <c r="G19" s="124"/>
      <c r="H19" s="114">
        <f>Input!H116*(1+vanilla1)^0.5</f>
        <v>0</v>
      </c>
      <c r="I19" s="114">
        <f>Input!I116*(1+vanilla2)^0.5</f>
        <v>0</v>
      </c>
      <c r="J19" s="114">
        <f>Input!J116*(1+vanilla3)^0.5</f>
        <v>0</v>
      </c>
      <c r="K19" s="114">
        <f>Input!K116*(1+vanilla4)^0.5</f>
        <v>0</v>
      </c>
      <c r="L19" s="114">
        <f>Input!L116*(1+vanilla5)^0.5</f>
        <v>0</v>
      </c>
      <c r="M19" s="114">
        <f>Input!M116*(1+vanilla6)^0.5</f>
        <v>0</v>
      </c>
      <c r="N19" s="114">
        <f>Input!N116*(1+vanilla7)^0.5</f>
        <v>0</v>
      </c>
      <c r="O19" s="114">
        <f>Input!O116*(1+vanilla8)^0.5</f>
        <v>0</v>
      </c>
      <c r="P19" s="114">
        <f>Input!P116*(1+vanilla9)^0.5</f>
        <v>0</v>
      </c>
      <c r="Q19" s="114">
        <f>Input!Q116*(1+vanilla10)^0.5</f>
        <v>0</v>
      </c>
      <c r="R19" s="29"/>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4"/>
      <c r="BE19" s="104"/>
      <c r="BF19" s="104"/>
      <c r="BG19" s="104"/>
      <c r="BH19" s="104"/>
      <c r="BI19" s="104"/>
      <c r="BJ19" s="104"/>
      <c r="BK19" s="12"/>
      <c r="BL19" s="12"/>
    </row>
    <row r="20" spans="1:64" hidden="1" outlineLevel="1">
      <c r="A20" s="9"/>
      <c r="B20" s="9"/>
      <c r="C20" s="44"/>
      <c r="D20" s="278" t="str">
        <f>Asset9</f>
        <v>Land and Easements</v>
      </c>
      <c r="E20" s="9"/>
      <c r="F20" s="9"/>
      <c r="G20" s="124"/>
      <c r="H20" s="114">
        <f>Input!H117*(1+vanilla1)^0.5</f>
        <v>0</v>
      </c>
      <c r="I20" s="114">
        <f>Input!I117*(1+vanilla2)^0.5</f>
        <v>0</v>
      </c>
      <c r="J20" s="114">
        <f>Input!J117*(1+vanilla3)^0.5</f>
        <v>0</v>
      </c>
      <c r="K20" s="114">
        <f>Input!K117*(1+vanilla4)^0.5</f>
        <v>0</v>
      </c>
      <c r="L20" s="114">
        <f>Input!L117*(1+vanilla5)^0.5</f>
        <v>0</v>
      </c>
      <c r="M20" s="114">
        <f>Input!M117*(1+vanilla6)^0.5</f>
        <v>0</v>
      </c>
      <c r="N20" s="114">
        <f>Input!N117*(1+vanilla7)^0.5</f>
        <v>0</v>
      </c>
      <c r="O20" s="114">
        <f>Input!O117*(1+vanilla8)^0.5</f>
        <v>0</v>
      </c>
      <c r="P20" s="114">
        <f>Input!P117*(1+vanilla9)^0.5</f>
        <v>0</v>
      </c>
      <c r="Q20" s="114">
        <f>Input!Q117*(1+vanilla10)^0.5</f>
        <v>0</v>
      </c>
      <c r="R20" s="29"/>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4"/>
      <c r="BE20" s="104"/>
      <c r="BF20" s="104"/>
      <c r="BG20" s="104"/>
      <c r="BH20" s="104"/>
      <c r="BI20" s="104"/>
      <c r="BJ20" s="104"/>
      <c r="BK20" s="12"/>
      <c r="BL20" s="12"/>
    </row>
    <row r="21" spans="1:64" hidden="1" outlineLevel="1">
      <c r="A21" s="9"/>
      <c r="B21" s="9"/>
      <c r="C21" s="44"/>
      <c r="D21" s="278" t="str">
        <f>Asset10</f>
        <v>Transmission line assets - long life (60)</v>
      </c>
      <c r="E21" s="9"/>
      <c r="F21" s="9"/>
      <c r="G21" s="124"/>
      <c r="H21" s="114">
        <f>Input!H118*(1+vanilla1)^0.5</f>
        <v>62.308160500837928</v>
      </c>
      <c r="I21" s="114">
        <f>Input!I118*(1+vanilla2)^0.5</f>
        <v>28.811540966441328</v>
      </c>
      <c r="J21" s="114">
        <f>Input!J118*(1+vanilla3)^0.5</f>
        <v>16.592873097733786</v>
      </c>
      <c r="K21" s="114">
        <f>Input!K118*(1+vanilla4)^0.5</f>
        <v>18.805789507438316</v>
      </c>
      <c r="L21" s="114">
        <f>Input!L118*(1+vanilla5)^0.5</f>
        <v>22.417936569957803</v>
      </c>
      <c r="M21" s="114">
        <f>Input!M118*(1+vanilla6)^0.5</f>
        <v>0</v>
      </c>
      <c r="N21" s="114">
        <f>Input!N118*(1+vanilla7)^0.5</f>
        <v>0</v>
      </c>
      <c r="O21" s="114">
        <f>Input!O118*(1+vanilla8)^0.5</f>
        <v>0</v>
      </c>
      <c r="P21" s="114">
        <f>Input!P118*(1+vanilla9)^0.5</f>
        <v>0</v>
      </c>
      <c r="Q21" s="114">
        <f>Input!Q118*(1+vanilla10)^0.5</f>
        <v>0</v>
      </c>
      <c r="R21" s="29"/>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4"/>
      <c r="BE21" s="104"/>
      <c r="BF21" s="104"/>
      <c r="BG21" s="104"/>
      <c r="BH21" s="104"/>
      <c r="BI21" s="104"/>
      <c r="BJ21" s="104"/>
      <c r="BK21" s="12"/>
      <c r="BL21" s="12"/>
    </row>
    <row r="22" spans="1:64" hidden="1" outlineLevel="1">
      <c r="A22" s="9"/>
      <c r="B22" s="9"/>
      <c r="C22" s="44"/>
      <c r="D22" s="278" t="str">
        <f>Asset11</f>
        <v>Transmission line assets - medium life (45)</v>
      </c>
      <c r="E22" s="9"/>
      <c r="F22" s="9"/>
      <c r="G22" s="124"/>
      <c r="H22" s="114">
        <f>Input!H119*(1+vanilla1)^0.5</f>
        <v>0.71795411276685672</v>
      </c>
      <c r="I22" s="114">
        <f>Input!I119*(1+vanilla2)^0.5</f>
        <v>5.0050561803700084</v>
      </c>
      <c r="J22" s="114">
        <f>Input!J119*(1+vanilla3)^0.5</f>
        <v>12.403915533487879</v>
      </c>
      <c r="K22" s="114">
        <f>Input!K119*(1+vanilla4)^0.5</f>
        <v>1.3175427124666963</v>
      </c>
      <c r="L22" s="114">
        <f>Input!L119*(1+vanilla5)^0.5</f>
        <v>0.15568484611532088</v>
      </c>
      <c r="M22" s="114">
        <f>Input!M119*(1+vanilla6)^0.5</f>
        <v>0</v>
      </c>
      <c r="N22" s="114">
        <f>Input!N119*(1+vanilla7)^0.5</f>
        <v>0</v>
      </c>
      <c r="O22" s="114">
        <f>Input!O119*(1+vanilla8)^0.5</f>
        <v>0</v>
      </c>
      <c r="P22" s="114">
        <f>Input!P119*(1+vanilla9)^0.5</f>
        <v>0</v>
      </c>
      <c r="Q22" s="114">
        <f>Input!Q119*(1+vanilla10)^0.5</f>
        <v>0</v>
      </c>
      <c r="R22" s="29"/>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4"/>
      <c r="BE22" s="104"/>
      <c r="BF22" s="104"/>
      <c r="BG22" s="104"/>
      <c r="BH22" s="104"/>
      <c r="BI22" s="104"/>
      <c r="BJ22" s="104"/>
      <c r="BK22" s="12"/>
      <c r="BL22" s="12"/>
    </row>
    <row r="23" spans="1:64" hidden="1" outlineLevel="1">
      <c r="A23" s="9"/>
      <c r="B23" s="9"/>
      <c r="C23" s="44"/>
      <c r="D23" s="278" t="str">
        <f>Asset12</f>
        <v>Transmission line assets - short life (10)</v>
      </c>
      <c r="E23" s="9"/>
      <c r="F23" s="9"/>
      <c r="G23" s="124"/>
      <c r="H23" s="114">
        <f>Input!H120*(1+vanilla1)^0.5</f>
        <v>4.6154192963583647</v>
      </c>
      <c r="I23" s="114">
        <f>Input!I120*(1+vanilla2)^0.5</f>
        <v>2.367661306881621</v>
      </c>
      <c r="J23" s="114">
        <f>Input!J120*(1+vanilla3)^0.5</f>
        <v>1.313242989248717</v>
      </c>
      <c r="K23" s="114">
        <f>Input!K120*(1+vanilla4)^0.5</f>
        <v>1.9336598082245042</v>
      </c>
      <c r="L23" s="114">
        <f>Input!L120*(1+vanilla5)^0.5</f>
        <v>2.0612733788899789</v>
      </c>
      <c r="M23" s="114">
        <f>Input!M120*(1+vanilla6)^0.5</f>
        <v>0</v>
      </c>
      <c r="N23" s="114">
        <f>Input!N120*(1+vanilla7)^0.5</f>
        <v>0</v>
      </c>
      <c r="O23" s="114">
        <f>Input!O120*(1+vanilla8)^0.5</f>
        <v>0</v>
      </c>
      <c r="P23" s="114">
        <f>Input!P120*(1+vanilla9)^0.5</f>
        <v>0</v>
      </c>
      <c r="Q23" s="114">
        <f>Input!Q120*(1+vanilla10)^0.5</f>
        <v>0</v>
      </c>
      <c r="R23" s="29"/>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4"/>
      <c r="BE23" s="104"/>
      <c r="BF23" s="104"/>
      <c r="BG23" s="104"/>
      <c r="BH23" s="104"/>
      <c r="BI23" s="104"/>
      <c r="BJ23" s="104"/>
      <c r="BK23" s="12"/>
      <c r="BL23" s="12"/>
    </row>
    <row r="24" spans="1:64" hidden="1" outlineLevel="1">
      <c r="A24" s="9"/>
      <c r="B24" s="9"/>
      <c r="C24" s="44"/>
      <c r="D24" s="278" t="str">
        <f>Asset13</f>
        <v>Substation assets - long life (60)</v>
      </c>
      <c r="E24" s="9"/>
      <c r="F24" s="9"/>
      <c r="G24" s="124"/>
      <c r="H24" s="114">
        <f>Input!H121*(1+vanilla1)^0.5</f>
        <v>8.9949393842361918</v>
      </c>
      <c r="I24" s="114">
        <f>Input!I121*(1+vanilla2)^0.5</f>
        <v>12.347803271331998</v>
      </c>
      <c r="J24" s="114">
        <f>Input!J121*(1+vanilla3)^0.5</f>
        <v>14.081415702236241</v>
      </c>
      <c r="K24" s="114">
        <f>Input!K121*(1+vanilla4)^0.5</f>
        <v>9.7536075620736025</v>
      </c>
      <c r="L24" s="114">
        <f>Input!L121*(1+vanilla5)^0.5</f>
        <v>9.9408677898130744</v>
      </c>
      <c r="M24" s="114">
        <f>Input!M121*(1+vanilla6)^0.5</f>
        <v>0</v>
      </c>
      <c r="N24" s="114">
        <f>Input!N121*(1+vanilla7)^0.5</f>
        <v>0</v>
      </c>
      <c r="O24" s="114">
        <f>Input!O121*(1+vanilla8)^0.5</f>
        <v>0</v>
      </c>
      <c r="P24" s="114">
        <f>Input!P121*(1+vanilla9)^0.5</f>
        <v>0</v>
      </c>
      <c r="Q24" s="114">
        <f>Input!Q121*(1+vanilla10)^0.5</f>
        <v>0</v>
      </c>
      <c r="R24" s="29"/>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4"/>
      <c r="BE24" s="104"/>
      <c r="BF24" s="104"/>
      <c r="BG24" s="104"/>
      <c r="BH24" s="104"/>
      <c r="BI24" s="104"/>
      <c r="BJ24" s="104"/>
      <c r="BK24" s="12"/>
      <c r="BL24" s="12"/>
    </row>
    <row r="25" spans="1:64" hidden="1" outlineLevel="1">
      <c r="A25" s="9"/>
      <c r="B25" s="9"/>
      <c r="C25" s="44"/>
      <c r="D25" s="278" t="str">
        <f>Asset14</f>
        <v>Substation assets - medium life (45)</v>
      </c>
      <c r="E25" s="9"/>
      <c r="F25" s="9"/>
      <c r="G25" s="124"/>
      <c r="H25" s="114">
        <f>Input!H122*(1+vanilla1)^0.5</f>
        <v>26.441224324470813</v>
      </c>
      <c r="I25" s="114">
        <f>Input!I122*(1+vanilla2)^0.5</f>
        <v>33.267139881501251</v>
      </c>
      <c r="J25" s="114">
        <f>Input!J122*(1+vanilla3)^0.5</f>
        <v>33.732131964717034</v>
      </c>
      <c r="K25" s="114">
        <f>Input!K122*(1+vanilla4)^0.5</f>
        <v>26.000141440979483</v>
      </c>
      <c r="L25" s="114">
        <f>Input!L122*(1+vanilla5)^0.5</f>
        <v>21.586191342542989</v>
      </c>
      <c r="M25" s="114">
        <f>Input!M122*(1+vanilla6)^0.5</f>
        <v>0</v>
      </c>
      <c r="N25" s="114">
        <f>Input!N122*(1+vanilla7)^0.5</f>
        <v>0</v>
      </c>
      <c r="O25" s="114">
        <f>Input!O122*(1+vanilla8)^0.5</f>
        <v>0</v>
      </c>
      <c r="P25" s="114">
        <f>Input!P122*(1+vanilla9)^0.5</f>
        <v>0</v>
      </c>
      <c r="Q25" s="114">
        <f>Input!Q122*(1+vanilla10)^0.5</f>
        <v>0</v>
      </c>
      <c r="R25" s="29"/>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4"/>
      <c r="BE25" s="104"/>
      <c r="BF25" s="104"/>
      <c r="BG25" s="104"/>
      <c r="BH25" s="104"/>
      <c r="BI25" s="104"/>
      <c r="BJ25" s="104"/>
      <c r="BK25" s="12"/>
      <c r="BL25" s="12"/>
    </row>
    <row r="26" spans="1:64" hidden="1" outlineLevel="1">
      <c r="A26" s="9"/>
      <c r="B26" s="9"/>
      <c r="C26" s="44"/>
      <c r="D26" s="278" t="str">
        <f>Asset15</f>
        <v>Substation assets - short life (15)</v>
      </c>
      <c r="E26" s="9"/>
      <c r="F26" s="9"/>
      <c r="G26" s="124"/>
      <c r="H26" s="114">
        <f>Input!H123*(1+vanilla1)^0.5</f>
        <v>3.7231048990624145</v>
      </c>
      <c r="I26" s="114">
        <f>Input!I123*(1+vanilla2)^0.5</f>
        <v>2.6973356660676697</v>
      </c>
      <c r="J26" s="114">
        <f>Input!J123*(1+vanilla3)^0.5</f>
        <v>2.8373717139972277</v>
      </c>
      <c r="K26" s="114">
        <f>Input!K123*(1+vanilla4)^0.5</f>
        <v>2.5023832812317117</v>
      </c>
      <c r="L26" s="114">
        <f>Input!L123*(1+vanilla5)^0.5</f>
        <v>4.8199627198252646</v>
      </c>
      <c r="M26" s="114">
        <f>Input!M123*(1+vanilla6)^0.5</f>
        <v>0</v>
      </c>
      <c r="N26" s="114">
        <f>Input!N123*(1+vanilla7)^0.5</f>
        <v>0</v>
      </c>
      <c r="O26" s="114">
        <f>Input!O123*(1+vanilla8)^0.5</f>
        <v>0</v>
      </c>
      <c r="P26" s="114">
        <f>Input!P123*(1+vanilla9)^0.5</f>
        <v>0</v>
      </c>
      <c r="Q26" s="114">
        <f>Input!Q123*(1+vanilla10)^0.5</f>
        <v>0</v>
      </c>
      <c r="R26" s="29"/>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4"/>
      <c r="BE26" s="104"/>
      <c r="BF26" s="104"/>
      <c r="BG26" s="104"/>
      <c r="BH26" s="104"/>
      <c r="BI26" s="104"/>
      <c r="BJ26" s="104"/>
      <c r="BK26" s="12"/>
      <c r="BL26" s="12"/>
    </row>
    <row r="27" spans="1:64" hidden="1" outlineLevel="1">
      <c r="A27" s="9"/>
      <c r="B27" s="9"/>
      <c r="C27" s="44"/>
      <c r="D27" s="278" t="str">
        <f>Asset16</f>
        <v>Protection and control - short life (15)</v>
      </c>
      <c r="E27" s="9"/>
      <c r="F27" s="9"/>
      <c r="G27" s="124"/>
      <c r="H27" s="114">
        <f>Input!H124*(1+vanilla1)^0.5</f>
        <v>12.174450455060843</v>
      </c>
      <c r="I27" s="114">
        <f>Input!I124*(1+vanilla2)^0.5</f>
        <v>14.006165199358787</v>
      </c>
      <c r="J27" s="114">
        <f>Input!J124*(1+vanilla3)^0.5</f>
        <v>28.326747135247324</v>
      </c>
      <c r="K27" s="114">
        <f>Input!K124*(1+vanilla4)^0.5</f>
        <v>15.611459334047833</v>
      </c>
      <c r="L27" s="114">
        <f>Input!L124*(1+vanilla5)^0.5</f>
        <v>12.875657293515413</v>
      </c>
      <c r="M27" s="114">
        <f>Input!M124*(1+vanilla6)^0.5</f>
        <v>0</v>
      </c>
      <c r="N27" s="114">
        <f>Input!N124*(1+vanilla7)^0.5</f>
        <v>0</v>
      </c>
      <c r="O27" s="114">
        <f>Input!O124*(1+vanilla8)^0.5</f>
        <v>0</v>
      </c>
      <c r="P27" s="114">
        <f>Input!P124*(1+vanilla9)^0.5</f>
        <v>0</v>
      </c>
      <c r="Q27" s="114">
        <f>Input!Q124*(1+vanilla10)^0.5</f>
        <v>0</v>
      </c>
      <c r="R27" s="29"/>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4"/>
      <c r="BE27" s="104"/>
      <c r="BF27" s="104"/>
      <c r="BG27" s="104"/>
      <c r="BH27" s="104"/>
      <c r="BI27" s="104"/>
      <c r="BJ27" s="104"/>
      <c r="BK27" s="12"/>
      <c r="BL27" s="12"/>
    </row>
    <row r="28" spans="1:64" hidden="1" outlineLevel="1">
      <c r="A28" s="9"/>
      <c r="B28" s="9"/>
      <c r="C28" s="44"/>
      <c r="D28" s="278" t="str">
        <f>Asset17</f>
        <v>Protection and control - short life (4)</v>
      </c>
      <c r="E28" s="9"/>
      <c r="F28" s="9"/>
      <c r="G28" s="124"/>
      <c r="H28" s="114">
        <f>Input!H125*(1+vanilla1)^0.5</f>
        <v>0.25641218313102027</v>
      </c>
      <c r="I28" s="114">
        <f>Input!I125*(1+vanilla2)^0.5</f>
        <v>0.36963488757223617</v>
      </c>
      <c r="J28" s="114">
        <f>Input!J125*(1+vanilla3)^0.5</f>
        <v>0.91064294874911023</v>
      </c>
      <c r="K28" s="114">
        <f>Input!K125*(1+vanilla4)^0.5</f>
        <v>0</v>
      </c>
      <c r="L28" s="114">
        <f>Input!L125*(1+vanilla5)^0.5</f>
        <v>0</v>
      </c>
      <c r="M28" s="114">
        <f>Input!M125*(1+vanilla6)^0.5</f>
        <v>0</v>
      </c>
      <c r="N28" s="114">
        <f>Input!N125*(1+vanilla7)^0.5</f>
        <v>0</v>
      </c>
      <c r="O28" s="114">
        <f>Input!O125*(1+vanilla8)^0.5</f>
        <v>0</v>
      </c>
      <c r="P28" s="114">
        <f>Input!P125*(1+vanilla9)^0.5</f>
        <v>0</v>
      </c>
      <c r="Q28" s="114">
        <f>Input!Q125*(1+vanilla10)^0.5</f>
        <v>0</v>
      </c>
      <c r="R28" s="29"/>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4"/>
      <c r="BE28" s="104"/>
      <c r="BF28" s="104"/>
      <c r="BG28" s="104"/>
      <c r="BH28" s="104"/>
      <c r="BI28" s="104"/>
      <c r="BJ28" s="104"/>
      <c r="BK28" s="12"/>
      <c r="BL28" s="12"/>
    </row>
    <row r="29" spans="1:64" hidden="1" outlineLevel="1">
      <c r="A29" s="9"/>
      <c r="B29" s="9"/>
      <c r="C29" s="44"/>
      <c r="D29" s="278" t="str">
        <f>Asset18</f>
        <v>Transmission operations - short life (10)</v>
      </c>
      <c r="E29" s="9"/>
      <c r="F29" s="9"/>
      <c r="G29" s="124"/>
      <c r="H29" s="114">
        <f>Input!H126*(1+vanilla1)^0.5</f>
        <v>1.2307784790288971</v>
      </c>
      <c r="I29" s="114">
        <f>Input!I126*(1+vanilla2)^0.5</f>
        <v>2.0279968155990256</v>
      </c>
      <c r="J29" s="114">
        <f>Input!J126*(1+vanilla3)^0.5</f>
        <v>2.0130002024980334</v>
      </c>
      <c r="K29" s="114">
        <f>Input!K126*(1+vanilla4)^0.5</f>
        <v>1.9241810836743838</v>
      </c>
      <c r="L29" s="114">
        <f>Input!L126*(1+vanilla5)^0.5</f>
        <v>0.8118216398836765</v>
      </c>
      <c r="M29" s="114">
        <f>Input!M126*(1+vanilla6)^0.5</f>
        <v>0</v>
      </c>
      <c r="N29" s="114">
        <f>Input!N126*(1+vanilla7)^0.5</f>
        <v>0</v>
      </c>
      <c r="O29" s="114">
        <f>Input!O126*(1+vanilla8)^0.5</f>
        <v>0</v>
      </c>
      <c r="P29" s="114">
        <f>Input!P126*(1+vanilla9)^0.5</f>
        <v>0</v>
      </c>
      <c r="Q29" s="114">
        <f>Input!Q126*(1+vanilla10)^0.5</f>
        <v>0</v>
      </c>
      <c r="R29" s="29"/>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4"/>
      <c r="BE29" s="104"/>
      <c r="BF29" s="104"/>
      <c r="BG29" s="104"/>
      <c r="BH29" s="104"/>
      <c r="BI29" s="104"/>
      <c r="BJ29" s="104"/>
      <c r="BK29" s="12"/>
      <c r="BL29" s="12"/>
    </row>
    <row r="30" spans="1:64" hidden="1" outlineLevel="1">
      <c r="A30" s="9"/>
      <c r="B30" s="9"/>
      <c r="C30" s="44"/>
      <c r="D30" s="278" t="str">
        <f>Asset19</f>
        <v>Transmission operations - short life (4)</v>
      </c>
      <c r="E30" s="9"/>
      <c r="F30" s="9"/>
      <c r="G30" s="124"/>
      <c r="H30" s="114">
        <f>Input!H127*(1+vanilla1)^0.5</f>
        <v>1.0256487325240812E-2</v>
      </c>
      <c r="I30" s="114">
        <f>Input!I127*(1+vanilla2)^0.5</f>
        <v>0</v>
      </c>
      <c r="J30" s="114">
        <f>Input!J127*(1+vanilla3)^0.5</f>
        <v>0.1342000134998689</v>
      </c>
      <c r="K30" s="114">
        <f>Input!K127*(1+vanilla4)^0.5</f>
        <v>0</v>
      </c>
      <c r="L30" s="114">
        <f>Input!L127*(1+vanilla5)^0.5</f>
        <v>0</v>
      </c>
      <c r="M30" s="114">
        <f>Input!M127*(1+vanilla6)^0.5</f>
        <v>0</v>
      </c>
      <c r="N30" s="114">
        <f>Input!N127*(1+vanilla7)^0.5</f>
        <v>0</v>
      </c>
      <c r="O30" s="114">
        <f>Input!O127*(1+vanilla8)^0.5</f>
        <v>0</v>
      </c>
      <c r="P30" s="114">
        <f>Input!P127*(1+vanilla9)^0.5</f>
        <v>0</v>
      </c>
      <c r="Q30" s="114">
        <f>Input!Q127*(1+vanilla10)^0.5</f>
        <v>0</v>
      </c>
      <c r="R30" s="29"/>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4"/>
      <c r="BE30" s="104"/>
      <c r="BF30" s="104"/>
      <c r="BG30" s="104"/>
      <c r="BH30" s="104"/>
      <c r="BI30" s="104"/>
      <c r="BJ30" s="104"/>
      <c r="BK30" s="12"/>
      <c r="BL30" s="12"/>
    </row>
    <row r="31" spans="1:64" hidden="1" outlineLevel="1">
      <c r="A31" s="9"/>
      <c r="B31" s="9"/>
      <c r="C31" s="44"/>
      <c r="D31" s="278" t="str">
        <f>Asset20</f>
        <v>Other - medium life (40)</v>
      </c>
      <c r="E31" s="9"/>
      <c r="F31" s="9"/>
      <c r="G31" s="124"/>
      <c r="H31" s="114">
        <f>Input!H128*(1+vanilla1)^0.5</f>
        <v>11.292392545090133</v>
      </c>
      <c r="I31" s="114">
        <f>Input!I128*(1+vanilla2)^0.5</f>
        <v>9.3507636423679212</v>
      </c>
      <c r="J31" s="114">
        <f>Input!J128*(1+vanilla3)^0.5</f>
        <v>0.66045578072435474</v>
      </c>
      <c r="K31" s="114">
        <f>Input!K128*(1+vanilla4)^0.5</f>
        <v>0.19905321555252248</v>
      </c>
      <c r="L31" s="114">
        <f>Input!L128*(1+vanilla5)^0.5</f>
        <v>2.2552712551307614</v>
      </c>
      <c r="M31" s="114">
        <f>Input!M128*(1+vanilla6)^0.5</f>
        <v>0</v>
      </c>
      <c r="N31" s="114">
        <f>Input!N128*(1+vanilla7)^0.5</f>
        <v>0</v>
      </c>
      <c r="O31" s="114">
        <f>Input!O128*(1+vanilla8)^0.5</f>
        <v>0</v>
      </c>
      <c r="P31" s="114">
        <f>Input!P128*(1+vanilla9)^0.5</f>
        <v>0</v>
      </c>
      <c r="Q31" s="114">
        <f>Input!Q128*(1+vanilla10)^0.5</f>
        <v>0</v>
      </c>
      <c r="R31" s="29"/>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4"/>
      <c r="BE31" s="104"/>
      <c r="BF31" s="104"/>
      <c r="BG31" s="104"/>
      <c r="BH31" s="104"/>
      <c r="BI31" s="104"/>
      <c r="BJ31" s="104"/>
      <c r="BK31" s="12"/>
      <c r="BL31" s="12"/>
    </row>
    <row r="32" spans="1:64" hidden="1" outlineLevel="1">
      <c r="A32" s="9"/>
      <c r="B32" s="9"/>
      <c r="C32" s="44"/>
      <c r="D32" s="278" t="str">
        <f>Asset21</f>
        <v>Other - short life (9)</v>
      </c>
      <c r="E32" s="9"/>
      <c r="F32" s="9"/>
      <c r="G32" s="124"/>
      <c r="H32" s="114">
        <f>Input!H129*(1+vanilla1)^0.5</f>
        <v>0.38974651835915086</v>
      </c>
      <c r="I32" s="114">
        <f>Input!I129*(1+vanilla2)^0.5</f>
        <v>0.47952634063425231</v>
      </c>
      <c r="J32" s="114">
        <f>Input!J129*(1+vanilla3)^0.5</f>
        <v>0.66333149529935198</v>
      </c>
      <c r="K32" s="114">
        <f>Input!K129*(1+vanilla4)^0.5</f>
        <v>0.19431385327746245</v>
      </c>
      <c r="L32" s="114">
        <f>Input!L129*(1+vanilla5)^0.5</f>
        <v>0.46613643013827505</v>
      </c>
      <c r="M32" s="114">
        <f>Input!M129*(1+vanilla6)^0.5</f>
        <v>0</v>
      </c>
      <c r="N32" s="114">
        <f>Input!N129*(1+vanilla7)^0.5</f>
        <v>0</v>
      </c>
      <c r="O32" s="114">
        <f>Input!O129*(1+vanilla8)^0.5</f>
        <v>0</v>
      </c>
      <c r="P32" s="114">
        <f>Input!P129*(1+vanilla9)^0.5</f>
        <v>0</v>
      </c>
      <c r="Q32" s="114">
        <f>Input!Q129*(1+vanilla10)^0.5</f>
        <v>0</v>
      </c>
      <c r="R32" s="29"/>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4"/>
      <c r="BE32" s="104"/>
      <c r="BF32" s="104"/>
      <c r="BG32" s="104"/>
      <c r="BH32" s="104"/>
      <c r="BI32" s="104"/>
      <c r="BJ32" s="104"/>
      <c r="BK32" s="12"/>
      <c r="BL32" s="12"/>
    </row>
    <row r="33" spans="1:64" hidden="1" outlineLevel="1">
      <c r="A33" s="9"/>
      <c r="B33" s="9"/>
      <c r="C33" s="44"/>
      <c r="D33" s="278" t="str">
        <f>Asset22</f>
        <v>Other - short life (4)</v>
      </c>
      <c r="E33" s="9"/>
      <c r="F33" s="9"/>
      <c r="G33" s="124"/>
      <c r="H33" s="114">
        <f>Input!H130*(1+vanilla1)^0.5</f>
        <v>3.0359202482712799</v>
      </c>
      <c r="I33" s="114">
        <f>Input!I130*(1+vanilla2)^0.5</f>
        <v>3.3726685957942411</v>
      </c>
      <c r="J33" s="114">
        <f>Input!J130*(1+vanilla3)^0.5</f>
        <v>4.5436290284955616</v>
      </c>
      <c r="K33" s="114">
        <f>Input!K130*(1+vanilla4)^0.5</f>
        <v>1.8388725627233029</v>
      </c>
      <c r="L33" s="114">
        <f>Input!L130*(1+vanilla5)^0.5</f>
        <v>2.0435178302844581</v>
      </c>
      <c r="M33" s="114">
        <f>Input!M130*(1+vanilla6)^0.5</f>
        <v>0</v>
      </c>
      <c r="N33" s="114">
        <f>Input!N130*(1+vanilla7)^0.5</f>
        <v>0</v>
      </c>
      <c r="O33" s="114">
        <f>Input!O130*(1+vanilla8)^0.5</f>
        <v>0</v>
      </c>
      <c r="P33" s="114">
        <f>Input!P130*(1+vanilla9)^0.5</f>
        <v>0</v>
      </c>
      <c r="Q33" s="114">
        <f>Input!Q130*(1+vanilla10)^0.5</f>
        <v>0</v>
      </c>
      <c r="R33" s="29"/>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4"/>
      <c r="BE33" s="104"/>
      <c r="BF33" s="104"/>
      <c r="BG33" s="104"/>
      <c r="BH33" s="104"/>
      <c r="BI33" s="104"/>
      <c r="BJ33" s="104"/>
      <c r="BK33" s="12"/>
      <c r="BL33" s="12"/>
    </row>
    <row r="34" spans="1:64" hidden="1" outlineLevel="1">
      <c r="A34" s="9"/>
      <c r="B34" s="9"/>
      <c r="C34" s="44"/>
      <c r="D34" s="278" t="str">
        <f>Asset23</f>
        <v>Land and Easements</v>
      </c>
      <c r="E34" s="9"/>
      <c r="F34" s="9"/>
      <c r="G34" s="124"/>
      <c r="H34" s="114">
        <f>Input!H131*(1+vanilla1)^0.5</f>
        <v>0.54359382823776303</v>
      </c>
      <c r="I34" s="114">
        <f>Input!I131*(1+vanilla2)^0.5</f>
        <v>1.3286875688407409</v>
      </c>
      <c r="J34" s="114">
        <f>Input!J131*(1+vanilla3)^0.5</f>
        <v>2.2075902220728434</v>
      </c>
      <c r="K34" s="114">
        <f>Input!K131*(1+vanilla4)^0.5</f>
        <v>0.59715964665756749</v>
      </c>
      <c r="L34" s="114">
        <f>Input!L131*(1+vanilla5)^0.5</f>
        <v>1.1361074881555402</v>
      </c>
      <c r="M34" s="114">
        <f>Input!M131*(1+vanilla6)^0.5</f>
        <v>0</v>
      </c>
      <c r="N34" s="114">
        <f>Input!N131*(1+vanilla7)^0.5</f>
        <v>0</v>
      </c>
      <c r="O34" s="114">
        <f>Input!O131*(1+vanilla8)^0.5</f>
        <v>0</v>
      </c>
      <c r="P34" s="114">
        <f>Input!P131*(1+vanilla9)^0.5</f>
        <v>0</v>
      </c>
      <c r="Q34" s="114">
        <f>Input!Q131*(1+vanilla10)^0.5</f>
        <v>0</v>
      </c>
      <c r="R34" s="29"/>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4"/>
      <c r="BE34" s="104"/>
      <c r="BF34" s="104"/>
      <c r="BG34" s="104"/>
      <c r="BH34" s="104"/>
      <c r="BI34" s="104"/>
      <c r="BJ34" s="104"/>
      <c r="BK34" s="12"/>
      <c r="BL34" s="12"/>
    </row>
    <row r="35" spans="1:64" hidden="1" outlineLevel="1">
      <c r="A35" s="9"/>
      <c r="B35" s="9"/>
      <c r="C35" s="44"/>
      <c r="D35" s="278" t="str">
        <f>Asset24</f>
        <v>Equity Raising</v>
      </c>
      <c r="E35" s="9"/>
      <c r="F35" s="9"/>
      <c r="G35" s="124"/>
      <c r="H35" s="114">
        <f>Input!H132*(1+vanilla1)^0.5</f>
        <v>0.43414402533060908</v>
      </c>
      <c r="I35" s="114">
        <f>Input!I132*(1+vanilla2)^0.5</f>
        <v>0</v>
      </c>
      <c r="J35" s="114">
        <f>Input!J132*(1+vanilla3)^0.5</f>
        <v>0</v>
      </c>
      <c r="K35" s="114">
        <f>Input!K132*(1+vanilla4)^0.5</f>
        <v>0</v>
      </c>
      <c r="L35" s="114">
        <f>Input!L132*(1+vanilla5)^0.5</f>
        <v>0</v>
      </c>
      <c r="M35" s="114">
        <f>Input!M132*(1+vanilla6)^0.5</f>
        <v>0</v>
      </c>
      <c r="N35" s="114">
        <f>Input!N132*(1+vanilla7)^0.5</f>
        <v>0</v>
      </c>
      <c r="O35" s="114">
        <f>Input!O132*(1+vanilla8)^0.5</f>
        <v>0</v>
      </c>
      <c r="P35" s="114">
        <f>Input!P132*(1+vanilla9)^0.5</f>
        <v>0</v>
      </c>
      <c r="Q35" s="114">
        <f>Input!Q132*(1+vanilla10)^0.5</f>
        <v>0</v>
      </c>
      <c r="R35" s="29"/>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4"/>
      <c r="BE35" s="104"/>
      <c r="BF35" s="104"/>
      <c r="BG35" s="104"/>
      <c r="BH35" s="104"/>
      <c r="BI35" s="104"/>
      <c r="BJ35" s="104"/>
      <c r="BK35" s="12"/>
      <c r="BL35" s="12"/>
    </row>
    <row r="36" spans="1:64" hidden="1" outlineLevel="1">
      <c r="A36" s="9"/>
      <c r="B36" s="9"/>
      <c r="C36" s="44"/>
      <c r="D36" s="278">
        <f>Asset25</f>
        <v>0</v>
      </c>
      <c r="E36" s="9"/>
      <c r="F36" s="9"/>
      <c r="G36" s="124"/>
      <c r="H36" s="114">
        <f>Input!H133*(1+vanilla1)^0.5</f>
        <v>0</v>
      </c>
      <c r="I36" s="114">
        <f>Input!I133*(1+vanilla2)^0.5</f>
        <v>0</v>
      </c>
      <c r="J36" s="114">
        <f>Input!J133*(1+vanilla3)^0.5</f>
        <v>0</v>
      </c>
      <c r="K36" s="114">
        <f>Input!K133*(1+vanilla4)^0.5</f>
        <v>0</v>
      </c>
      <c r="L36" s="114">
        <f>Input!L133*(1+vanilla5)^0.5</f>
        <v>0</v>
      </c>
      <c r="M36" s="114">
        <f>Input!M133*(1+vanilla6)^0.5</f>
        <v>0</v>
      </c>
      <c r="N36" s="114">
        <f>Input!N133*(1+vanilla7)^0.5</f>
        <v>0</v>
      </c>
      <c r="O36" s="114">
        <f>Input!O133*(1+vanilla8)^0.5</f>
        <v>0</v>
      </c>
      <c r="P36" s="114">
        <f>Input!P133*(1+vanilla9)^0.5</f>
        <v>0</v>
      </c>
      <c r="Q36" s="114">
        <f>Input!Q133*(1+vanilla10)^0.5</f>
        <v>0</v>
      </c>
      <c r="R36" s="29"/>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4"/>
      <c r="BE36" s="104"/>
      <c r="BF36" s="104"/>
      <c r="BG36" s="104"/>
      <c r="BH36" s="104"/>
      <c r="BI36" s="104"/>
      <c r="BJ36" s="104"/>
      <c r="BK36" s="12"/>
      <c r="BL36" s="12"/>
    </row>
    <row r="37" spans="1:64" hidden="1" outlineLevel="1">
      <c r="A37" s="9"/>
      <c r="B37" s="9"/>
      <c r="C37" s="44"/>
      <c r="D37" s="278">
        <f>Asset26</f>
        <v>0</v>
      </c>
      <c r="E37" s="9"/>
      <c r="F37" s="9"/>
      <c r="G37" s="124"/>
      <c r="H37" s="114">
        <f>Input!H134*(1+vanilla1)^0.5</f>
        <v>0</v>
      </c>
      <c r="I37" s="114">
        <f>Input!I134*(1+vanilla2)^0.5</f>
        <v>0</v>
      </c>
      <c r="J37" s="114">
        <f>Input!J134*(1+vanilla3)^0.5</f>
        <v>0</v>
      </c>
      <c r="K37" s="114">
        <f>Input!K134*(1+vanilla4)^0.5</f>
        <v>0</v>
      </c>
      <c r="L37" s="114">
        <f>Input!L134*(1+vanilla5)^0.5</f>
        <v>0</v>
      </c>
      <c r="M37" s="114">
        <f>Input!M134*(1+vanilla6)^0.5</f>
        <v>0</v>
      </c>
      <c r="N37" s="114">
        <f>Input!N134*(1+vanilla7)^0.5</f>
        <v>0</v>
      </c>
      <c r="O37" s="114">
        <f>Input!O134*(1+vanilla8)^0.5</f>
        <v>0</v>
      </c>
      <c r="P37" s="114">
        <f>Input!P134*(1+vanilla9)^0.5</f>
        <v>0</v>
      </c>
      <c r="Q37" s="114">
        <f>Input!Q134*(1+vanilla10)^0.5</f>
        <v>0</v>
      </c>
      <c r="R37" s="29"/>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4"/>
      <c r="BE37" s="104"/>
      <c r="BF37" s="104"/>
      <c r="BG37" s="104"/>
      <c r="BH37" s="104"/>
      <c r="BI37" s="104"/>
      <c r="BJ37" s="104"/>
      <c r="BK37" s="12"/>
      <c r="BL37" s="12"/>
    </row>
    <row r="38" spans="1:64" hidden="1" outlineLevel="1">
      <c r="A38" s="9"/>
      <c r="B38" s="9"/>
      <c r="C38" s="44"/>
      <c r="D38" s="278">
        <f>Asset27</f>
        <v>0</v>
      </c>
      <c r="E38" s="9"/>
      <c r="F38" s="9"/>
      <c r="G38" s="124"/>
      <c r="H38" s="114">
        <f>Input!H135*(1+vanilla1)^0.5</f>
        <v>0</v>
      </c>
      <c r="I38" s="114">
        <f>Input!I135*(1+vanilla2)^0.5</f>
        <v>0</v>
      </c>
      <c r="J38" s="114">
        <f>Input!J135*(1+vanilla3)^0.5</f>
        <v>0</v>
      </c>
      <c r="K38" s="114">
        <f>Input!K135*(1+vanilla4)^0.5</f>
        <v>0</v>
      </c>
      <c r="L38" s="114">
        <f>Input!L135*(1+vanilla5)^0.5</f>
        <v>0</v>
      </c>
      <c r="M38" s="114">
        <f>Input!M135*(1+vanilla6)^0.5</f>
        <v>0</v>
      </c>
      <c r="N38" s="114">
        <f>Input!N135*(1+vanilla7)^0.5</f>
        <v>0</v>
      </c>
      <c r="O38" s="114">
        <f>Input!O135*(1+vanilla8)^0.5</f>
        <v>0</v>
      </c>
      <c r="P38" s="114">
        <f>Input!P135*(1+vanilla9)^0.5</f>
        <v>0</v>
      </c>
      <c r="Q38" s="114">
        <f>Input!Q135*(1+vanilla10)^0.5</f>
        <v>0</v>
      </c>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4"/>
      <c r="BE38" s="104"/>
      <c r="BF38" s="104"/>
      <c r="BG38" s="104"/>
      <c r="BH38" s="104"/>
      <c r="BI38" s="104"/>
      <c r="BJ38" s="104"/>
      <c r="BK38" s="12"/>
      <c r="BL38" s="12"/>
    </row>
    <row r="39" spans="1:64" hidden="1" outlineLevel="1">
      <c r="A39" s="9"/>
      <c r="B39" s="9"/>
      <c r="C39" s="44"/>
      <c r="D39" s="278">
        <f>Asset28</f>
        <v>0</v>
      </c>
      <c r="E39" s="9"/>
      <c r="F39" s="9"/>
      <c r="G39" s="124"/>
      <c r="H39" s="114">
        <f>Input!H136*(1+vanilla1)^0.5</f>
        <v>0</v>
      </c>
      <c r="I39" s="114">
        <f>Input!I136*(1+vanilla2)^0.5</f>
        <v>0</v>
      </c>
      <c r="J39" s="114">
        <f>Input!J136*(1+vanilla3)^0.5</f>
        <v>0</v>
      </c>
      <c r="K39" s="114">
        <f>Input!K136*(1+vanilla4)^0.5</f>
        <v>0</v>
      </c>
      <c r="L39" s="114">
        <f>Input!L136*(1+vanilla5)^0.5</f>
        <v>0</v>
      </c>
      <c r="M39" s="114">
        <f>Input!M136*(1+vanilla6)^0.5</f>
        <v>0</v>
      </c>
      <c r="N39" s="114">
        <f>Input!N136*(1+vanilla7)^0.5</f>
        <v>0</v>
      </c>
      <c r="O39" s="114">
        <f>Input!O136*(1+vanilla8)^0.5</f>
        <v>0</v>
      </c>
      <c r="P39" s="114">
        <f>Input!P136*(1+vanilla9)^0.5</f>
        <v>0</v>
      </c>
      <c r="Q39" s="114">
        <f>Input!Q136*(1+vanilla10)^0.5</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4"/>
      <c r="BE39" s="104"/>
      <c r="BF39" s="104"/>
      <c r="BG39" s="104"/>
      <c r="BH39" s="104"/>
      <c r="BI39" s="104"/>
      <c r="BJ39" s="104"/>
      <c r="BK39" s="12"/>
      <c r="BL39" s="12"/>
    </row>
    <row r="40" spans="1:64" hidden="1" outlineLevel="1">
      <c r="A40" s="9"/>
      <c r="B40" s="9"/>
      <c r="C40" s="44"/>
      <c r="D40" s="278">
        <f>Asset29</f>
        <v>0</v>
      </c>
      <c r="E40" s="9"/>
      <c r="F40" s="9"/>
      <c r="G40" s="124"/>
      <c r="H40" s="114">
        <f>Input!H137*(1+vanilla1)^0.5</f>
        <v>0</v>
      </c>
      <c r="I40" s="114">
        <f>Input!I137*(1+vanilla2)^0.5</f>
        <v>0</v>
      </c>
      <c r="J40" s="114">
        <f>Input!J137*(1+vanilla3)^0.5</f>
        <v>0</v>
      </c>
      <c r="K40" s="114">
        <f>Input!K137*(1+vanilla4)^0.5</f>
        <v>0</v>
      </c>
      <c r="L40" s="114">
        <f>Input!L137*(1+vanilla5)^0.5</f>
        <v>0</v>
      </c>
      <c r="M40" s="114">
        <f>Input!M137*(1+vanilla6)^0.5</f>
        <v>0</v>
      </c>
      <c r="N40" s="114">
        <f>Input!N137*(1+vanilla7)^0.5</f>
        <v>0</v>
      </c>
      <c r="O40" s="114">
        <f>Input!O137*(1+vanilla8)^0.5</f>
        <v>0</v>
      </c>
      <c r="P40" s="114">
        <f>Input!P137*(1+vanilla9)^0.5</f>
        <v>0</v>
      </c>
      <c r="Q40" s="114">
        <f>Input!Q137*(1+vanilla10)^0.5</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4"/>
      <c r="BE40" s="104"/>
      <c r="BF40" s="104"/>
      <c r="BG40" s="104"/>
      <c r="BH40" s="104"/>
      <c r="BI40" s="104"/>
      <c r="BJ40" s="104"/>
      <c r="BK40" s="12"/>
      <c r="BL40" s="12"/>
    </row>
    <row r="41" spans="1:64" hidden="1" outlineLevel="1">
      <c r="A41" s="9"/>
      <c r="B41" s="9"/>
      <c r="C41" s="44"/>
      <c r="D41" s="278">
        <f>Asset30</f>
        <v>0</v>
      </c>
      <c r="E41" s="9"/>
      <c r="F41" s="9"/>
      <c r="G41" s="124"/>
      <c r="H41" s="114">
        <f>Input!H138*(1+vanilla1)^0.5</f>
        <v>0</v>
      </c>
      <c r="I41" s="114">
        <f>Input!I138*(1+vanilla2)^0.5</f>
        <v>0</v>
      </c>
      <c r="J41" s="114">
        <f>Input!J138*(1+vanilla3)^0.5</f>
        <v>0</v>
      </c>
      <c r="K41" s="114">
        <f>Input!K138*(1+vanilla4)^0.5</f>
        <v>0</v>
      </c>
      <c r="L41" s="114">
        <f>Input!L138*(1+vanilla5)^0.5</f>
        <v>0</v>
      </c>
      <c r="M41" s="114">
        <f>Input!M138*(1+vanilla6)^0.5</f>
        <v>0</v>
      </c>
      <c r="N41" s="114">
        <f>Input!N138*(1+vanilla7)^0.5</f>
        <v>0</v>
      </c>
      <c r="O41" s="114">
        <f>Input!O138*(1+vanilla8)^0.5</f>
        <v>0</v>
      </c>
      <c r="P41" s="114">
        <f>Input!P138*(1+vanilla9)^0.5</f>
        <v>0</v>
      </c>
      <c r="Q41" s="114">
        <f>Input!Q138*(1+vanilla10)^0.5</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4"/>
      <c r="BE41" s="104"/>
      <c r="BF41" s="104"/>
      <c r="BG41" s="104"/>
      <c r="BH41" s="104"/>
      <c r="BI41" s="104"/>
      <c r="BJ41" s="104"/>
      <c r="BK41" s="12"/>
      <c r="BL41" s="12"/>
    </row>
    <row r="42" spans="1:64" collapsed="1">
      <c r="A42" s="9"/>
      <c r="B42" s="9"/>
      <c r="C42" s="44"/>
      <c r="D42" s="116"/>
      <c r="E42" s="9"/>
      <c r="F42" s="9"/>
      <c r="G42" s="28"/>
      <c r="H42" s="35"/>
      <c r="I42" s="35"/>
      <c r="J42" s="35"/>
      <c r="K42" s="35"/>
      <c r="L42" s="35"/>
      <c r="M42" s="35"/>
      <c r="N42" s="113"/>
      <c r="O42" s="29"/>
      <c r="P42" s="29"/>
      <c r="Q42" s="29"/>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4"/>
      <c r="BE42" s="104"/>
      <c r="BF42" s="104"/>
      <c r="BG42" s="104"/>
      <c r="BH42" s="104"/>
      <c r="BI42" s="104"/>
      <c r="BJ42" s="104"/>
      <c r="BK42" s="12"/>
      <c r="BL42" s="12"/>
    </row>
    <row r="43" spans="1:64">
      <c r="A43" s="9"/>
      <c r="B43" s="9"/>
      <c r="C43" s="44" t="s">
        <v>84</v>
      </c>
      <c r="D43" s="9"/>
      <c r="E43" s="9"/>
      <c r="F43" s="9"/>
      <c r="G43" s="35"/>
      <c r="H43" s="35">
        <f>SUM(H44:H73)</f>
        <v>51.584336580909216</v>
      </c>
      <c r="I43" s="35">
        <f t="shared" ref="I43:P43" si="2">SUM(I44:I73)</f>
        <v>221.37533318022193</v>
      </c>
      <c r="J43" s="35">
        <f t="shared" si="2"/>
        <v>100.9030730075014</v>
      </c>
      <c r="K43" s="35">
        <f t="shared" si="2"/>
        <v>82.66395680159755</v>
      </c>
      <c r="L43" s="35">
        <f t="shared" si="2"/>
        <v>109.8006067436889</v>
      </c>
      <c r="M43" s="35">
        <f t="shared" si="2"/>
        <v>0</v>
      </c>
      <c r="N43" s="35">
        <f t="shared" si="2"/>
        <v>0</v>
      </c>
      <c r="O43" s="35">
        <f t="shared" si="2"/>
        <v>0</v>
      </c>
      <c r="P43" s="35">
        <f t="shared" si="2"/>
        <v>0</v>
      </c>
      <c r="Q43" s="35">
        <f>SUM(Q44:Q73)</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104"/>
      <c r="BE43" s="104"/>
      <c r="BF43" s="104"/>
      <c r="BG43" s="104"/>
      <c r="BH43" s="104"/>
      <c r="BI43" s="104"/>
      <c r="BJ43" s="104"/>
      <c r="BK43" s="12"/>
      <c r="BL43" s="12"/>
    </row>
    <row r="44" spans="1:64" hidden="1" outlineLevel="1">
      <c r="A44" s="9"/>
      <c r="B44" s="9"/>
      <c r="C44" s="44"/>
      <c r="D44" s="278" t="str">
        <f>Asset1</f>
        <v>Transmission Lines and Cables</v>
      </c>
      <c r="E44" s="9"/>
      <c r="F44" s="9"/>
      <c r="G44" s="124"/>
      <c r="H44" s="114">
        <f>Input!H211*(1+vanilla1)^0.5</f>
        <v>0</v>
      </c>
      <c r="I44" s="114">
        <f>Input!I211*(1+vanilla2)^0.5</f>
        <v>0</v>
      </c>
      <c r="J44" s="114">
        <f>Input!J211*(1+vanilla3)^0.5</f>
        <v>0</v>
      </c>
      <c r="K44" s="114">
        <f>Input!K211*(1+vanilla4)^0.5</f>
        <v>-0.21137555746767867</v>
      </c>
      <c r="L44" s="114">
        <f>Input!L211*(1+vanilla5)^0.5</f>
        <v>0</v>
      </c>
      <c r="M44" s="114">
        <f>Input!M211*(1+vanilla6)^0.5</f>
        <v>0</v>
      </c>
      <c r="N44" s="114">
        <f>Input!N211*(1+vanilla7)^0.5</f>
        <v>0</v>
      </c>
      <c r="O44" s="114">
        <f>Input!O211*(1+vanilla8)^0.5</f>
        <v>0</v>
      </c>
      <c r="P44" s="114">
        <f>Input!P211*(1+vanilla9)^0.5</f>
        <v>0</v>
      </c>
      <c r="Q44" s="114">
        <f>Input!Q211*(1+vanilla10)^0.5</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104"/>
      <c r="BE44" s="104"/>
      <c r="BF44" s="104"/>
      <c r="BG44" s="104"/>
      <c r="BH44" s="104"/>
      <c r="BI44" s="104"/>
      <c r="BJ44" s="104"/>
      <c r="BK44" s="12"/>
      <c r="BL44" s="12"/>
    </row>
    <row r="45" spans="1:64" hidden="1" outlineLevel="1">
      <c r="A45" s="9"/>
      <c r="B45" s="9"/>
      <c r="C45" s="44"/>
      <c r="D45" s="278" t="str">
        <f>Asset2</f>
        <v>Transmission Substations</v>
      </c>
      <c r="E45" s="9"/>
      <c r="F45" s="9"/>
      <c r="G45" s="124"/>
      <c r="H45" s="114">
        <f>Input!H212*(1+vanilla1)^0.5</f>
        <v>0</v>
      </c>
      <c r="I45" s="114">
        <f>Input!I212*(1+vanilla2)^0.5</f>
        <v>-0.5304760143266416</v>
      </c>
      <c r="J45" s="114">
        <f>Input!J212*(1+vanilla3)^0.5</f>
        <v>0</v>
      </c>
      <c r="K45" s="114">
        <f>Input!K212*(1+vanilla4)^0.5</f>
        <v>0</v>
      </c>
      <c r="L45" s="114">
        <f>Input!L212*(1+vanilla5)^0.5</f>
        <v>0</v>
      </c>
      <c r="M45" s="114">
        <f>Input!M212*(1+vanilla6)^0.5</f>
        <v>0</v>
      </c>
      <c r="N45" s="114">
        <f>Input!N212*(1+vanilla7)^0.5</f>
        <v>0</v>
      </c>
      <c r="O45" s="114">
        <f>Input!O212*(1+vanilla8)^0.5</f>
        <v>0</v>
      </c>
      <c r="P45" s="114">
        <f>Input!P212*(1+vanilla9)^0.5</f>
        <v>0</v>
      </c>
      <c r="Q45" s="114">
        <f>Input!Q212*(1+vanilla10)^0.5</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104"/>
      <c r="BE45" s="104"/>
      <c r="BF45" s="104"/>
      <c r="BG45" s="104"/>
      <c r="BH45" s="104"/>
      <c r="BI45" s="104"/>
      <c r="BJ45" s="104"/>
      <c r="BK45" s="12"/>
      <c r="BL45" s="12"/>
    </row>
    <row r="46" spans="1:64" hidden="1" outlineLevel="1">
      <c r="A46" s="9"/>
      <c r="B46" s="9"/>
      <c r="C46" s="44"/>
      <c r="D46" s="278" t="str">
        <f>Asset3</f>
        <v>Protection and Control</v>
      </c>
      <c r="E46" s="9"/>
      <c r="F46" s="9"/>
      <c r="G46" s="124"/>
      <c r="H46" s="114">
        <f>Input!H213*(1+vanilla1)^0.5</f>
        <v>0</v>
      </c>
      <c r="I46" s="114">
        <f>Input!I213*(1+vanilla2)^0.5</f>
        <v>-4.3956581224806474E-2</v>
      </c>
      <c r="J46" s="114">
        <f>Input!J213*(1+vanilla3)^0.5</f>
        <v>0</v>
      </c>
      <c r="K46" s="114">
        <f>Input!K213*(1+vanilla4)^0.5</f>
        <v>0</v>
      </c>
      <c r="L46" s="114">
        <f>Input!L213*(1+vanilla5)^0.5</f>
        <v>0</v>
      </c>
      <c r="M46" s="114">
        <f>Input!M213*(1+vanilla6)^0.5</f>
        <v>0</v>
      </c>
      <c r="N46" s="114">
        <f>Input!N213*(1+vanilla7)^0.5</f>
        <v>0</v>
      </c>
      <c r="O46" s="114">
        <f>Input!O213*(1+vanilla8)^0.5</f>
        <v>0</v>
      </c>
      <c r="P46" s="114">
        <f>Input!P213*(1+vanilla9)^0.5</f>
        <v>0</v>
      </c>
      <c r="Q46" s="114">
        <f>Input!Q213*(1+vanilla10)^0.5</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104"/>
      <c r="BE46" s="104"/>
      <c r="BF46" s="104"/>
      <c r="BG46" s="104"/>
      <c r="BH46" s="104"/>
      <c r="BI46" s="104"/>
      <c r="BJ46" s="104"/>
      <c r="BK46" s="12"/>
      <c r="BL46" s="12"/>
    </row>
    <row r="47" spans="1:64" hidden="1" outlineLevel="1">
      <c r="A47" s="9"/>
      <c r="B47" s="9"/>
      <c r="C47" s="44"/>
      <c r="D47" s="278" t="str">
        <f>Asset4</f>
        <v>Refurbishment</v>
      </c>
      <c r="E47" s="9"/>
      <c r="F47" s="9"/>
      <c r="G47" s="124"/>
      <c r="H47" s="114">
        <f>Input!H214*(1+vanilla1)^0.5</f>
        <v>0</v>
      </c>
      <c r="I47" s="114">
        <f>Input!I214*(1+vanilla2)^0.5</f>
        <v>0</v>
      </c>
      <c r="J47" s="114">
        <f>Input!J214*(1+vanilla3)^0.5</f>
        <v>0</v>
      </c>
      <c r="K47" s="114">
        <f>Input!K214*(1+vanilla4)^0.5</f>
        <v>0</v>
      </c>
      <c r="L47" s="114">
        <f>Input!L214*(1+vanilla5)^0.5</f>
        <v>0</v>
      </c>
      <c r="M47" s="114">
        <f>Input!M214*(1+vanilla6)^0.5</f>
        <v>0</v>
      </c>
      <c r="N47" s="114">
        <f>Input!N214*(1+vanilla7)^0.5</f>
        <v>0</v>
      </c>
      <c r="O47" s="114">
        <f>Input!O214*(1+vanilla8)^0.5</f>
        <v>0</v>
      </c>
      <c r="P47" s="114">
        <f>Input!P214*(1+vanilla9)^0.5</f>
        <v>0</v>
      </c>
      <c r="Q47" s="114">
        <f>Input!Q214*(1+vanilla10)^0.5</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104"/>
      <c r="BE47" s="104"/>
      <c r="BF47" s="104"/>
      <c r="BG47" s="104"/>
      <c r="BH47" s="104"/>
      <c r="BI47" s="104"/>
      <c r="BJ47" s="104"/>
      <c r="BK47" s="12"/>
      <c r="BL47" s="12"/>
    </row>
    <row r="48" spans="1:64" hidden="1" outlineLevel="1">
      <c r="A48" s="9"/>
      <c r="B48" s="9"/>
      <c r="C48" s="44"/>
      <c r="D48" s="278" t="str">
        <f>Asset5</f>
        <v>Other</v>
      </c>
      <c r="E48" s="9"/>
      <c r="F48" s="9"/>
      <c r="G48" s="124"/>
      <c r="H48" s="114">
        <f>Input!H215*(1+vanilla1)^0.5</f>
        <v>0</v>
      </c>
      <c r="I48" s="114">
        <f>Input!I215*(1+vanilla2)^0.5</f>
        <v>0</v>
      </c>
      <c r="J48" s="114">
        <f>Input!J215*(1+vanilla3)^0.5</f>
        <v>0</v>
      </c>
      <c r="K48" s="114">
        <f>Input!K215*(1+vanilla4)^0.5</f>
        <v>0</v>
      </c>
      <c r="L48" s="114">
        <f>Input!L215*(1+vanilla5)^0.5</f>
        <v>0</v>
      </c>
      <c r="M48" s="114">
        <f>Input!M215*(1+vanilla6)^0.5</f>
        <v>0</v>
      </c>
      <c r="N48" s="114">
        <f>Input!N215*(1+vanilla7)^0.5</f>
        <v>0</v>
      </c>
      <c r="O48" s="114">
        <f>Input!O215*(1+vanilla8)^0.5</f>
        <v>0</v>
      </c>
      <c r="P48" s="114">
        <f>Input!P215*(1+vanilla9)^0.5</f>
        <v>0</v>
      </c>
      <c r="Q48" s="114">
        <f>Input!Q215*(1+vanilla10)^0.5</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104"/>
      <c r="BE48" s="104"/>
      <c r="BF48" s="104"/>
      <c r="BG48" s="104"/>
      <c r="BH48" s="104"/>
      <c r="BI48" s="104"/>
      <c r="BJ48" s="104"/>
      <c r="BK48" s="12"/>
      <c r="BL48" s="12"/>
    </row>
    <row r="49" spans="1:64" hidden="1" outlineLevel="1">
      <c r="A49" s="9"/>
      <c r="B49" s="9"/>
      <c r="C49" s="44"/>
      <c r="D49" s="278" t="str">
        <f>Asset6</f>
        <v>Other - IT</v>
      </c>
      <c r="E49" s="9"/>
      <c r="F49" s="9"/>
      <c r="G49" s="124"/>
      <c r="H49" s="114">
        <f>Input!H216*(1+vanilla1)^0.5</f>
        <v>0</v>
      </c>
      <c r="I49" s="114">
        <f>Input!I216*(1+vanilla2)^0.5</f>
        <v>-4.9950660482734619E-3</v>
      </c>
      <c r="J49" s="114">
        <f>Input!J216*(1+vanilla3)^0.5</f>
        <v>0</v>
      </c>
      <c r="K49" s="114">
        <f>Input!K216*(1+vanilla4)^0.5</f>
        <v>0</v>
      </c>
      <c r="L49" s="114">
        <f>Input!L216*(1+vanilla5)^0.5</f>
        <v>0</v>
      </c>
      <c r="M49" s="114">
        <f>Input!M216*(1+vanilla6)^0.5</f>
        <v>0</v>
      </c>
      <c r="N49" s="114">
        <f>Input!N216*(1+vanilla7)^0.5</f>
        <v>0</v>
      </c>
      <c r="O49" s="114">
        <f>Input!O216*(1+vanilla8)^0.5</f>
        <v>0</v>
      </c>
      <c r="P49" s="114">
        <f>Input!P216*(1+vanilla9)^0.5</f>
        <v>0</v>
      </c>
      <c r="Q49" s="114">
        <f>Input!Q216*(1+vanilla10)^0.5</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104"/>
      <c r="BE49" s="104"/>
      <c r="BF49" s="104"/>
      <c r="BG49" s="104"/>
      <c r="BH49" s="104"/>
      <c r="BI49" s="104"/>
      <c r="BJ49" s="104"/>
      <c r="BK49" s="12"/>
      <c r="BL49" s="12"/>
    </row>
    <row r="50" spans="1:64" hidden="1" outlineLevel="1">
      <c r="A50" s="9"/>
      <c r="B50" s="9"/>
      <c r="C50" s="44"/>
      <c r="D50" s="278" t="str">
        <f>Asset7</f>
        <v>Other - General</v>
      </c>
      <c r="E50" s="9"/>
      <c r="F50" s="9"/>
      <c r="G50" s="124"/>
      <c r="H50" s="114">
        <f>Input!H217*(1+vanilla1)^0.5</f>
        <v>0</v>
      </c>
      <c r="I50" s="114">
        <f>Input!I217*(1+vanilla2)^0.5</f>
        <v>0</v>
      </c>
      <c r="J50" s="114">
        <f>Input!J217*(1+vanilla3)^0.5</f>
        <v>0</v>
      </c>
      <c r="K50" s="114">
        <f>Input!K217*(1+vanilla4)^0.5</f>
        <v>0</v>
      </c>
      <c r="L50" s="114">
        <f>Input!L217*(1+vanilla5)^0.5</f>
        <v>0</v>
      </c>
      <c r="M50" s="114">
        <f>Input!M217*(1+vanilla6)^0.5</f>
        <v>0</v>
      </c>
      <c r="N50" s="114">
        <f>Input!N217*(1+vanilla7)^0.5</f>
        <v>0</v>
      </c>
      <c r="O50" s="114">
        <f>Input!O217*(1+vanilla8)^0.5</f>
        <v>0</v>
      </c>
      <c r="P50" s="114">
        <f>Input!P217*(1+vanilla9)^0.5</f>
        <v>0</v>
      </c>
      <c r="Q50" s="114">
        <f>Input!Q217*(1+vanilla10)^0.5</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104"/>
      <c r="BE50" s="104"/>
      <c r="BF50" s="104"/>
      <c r="BG50" s="104"/>
      <c r="BH50" s="104"/>
      <c r="BI50" s="104"/>
      <c r="BJ50" s="104"/>
      <c r="BK50" s="12"/>
      <c r="BL50" s="12"/>
    </row>
    <row r="51" spans="1:64" hidden="1" outlineLevel="1">
      <c r="A51" s="9"/>
      <c r="B51" s="9"/>
      <c r="C51" s="44"/>
      <c r="D51" s="278" t="str">
        <f>Asset8</f>
        <v>Other - Buildings</v>
      </c>
      <c r="E51" s="9"/>
      <c r="F51" s="9"/>
      <c r="G51" s="124"/>
      <c r="H51" s="114">
        <f>Input!H218*(1+vanilla1)^0.5</f>
        <v>0</v>
      </c>
      <c r="I51" s="114">
        <f>Input!I218*(1+vanilla2)^0.5</f>
        <v>0</v>
      </c>
      <c r="J51" s="114">
        <f>Input!J218*(1+vanilla3)^0.5</f>
        <v>0</v>
      </c>
      <c r="K51" s="114">
        <f>Input!K218*(1+vanilla4)^0.5</f>
        <v>0</v>
      </c>
      <c r="L51" s="114">
        <f>Input!L218*(1+vanilla5)^0.5</f>
        <v>0</v>
      </c>
      <c r="M51" s="114">
        <f>Input!M218*(1+vanilla6)^0.5</f>
        <v>0</v>
      </c>
      <c r="N51" s="114">
        <f>Input!N218*(1+vanilla7)^0.5</f>
        <v>0</v>
      </c>
      <c r="O51" s="114">
        <f>Input!O218*(1+vanilla8)^0.5</f>
        <v>0</v>
      </c>
      <c r="P51" s="114">
        <f>Input!P218*(1+vanilla9)^0.5</f>
        <v>0</v>
      </c>
      <c r="Q51" s="114">
        <f>Input!Q218*(1+vanilla10)^0.5</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104"/>
      <c r="BE51" s="104"/>
      <c r="BF51" s="104"/>
      <c r="BG51" s="104"/>
      <c r="BH51" s="104"/>
      <c r="BI51" s="104"/>
      <c r="BJ51" s="104"/>
      <c r="BK51" s="12"/>
      <c r="BL51" s="12"/>
    </row>
    <row r="52" spans="1:64" hidden="1" outlineLevel="1">
      <c r="A52" s="9"/>
      <c r="B52" s="9"/>
      <c r="C52" s="44"/>
      <c r="D52" s="278" t="str">
        <f>Asset9</f>
        <v>Land and Easements</v>
      </c>
      <c r="E52" s="9"/>
      <c r="F52" s="9"/>
      <c r="G52" s="124"/>
      <c r="H52" s="114">
        <f>Input!H219*(1+vanilla1)^0.5</f>
        <v>0</v>
      </c>
      <c r="I52" s="114">
        <f>Input!I219*(1+vanilla2)^0.5</f>
        <v>0</v>
      </c>
      <c r="J52" s="114">
        <f>Input!J219*(1+vanilla3)^0.5</f>
        <v>0</v>
      </c>
      <c r="K52" s="114">
        <f>Input!K219*(1+vanilla4)^0.5</f>
        <v>0</v>
      </c>
      <c r="L52" s="114">
        <f>Input!L219*(1+vanilla5)^0.5</f>
        <v>0</v>
      </c>
      <c r="M52" s="114">
        <f>Input!M219*(1+vanilla6)^0.5</f>
        <v>0</v>
      </c>
      <c r="N52" s="114">
        <f>Input!N219*(1+vanilla7)^0.5</f>
        <v>0</v>
      </c>
      <c r="O52" s="114">
        <f>Input!O219*(1+vanilla8)^0.5</f>
        <v>0</v>
      </c>
      <c r="P52" s="114">
        <f>Input!P219*(1+vanilla9)^0.5</f>
        <v>0</v>
      </c>
      <c r="Q52" s="114">
        <f>Input!Q219*(1+vanilla10)^0.5</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104"/>
      <c r="BE52" s="104"/>
      <c r="BF52" s="104"/>
      <c r="BG52" s="104"/>
      <c r="BH52" s="104"/>
      <c r="BI52" s="104"/>
      <c r="BJ52" s="104"/>
      <c r="BK52" s="12"/>
      <c r="BL52" s="12"/>
    </row>
    <row r="53" spans="1:64" hidden="1" outlineLevel="1">
      <c r="A53" s="9"/>
      <c r="B53" s="9"/>
      <c r="C53" s="44"/>
      <c r="D53" s="278" t="str">
        <f>Asset10</f>
        <v>Transmission line assets - long life (60)</v>
      </c>
      <c r="E53" s="9"/>
      <c r="F53" s="9"/>
      <c r="G53" s="124"/>
      <c r="H53" s="114">
        <f>Input!H220*(1+vanilla1)^0.5</f>
        <v>1.2283969226719764</v>
      </c>
      <c r="I53" s="114">
        <f>Input!I220*(1+vanilla2)^0.5</f>
        <v>110.55080178038826</v>
      </c>
      <c r="J53" s="114">
        <f>Input!J220*(1+vanilla3)^0.5</f>
        <v>16.888113127433499</v>
      </c>
      <c r="K53" s="114">
        <f>Input!K220*(1+vanilla4)^0.5</f>
        <v>9.23038196690697</v>
      </c>
      <c r="L53" s="114">
        <f>Input!L220*(1+vanilla5)^0.5</f>
        <v>38.19873126886219</v>
      </c>
      <c r="M53" s="114">
        <f>Input!M220*(1+vanilla6)^0.5</f>
        <v>0</v>
      </c>
      <c r="N53" s="114">
        <f>Input!N220*(1+vanilla7)^0.5</f>
        <v>0</v>
      </c>
      <c r="O53" s="114">
        <f>Input!O220*(1+vanilla8)^0.5</f>
        <v>0</v>
      </c>
      <c r="P53" s="114">
        <f>Input!P220*(1+vanilla9)^0.5</f>
        <v>0</v>
      </c>
      <c r="Q53" s="114">
        <f>Input!Q220*(1+vanilla10)^0.5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104"/>
      <c r="BE53" s="104"/>
      <c r="BF53" s="104"/>
      <c r="BG53" s="104"/>
      <c r="BH53" s="104"/>
      <c r="BI53" s="104"/>
      <c r="BJ53" s="104"/>
      <c r="BK53" s="12"/>
      <c r="BL53" s="12"/>
    </row>
    <row r="54" spans="1:64" hidden="1" outlineLevel="1">
      <c r="A54" s="9"/>
      <c r="B54" s="9"/>
      <c r="C54" s="44"/>
      <c r="D54" s="278" t="str">
        <f>Asset11</f>
        <v>Transmission line assets - medium life (45)</v>
      </c>
      <c r="E54" s="9"/>
      <c r="F54" s="9"/>
      <c r="G54" s="124"/>
      <c r="H54" s="114">
        <f>Input!H221*(1+vanilla1)^0.5</f>
        <v>1.3184714456597064E-2</v>
      </c>
      <c r="I54" s="114">
        <f>Input!I221*(1+vanilla2)^0.5</f>
        <v>2.997039628964077E-2</v>
      </c>
      <c r="J54" s="114">
        <f>Input!J221*(1+vanilla3)^0.5</f>
        <v>0.18117001822482298</v>
      </c>
      <c r="K54" s="114">
        <f>Input!K221*(1+vanilla4)^0.5</f>
        <v>0.36113940535957656</v>
      </c>
      <c r="L54" s="114">
        <f>Input!L221*(1+vanilla5)^0.5</f>
        <v>0.14040852202364196</v>
      </c>
      <c r="M54" s="114">
        <f>Input!M221*(1+vanilla6)^0.5</f>
        <v>0</v>
      </c>
      <c r="N54" s="114">
        <f>Input!N221*(1+vanilla7)^0.5</f>
        <v>0</v>
      </c>
      <c r="O54" s="114">
        <f>Input!O221*(1+vanilla8)^0.5</f>
        <v>0</v>
      </c>
      <c r="P54" s="114">
        <f>Input!P221*(1+vanilla9)^0.5</f>
        <v>0</v>
      </c>
      <c r="Q54" s="114">
        <f>Input!Q221*(1+vanilla10)^0.5</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104"/>
      <c r="BE54" s="104"/>
      <c r="BF54" s="104"/>
      <c r="BG54" s="104"/>
      <c r="BH54" s="104"/>
      <c r="BI54" s="104"/>
      <c r="BJ54" s="104"/>
      <c r="BK54" s="12"/>
      <c r="BL54" s="12"/>
    </row>
    <row r="55" spans="1:64" hidden="1" outlineLevel="1">
      <c r="A55" s="9"/>
      <c r="B55" s="9"/>
      <c r="C55" s="44"/>
      <c r="D55" s="278" t="str">
        <f>Asset12</f>
        <v>Transmission line assets - short life (10)</v>
      </c>
      <c r="E55" s="9"/>
      <c r="F55" s="9"/>
      <c r="G55" s="124"/>
      <c r="H55" s="114">
        <f>Input!H222*(1+vanilla1)^0.5</f>
        <v>0.36951867405631089</v>
      </c>
      <c r="I55" s="114">
        <f>Input!I222*(1+vanilla2)^0.5</f>
        <v>0.38262205929774723</v>
      </c>
      <c r="J55" s="114">
        <f>Input!J222*(1+vanilla3)^0.5</f>
        <v>0.49558147842451578</v>
      </c>
      <c r="K55" s="114">
        <f>Input!K222*(1+vanilla4)^0.5</f>
        <v>0.60474262629766362</v>
      </c>
      <c r="L55" s="114">
        <f>Input!L222*(1+vanilla5)^0.5</f>
        <v>3.2500283334696212</v>
      </c>
      <c r="M55" s="114">
        <f>Input!M222*(1+vanilla6)^0.5</f>
        <v>0</v>
      </c>
      <c r="N55" s="114">
        <f>Input!N222*(1+vanilla7)^0.5</f>
        <v>0</v>
      </c>
      <c r="O55" s="114">
        <f>Input!O222*(1+vanilla8)^0.5</f>
        <v>0</v>
      </c>
      <c r="P55" s="114">
        <f>Input!P222*(1+vanilla9)^0.5</f>
        <v>0</v>
      </c>
      <c r="Q55" s="114">
        <f>Input!Q222*(1+vanilla10)^0.5</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104"/>
      <c r="BE55" s="104"/>
      <c r="BF55" s="104"/>
      <c r="BG55" s="104"/>
      <c r="BH55" s="104"/>
      <c r="BI55" s="104"/>
      <c r="BJ55" s="104"/>
      <c r="BK55" s="12"/>
      <c r="BL55" s="12"/>
    </row>
    <row r="56" spans="1:64" hidden="1" outlineLevel="1">
      <c r="A56" s="9"/>
      <c r="B56" s="9"/>
      <c r="C56" s="44"/>
      <c r="D56" s="278" t="str">
        <f>Asset13</f>
        <v>Substation assets - long life (60)</v>
      </c>
      <c r="E56" s="9"/>
      <c r="F56" s="9"/>
      <c r="G56" s="124"/>
      <c r="H56" s="114">
        <f>Input!H223*(1+vanilla1)^0.5</f>
        <v>2.4372542113406368</v>
      </c>
      <c r="I56" s="114">
        <f>Input!I223*(1+vanilla2)^0.5</f>
        <v>21.887380410324656</v>
      </c>
      <c r="J56" s="114">
        <f>Input!J223*(1+vanilla3)^0.5</f>
        <v>10.438843907239802</v>
      </c>
      <c r="K56" s="114">
        <f>Input!K223*(1+vanilla4)^0.5</f>
        <v>7.5678136808159033</v>
      </c>
      <c r="L56" s="114">
        <f>Input!L223*(1+vanilla5)^0.5</f>
        <v>9.1098929887953091</v>
      </c>
      <c r="M56" s="114">
        <f>Input!M223*(1+vanilla6)^0.5</f>
        <v>0</v>
      </c>
      <c r="N56" s="114">
        <f>Input!N223*(1+vanilla7)^0.5</f>
        <v>0</v>
      </c>
      <c r="O56" s="114">
        <f>Input!O223*(1+vanilla8)^0.5</f>
        <v>0</v>
      </c>
      <c r="P56" s="114">
        <f>Input!P223*(1+vanilla9)^0.5</f>
        <v>0</v>
      </c>
      <c r="Q56" s="114">
        <f>Input!Q223*(1+vanilla10)^0.5</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104"/>
      <c r="BE56" s="104"/>
      <c r="BF56" s="104"/>
      <c r="BG56" s="104"/>
      <c r="BH56" s="104"/>
      <c r="BI56" s="104"/>
      <c r="BJ56" s="104"/>
      <c r="BK56" s="12"/>
      <c r="BL56" s="12"/>
    </row>
    <row r="57" spans="1:64" hidden="1" outlineLevel="1">
      <c r="A57" s="9"/>
      <c r="B57" s="9"/>
      <c r="C57" s="44"/>
      <c r="D57" s="278" t="str">
        <f>Asset14</f>
        <v>Substation assets - medium life (45)</v>
      </c>
      <c r="E57" s="9"/>
      <c r="F57" s="9"/>
      <c r="G57" s="124"/>
      <c r="H57" s="114">
        <f>Input!H224*(1+vanilla1)^0.5</f>
        <v>11.489929414028074</v>
      </c>
      <c r="I57" s="114">
        <f>Input!I224*(1+vanilla2)^0.5</f>
        <v>53.347305395560575</v>
      </c>
      <c r="J57" s="114">
        <f>Input!J224*(1+vanilla3)^0.5</f>
        <v>44.494014475881528</v>
      </c>
      <c r="K57" s="114">
        <f>Input!K224*(1+vanilla4)^0.5</f>
        <v>35.455169179724308</v>
      </c>
      <c r="L57" s="114">
        <f>Input!L224*(1+vanilla5)^0.5</f>
        <v>27.70459018001581</v>
      </c>
      <c r="M57" s="114">
        <f>Input!M224*(1+vanilla6)^0.5</f>
        <v>0</v>
      </c>
      <c r="N57" s="114">
        <f>Input!N224*(1+vanilla7)^0.5</f>
        <v>0</v>
      </c>
      <c r="O57" s="114">
        <f>Input!O224*(1+vanilla8)^0.5</f>
        <v>0</v>
      </c>
      <c r="P57" s="114">
        <f>Input!P224*(1+vanilla9)^0.5</f>
        <v>0</v>
      </c>
      <c r="Q57" s="114">
        <f>Input!Q224*(1+vanilla10)^0.5</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104"/>
      <c r="BE57" s="104"/>
      <c r="BF57" s="104"/>
      <c r="BG57" s="104"/>
      <c r="BH57" s="104"/>
      <c r="BI57" s="104"/>
      <c r="BJ57" s="104"/>
      <c r="BK57" s="12"/>
      <c r="BL57" s="12"/>
    </row>
    <row r="58" spans="1:64" hidden="1" outlineLevel="1">
      <c r="A58" s="9"/>
      <c r="B58" s="9"/>
      <c r="C58" s="44"/>
      <c r="D58" s="278" t="str">
        <f>Asset15</f>
        <v>Substation assets - short life (15)</v>
      </c>
      <c r="E58" s="9"/>
      <c r="F58" s="9"/>
      <c r="G58" s="124"/>
      <c r="H58" s="114">
        <f>Input!H225*(1+vanilla1)^0.5</f>
        <v>12.059577797018145</v>
      </c>
      <c r="I58" s="114">
        <f>Input!I225*(1+vanilla2)^0.5</f>
        <v>1.5344842900296076</v>
      </c>
      <c r="J58" s="114">
        <f>Input!J225*(1+vanilla3)^0.5</f>
        <v>1.0333401039489905</v>
      </c>
      <c r="K58" s="114">
        <f>Input!K225*(1+vanilla4)^0.5</f>
        <v>3.8350919529785998</v>
      </c>
      <c r="L58" s="114">
        <f>Input!L225*(1+vanilla5)^0.5</f>
        <v>4.6339293246252184</v>
      </c>
      <c r="M58" s="114">
        <f>Input!M225*(1+vanilla6)^0.5</f>
        <v>0</v>
      </c>
      <c r="N58" s="114">
        <f>Input!N225*(1+vanilla7)^0.5</f>
        <v>0</v>
      </c>
      <c r="O58" s="114">
        <f>Input!O225*(1+vanilla8)^0.5</f>
        <v>0</v>
      </c>
      <c r="P58" s="114">
        <f>Input!P225*(1+vanilla9)^0.5</f>
        <v>0</v>
      </c>
      <c r="Q58" s="114">
        <f>Input!Q225*(1+vanilla10)^0.5</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104"/>
      <c r="BE58" s="104"/>
      <c r="BF58" s="104"/>
      <c r="BG58" s="104"/>
      <c r="BH58" s="104"/>
      <c r="BI58" s="104"/>
      <c r="BJ58" s="104"/>
      <c r="BK58" s="12"/>
      <c r="BL58" s="12"/>
    </row>
    <row r="59" spans="1:64" hidden="1" outlineLevel="1">
      <c r="A59" s="9"/>
      <c r="B59" s="9"/>
      <c r="C59" s="44"/>
      <c r="D59" s="278" t="str">
        <f>Asset16</f>
        <v>Protection and control - short life (15)</v>
      </c>
      <c r="E59" s="9"/>
      <c r="F59" s="9"/>
      <c r="G59" s="124"/>
      <c r="H59" s="114">
        <f>Input!H226*(1+vanilla1)^0.5</f>
        <v>10.746240748913454</v>
      </c>
      <c r="I59" s="114">
        <f>Input!I226*(1+vanilla2)^0.5</f>
        <v>13.564601360691412</v>
      </c>
      <c r="J59" s="114">
        <f>Input!J226*(1+vanilla3)^0.5</f>
        <v>18.869480469606565</v>
      </c>
      <c r="K59" s="114">
        <f>Input!K226*(1+vanilla4)^0.5</f>
        <v>17.159335053082451</v>
      </c>
      <c r="L59" s="114">
        <f>Input!L226*(1+vanilla5)^0.5</f>
        <v>18.52208726979211</v>
      </c>
      <c r="M59" s="114">
        <f>Input!M226*(1+vanilla6)^0.5</f>
        <v>0</v>
      </c>
      <c r="N59" s="114">
        <f>Input!N226*(1+vanilla7)^0.5</f>
        <v>0</v>
      </c>
      <c r="O59" s="114">
        <f>Input!O226*(1+vanilla8)^0.5</f>
        <v>0</v>
      </c>
      <c r="P59" s="114">
        <f>Input!P226*(1+vanilla9)^0.5</f>
        <v>0</v>
      </c>
      <c r="Q59" s="114">
        <f>Input!Q226*(1+vanilla10)^0.5</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104"/>
      <c r="BE59" s="104"/>
      <c r="BF59" s="104"/>
      <c r="BG59" s="104"/>
      <c r="BH59" s="104"/>
      <c r="BI59" s="104"/>
      <c r="BJ59" s="104"/>
      <c r="BK59" s="12"/>
      <c r="BL59" s="12"/>
    </row>
    <row r="60" spans="1:64" hidden="1" outlineLevel="1">
      <c r="A60" s="9"/>
      <c r="B60" s="9"/>
      <c r="C60" s="44"/>
      <c r="D60" s="278" t="str">
        <f>Asset17</f>
        <v>Protection and control - short life (4)</v>
      </c>
      <c r="E60" s="9"/>
      <c r="F60" s="9"/>
      <c r="G60" s="124"/>
      <c r="H60" s="114">
        <f>Input!H227*(1+vanilla1)^0.5</f>
        <v>4.23059589191533E-2</v>
      </c>
      <c r="I60" s="114">
        <f>Input!I227*(1+vanilla2)^0.5</f>
        <v>7.2927964304792536E-2</v>
      </c>
      <c r="J60" s="114">
        <f>Input!J227*(1+vanilla3)^0.5</f>
        <v>1.2116344075988164</v>
      </c>
      <c r="K60" s="114">
        <f>Input!K227*(1+vanilla4)^0.5</f>
        <v>0.28530960895861557</v>
      </c>
      <c r="L60" s="114">
        <f>Input!L227*(1+vanilla5)^0.5</f>
        <v>0</v>
      </c>
      <c r="M60" s="114">
        <f>Input!M227*(1+vanilla6)^0.5</f>
        <v>0</v>
      </c>
      <c r="N60" s="114">
        <f>Input!N227*(1+vanilla7)^0.5</f>
        <v>0</v>
      </c>
      <c r="O60" s="114">
        <f>Input!O227*(1+vanilla8)^0.5</f>
        <v>0</v>
      </c>
      <c r="P60" s="114">
        <f>Input!P227*(1+vanilla9)^0.5</f>
        <v>0</v>
      </c>
      <c r="Q60" s="114">
        <f>Input!Q227*(1+vanilla10)^0.5</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104"/>
      <c r="BE60" s="104"/>
      <c r="BF60" s="104"/>
      <c r="BG60" s="104"/>
      <c r="BH60" s="104"/>
      <c r="BI60" s="104"/>
      <c r="BJ60" s="104"/>
      <c r="BK60" s="12"/>
      <c r="BL60" s="12"/>
    </row>
    <row r="61" spans="1:64" hidden="1" outlineLevel="1">
      <c r="A61" s="9"/>
      <c r="B61" s="9"/>
      <c r="C61" s="44"/>
      <c r="D61" s="278" t="str">
        <f>Asset18</f>
        <v>Transmission operations - short life (10)</v>
      </c>
      <c r="E61" s="9"/>
      <c r="F61" s="9"/>
      <c r="G61" s="124"/>
      <c r="H61" s="114">
        <f>Input!H228*(1+vanilla1)^0.5</f>
        <v>1.1628066862270616</v>
      </c>
      <c r="I61" s="114">
        <f>Input!I228*(1+vanilla2)^0.5</f>
        <v>1.588431003350961</v>
      </c>
      <c r="J61" s="114">
        <f>Input!J228*(1+vanilla3)^0.5</f>
        <v>2.4481916748476076</v>
      </c>
      <c r="K61" s="114">
        <f>Input!K228*(1+vanilla4)^0.5</f>
        <v>1.7241799956668493</v>
      </c>
      <c r="L61" s="114">
        <f>Input!L228*(1+vanilla5)^0.5</f>
        <v>1.3865340301462985</v>
      </c>
      <c r="M61" s="114">
        <f>Input!M228*(1+vanilla6)^0.5</f>
        <v>0</v>
      </c>
      <c r="N61" s="114">
        <f>Input!N228*(1+vanilla7)^0.5</f>
        <v>0</v>
      </c>
      <c r="O61" s="114">
        <f>Input!O228*(1+vanilla8)^0.5</f>
        <v>0</v>
      </c>
      <c r="P61" s="114">
        <f>Input!P228*(1+vanilla9)^0.5</f>
        <v>0</v>
      </c>
      <c r="Q61" s="114">
        <f>Input!Q228*(1+vanilla10)^0.5</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104"/>
      <c r="BE61" s="104"/>
      <c r="BF61" s="104"/>
      <c r="BG61" s="104"/>
      <c r="BH61" s="104"/>
      <c r="BI61" s="104"/>
      <c r="BJ61" s="104"/>
      <c r="BK61" s="12"/>
      <c r="BL61" s="12"/>
    </row>
    <row r="62" spans="1:64" hidden="1" outlineLevel="1">
      <c r="A62" s="9"/>
      <c r="B62" s="9"/>
      <c r="C62" s="44"/>
      <c r="D62" s="278" t="str">
        <f>Asset19</f>
        <v>Transmission operations - short life (4)</v>
      </c>
      <c r="E62" s="9"/>
      <c r="F62" s="9"/>
      <c r="G62" s="124"/>
      <c r="H62" s="114">
        <f>Input!H229*(1+vanilla1)^0.5</f>
        <v>4.5657778977041999E-2</v>
      </c>
      <c r="I62" s="114">
        <f>Input!I229*(1+vanilla2)^0.5</f>
        <v>6.3936845417900318E-2</v>
      </c>
      <c r="J62" s="114">
        <f>Input!J229*(1+vanilla3)^0.5</f>
        <v>0</v>
      </c>
      <c r="K62" s="114">
        <f>Input!K229*(1+vanilla4)^0.5</f>
        <v>0.15071172034690988</v>
      </c>
      <c r="L62" s="114">
        <f>Input!L229*(1+vanilla5)^0.5</f>
        <v>0</v>
      </c>
      <c r="M62" s="114">
        <f>Input!M229*(1+vanilla6)^0.5</f>
        <v>0</v>
      </c>
      <c r="N62" s="114">
        <f>Input!N229*(1+vanilla7)^0.5</f>
        <v>0</v>
      </c>
      <c r="O62" s="114">
        <f>Input!O229*(1+vanilla8)^0.5</f>
        <v>0</v>
      </c>
      <c r="P62" s="114">
        <f>Input!P229*(1+vanilla9)^0.5</f>
        <v>0</v>
      </c>
      <c r="Q62" s="114">
        <f>Input!Q229*(1+vanilla10)^0.5</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104"/>
      <c r="BE62" s="104"/>
      <c r="BF62" s="104"/>
      <c r="BG62" s="104"/>
      <c r="BH62" s="104"/>
      <c r="BI62" s="104"/>
      <c r="BJ62" s="104"/>
      <c r="BK62" s="12"/>
      <c r="BL62" s="12"/>
    </row>
    <row r="63" spans="1:64" hidden="1" outlineLevel="1">
      <c r="A63" s="9"/>
      <c r="B63" s="9"/>
      <c r="C63" s="44"/>
      <c r="D63" s="278" t="str">
        <f>Asset20</f>
        <v>Other - medium life (40)</v>
      </c>
      <c r="E63" s="9"/>
      <c r="F63" s="9"/>
      <c r="G63" s="124"/>
      <c r="H63" s="114">
        <f>Input!H230*(1+vanilla1)^0.5</f>
        <v>8.299533133205145</v>
      </c>
      <c r="I63" s="114">
        <f>Input!I230*(1+vanilla2)^0.5</f>
        <v>14.289884950900719</v>
      </c>
      <c r="J63" s="114">
        <f>Input!J230*(1+vanilla3)^0.5</f>
        <v>1.5653473003234706</v>
      </c>
      <c r="K63" s="114">
        <f>Input!K230*(1+vanilla4)^0.5</f>
        <v>0.11469256705645343</v>
      </c>
      <c r="L63" s="114">
        <f>Input!L230*(1+vanilla5)^0.5</f>
        <v>3.2416012281528341</v>
      </c>
      <c r="M63" s="114">
        <f>Input!M230*(1+vanilla6)^0.5</f>
        <v>0</v>
      </c>
      <c r="N63" s="114">
        <f>Input!N230*(1+vanilla7)^0.5</f>
        <v>0</v>
      </c>
      <c r="O63" s="114">
        <f>Input!O230*(1+vanilla8)^0.5</f>
        <v>0</v>
      </c>
      <c r="P63" s="114">
        <f>Input!P230*(1+vanilla9)^0.5</f>
        <v>0</v>
      </c>
      <c r="Q63" s="114">
        <f>Input!Q230*(1+vanilla10)^0.5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104"/>
      <c r="BE63" s="104"/>
      <c r="BF63" s="104"/>
      <c r="BG63" s="104"/>
      <c r="BH63" s="104"/>
      <c r="BI63" s="104"/>
      <c r="BJ63" s="104"/>
      <c r="BK63" s="12"/>
      <c r="BL63" s="12"/>
    </row>
    <row r="64" spans="1:64" hidden="1" outlineLevel="1">
      <c r="A64" s="9"/>
      <c r="B64" s="9"/>
      <c r="C64" s="44"/>
      <c r="D64" s="278" t="str">
        <f>Asset21</f>
        <v>Other - short life (9)</v>
      </c>
      <c r="E64" s="9"/>
      <c r="F64" s="9"/>
      <c r="G64" s="124"/>
      <c r="H64" s="114">
        <f>Input!H231*(1+vanilla1)^0.5</f>
        <v>0.70953456232156664</v>
      </c>
      <c r="I64" s="114">
        <f>Input!I231*(1+vanilla2)^0.5</f>
        <v>0.99901320965469231</v>
      </c>
      <c r="J64" s="114">
        <f>Input!J231*(1+vanilla3)^0.5</f>
        <v>1.0659315357989587</v>
      </c>
      <c r="K64" s="114">
        <f>Input!K231*(1+vanilla4)^0.5</f>
        <v>0.21895853710777471</v>
      </c>
      <c r="L64" s="114">
        <f>Input!L231*(1+vanilla5)^0.5</f>
        <v>0.46613643013827505</v>
      </c>
      <c r="M64" s="114">
        <f>Input!M231*(1+vanilla6)^0.5</f>
        <v>0</v>
      </c>
      <c r="N64" s="114">
        <f>Input!N231*(1+vanilla7)^0.5</f>
        <v>0</v>
      </c>
      <c r="O64" s="114">
        <f>Input!O231*(1+vanilla8)^0.5</f>
        <v>0</v>
      </c>
      <c r="P64" s="114">
        <f>Input!P231*(1+vanilla9)^0.5</f>
        <v>0</v>
      </c>
      <c r="Q64" s="114">
        <f>Input!Q231*(1+vanilla10)^0.5</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104"/>
      <c r="BE64" s="104"/>
      <c r="BF64" s="104"/>
      <c r="BG64" s="104"/>
      <c r="BH64" s="104"/>
      <c r="BI64" s="104"/>
      <c r="BJ64" s="104"/>
      <c r="BK64" s="12"/>
      <c r="BL64" s="12"/>
    </row>
    <row r="65" spans="1:256" hidden="1" outlineLevel="1">
      <c r="A65" s="9"/>
      <c r="B65" s="9"/>
      <c r="C65" s="44"/>
      <c r="D65" s="278" t="str">
        <f>Asset22</f>
        <v>Other - short life (4)</v>
      </c>
      <c r="E65" s="9"/>
      <c r="F65" s="9"/>
      <c r="G65" s="124"/>
      <c r="H65" s="114">
        <f>Input!H232*(1+vanilla1)^0.5</f>
        <v>2.5462519534434356</v>
      </c>
      <c r="I65" s="114">
        <f>Input!I232*(1+vanilla2)^0.5</f>
        <v>1.9900343136321472</v>
      </c>
      <c r="J65" s="114">
        <f>Input!J232*(1+vanilla3)^0.5</f>
        <v>1.768564463623272</v>
      </c>
      <c r="K65" s="114">
        <f>Input!K232*(1+vanilla4)^0.5</f>
        <v>4.9422069804326298</v>
      </c>
      <c r="L65" s="114">
        <f>Input!L232*(1+vanilla5)^0.5</f>
        <v>2.2135127237002035</v>
      </c>
      <c r="M65" s="114">
        <f>Input!M232*(1+vanilla6)^0.5</f>
        <v>0</v>
      </c>
      <c r="N65" s="114">
        <f>Input!N232*(1+vanilla7)^0.5</f>
        <v>0</v>
      </c>
      <c r="O65" s="114">
        <f>Input!O232*(1+vanilla8)^0.5</f>
        <v>0</v>
      </c>
      <c r="P65" s="114">
        <f>Input!P232*(1+vanilla9)^0.5</f>
        <v>0</v>
      </c>
      <c r="Q65" s="114">
        <f>Input!Q232*(1+vanilla10)^0.5</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104"/>
      <c r="BE65" s="104"/>
      <c r="BF65" s="104"/>
      <c r="BG65" s="104"/>
      <c r="BH65" s="104"/>
      <c r="BI65" s="104"/>
      <c r="BJ65" s="104"/>
      <c r="BK65" s="12"/>
      <c r="BL65" s="12"/>
    </row>
    <row r="66" spans="1:256" hidden="1" outlineLevel="1">
      <c r="A66" s="9"/>
      <c r="B66" s="9"/>
      <c r="C66" s="44"/>
      <c r="D66" s="278" t="str">
        <f>Asset23</f>
        <v>Land and Easements</v>
      </c>
      <c r="E66" s="9"/>
      <c r="F66" s="9"/>
      <c r="G66" s="124"/>
      <c r="H66" s="114">
        <f>Input!H233*(1+vanilla1)^0.5</f>
        <v>0</v>
      </c>
      <c r="I66" s="114">
        <f>Input!I233*(1+vanilla2)^0.5</f>
        <v>1.6533668619785158</v>
      </c>
      <c r="J66" s="114">
        <f>Input!J233*(1+vanilla3)^0.5</f>
        <v>0.44286004454956734</v>
      </c>
      <c r="K66" s="114">
        <f>Input!K233*(1+vanilla4)^0.5</f>
        <v>1.2255990843305313</v>
      </c>
      <c r="L66" s="114">
        <f>Input!L233*(1+vanilla5)^0.5</f>
        <v>0.93315444396739311</v>
      </c>
      <c r="M66" s="114">
        <f>Input!M233*(1+vanilla6)^0.5</f>
        <v>0</v>
      </c>
      <c r="N66" s="114">
        <f>Input!N233*(1+vanilla7)^0.5</f>
        <v>0</v>
      </c>
      <c r="O66" s="114">
        <f>Input!O233*(1+vanilla8)^0.5</f>
        <v>0</v>
      </c>
      <c r="P66" s="114">
        <f>Input!P233*(1+vanilla9)^0.5</f>
        <v>0</v>
      </c>
      <c r="Q66" s="114">
        <f>Input!Q233*(1+vanilla10)^0.5</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104"/>
      <c r="BE66" s="104"/>
      <c r="BF66" s="104"/>
      <c r="BG66" s="104"/>
      <c r="BH66" s="104"/>
      <c r="BI66" s="104"/>
      <c r="BJ66" s="104"/>
      <c r="BK66" s="12"/>
      <c r="BL66" s="12"/>
    </row>
    <row r="67" spans="1:256" hidden="1" outlineLevel="1">
      <c r="A67" s="9"/>
      <c r="B67" s="9"/>
      <c r="C67" s="44"/>
      <c r="D67" s="278" t="str">
        <f>Asset24</f>
        <v>Equity Raising</v>
      </c>
      <c r="E67" s="9"/>
      <c r="F67" s="9"/>
      <c r="G67" s="124"/>
      <c r="H67" s="114">
        <f>Input!H234*(1+vanilla1)^0.5</f>
        <v>0.43414402533060908</v>
      </c>
      <c r="I67" s="114">
        <f>Input!I234*(1+vanilla2)^0.5</f>
        <v>0</v>
      </c>
      <c r="J67" s="114">
        <f>Input!J234*(1+vanilla3)^0.5</f>
        <v>0</v>
      </c>
      <c r="K67" s="114">
        <f>Input!K234*(1+vanilla4)^0.5</f>
        <v>0</v>
      </c>
      <c r="L67" s="114">
        <f>Input!L234*(1+vanilla5)^0.5</f>
        <v>0</v>
      </c>
      <c r="M67" s="114">
        <f>Input!M234*(1+vanilla6)^0.5</f>
        <v>0</v>
      </c>
      <c r="N67" s="114">
        <f>Input!N234*(1+vanilla7)^0.5</f>
        <v>0</v>
      </c>
      <c r="O67" s="114">
        <f>Input!O234*(1+vanilla8)^0.5</f>
        <v>0</v>
      </c>
      <c r="P67" s="114">
        <f>Input!P234*(1+vanilla9)^0.5</f>
        <v>0</v>
      </c>
      <c r="Q67" s="114">
        <f>Input!Q234*(1+vanilla10)^0.5</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104"/>
      <c r="BE67" s="104"/>
      <c r="BF67" s="104"/>
      <c r="BG67" s="104"/>
      <c r="BH67" s="104"/>
      <c r="BI67" s="104"/>
      <c r="BJ67" s="104"/>
      <c r="BK67" s="12"/>
      <c r="BL67" s="12"/>
    </row>
    <row r="68" spans="1:256" hidden="1" outlineLevel="1">
      <c r="A68" s="9"/>
      <c r="B68" s="9"/>
      <c r="C68" s="44"/>
      <c r="D68" s="278">
        <f>Asset25</f>
        <v>0</v>
      </c>
      <c r="E68" s="9"/>
      <c r="F68" s="9"/>
      <c r="G68" s="124"/>
      <c r="H68" s="114">
        <f>Input!H235*(1+vanilla1)^0.5</f>
        <v>0</v>
      </c>
      <c r="I68" s="114">
        <f>Input!I235*(1+vanilla2)^0.5</f>
        <v>0</v>
      </c>
      <c r="J68" s="114">
        <f>Input!J235*(1+vanilla3)^0.5</f>
        <v>0</v>
      </c>
      <c r="K68" s="114">
        <f>Input!K235*(1+vanilla4)^0.5</f>
        <v>0</v>
      </c>
      <c r="L68" s="114">
        <f>Input!L235*(1+vanilla5)^0.5</f>
        <v>0</v>
      </c>
      <c r="M68" s="114">
        <f>Input!M235*(1+vanilla6)^0.5</f>
        <v>0</v>
      </c>
      <c r="N68" s="114">
        <f>Input!N235*(1+vanilla7)^0.5</f>
        <v>0</v>
      </c>
      <c r="O68" s="114">
        <f>Input!O235*(1+vanilla8)^0.5</f>
        <v>0</v>
      </c>
      <c r="P68" s="114">
        <f>Input!P235*(1+vanilla9)^0.5</f>
        <v>0</v>
      </c>
      <c r="Q68" s="114">
        <f>Input!Q235*(1+vanilla10)^0.5</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104"/>
      <c r="BE68" s="104"/>
      <c r="BF68" s="104"/>
      <c r="BG68" s="104"/>
      <c r="BH68" s="104"/>
      <c r="BI68" s="104"/>
      <c r="BJ68" s="104"/>
      <c r="BK68" s="12"/>
      <c r="BL68" s="12"/>
    </row>
    <row r="69" spans="1:256" hidden="1" outlineLevel="1">
      <c r="A69" s="9"/>
      <c r="B69" s="9"/>
      <c r="C69" s="44"/>
      <c r="D69" s="278">
        <f>Asset26</f>
        <v>0</v>
      </c>
      <c r="E69" s="9"/>
      <c r="F69" s="9"/>
      <c r="G69" s="124"/>
      <c r="H69" s="114">
        <f>Input!H236*(1+vanilla1)^0.5</f>
        <v>0</v>
      </c>
      <c r="I69" s="114">
        <f>Input!I236*(1+vanilla2)^0.5</f>
        <v>0</v>
      </c>
      <c r="J69" s="114">
        <f>Input!J236*(1+vanilla3)^0.5</f>
        <v>0</v>
      </c>
      <c r="K69" s="114">
        <f>Input!K236*(1+vanilla4)^0.5</f>
        <v>0</v>
      </c>
      <c r="L69" s="114">
        <f>Input!L236*(1+vanilla5)^0.5</f>
        <v>0</v>
      </c>
      <c r="M69" s="114">
        <f>Input!M236*(1+vanilla6)^0.5</f>
        <v>0</v>
      </c>
      <c r="N69" s="114">
        <f>Input!N236*(1+vanilla7)^0.5</f>
        <v>0</v>
      </c>
      <c r="O69" s="114">
        <f>Input!O236*(1+vanilla8)^0.5</f>
        <v>0</v>
      </c>
      <c r="P69" s="114">
        <f>Input!P236*(1+vanilla9)^0.5</f>
        <v>0</v>
      </c>
      <c r="Q69" s="114">
        <f>Input!Q236*(1+vanilla10)^0.5</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4"/>
      <c r="BE69" s="104"/>
      <c r="BF69" s="104"/>
      <c r="BG69" s="104"/>
      <c r="BH69" s="104"/>
      <c r="BI69" s="104"/>
      <c r="BJ69" s="104"/>
      <c r="BK69" s="12"/>
      <c r="BL69" s="12"/>
    </row>
    <row r="70" spans="1:256" hidden="1" outlineLevel="1">
      <c r="A70" s="9"/>
      <c r="B70" s="9"/>
      <c r="C70" s="44"/>
      <c r="D70" s="278">
        <f>Asset27</f>
        <v>0</v>
      </c>
      <c r="E70" s="9"/>
      <c r="F70" s="9"/>
      <c r="G70" s="124"/>
      <c r="H70" s="114">
        <f>Input!H237*(1+vanilla1)^0.5</f>
        <v>0</v>
      </c>
      <c r="I70" s="114">
        <f>Input!I237*(1+vanilla2)^0.5</f>
        <v>0</v>
      </c>
      <c r="J70" s="114">
        <f>Input!J237*(1+vanilla3)^0.5</f>
        <v>0</v>
      </c>
      <c r="K70" s="114">
        <f>Input!K237*(1+vanilla4)^0.5</f>
        <v>0</v>
      </c>
      <c r="L70" s="114">
        <f>Input!L237*(1+vanilla5)^0.5</f>
        <v>0</v>
      </c>
      <c r="M70" s="114">
        <f>Input!M237*(1+vanilla6)^0.5</f>
        <v>0</v>
      </c>
      <c r="N70" s="114">
        <f>Input!N237*(1+vanilla7)^0.5</f>
        <v>0</v>
      </c>
      <c r="O70" s="114">
        <f>Input!O237*(1+vanilla8)^0.5</f>
        <v>0</v>
      </c>
      <c r="P70" s="114">
        <f>Input!P237*(1+vanilla9)^0.5</f>
        <v>0</v>
      </c>
      <c r="Q70" s="114">
        <f>Input!Q237*(1+vanilla10)^0.5</f>
        <v>0</v>
      </c>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104"/>
      <c r="BE70" s="104"/>
      <c r="BF70" s="104"/>
      <c r="BG70" s="104"/>
      <c r="BH70" s="104"/>
      <c r="BI70" s="104"/>
      <c r="BJ70" s="104"/>
      <c r="BK70" s="12"/>
      <c r="BL70" s="12"/>
    </row>
    <row r="71" spans="1:256" hidden="1" outlineLevel="1">
      <c r="A71" s="9"/>
      <c r="B71" s="9"/>
      <c r="C71" s="44"/>
      <c r="D71" s="278">
        <f>Asset28</f>
        <v>0</v>
      </c>
      <c r="E71" s="9"/>
      <c r="F71" s="9"/>
      <c r="G71" s="124"/>
      <c r="H71" s="114">
        <f>Input!H238*(1+vanilla1)^0.5</f>
        <v>0</v>
      </c>
      <c r="I71" s="114">
        <f>Input!I238*(1+vanilla2)^0.5</f>
        <v>0</v>
      </c>
      <c r="J71" s="114">
        <f>Input!J238*(1+vanilla3)^0.5</f>
        <v>0</v>
      </c>
      <c r="K71" s="114">
        <f>Input!K238*(1+vanilla4)^0.5</f>
        <v>0</v>
      </c>
      <c r="L71" s="114">
        <f>Input!L238*(1+vanilla5)^0.5</f>
        <v>0</v>
      </c>
      <c r="M71" s="114">
        <f>Input!M238*(1+vanilla6)^0.5</f>
        <v>0</v>
      </c>
      <c r="N71" s="114">
        <f>Input!N238*(1+vanilla7)^0.5</f>
        <v>0</v>
      </c>
      <c r="O71" s="114">
        <f>Input!O238*(1+vanilla8)^0.5</f>
        <v>0</v>
      </c>
      <c r="P71" s="114">
        <f>Input!P238*(1+vanilla9)^0.5</f>
        <v>0</v>
      </c>
      <c r="Q71" s="114">
        <f>Input!Q238*(1+vanilla10)^0.5</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104"/>
      <c r="BE71" s="104"/>
      <c r="BF71" s="104"/>
      <c r="BG71" s="104"/>
      <c r="BH71" s="104"/>
      <c r="BI71" s="104"/>
      <c r="BJ71" s="104"/>
      <c r="BK71" s="12"/>
      <c r="BL71" s="12"/>
    </row>
    <row r="72" spans="1:256" hidden="1" outlineLevel="1">
      <c r="A72" s="9"/>
      <c r="B72" s="9"/>
      <c r="C72" s="44"/>
      <c r="D72" s="278">
        <f>Asset29</f>
        <v>0</v>
      </c>
      <c r="E72" s="9"/>
      <c r="F72" s="9"/>
      <c r="G72" s="124"/>
      <c r="H72" s="114">
        <f>Input!H239*(1+vanilla1)^0.5</f>
        <v>0</v>
      </c>
      <c r="I72" s="114">
        <f>Input!I239*(1+vanilla2)^0.5</f>
        <v>0</v>
      </c>
      <c r="J72" s="114">
        <f>Input!J239*(1+vanilla3)^0.5</f>
        <v>0</v>
      </c>
      <c r="K72" s="114">
        <f>Input!K239*(1+vanilla4)^0.5</f>
        <v>0</v>
      </c>
      <c r="L72" s="114">
        <f>Input!L239*(1+vanilla5)^0.5</f>
        <v>0</v>
      </c>
      <c r="M72" s="114">
        <f>Input!M239*(1+vanilla6)^0.5</f>
        <v>0</v>
      </c>
      <c r="N72" s="114">
        <f>Input!N239*(1+vanilla7)^0.5</f>
        <v>0</v>
      </c>
      <c r="O72" s="114">
        <f>Input!O239*(1+vanilla8)^0.5</f>
        <v>0</v>
      </c>
      <c r="P72" s="114">
        <f>Input!P239*(1+vanilla9)^0.5</f>
        <v>0</v>
      </c>
      <c r="Q72" s="114">
        <f>Input!Q239*(1+vanilla10)^0.5</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104"/>
      <c r="BE72" s="104"/>
      <c r="BF72" s="104"/>
      <c r="BG72" s="104"/>
      <c r="BH72" s="104"/>
      <c r="BI72" s="104"/>
      <c r="BJ72" s="104"/>
      <c r="BK72" s="12"/>
      <c r="BL72" s="12"/>
    </row>
    <row r="73" spans="1:256" hidden="1" outlineLevel="1">
      <c r="A73" s="9"/>
      <c r="B73" s="9"/>
      <c r="C73" s="44"/>
      <c r="D73" s="278">
        <f>Asset30</f>
        <v>0</v>
      </c>
      <c r="E73" s="9"/>
      <c r="F73" s="9"/>
      <c r="G73" s="124"/>
      <c r="H73" s="114">
        <f>Input!H240*(1+vanilla1)^0.5</f>
        <v>0</v>
      </c>
      <c r="I73" s="114">
        <f>Input!I240*(1+vanilla2)^0.5</f>
        <v>0</v>
      </c>
      <c r="J73" s="114">
        <f>Input!J240*(1+vanilla3)^0.5</f>
        <v>0</v>
      </c>
      <c r="K73" s="114">
        <f>Input!K240*(1+vanilla4)^0.5</f>
        <v>0</v>
      </c>
      <c r="L73" s="114">
        <f>Input!L240*(1+vanilla5)^0.5</f>
        <v>0</v>
      </c>
      <c r="M73" s="114">
        <f>Input!M240*(1+vanilla6)^0.5</f>
        <v>0</v>
      </c>
      <c r="N73" s="114">
        <f>Input!N240*(1+vanilla7)^0.5</f>
        <v>0</v>
      </c>
      <c r="O73" s="114">
        <f>Input!O240*(1+vanilla8)^0.5</f>
        <v>0</v>
      </c>
      <c r="P73" s="114">
        <f>Input!P240*(1+vanilla9)^0.5</f>
        <v>0</v>
      </c>
      <c r="Q73" s="114">
        <f>Input!Q240*(1+vanilla10)^0.5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104"/>
      <c r="BE73" s="104"/>
      <c r="BF73" s="104"/>
      <c r="BG73" s="104"/>
      <c r="BH73" s="104"/>
      <c r="BI73" s="104"/>
      <c r="BJ73" s="104"/>
      <c r="BK73" s="12"/>
      <c r="BL73" s="12"/>
    </row>
    <row r="74" spans="1:256" collapsed="1">
      <c r="A74" s="9"/>
      <c r="B74" s="9"/>
      <c r="C74" s="44"/>
      <c r="D74" s="130"/>
      <c r="E74" s="9"/>
      <c r="F74" s="9"/>
      <c r="G74" s="124"/>
      <c r="H74" s="114"/>
      <c r="I74" s="114"/>
      <c r="J74" s="114"/>
      <c r="K74" s="114"/>
      <c r="L74" s="114"/>
      <c r="M74" s="114"/>
      <c r="N74" s="114"/>
      <c r="O74" s="114"/>
      <c r="P74" s="114"/>
      <c r="Q74" s="114"/>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104"/>
      <c r="BE74" s="104"/>
      <c r="BF74" s="104"/>
      <c r="BG74" s="104"/>
      <c r="BH74" s="104"/>
      <c r="BI74" s="104"/>
      <c r="BJ74" s="104"/>
      <c r="BK74" s="12"/>
      <c r="BL74" s="12"/>
    </row>
    <row r="75" spans="1:256">
      <c r="A75" s="9"/>
      <c r="B75" s="9"/>
      <c r="C75" s="9" t="s">
        <v>30</v>
      </c>
      <c r="D75" s="9"/>
      <c r="E75" s="9"/>
      <c r="F75" s="9"/>
      <c r="G75" s="118"/>
      <c r="H75" s="118">
        <f>H88+H101+H114+H127+H140+H153+H166+H179+H192+H205+H218+H231+H244+H257+H270+H283+H296+H309+H322+H335+H348+H361+H374+H387+H400+H413+H426+H439+H452+H465</f>
        <v>-48.641773449019325</v>
      </c>
      <c r="I75" s="118">
        <f>I88+I101+I114+I127+I140+I153+I166+I179+I192+I205+I218+I231+I244+I257+I270+I283+I296+I309+I322+I335+I348+I361+I374+I387+I400+I413+I426+I439+I452+I465</f>
        <v>-51.58740443117447</v>
      </c>
      <c r="J75" s="118">
        <f t="shared" ref="J75:P75" si="3">J88+J101+J114+J127+J140+J153+J166+J179+J192+J205+J218+J231+J244+J257+J270+J283+J296+J309+J322+J335+J348+J361+J374+J387+J400+J413+J426+J439+J452+J465</f>
        <v>-45.608716834742758</v>
      </c>
      <c r="K75" s="118">
        <f t="shared" si="3"/>
        <v>-50.910544334270348</v>
      </c>
      <c r="L75" s="118">
        <f t="shared" si="3"/>
        <v>-54.987183151555477</v>
      </c>
      <c r="M75" s="118">
        <f>M88+M101+M114+M127+M140+M153+M166+M179+M192+M205+M218+M231+M244+M257+M270+M283+M296+M309+M322+M335+M348+M361+M374+M387+M400+M413+M426+M439+M452+M465</f>
        <v>0</v>
      </c>
      <c r="N75" s="118">
        <f t="shared" si="3"/>
        <v>0</v>
      </c>
      <c r="O75" s="118">
        <f t="shared" si="3"/>
        <v>0</v>
      </c>
      <c r="P75" s="118">
        <f t="shared" si="3"/>
        <v>0</v>
      </c>
      <c r="Q75" s="118">
        <f>Q88+Q101+Q114+Q127+Q140+Q153+Q166+Q179+Q192+Q205+Q218+Q231+Q244+Q257+Q270+Q283+Q296+Q309+Q322+Q335+Q348+Q361+Q374+Q387+Q400+Q413+Q426+Q439+Q452+Q465</f>
        <v>0</v>
      </c>
      <c r="R75" s="9"/>
      <c r="S75" s="9"/>
      <c r="U75" s="9"/>
      <c r="V75" s="9"/>
      <c r="W75" s="9"/>
      <c r="X75" s="9"/>
      <c r="Y75" s="9"/>
      <c r="Z75" s="9"/>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9"/>
      <c r="BE75" s="9"/>
      <c r="BF75" s="9"/>
      <c r="BG75" s="9"/>
      <c r="BH75" s="9"/>
      <c r="BI75" s="9"/>
      <c r="BJ75" s="9"/>
      <c r="BK75" s="9"/>
      <c r="BL75" s="9"/>
    </row>
    <row r="76" spans="1:256" s="5" customFormat="1" ht="12.75" customHeight="1" outlineLevel="2">
      <c r="A76" s="9"/>
      <c r="B76" s="9"/>
      <c r="C76" s="280" t="str">
        <f>Asset1</f>
        <v>Transmission Lines and Cables</v>
      </c>
      <c r="D76" s="31"/>
      <c r="E76" s="32" t="s">
        <v>26</v>
      </c>
      <c r="F76" s="31"/>
      <c r="G76" s="33"/>
      <c r="H76" s="72">
        <f>IF(H$3&gt;A1remlife,A1value-$G$630-SUM($G76:G76),IF(A1remlife="N/A","n/a",(A1value-$G$630)/A1remlife))</f>
        <v>13.959616599583557</v>
      </c>
      <c r="I76" s="72">
        <f>IF(I$3&gt;A1remlife,A1value-$G$630-SUM($G76:H76),IF(A1remlife="N/A","n/a",(A1value-$G$630)/A1remlife))</f>
        <v>13.959616599583557</v>
      </c>
      <c r="J76" s="72">
        <f>IF(J$3&gt;A1remlife,A1value-$G$630-SUM($G76:I76),IF(A1remlife="N/A","n/a",(A1value-$G$630)/A1remlife))</f>
        <v>13.959616599583557</v>
      </c>
      <c r="K76" s="72">
        <f>IF(K$3&gt;A1remlife,A1value-$G$630-SUM($G76:J76),IF(A1remlife="N/A","n/a",(A1value-$G$630)/A1remlife))</f>
        <v>13.959616599583557</v>
      </c>
      <c r="L76" s="72">
        <f>IF(L$3&gt;A1remlife,A1value-$G$630-SUM($G76:K76),IF(A1remlife="N/A","n/a",(A1value-$G$630)/A1remlife))</f>
        <v>13.959616599583557</v>
      </c>
      <c r="M76" s="72">
        <f>IF(M$3&gt;A1remlife,A1value-$G$630-SUM($G76:L76),IF(A1remlife="N/A","n/a",(A1value-$G$630)/A1remlife))</f>
        <v>13.959616599583557</v>
      </c>
      <c r="N76" s="72">
        <f>IF(N$3&gt;A1remlife,A1value-$G$630-SUM($G76:M76),IF(A1remlife="N/A","n/a",(A1value-$G$630)/A1remlife))</f>
        <v>13.959616599583557</v>
      </c>
      <c r="O76" s="72">
        <f>IF(O$3&gt;A1remlife,A1value-$G$630-SUM($G76:N76),IF(A1remlife="N/A","n/a",(A1value-$G$630)/A1remlife))</f>
        <v>13.959616599583557</v>
      </c>
      <c r="P76" s="72">
        <f>IF(P$3&gt;A1remlife,A1value-$G$630-SUM($G76:O76),IF(A1remlife="N/A","n/a",(A1value-$G$630)/A1remlife))</f>
        <v>13.959616599583557</v>
      </c>
      <c r="Q76" s="72">
        <f>IF(Q$3&gt;A1remlife,A1value-$G$630-SUM($G76:P76),IF(A1remlife="N/A","n/a",(A1value-$G$630)/A1remlife))</f>
        <v>13.959616599583557</v>
      </c>
      <c r="R76" s="34"/>
      <c r="S76" s="105"/>
      <c r="T76" s="35"/>
      <c r="U76" s="105"/>
      <c r="V76" s="105"/>
      <c r="W76" s="105"/>
      <c r="X76" s="105"/>
      <c r="Y76" s="105"/>
      <c r="Z76" s="105"/>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customHeight="1" outlineLevel="2">
      <c r="A77" s="9"/>
      <c r="B77" s="9"/>
      <c r="C77" s="26"/>
      <c r="D77" s="25"/>
      <c r="E77" s="391" t="s">
        <v>81</v>
      </c>
      <c r="F77" s="91"/>
      <c r="G77" s="27"/>
      <c r="H77" s="119"/>
      <c r="I77" s="119"/>
      <c r="J77" s="119"/>
      <c r="K77" s="119"/>
      <c r="L77" s="119"/>
      <c r="M77" s="119"/>
      <c r="N77" s="45"/>
      <c r="O77" s="45"/>
      <c r="P77" s="45"/>
      <c r="Q77" s="45"/>
      <c r="R77" s="45"/>
      <c r="S77" s="105"/>
      <c r="T77" s="105"/>
      <c r="U77" s="105"/>
      <c r="V77" s="105"/>
      <c r="W77" s="105"/>
      <c r="X77" s="105"/>
      <c r="Y77" s="105"/>
      <c r="Z77" s="105"/>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customHeight="1" outlineLevel="2">
      <c r="A78" s="9"/>
      <c r="B78" s="9"/>
      <c r="C78" s="26"/>
      <c r="D78" s="25"/>
      <c r="E78" s="392"/>
      <c r="F78" s="91">
        <v>1</v>
      </c>
      <c r="G78" s="27"/>
      <c r="H78" s="148"/>
      <c r="I78" s="73">
        <f>IF(A1stdlife="n/a","n/a",IF(I$3&gt;(A1stdlife+$F78),(Input!$H$211*(1+vanilla1)^0.5)-SUM($H78:H78),(Input!$H$211*(1+vanilla1)^0.5)/A1stdlife))</f>
        <v>0</v>
      </c>
      <c r="J78" s="73">
        <f>IF(A1stdlife="n/a","n/a",IF(J$3&gt;(A1stdlife+$F78),(Input!$H$211*(1+vanilla1)^0.5)-SUM($H78:I78),(Input!$H$211*(1+vanilla1)^0.5)/A1stdlife))</f>
        <v>0</v>
      </c>
      <c r="K78" s="73">
        <f>IF(A1stdlife="n/a","n/a",IF(K$3&gt;(A1stdlife+$F78),(Input!$H$211*(1+vanilla1)^0.5)-SUM($H78:J78),(Input!$H$211*(1+vanilla1)^0.5)/A1stdlife))</f>
        <v>0</v>
      </c>
      <c r="L78" s="73">
        <f>IF(A1stdlife="n/a","n/a",IF(L$3&gt;(A1stdlife+$F78),(Input!$H$211*(1+vanilla1)^0.5)-SUM($H78:K78),(Input!$H$211*(1+vanilla1)^0.5)/A1stdlife))</f>
        <v>0</v>
      </c>
      <c r="M78" s="73">
        <f>IF(A1stdlife="n/a","n/a",IF(M$3&gt;(A1stdlife+$F78),(Input!$H$211*(1+vanilla1)^0.5)-SUM($H78:L78),(Input!$H$211*(1+vanilla1)^0.5)/A1stdlife))</f>
        <v>0</v>
      </c>
      <c r="N78" s="73">
        <f>IF(A1stdlife="n/a","n/a",IF(N$3&gt;(A1stdlife+$F78),(Input!$H$211*(1+vanilla1)^0.5)-SUM($H78:M78),(Input!$H$211*(1+vanilla1)^0.5)/A1stdlife))</f>
        <v>0</v>
      </c>
      <c r="O78" s="73">
        <f>IF(A1stdlife="n/a","n/a",IF(O$3&gt;(A1stdlife+$F78),(Input!$H$211*(1+vanilla1)^0.5)-SUM($H78:N78),(Input!$H$211*(1+vanilla1)^0.5)/A1stdlife))</f>
        <v>0</v>
      </c>
      <c r="P78" s="73">
        <f>IF(A1stdlife="n/a","n/a",IF(P$3&gt;(A1stdlife+$F78),(Input!$H$211*(1+vanilla1)^0.5)-SUM($H78:O78),(Input!$H$211*(1+vanilla1)^0.5)/A1stdlife))</f>
        <v>0</v>
      </c>
      <c r="Q78" s="73">
        <f>IF(A1stdlife="n/a","n/a",IF(Q$3&gt;(A1stdlife+$F78),(Input!$H$211*(1+vanilla1)^0.5)-SUM($H78:P78),(Input!$H$211*(1+vanilla1)^0.5)/A1stdlife))</f>
        <v>0</v>
      </c>
      <c r="R78" s="30"/>
      <c r="S78" s="105"/>
      <c r="T78" s="105"/>
      <c r="U78" s="105"/>
      <c r="V78" s="105"/>
      <c r="W78" s="105"/>
      <c r="X78" s="105"/>
      <c r="Y78" s="105"/>
      <c r="Z78" s="105"/>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customHeight="1" outlineLevel="2">
      <c r="A79" s="9"/>
      <c r="B79" s="9"/>
      <c r="C79" s="26"/>
      <c r="D79" s="25"/>
      <c r="E79" s="392"/>
      <c r="F79" s="91">
        <v>2</v>
      </c>
      <c r="G79" s="27"/>
      <c r="H79" s="149"/>
      <c r="I79" s="150"/>
      <c r="J79" s="73">
        <f>IF(A1stdlife="n/a","n/a",IF(J$3&gt;(A1stdlife+$F79),(Input!$I$211*(1+vanilla2)^0.5)-SUM($I79:I79),(Input!$I$211*(1+vanilla2)^0.5)/A1stdlife))</f>
        <v>0</v>
      </c>
      <c r="K79" s="73">
        <f>IF(A1stdlife="n/a","n/a",IF(K$3&gt;(A1stdlife+$F79),(Input!$I$211*(1+vanilla2)^0.5)-SUM($I79:J79),(Input!$I$211*(1+vanilla2)^0.5)/A1stdlife))</f>
        <v>0</v>
      </c>
      <c r="L79" s="73">
        <f>IF(A1stdlife="n/a","n/a",IF(L$3&gt;(A1stdlife+$F79),(Input!$I$211*(1+vanilla2)^0.5)-SUM($I79:K79),(Input!$I$211*(1+vanilla2)^0.5)/A1stdlife))</f>
        <v>0</v>
      </c>
      <c r="M79" s="73">
        <f>IF(A1stdlife="n/a","n/a",IF(M$3&gt;(A1stdlife+$F79),(Input!$I$211*(1+vanilla2)^0.5)-SUM($I79:L79),(Input!$I$211*(1+vanilla2)^0.5)/A1stdlife))</f>
        <v>0</v>
      </c>
      <c r="N79" s="73">
        <f>IF(A1stdlife="n/a","n/a",IF(N$3&gt;(A1stdlife+$F79),(Input!$I$211*(1+vanilla2)^0.5)-SUM($I79:M79),(Input!$I$211*(1+vanilla2)^0.5)/A1stdlife))</f>
        <v>0</v>
      </c>
      <c r="O79" s="73">
        <f>IF(A1stdlife="n/a","n/a",IF(O$3&gt;(A1stdlife+$F79),(Input!$I$211*(1+vanilla2)^0.5)-SUM($I79:N79),(Input!$I$211*(1+vanilla2)^0.5)/A1stdlife))</f>
        <v>0</v>
      </c>
      <c r="P79" s="73">
        <f>IF(A1stdlife="n/a","n/a",IF(P$3&gt;(A1stdlife+$F79),(Input!$I$211*(1+vanilla2)^0.5)-SUM($I79:O79),(Input!$I$211*(1+vanilla2)^0.5)/A1stdlife))</f>
        <v>0</v>
      </c>
      <c r="Q79" s="73">
        <f>IF(A1stdlife="n/a","n/a",IF(Q$3&gt;(A1stdlife+$F79),(Input!$I$211*(1+vanilla2)^0.5)-SUM($I79:P79),(Input!$I$211*(1+vanilla2)^0.5)/A1stdlife))</f>
        <v>0</v>
      </c>
      <c r="R79" s="30"/>
      <c r="S79" s="105"/>
      <c r="T79" s="105"/>
      <c r="U79" s="105"/>
      <c r="V79" s="105"/>
      <c r="W79" s="105"/>
      <c r="X79" s="105"/>
      <c r="Y79" s="105"/>
      <c r="Z79" s="105"/>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customHeight="1" outlineLevel="2">
      <c r="A80" s="9"/>
      <c r="B80" s="9"/>
      <c r="C80" s="26"/>
      <c r="D80" s="25"/>
      <c r="E80" s="392"/>
      <c r="F80" s="91">
        <v>3</v>
      </c>
      <c r="G80" s="27"/>
      <c r="H80" s="149"/>
      <c r="I80" s="151"/>
      <c r="J80" s="150"/>
      <c r="K80" s="73">
        <f>IF(A1stdlife="n/a","n/a",IF(K$3&gt;(A1stdlife+$F80),(Input!$J$211*(1+vanilla3)^0.5)-SUM($J80:J80),(Input!$J$211*(1+vanilla3)^0.5)/A1stdlife))</f>
        <v>0</v>
      </c>
      <c r="L80" s="73">
        <f>IF(A1stdlife="n/a","n/a",IF(L$3&gt;(A1stdlife+$F80),(Input!$J$211*(1+vanilla3)^0.5)-SUM($J80:K80),(Input!$J$211*(1+vanilla3)^0.5)/A1stdlife))</f>
        <v>0</v>
      </c>
      <c r="M80" s="73">
        <f>IF(A1stdlife="n/a","n/a",IF(M$3&gt;(A1stdlife+$F80),(Input!$J$211*(1+vanilla3)^0.5)-SUM($J80:L80),(Input!$J$211*(1+vanilla3)^0.5)/A1stdlife))</f>
        <v>0</v>
      </c>
      <c r="N80" s="73">
        <f>IF(A1stdlife="n/a","n/a",IF(N$3&gt;(A1stdlife+$F80),(Input!$J$211*(1+vanilla3)^0.5)-SUM($J80:M80),(Input!$J$211*(1+vanilla3)^0.5)/A1stdlife))</f>
        <v>0</v>
      </c>
      <c r="O80" s="73">
        <f>IF(A1stdlife="n/a","n/a",IF(O$3&gt;(A1stdlife+$F80),(Input!$J$211*(1+vanilla3)^0.5)-SUM($J80:N80),(Input!$J$211*(1+vanilla3)^0.5)/A1stdlife))</f>
        <v>0</v>
      </c>
      <c r="P80" s="73">
        <f>IF(A1stdlife="n/a","n/a",IF(P$3&gt;(A1stdlife+$F80),(Input!$J$211*(1+vanilla3)^0.5)-SUM($J80:O80),(Input!$J$211*(1+vanilla3)^0.5)/A1stdlife))</f>
        <v>0</v>
      </c>
      <c r="Q80" s="73">
        <f>IF(A1stdlife="n/a","n/a",IF(Q$3&gt;(A1stdlife+$F80),(Input!$J$211*(1+vanilla3)^0.5)-SUM($J80:P80),(Input!$J$211*(1+vanilla3)^0.5)/A1stdlife))</f>
        <v>0</v>
      </c>
      <c r="R80" s="30"/>
      <c r="S80" s="105"/>
      <c r="T80" s="105"/>
      <c r="U80" s="105"/>
      <c r="V80" s="105"/>
      <c r="W80" s="105"/>
      <c r="X80" s="105"/>
      <c r="Y80" s="105"/>
      <c r="Z80" s="105"/>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customHeight="1" outlineLevel="2">
      <c r="A81" s="9"/>
      <c r="B81" s="9"/>
      <c r="C81" s="26"/>
      <c r="D81" s="25"/>
      <c r="E81" s="392"/>
      <c r="F81" s="91">
        <v>4</v>
      </c>
      <c r="G81" s="27"/>
      <c r="H81" s="149"/>
      <c r="I81" s="151"/>
      <c r="J81" s="151"/>
      <c r="K81" s="150"/>
      <c r="L81" s="73">
        <f>IF(A1stdlife="n/a","n/a",IF(L$3&gt;(A1stdlife+$F81),(Input!$K$211*(1+vanilla4)^0.5)-SUM($K81:K81),(Input!$K$211*(1+vanilla4)^0.5)/A1stdlife))</f>
        <v>-3.5229259577946445E-3</v>
      </c>
      <c r="M81" s="73">
        <f>IF(A1stdlife="n/a","n/a",IF(M$3&gt;(A1stdlife+$F81),(Input!$K$211*(1+vanilla4)^0.5)-SUM($K81:L81),(Input!$K$211*(1+vanilla4)^0.5)/A1stdlife))</f>
        <v>-3.5229259577946445E-3</v>
      </c>
      <c r="N81" s="73">
        <f>IF(A1stdlife="n/a","n/a",IF(N$3&gt;(A1stdlife+$F81),(Input!$K$211*(1+vanilla4)^0.5)-SUM($K81:M81),(Input!$K$211*(1+vanilla4)^0.5)/A1stdlife))</f>
        <v>-3.5229259577946445E-3</v>
      </c>
      <c r="O81" s="73">
        <f>IF(A1stdlife="n/a","n/a",IF(O$3&gt;(A1stdlife+$F81),(Input!$K$211*(1+vanilla4)^0.5)-SUM($K81:N81),(Input!$K$211*(1+vanilla4)^0.5)/A1stdlife))</f>
        <v>-3.5229259577946445E-3</v>
      </c>
      <c r="P81" s="73">
        <f>IF(A1stdlife="n/a","n/a",IF(P$3&gt;(A1stdlife+$F81),(Input!$K$211*(1+vanilla4)^0.5)-SUM($K81:O81),(Input!$K$211*(1+vanilla4)^0.5)/A1stdlife))</f>
        <v>-3.5229259577946445E-3</v>
      </c>
      <c r="Q81" s="73">
        <f>IF(A1stdlife="n/a","n/a",IF(Q$3&gt;(A1stdlife+$F81),(Input!$K$211*(1+vanilla4)^0.5)-SUM($K81:P81),(Input!$K$211*(1+vanilla4)^0.5)/A1stdlife))</f>
        <v>-3.5229259577946445E-3</v>
      </c>
      <c r="R81" s="30"/>
      <c r="S81" s="105"/>
      <c r="T81" s="105"/>
      <c r="U81" s="105"/>
      <c r="V81" s="105"/>
      <c r="W81" s="105"/>
      <c r="X81" s="105"/>
      <c r="Y81" s="105"/>
      <c r="Z81" s="105"/>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2">
      <c r="A82" s="9"/>
      <c r="B82" s="9"/>
      <c r="C82" s="26"/>
      <c r="D82" s="25"/>
      <c r="E82" s="392"/>
      <c r="F82" s="91">
        <v>5</v>
      </c>
      <c r="G82" s="27"/>
      <c r="H82" s="230"/>
      <c r="I82" s="231"/>
      <c r="J82" s="231"/>
      <c r="K82" s="231"/>
      <c r="L82" s="232"/>
      <c r="M82" s="30">
        <f>IF(A1stdlife="n/a","n/a",IF(M$3&gt;(A1stdlife+$F82),(Input!$L$211*(1+vanilla5)^0.5)-SUM($L82:L82),(Input!$L$211*(1+vanilla5)^0.5)/A1stdlife))</f>
        <v>0</v>
      </c>
      <c r="N82" s="30">
        <f>IF(A1stdlife="n/a","n/a",IF(N$3&gt;(A1stdlife+$F82),(Input!$L$211*(1+vanilla5)^0.5)-SUM($L82:M82),(Input!$L$211*(1+vanilla5)^0.5)/A1stdlife))</f>
        <v>0</v>
      </c>
      <c r="O82" s="30">
        <f>IF(A1stdlife="n/a","n/a",IF(O$3&gt;(A1stdlife+$F82),(Input!$L$211*(1+vanilla5)^0.5)-SUM($L82:N82),(Input!$L$211*(1+vanilla5)^0.5)/A1stdlife))</f>
        <v>0</v>
      </c>
      <c r="P82" s="30">
        <f>IF(A1stdlife="n/a","n/a",IF(P$3&gt;(A1stdlife+$F82),(Input!$L$211*(1+vanilla5)^0.5)-SUM($L82:O82),(Input!$L$211*(1+vanilla5)^0.5)/A1stdlife))</f>
        <v>0</v>
      </c>
      <c r="Q82" s="30">
        <f>IF(A1stdlife="n/a","n/a",IF(Q$3&gt;(A1stdlife+$F82),(Input!$L$211*(1+vanilla5)^0.5)-SUM($L82:P82),(Input!$L$211*(1+vanilla5)^0.5)/A1stdlife))</f>
        <v>0</v>
      </c>
      <c r="R82" s="30"/>
      <c r="S82" s="105"/>
      <c r="T82" s="105"/>
      <c r="U82" s="105"/>
      <c r="V82" s="105"/>
      <c r="W82" s="105"/>
      <c r="X82" s="105"/>
      <c r="Y82" s="105"/>
      <c r="Z82" s="105"/>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customHeight="1" outlineLevel="2">
      <c r="A83" s="9"/>
      <c r="B83" s="9"/>
      <c r="C83" s="26"/>
      <c r="D83" s="25"/>
      <c r="E83" s="392"/>
      <c r="F83" s="91">
        <v>6</v>
      </c>
      <c r="G83" s="27"/>
      <c r="H83" s="230"/>
      <c r="I83" s="231"/>
      <c r="J83" s="231"/>
      <c r="K83" s="231"/>
      <c r="L83" s="231"/>
      <c r="M83" s="232"/>
      <c r="N83" s="30">
        <f>IF(A1stdlife="n/a","n/a",IF(N$3&gt;(A1stdlife+$F83),(Input!$M$211*(1+vanilla6)^0.5)-SUM($M83:M83),(Input!$M$211*(1+vanilla6)^0.5)/A1stdlife))</f>
        <v>0</v>
      </c>
      <c r="O83" s="30">
        <f>IF(A1stdlife="n/a","n/a",IF(O$3&gt;(A1stdlife+$F83),(Input!$M$211*(1+vanilla6)^0.5)-SUM($M83:N83),(Input!$M$211*(1+vanilla6)^0.5)/A1stdlife))</f>
        <v>0</v>
      </c>
      <c r="P83" s="30">
        <f>IF(A1stdlife="n/a","n/a",IF(P$3&gt;(A1stdlife+$F83),(Input!$M$211*(1+vanilla6)^0.5)-SUM($M83:O83),(Input!$M$211*(1+vanilla6)^0.5)/A1stdlife))</f>
        <v>0</v>
      </c>
      <c r="Q83" s="30">
        <f>IF(A1stdlife="n/a","n/a",IF(Q$3&gt;(A1stdlife+$F83),(Input!$M$211*(1+vanilla6)^0.5)-SUM($M83:P83),(Input!$M$211*(1+vanilla6)^0.5)/A1stdlife))</f>
        <v>0</v>
      </c>
      <c r="R83" s="30"/>
      <c r="S83" s="105"/>
      <c r="T83" s="105"/>
      <c r="U83" s="105"/>
      <c r="V83" s="105"/>
      <c r="W83" s="105"/>
      <c r="X83" s="105"/>
      <c r="Y83" s="105"/>
      <c r="Z83" s="105"/>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customHeight="1" outlineLevel="2">
      <c r="A84" s="9"/>
      <c r="B84" s="9"/>
      <c r="C84" s="26"/>
      <c r="D84" s="25"/>
      <c r="E84" s="392"/>
      <c r="F84" s="91">
        <v>7</v>
      </c>
      <c r="G84" s="27"/>
      <c r="H84" s="230"/>
      <c r="I84" s="231"/>
      <c r="J84" s="231"/>
      <c r="K84" s="231"/>
      <c r="L84" s="231"/>
      <c r="M84" s="231"/>
      <c r="N84" s="232"/>
      <c r="O84" s="30">
        <f>IF(A1stdlife="n/a","n/a",IF(O$3&gt;(A1stdlife+$F84),(Input!$N$211*(1+vanilla7)^0.5)-SUM($N84:N84),(Input!$N$211*(1+vanilla7)^0.5)/A1stdlife))</f>
        <v>0</v>
      </c>
      <c r="P84" s="30">
        <f>IF(A1stdlife="n/a","n/a",IF(P$3&gt;(A1stdlife+$F84),(Input!$N$211*(1+vanilla7)^0.5)-SUM($N84:O84),(Input!$N$211*(1+vanilla7)^0.5)/A1stdlife))</f>
        <v>0</v>
      </c>
      <c r="Q84" s="30">
        <f>IF(A1stdlife="n/a","n/a",IF(Q$3&gt;(A1stdlife+$F84),(Input!$N$211*(1+vanilla7)^0.5)-SUM($N84:P84),(Input!$N$211*(1+vanilla7)^0.5)/A1stdlife))</f>
        <v>0</v>
      </c>
      <c r="R84" s="30"/>
      <c r="S84" s="105"/>
      <c r="T84" s="105"/>
      <c r="U84" s="105"/>
      <c r="V84" s="105"/>
      <c r="W84" s="105"/>
      <c r="X84" s="105"/>
      <c r="Y84" s="105"/>
      <c r="Z84" s="105"/>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customHeight="1" outlineLevel="2">
      <c r="A85" s="9"/>
      <c r="B85" s="9"/>
      <c r="C85" s="26"/>
      <c r="D85" s="25"/>
      <c r="E85" s="392"/>
      <c r="F85" s="91">
        <v>8</v>
      </c>
      <c r="G85" s="27"/>
      <c r="H85" s="230"/>
      <c r="I85" s="231"/>
      <c r="J85" s="231"/>
      <c r="K85" s="231"/>
      <c r="L85" s="231"/>
      <c r="M85" s="231"/>
      <c r="N85" s="231"/>
      <c r="O85" s="232"/>
      <c r="P85" s="30">
        <f>IF(A1stdlife="n/a","n/a",IF(P$3&gt;(A1stdlife+$F85),(Input!$O$211*(1+vanilla8)^0.5)-SUM($O85:O85),(Input!$O$211*(1+vanilla8)^0.5)/A1stdlife))</f>
        <v>0</v>
      </c>
      <c r="Q85" s="30">
        <f>IF(A1stdlife="n/a","n/a",IF(Q$3&gt;(A1stdlife+$F85),(Input!$O$211*(1+vanilla8)^0.5)-SUM($O85:P85),(Input!$O$211*(1+vanilla8)^0.5)/A1stdlife))</f>
        <v>0</v>
      </c>
      <c r="R85" s="30"/>
      <c r="S85" s="105"/>
      <c r="T85" s="105"/>
      <c r="U85" s="105"/>
      <c r="V85" s="105"/>
      <c r="W85" s="105"/>
      <c r="X85" s="105"/>
      <c r="Y85" s="105"/>
      <c r="Z85" s="105"/>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customHeight="1" outlineLevel="2">
      <c r="A86" s="9"/>
      <c r="B86" s="9"/>
      <c r="C86" s="26"/>
      <c r="D86" s="25"/>
      <c r="E86" s="392"/>
      <c r="F86" s="91">
        <v>9</v>
      </c>
      <c r="G86" s="27"/>
      <c r="H86" s="230"/>
      <c r="I86" s="231"/>
      <c r="J86" s="231"/>
      <c r="K86" s="231"/>
      <c r="L86" s="231"/>
      <c r="M86" s="231"/>
      <c r="N86" s="231"/>
      <c r="O86" s="231"/>
      <c r="P86" s="232"/>
      <c r="Q86" s="30">
        <f>IF(A1stdlife="n/a","n/a",IF(Q$3&gt;(A1stdlife+$F86),(Input!$P$211*(1+vanilla9)^0.5)-SUM($P86:P86),(Input!$P$211*(1+vanilla9)^0.5)/A1stdlife))</f>
        <v>0</v>
      </c>
      <c r="R86" s="30"/>
      <c r="S86" s="105"/>
      <c r="T86" s="105"/>
      <c r="U86" s="105"/>
      <c r="V86" s="105"/>
      <c r="W86" s="105"/>
      <c r="X86" s="105"/>
      <c r="Y86" s="105"/>
      <c r="Z86" s="105"/>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customHeight="1" outlineLevel="2">
      <c r="A87" s="9"/>
      <c r="B87" s="9"/>
      <c r="C87" s="26"/>
      <c r="D87" s="25"/>
      <c r="E87" s="392"/>
      <c r="F87" s="92">
        <v>10</v>
      </c>
      <c r="G87" s="27"/>
      <c r="H87" s="230"/>
      <c r="I87" s="231"/>
      <c r="J87" s="231"/>
      <c r="K87" s="231"/>
      <c r="L87" s="231"/>
      <c r="M87" s="231"/>
      <c r="N87" s="231"/>
      <c r="O87" s="231"/>
      <c r="P87" s="231"/>
      <c r="Q87" s="232"/>
      <c r="R87" s="30"/>
      <c r="S87" s="105"/>
      <c r="T87" s="105"/>
      <c r="U87" s="105"/>
      <c r="V87" s="105"/>
      <c r="W87" s="105"/>
      <c r="X87" s="105"/>
      <c r="Y87" s="105"/>
      <c r="Z87" s="105"/>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outlineLevel="1">
      <c r="A88" s="9"/>
      <c r="B88" s="9"/>
      <c r="C88" s="9"/>
      <c r="D88" s="279" t="str">
        <f>Asset1</f>
        <v>Transmission Lines and Cables</v>
      </c>
      <c r="E88" s="9"/>
      <c r="F88" s="9"/>
      <c r="G88" s="124"/>
      <c r="H88" s="164">
        <f>-SUM(H76:H87)</f>
        <v>-13.959616599583557</v>
      </c>
      <c r="I88" s="164">
        <f>-SUM(I76:I87)</f>
        <v>-13.959616599583557</v>
      </c>
      <c r="J88" s="164">
        <f>-SUM(J76:J87)</f>
        <v>-13.959616599583557</v>
      </c>
      <c r="K88" s="164">
        <f>-SUM(K76:K87)</f>
        <v>-13.959616599583557</v>
      </c>
      <c r="L88" s="164">
        <f>-SUM(L76:L87)</f>
        <v>-13.956093673625762</v>
      </c>
      <c r="M88" s="164">
        <f>IF(COUNT($H88:L88)&gt;=Input!$W$7,0, -SUM(M76:M87))</f>
        <v>0</v>
      </c>
      <c r="N88" s="164">
        <f>IF(COUNT($H88:M88)&gt;=Input!$W$7,0, -SUM(N76:N87))</f>
        <v>0</v>
      </c>
      <c r="O88" s="164">
        <f>IF(COUNT($H88:N88)&gt;=Input!$W$7,0, -SUM(O76:O87))</f>
        <v>0</v>
      </c>
      <c r="P88" s="164">
        <f>IF(COUNT($H88:O88)&gt;=Input!$W$7,0, -SUM(P76:P87))</f>
        <v>0</v>
      </c>
      <c r="Q88" s="164">
        <f>IF(COUNT($H88:P88)&gt;=Input!$W$7,0, -SUM(Q76:Q87))</f>
        <v>0</v>
      </c>
      <c r="R88" s="69"/>
      <c r="S88" s="106"/>
      <c r="T88" s="105"/>
      <c r="U88" s="106"/>
      <c r="V88" s="106"/>
      <c r="W88" s="106"/>
      <c r="X88" s="106"/>
      <c r="Y88" s="106"/>
      <c r="Z88" s="106"/>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6"/>
      <c r="BE88" s="106"/>
      <c r="BF88" s="106"/>
      <c r="BG88" s="106"/>
      <c r="BH88" s="106"/>
      <c r="BI88" s="106"/>
      <c r="BJ88" s="106"/>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outlineLevel="2">
      <c r="A89" s="9"/>
      <c r="B89" s="9"/>
      <c r="C89" s="280" t="str">
        <f>Asset2</f>
        <v>Transmission Substations</v>
      </c>
      <c r="D89" s="161"/>
      <c r="E89" s="32" t="s">
        <v>26</v>
      </c>
      <c r="F89" s="31"/>
      <c r="G89" s="181"/>
      <c r="H89" s="72">
        <f>IF(H$3&gt;A2remlife,A2value-$G$631-SUM($G89:G89),IF(A2remlife="N/A","n/a",(A2value-$G$631)/A2remlife))</f>
        <v>13.908861065770129</v>
      </c>
      <c r="I89" s="72">
        <f>IF(I$3&gt;A2remlife,A2value-$G$631-SUM($G89:H89),IF(A2remlife="N/A","n/a",(A2value-$G$631)/A2remlife))</f>
        <v>13.908861065770129</v>
      </c>
      <c r="J89" s="72">
        <f>IF(J$3&gt;A2remlife,A2value-$G$631-SUM($G89:I89),IF(A2remlife="N/A","n/a",(A2value-$G$631)/A2remlife))</f>
        <v>13.908861065770129</v>
      </c>
      <c r="K89" s="72">
        <f>IF(K$3&gt;A2remlife,A2value-$G$631-SUM($G89:J89),IF(A2remlife="N/A","n/a",(A2value-$G$631)/A2remlife))</f>
        <v>13.908861065770129</v>
      </c>
      <c r="L89" s="72">
        <f>IF(L$3&gt;A2remlife,A2value-$G$631-SUM($G89:K89),IF(A2remlife="N/A","n/a",(A2value-$G$631)/A2remlife))</f>
        <v>13.908861065770129</v>
      </c>
      <c r="M89" s="72">
        <f>IF(M$3&gt;A2remlife,A2value-$G$631-SUM($G89:L89),IF(A2remlife="N/A","n/a",(A2value-$G$631)/A2remlife))</f>
        <v>13.908861065770129</v>
      </c>
      <c r="N89" s="72">
        <f>IF(N$3&gt;A2remlife,A2value-$G$631-SUM($G89:M89),IF(A2remlife="N/A","n/a",(A2value-$G$631)/A2remlife))</f>
        <v>13.908861065770129</v>
      </c>
      <c r="O89" s="72">
        <f>IF(O$3&gt;A2remlife,A2value-$G$631-SUM($G89:N89),IF(A2remlife="N/A","n/a",(A2value-$G$631)/A2remlife))</f>
        <v>13.908861065770129</v>
      </c>
      <c r="P89" s="72">
        <f>IF(P$3&gt;A2remlife,A2value-$G$631-SUM($G89:O89),IF(A2remlife="N/A","n/a",(A2value-$G$631)/A2remlife))</f>
        <v>13.908861065770129</v>
      </c>
      <c r="Q89" s="72">
        <f>IF(Q$3&gt;A2remlife,A2value-$G$631-SUM($G89:P89),IF(A2remlife="N/A","n/a",(A2value-$G$631)/A2remlife))</f>
        <v>13.908861065770129</v>
      </c>
      <c r="R89" s="72"/>
      <c r="S89" s="107"/>
      <c r="T89" s="107"/>
      <c r="U89" s="107"/>
      <c r="V89" s="107"/>
      <c r="W89" s="107"/>
      <c r="X89" s="107"/>
      <c r="Y89" s="107"/>
      <c r="Z89" s="107"/>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107"/>
      <c r="BE89" s="107"/>
      <c r="BF89" s="107"/>
      <c r="BG89" s="107"/>
      <c r="BH89" s="107"/>
      <c r="BI89" s="107"/>
      <c r="BJ89" s="107"/>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customHeight="1" outlineLevel="2">
      <c r="A90" s="9"/>
      <c r="B90" s="9"/>
      <c r="C90" s="9"/>
      <c r="D90" s="26"/>
      <c r="E90" s="391" t="s">
        <v>81</v>
      </c>
      <c r="F90" s="91"/>
      <c r="G90" s="124"/>
      <c r="H90" s="73"/>
      <c r="I90" s="73"/>
      <c r="J90" s="73"/>
      <c r="K90" s="73"/>
      <c r="L90" s="73"/>
      <c r="M90" s="163"/>
      <c r="N90" s="115"/>
      <c r="O90" s="73"/>
      <c r="P90" s="73"/>
      <c r="Q90" s="73"/>
      <c r="R90" s="73"/>
      <c r="S90" s="107"/>
      <c r="T90" s="107"/>
      <c r="U90" s="107"/>
      <c r="V90" s="107"/>
      <c r="W90" s="107"/>
      <c r="X90" s="107"/>
      <c r="Y90" s="107"/>
      <c r="Z90" s="107"/>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107"/>
      <c r="BE90" s="107"/>
      <c r="BF90" s="107"/>
      <c r="BG90" s="107"/>
      <c r="BH90" s="107"/>
      <c r="BI90" s="107"/>
      <c r="BJ90" s="107"/>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outlineLevel="2">
      <c r="A91" s="9"/>
      <c r="B91" s="9"/>
      <c r="C91" s="9"/>
      <c r="D91" s="26"/>
      <c r="E91" s="392"/>
      <c r="F91" s="91">
        <v>1</v>
      </c>
      <c r="G91" s="124"/>
      <c r="H91" s="148"/>
      <c r="I91" s="73">
        <f>IF(A2stdlife="n/a","n/a",IF(I$3&gt;(A2stdlife+$F91),(Input!$H$212*(1+vanilla1)^0.5)-SUM($H91:H91),(Input!$H$212*(1+vanilla1)^0.5)/A2stdlife))</f>
        <v>0</v>
      </c>
      <c r="J91" s="73">
        <f>IF(A2stdlife="n/a","n/a",IF(J$3&gt;(A2stdlife+$F91),(Input!$H$212*(1+vanilla1)^0.5)-SUM($H91:I91),(Input!$H$212*(1+vanilla1)^0.5)/A2stdlife))</f>
        <v>0</v>
      </c>
      <c r="K91" s="73">
        <f>IF(A2stdlife="n/a","n/a",IF(K$3&gt;(A2stdlife+$F91),(Input!$H$212*(1+vanilla1)^0.5)-SUM($H91:J91),(Input!$H$212*(1+vanilla1)^0.5)/A2stdlife))</f>
        <v>0</v>
      </c>
      <c r="L91" s="73">
        <f>IF(A2stdlife="n/a","n/a",IF(L$3&gt;(A2stdlife+$F91),(Input!$H$212*(1+vanilla1)^0.5)-SUM($H91:K91),(Input!$H$212*(1+vanilla1)^0.5)/A2stdlife))</f>
        <v>0</v>
      </c>
      <c r="M91" s="73">
        <f>IF(A2stdlife="n/a","n/a",IF(M$3&gt;(A2stdlife+$F91),(Input!$H$212*(1+vanilla1)^0.5)-SUM($H91:L91),(Input!$H$212*(1+vanilla1)^0.5)/A2stdlife))</f>
        <v>0</v>
      </c>
      <c r="N91" s="73">
        <f>IF(A2stdlife="n/a","n/a",IF(N$3&gt;(A2stdlife+$F91),(Input!$H$212*(1+vanilla1)^0.5)-SUM($H91:M91),(Input!$H$212*(1+vanilla1)^0.5)/A2stdlife))</f>
        <v>0</v>
      </c>
      <c r="O91" s="73">
        <f>IF(A2stdlife="n/a","n/a",IF(O$3&gt;(A2stdlife+$F91),(Input!$H$212*(1+vanilla1)^0.5)-SUM($H91:N91),(Input!$H$212*(1+vanilla1)^0.5)/A2stdlife))</f>
        <v>0</v>
      </c>
      <c r="P91" s="73">
        <f>IF(A2stdlife="n/a","n/a",IF(P$3&gt;(A2stdlife+$F91),(Input!$H$212*(1+vanilla1)^0.5)-SUM($H91:O91),(Input!$H$212*(1+vanilla1)^0.5)/A2stdlife))</f>
        <v>0</v>
      </c>
      <c r="Q91" s="73">
        <f>IF(A2stdlife="n/a","n/a",IF(Q$3&gt;(A2stdlife+$F91),(Input!$H$212*(1+vanilla1)^0.5)-SUM($H91:P91),(Input!$H$212*(1+vanilla1)^0.5)/A2stdlife))</f>
        <v>0</v>
      </c>
      <c r="R91" s="73"/>
      <c r="S91" s="107"/>
      <c r="T91" s="107"/>
      <c r="U91" s="107"/>
      <c r="V91" s="107"/>
      <c r="W91" s="107"/>
      <c r="X91" s="107"/>
      <c r="Y91" s="107"/>
      <c r="Z91" s="107"/>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107"/>
      <c r="BE91" s="107"/>
      <c r="BF91" s="107"/>
      <c r="BG91" s="107"/>
      <c r="BH91" s="107"/>
      <c r="BI91" s="107"/>
      <c r="BJ91" s="107"/>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outlineLevel="2">
      <c r="A92" s="9"/>
      <c r="B92" s="9"/>
      <c r="C92" s="9"/>
      <c r="D92" s="26"/>
      <c r="E92" s="392"/>
      <c r="F92" s="91">
        <v>2</v>
      </c>
      <c r="G92" s="124"/>
      <c r="H92" s="149"/>
      <c r="I92" s="150"/>
      <c r="J92" s="73">
        <f>IF(A2stdlife="n/a","n/a",IF(J$3&gt;(A2stdlife+$F92),(Input!$I$212*(1+vanilla2)^0.5)-SUM($I92:I92),(Input!$I$212*(1+vanilla2)^0.5)/A2stdlife))</f>
        <v>-1.0609520286532831E-2</v>
      </c>
      <c r="K92" s="73">
        <f>IF(A2stdlife="n/a","n/a",IF(K$3&gt;(A2stdlife+$F92),(Input!$I$212*(1+vanilla2)^0.5)-SUM($I92:J92),(Input!$I$212*(1+vanilla2)^0.5)/A2stdlife))</f>
        <v>-1.0609520286532831E-2</v>
      </c>
      <c r="L92" s="73">
        <f>IF(A2stdlife="n/a","n/a",IF(L$3&gt;(A2stdlife+$F92),(Input!$I$212*(1+vanilla2)^0.5)-SUM($I92:K92),(Input!$I$212*(1+vanilla2)^0.5)/A2stdlife))</f>
        <v>-1.0609520286532831E-2</v>
      </c>
      <c r="M92" s="73">
        <f>IF(A2stdlife="n/a","n/a",IF(M$3&gt;(A2stdlife+$F92),(Input!$I$212*(1+vanilla2)^0.5)-SUM($I92:L92),(Input!$I$212*(1+vanilla2)^0.5)/A2stdlife))</f>
        <v>-1.0609520286532831E-2</v>
      </c>
      <c r="N92" s="73">
        <f>IF(A2stdlife="n/a","n/a",IF(N$3&gt;(A2stdlife+$F92),(Input!$I$212*(1+vanilla2)^0.5)-SUM($I92:M92),(Input!$I$212*(1+vanilla2)^0.5)/A2stdlife))</f>
        <v>-1.0609520286532831E-2</v>
      </c>
      <c r="O92" s="73">
        <f>IF(A2stdlife="n/a","n/a",IF(O$3&gt;(A2stdlife+$F92),(Input!$I$212*(1+vanilla2)^0.5)-SUM($I92:N92),(Input!$I$212*(1+vanilla2)^0.5)/A2stdlife))</f>
        <v>-1.0609520286532831E-2</v>
      </c>
      <c r="P92" s="73">
        <f>IF(A2stdlife="n/a","n/a",IF(P$3&gt;(A2stdlife+$F92),(Input!$I$212*(1+vanilla2)^0.5)-SUM($I92:O92),(Input!$I$212*(1+vanilla2)^0.5)/A2stdlife))</f>
        <v>-1.0609520286532831E-2</v>
      </c>
      <c r="Q92" s="73">
        <f>IF(A2stdlife="n/a","n/a",IF(Q$3&gt;(A2stdlife+$F92),(Input!$I$212*(1+vanilla2)^0.5)-SUM($I92:P92),(Input!$I$212*(1+vanilla2)^0.5)/A2stdlife))</f>
        <v>-1.0609520286532831E-2</v>
      </c>
      <c r="R92" s="73"/>
      <c r="S92" s="107"/>
      <c r="T92" s="107"/>
      <c r="U92" s="107"/>
      <c r="V92" s="107"/>
      <c r="W92" s="107"/>
      <c r="X92" s="107"/>
      <c r="Y92" s="107"/>
      <c r="Z92" s="107"/>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107"/>
      <c r="BE92" s="107"/>
      <c r="BF92" s="107"/>
      <c r="BG92" s="107"/>
      <c r="BH92" s="107"/>
      <c r="BI92" s="107"/>
      <c r="BJ92" s="107"/>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outlineLevel="2">
      <c r="A93" s="9"/>
      <c r="B93" s="9"/>
      <c r="C93" s="9"/>
      <c r="D93" s="26"/>
      <c r="E93" s="392"/>
      <c r="F93" s="91">
        <v>3</v>
      </c>
      <c r="G93" s="124"/>
      <c r="H93" s="149"/>
      <c r="I93" s="151"/>
      <c r="J93" s="150"/>
      <c r="K93" s="73">
        <f>IF(A2stdlife="n/a","n/a",IF(K$3&gt;(A2stdlife+$F93),(Input!$J$212*(1+vanilla3)^0.5)-SUM($J93:J93),(Input!$J$212*(1+vanilla3)^0.5)/A2stdlife))</f>
        <v>0</v>
      </c>
      <c r="L93" s="73">
        <f>IF(A2stdlife="n/a","n/a",IF(L$3&gt;(A2stdlife+$F93),(Input!$J$212*(1+vanilla3)^0.5)-SUM($J93:K93),(Input!$J$212*(1+vanilla3)^0.5)/A2stdlife))</f>
        <v>0</v>
      </c>
      <c r="M93" s="73">
        <f>IF(A2stdlife="n/a","n/a",IF(M$3&gt;(A2stdlife+$F93),(Input!$J$212*(1+vanilla3)^0.5)-SUM($J93:L93),(Input!$J$212*(1+vanilla3)^0.5)/A2stdlife))</f>
        <v>0</v>
      </c>
      <c r="N93" s="73">
        <f>IF(A2stdlife="n/a","n/a",IF(N$3&gt;(A2stdlife+$F93),(Input!$J$212*(1+vanilla3)^0.5)-SUM($J93:M93),(Input!$J$212*(1+vanilla3)^0.5)/A2stdlife))</f>
        <v>0</v>
      </c>
      <c r="O93" s="73">
        <f>IF(A2stdlife="n/a","n/a",IF(O$3&gt;(A2stdlife+$F93),(Input!$J$212*(1+vanilla3)^0.5)-SUM($J93:N93),(Input!$J$212*(1+vanilla3)^0.5)/A2stdlife))</f>
        <v>0</v>
      </c>
      <c r="P93" s="73">
        <f>IF(A2stdlife="n/a","n/a",IF(P$3&gt;(A2stdlife+$F93),(Input!$J$212*(1+vanilla3)^0.5)-SUM($J93:O93),(Input!$J$212*(1+vanilla3)^0.5)/A2stdlife))</f>
        <v>0</v>
      </c>
      <c r="Q93" s="73">
        <f>IF(A2stdlife="n/a","n/a",IF(Q$3&gt;(A2stdlife+$F93),(Input!$J$212*(1+vanilla3)^0.5)-SUM($J93:P93),(Input!$J$212*(1+vanilla3)^0.5)/A2stdlife))</f>
        <v>0</v>
      </c>
      <c r="R93" s="73"/>
      <c r="S93" s="107"/>
      <c r="T93" s="107"/>
      <c r="U93" s="107"/>
      <c r="V93" s="107"/>
      <c r="W93" s="107"/>
      <c r="X93" s="107"/>
      <c r="Y93" s="107"/>
      <c r="Z93" s="107"/>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107"/>
      <c r="BE93" s="107"/>
      <c r="BF93" s="107"/>
      <c r="BG93" s="107"/>
      <c r="BH93" s="107"/>
      <c r="BI93" s="107"/>
      <c r="BJ93" s="107"/>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outlineLevel="2">
      <c r="A94" s="9"/>
      <c r="B94" s="9"/>
      <c r="C94" s="9"/>
      <c r="D94" s="26"/>
      <c r="E94" s="392"/>
      <c r="F94" s="91">
        <v>4</v>
      </c>
      <c r="G94" s="124"/>
      <c r="H94" s="149"/>
      <c r="I94" s="151"/>
      <c r="J94" s="151"/>
      <c r="K94" s="150"/>
      <c r="L94" s="73">
        <f>IF(A2stdlife="n/a","n/a",IF(L$3&gt;(A2stdlife+$F94),(Input!$K$212*(1+vanilla4)^0.5)-SUM($K94:K94),(Input!$K$212*(1+vanilla4)^0.5)/A2stdlife))</f>
        <v>0</v>
      </c>
      <c r="M94" s="73">
        <f>IF(A2stdlife="n/a","n/a",IF(M$3&gt;(A2stdlife+$F94),(Input!$K$212*(1+vanilla4)^0.5)-SUM($K94:L94),(Input!$K$212*(1+vanilla4)^0.5)/A2stdlife))</f>
        <v>0</v>
      </c>
      <c r="N94" s="73">
        <f>IF(A2stdlife="n/a","n/a",IF(N$3&gt;(A2stdlife+$F94),(Input!$K$212*(1+vanilla4)^0.5)-SUM($K94:M94),(Input!$K$212*(1+vanilla4)^0.5)/A2stdlife))</f>
        <v>0</v>
      </c>
      <c r="O94" s="73">
        <f>IF(A2stdlife="n/a","n/a",IF(O$3&gt;(A2stdlife+$F94),(Input!$K$212*(1+vanilla4)^0.5)-SUM($K94:N94),(Input!$K$212*(1+vanilla4)^0.5)/A2stdlife))</f>
        <v>0</v>
      </c>
      <c r="P94" s="73">
        <f>IF(A2stdlife="n/a","n/a",IF(P$3&gt;(A2stdlife+$F94),(Input!$K$212*(1+vanilla4)^0.5)-SUM($K94:O94),(Input!$K$212*(1+vanilla4)^0.5)/A2stdlife))</f>
        <v>0</v>
      </c>
      <c r="Q94" s="73">
        <f>IF(A2stdlife="n/a","n/a",IF(Q$3&gt;(A2stdlife+$F94),(Input!$K$212*(1+vanilla4)^0.5)-SUM($K94:P94),(Input!$K$212*(1+vanilla4)^0.5)/A2stdlife))</f>
        <v>0</v>
      </c>
      <c r="R94" s="73"/>
      <c r="S94" s="107"/>
      <c r="T94" s="107"/>
      <c r="U94" s="107"/>
      <c r="V94" s="107"/>
      <c r="W94" s="107"/>
      <c r="X94" s="107"/>
      <c r="Y94" s="107"/>
      <c r="Z94" s="107"/>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107"/>
      <c r="BE94" s="107"/>
      <c r="BF94" s="107"/>
      <c r="BG94" s="107"/>
      <c r="BH94" s="107"/>
      <c r="BI94" s="107"/>
      <c r="BJ94" s="107"/>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2">
      <c r="A95" s="9"/>
      <c r="B95" s="9"/>
      <c r="C95" s="9"/>
      <c r="D95" s="26"/>
      <c r="E95" s="392"/>
      <c r="F95" s="91">
        <v>5</v>
      </c>
      <c r="G95" s="124"/>
      <c r="H95" s="149"/>
      <c r="I95" s="151"/>
      <c r="J95" s="151"/>
      <c r="K95" s="151"/>
      <c r="L95" s="150"/>
      <c r="M95" s="73">
        <f>IF(A2stdlife="n/a","n/a",IF(M$3&gt;(A2stdlife+$F95),(Input!$L$212*(1+vanilla5)^0.5)-SUM($L95:L95),(Input!$L$212*(1+vanilla5)^0.5)/A2stdlife))</f>
        <v>0</v>
      </c>
      <c r="N95" s="73">
        <f>IF(A2stdlife="n/a","n/a",IF(N$3&gt;(A2stdlife+$F95),(Input!$L$212*(1+vanilla5)^0.5)-SUM($L95:M95),(Input!$L$212*(1+vanilla5)^0.5)/A2stdlife))</f>
        <v>0</v>
      </c>
      <c r="O95" s="73">
        <f>IF(A2stdlife="n/a","n/a",IF(O$3&gt;(A2stdlife+$F95),(Input!$L$212*(1+vanilla5)^0.5)-SUM($L95:N95),(Input!$L$212*(1+vanilla5)^0.5)/A2stdlife))</f>
        <v>0</v>
      </c>
      <c r="P95" s="73">
        <f>IF(A2stdlife="n/a","n/a",IF(P$3&gt;(A2stdlife+$F95),(Input!$L$212*(1+vanilla5)^0.5)-SUM($L95:O95),(Input!$L$212*(1+vanilla5)^0.5)/A2stdlife))</f>
        <v>0</v>
      </c>
      <c r="Q95" s="73">
        <f>IF(A2stdlife="n/a","n/a",IF(Q$3&gt;(A2stdlife+$F95),(Input!$L$212*(1+vanilla5)^0.5)-SUM($L95:P95),(Input!$L$212*(1+vanilla5)^0.5)/A2stdlife))</f>
        <v>0</v>
      </c>
      <c r="R95" s="73"/>
      <c r="S95" s="107"/>
      <c r="T95" s="107"/>
      <c r="U95" s="107"/>
      <c r="V95" s="107"/>
      <c r="W95" s="107"/>
      <c r="X95" s="107"/>
      <c r="Y95" s="107"/>
      <c r="Z95" s="107"/>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outlineLevel="2">
      <c r="A96" s="9"/>
      <c r="B96" s="9"/>
      <c r="C96" s="9"/>
      <c r="D96" s="26"/>
      <c r="E96" s="392"/>
      <c r="F96" s="91">
        <v>6</v>
      </c>
      <c r="G96" s="124"/>
      <c r="H96" s="149"/>
      <c r="I96" s="151"/>
      <c r="J96" s="151"/>
      <c r="K96" s="151"/>
      <c r="L96" s="151"/>
      <c r="M96" s="150"/>
      <c r="N96" s="73">
        <f>IF(A2stdlife="n/a","n/a",IF(N$3&gt;(A2stdlife+$F96),(Input!$M$212*(1+vanilla6)^0.5)-SUM($M96:M96),(Input!$M$212*(1+vanilla6)^0.5)/A2stdlife))</f>
        <v>0</v>
      </c>
      <c r="O96" s="73">
        <f>IF(A2stdlife="n/a","n/a",IF(O$3&gt;(A2stdlife+$F96),(Input!$M$212*(1+vanilla6)^0.5)-SUM($M96:N96),(Input!$M$212*(1+vanilla6)^0.5)/A2stdlife))</f>
        <v>0</v>
      </c>
      <c r="P96" s="73">
        <f>IF(A2stdlife="n/a","n/a",IF(P$3&gt;(A2stdlife+$F96),(Input!$M$212*(1+vanilla6)^0.5)-SUM($M96:O96),(Input!$M$212*(1+vanilla6)^0.5)/A2stdlife))</f>
        <v>0</v>
      </c>
      <c r="Q96" s="73">
        <f>IF(A2stdlife="n/a","n/a",IF(Q$3&gt;(A2stdlife+$F96),(Input!$M$212*(1+vanilla6)^0.5)-SUM($M96:P96),(Input!$M$212*(1+vanilla6)^0.5)/A2stdlife))</f>
        <v>0</v>
      </c>
      <c r="R96" s="73"/>
      <c r="S96" s="107"/>
      <c r="T96" s="107"/>
      <c r="U96" s="107"/>
      <c r="V96" s="107"/>
      <c r="W96" s="107"/>
      <c r="X96" s="107"/>
      <c r="Y96" s="107"/>
      <c r="Z96" s="107"/>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107"/>
      <c r="BE96" s="107"/>
      <c r="BF96" s="107"/>
      <c r="BG96" s="107"/>
      <c r="BH96" s="107"/>
      <c r="BI96" s="107"/>
      <c r="BJ96" s="107"/>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outlineLevel="2">
      <c r="A97" s="9"/>
      <c r="B97" s="9"/>
      <c r="C97" s="9"/>
      <c r="D97" s="26"/>
      <c r="E97" s="392"/>
      <c r="F97" s="91">
        <v>7</v>
      </c>
      <c r="G97" s="124"/>
      <c r="H97" s="149"/>
      <c r="I97" s="151"/>
      <c r="J97" s="151"/>
      <c r="K97" s="151"/>
      <c r="L97" s="151"/>
      <c r="M97" s="151"/>
      <c r="N97" s="150"/>
      <c r="O97" s="73">
        <f>IF(A2stdlife="n/a","n/a",IF(O$3&gt;(A2stdlife+$F97),(Input!$N$212*(1+vanilla7)^0.5)-SUM($N97:N97),(Input!$N$212*(1+vanilla7)^0.5)/A2stdlife))</f>
        <v>0</v>
      </c>
      <c r="P97" s="73">
        <f>IF(A2stdlife="n/a","n/a",IF(P$3&gt;(A2stdlife+$F97),(Input!$N$212*(1+vanilla7)^0.5)-SUM($N97:O97),(Input!$N$212*(1+vanilla7)^0.5)/A2stdlife))</f>
        <v>0</v>
      </c>
      <c r="Q97" s="73">
        <f>IF(A2stdlife="n/a","n/a",IF(Q$3&gt;(A2stdlife+$F97),(Input!$N$212*(1+vanilla7)^0.5)-SUM($N97:P97),(Input!$N$212*(1+vanilla7)^0.5)/A2stdlife))</f>
        <v>0</v>
      </c>
      <c r="R97" s="73"/>
      <c r="S97" s="107"/>
      <c r="T97" s="107"/>
      <c r="U97" s="107"/>
      <c r="V97" s="107"/>
      <c r="W97" s="107"/>
      <c r="X97" s="107"/>
      <c r="Y97" s="107"/>
      <c r="Z97" s="107"/>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107"/>
      <c r="BE97" s="107"/>
      <c r="BF97" s="107"/>
      <c r="BG97" s="107"/>
      <c r="BH97" s="107"/>
      <c r="BI97" s="107"/>
      <c r="BJ97" s="107"/>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outlineLevel="2">
      <c r="A98" s="9"/>
      <c r="B98" s="9"/>
      <c r="C98" s="9"/>
      <c r="D98" s="26"/>
      <c r="E98" s="392"/>
      <c r="F98" s="91">
        <v>8</v>
      </c>
      <c r="G98" s="124"/>
      <c r="H98" s="149"/>
      <c r="I98" s="151"/>
      <c r="J98" s="151"/>
      <c r="K98" s="151"/>
      <c r="L98" s="151"/>
      <c r="M98" s="151"/>
      <c r="N98" s="151"/>
      <c r="O98" s="150"/>
      <c r="P98" s="73">
        <f>IF(A2stdlife="n/a","n/a",IF(P$3&gt;(A2stdlife+$F98),(Input!$O$212*(1+vanilla8)^0.5)-SUM($O98:O98),(Input!$O$212*(1+vanilla8)^0.5)/A2stdlife))</f>
        <v>0</v>
      </c>
      <c r="Q98" s="73">
        <f>IF(A2stdlife="n/a","n/a",IF(Q$3&gt;(A2stdlife+$F98),(Input!$O$212*(1+vanilla8)^0.5)-SUM($O98:P98),(Input!$O$212*(1+vanilla8)^0.5)/A2stdlife))</f>
        <v>0</v>
      </c>
      <c r="R98" s="73"/>
      <c r="S98" s="107"/>
      <c r="T98" s="107"/>
      <c r="U98" s="107"/>
      <c r="V98" s="107"/>
      <c r="W98" s="107"/>
      <c r="X98" s="107"/>
      <c r="Y98" s="107"/>
      <c r="Z98" s="107"/>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107"/>
      <c r="BE98" s="107"/>
      <c r="BF98" s="107"/>
      <c r="BG98" s="107"/>
      <c r="BH98" s="107"/>
      <c r="BI98" s="107"/>
      <c r="BJ98" s="107"/>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outlineLevel="2">
      <c r="A99" s="9"/>
      <c r="B99" s="9"/>
      <c r="C99" s="9"/>
      <c r="D99" s="26"/>
      <c r="E99" s="392"/>
      <c r="F99" s="91">
        <v>9</v>
      </c>
      <c r="G99" s="124"/>
      <c r="H99" s="149"/>
      <c r="I99" s="151"/>
      <c r="J99" s="151"/>
      <c r="K99" s="151"/>
      <c r="L99" s="151"/>
      <c r="M99" s="151"/>
      <c r="N99" s="151"/>
      <c r="O99" s="151"/>
      <c r="P99" s="150"/>
      <c r="Q99" s="73">
        <f>IF(A2stdlife="n/a","n/a",IF(Q$3&gt;(A2stdlife+$F99),(Input!$P$212*(1+vanilla9)^0.5)-SUM($P99:P99),(Input!$P$212*(1+vanilla9)^0.5)/A2stdlife))</f>
        <v>0</v>
      </c>
      <c r="R99" s="73"/>
      <c r="S99" s="107"/>
      <c r="T99" s="107"/>
      <c r="U99" s="107"/>
      <c r="V99" s="107"/>
      <c r="W99" s="107"/>
      <c r="X99" s="107"/>
      <c r="Y99" s="107"/>
      <c r="Z99" s="107"/>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107"/>
      <c r="BE99" s="107"/>
      <c r="BF99" s="107"/>
      <c r="BG99" s="107"/>
      <c r="BH99" s="107"/>
      <c r="BI99" s="107"/>
      <c r="BJ99" s="107"/>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outlineLevel="2">
      <c r="A100" s="9"/>
      <c r="B100" s="9"/>
      <c r="C100" s="9"/>
      <c r="D100" s="26"/>
      <c r="E100" s="392"/>
      <c r="F100" s="92">
        <v>10</v>
      </c>
      <c r="G100" s="124"/>
      <c r="H100" s="149"/>
      <c r="I100" s="151"/>
      <c r="J100" s="151"/>
      <c r="K100" s="151"/>
      <c r="L100" s="151"/>
      <c r="M100" s="151"/>
      <c r="N100" s="151"/>
      <c r="O100" s="151"/>
      <c r="P100" s="151"/>
      <c r="Q100" s="150"/>
      <c r="R100" s="73"/>
      <c r="S100" s="107"/>
      <c r="T100" s="107"/>
      <c r="U100" s="107"/>
      <c r="V100" s="107"/>
      <c r="W100" s="107"/>
      <c r="X100" s="107"/>
      <c r="Y100" s="107"/>
      <c r="Z100" s="107"/>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107"/>
      <c r="BE100" s="107"/>
      <c r="BF100" s="107"/>
      <c r="BG100" s="107"/>
      <c r="BH100" s="107"/>
      <c r="BI100" s="107"/>
      <c r="BJ100" s="107"/>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outlineLevel="1">
      <c r="A101" s="9"/>
      <c r="B101" s="9"/>
      <c r="C101" s="9"/>
      <c r="D101" s="279" t="str">
        <f>Asset2</f>
        <v>Transmission Substations</v>
      </c>
      <c r="E101" s="9"/>
      <c r="F101" s="9"/>
      <c r="G101" s="124"/>
      <c r="H101" s="73">
        <f>-SUM(H89:H100)</f>
        <v>-13.908861065770129</v>
      </c>
      <c r="I101" s="73">
        <f>-SUM(I89:I100)</f>
        <v>-13.908861065770129</v>
      </c>
      <c r="J101" s="73">
        <f>-SUM(J89:J100)</f>
        <v>-13.898251545483596</v>
      </c>
      <c r="K101" s="73">
        <f>-SUM(K89:K100)</f>
        <v>-13.898251545483596</v>
      </c>
      <c r="L101" s="73">
        <f>-SUM(L89:L100)</f>
        <v>-13.898251545483596</v>
      </c>
      <c r="M101" s="73">
        <f>IF(COUNT($H101:L101)&gt;=Input!$W$7,0, -SUM(M89:M100))</f>
        <v>0</v>
      </c>
      <c r="N101" s="73">
        <f>IF(COUNT($H101:M101)&gt;=Input!$W$7,0, -SUM(N89:N100))</f>
        <v>0</v>
      </c>
      <c r="O101" s="73">
        <f>IF(COUNT($H101:N101)&gt;=Input!$W$7,0, -SUM(O89:O100))</f>
        <v>0</v>
      </c>
      <c r="P101" s="73">
        <f>IF(COUNT($H101:O101)&gt;=Input!$W$7,0, -SUM(P89:P100))</f>
        <v>0</v>
      </c>
      <c r="Q101" s="73">
        <f>IF(COUNT($H101:P101)&gt;=Input!$W$7,0, -SUM(Q89:Q100))</f>
        <v>0</v>
      </c>
      <c r="R101" s="70"/>
      <c r="S101" s="108"/>
      <c r="T101" s="108"/>
      <c r="U101" s="108"/>
      <c r="V101" s="108"/>
      <c r="W101" s="108"/>
      <c r="X101" s="108"/>
      <c r="Y101" s="108"/>
      <c r="Z101" s="108"/>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108"/>
      <c r="BE101" s="108"/>
      <c r="BF101" s="108"/>
      <c r="BG101" s="108"/>
      <c r="BH101" s="108"/>
      <c r="BI101" s="108"/>
      <c r="BJ101" s="108"/>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outlineLevel="2">
      <c r="A102" s="9"/>
      <c r="B102" s="9"/>
      <c r="C102" s="280" t="str">
        <f>Asset3</f>
        <v>Protection and Control</v>
      </c>
      <c r="D102" s="161"/>
      <c r="E102" s="32" t="s">
        <v>26</v>
      </c>
      <c r="F102" s="31"/>
      <c r="G102" s="181"/>
      <c r="H102" s="72">
        <f>IF(H$3&gt;A3remlife,A3value-$G$632-SUM($G102:G102),IF(A3remlife="N/A","n/a",(A3value-$G$632)/A3remlife))</f>
        <v>5.8061702205552894</v>
      </c>
      <c r="I102" s="72">
        <f>IF(I$3&gt;A3remlife,A3value-$G$632-SUM($G102:H102),IF(A3remlife="N/A","n/a",(A3value-$G$632)/A3remlife))</f>
        <v>5.8061702205552894</v>
      </c>
      <c r="J102" s="72">
        <f>IF(J$3&gt;A3remlife,A3value-$G$632-SUM($G102:I102),IF(A3remlife="N/A","n/a",(A3value-$G$632)/A3remlife))</f>
        <v>5.8061702205552894</v>
      </c>
      <c r="K102" s="72">
        <f>IF(K$3&gt;A3remlife,A3value-$G$632-SUM($G102:J102),IF(A3remlife="N/A","n/a",(A3value-$G$632)/A3remlife))</f>
        <v>5.8061702205552894</v>
      </c>
      <c r="L102" s="72">
        <f>IF(L$3&gt;A3remlife,A3value-$G$632-SUM($G102:K102),IF(A3remlife="N/A","n/a",(A3value-$G$632)/A3remlife))</f>
        <v>5.8061702205552894</v>
      </c>
      <c r="M102" s="72">
        <f>IF(M$3&gt;A3remlife,A3value-$G$632-SUM($G102:L102),IF(A3remlife="N/A","n/a",(A3value-$G$632)/A3remlife))</f>
        <v>5.8061702205552894</v>
      </c>
      <c r="N102" s="72">
        <f>IF(N$3&gt;A3remlife,A3value-$G$632-SUM($G102:M102),IF(A3remlife="N/A","n/a",(A3value-$G$632)/A3remlife))</f>
        <v>5.8061702205552894</v>
      </c>
      <c r="O102" s="72">
        <f>IF(O$3&gt;A3remlife,A3value-$G$632-SUM($G102:N102),IF(A3remlife="N/A","n/a",(A3value-$G$632)/A3remlife))</f>
        <v>5.8061702205552894</v>
      </c>
      <c r="P102" s="72">
        <f>IF(P$3&gt;A3remlife,A3value-$G$632-SUM($G102:O102),IF(A3remlife="N/A","n/a",(A3value-$G$632)/A3remlife))</f>
        <v>3.3969050330282968</v>
      </c>
      <c r="Q102" s="72">
        <f>IF(Q$3&gt;A3remlife,A3value-$G$632-SUM($G102:P102),IF(A3remlife="N/A","n/a",(A3value-$G$632)/A3remlife))</f>
        <v>0</v>
      </c>
      <c r="R102" s="72"/>
      <c r="S102" s="107"/>
      <c r="T102" s="107"/>
      <c r="U102" s="107"/>
      <c r="V102" s="107"/>
      <c r="W102" s="107"/>
      <c r="X102" s="107"/>
      <c r="Y102" s="107"/>
      <c r="Z102" s="107"/>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107"/>
      <c r="BE102" s="107"/>
      <c r="BF102" s="107"/>
      <c r="BG102" s="107"/>
      <c r="BH102" s="107"/>
      <c r="BI102" s="107"/>
      <c r="BJ102" s="107"/>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customHeight="1" outlineLevel="2">
      <c r="A103" s="9"/>
      <c r="B103" s="9"/>
      <c r="C103" s="9"/>
      <c r="D103" s="26"/>
      <c r="E103" s="391" t="s">
        <v>81</v>
      </c>
      <c r="F103" s="91"/>
      <c r="G103" s="124"/>
      <c r="H103" s="73"/>
      <c r="I103" s="73"/>
      <c r="J103" s="73"/>
      <c r="K103" s="73"/>
      <c r="L103" s="73"/>
      <c r="M103" s="163"/>
      <c r="N103" s="115"/>
      <c r="O103" s="73"/>
      <c r="P103" s="73"/>
      <c r="Q103" s="73"/>
      <c r="R103" s="73"/>
      <c r="S103" s="107"/>
      <c r="T103" s="107"/>
      <c r="U103" s="107"/>
      <c r="V103" s="107"/>
      <c r="W103" s="107"/>
      <c r="X103" s="107"/>
      <c r="Y103" s="107"/>
      <c r="Z103" s="107"/>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107"/>
      <c r="BE103" s="107"/>
      <c r="BF103" s="107"/>
      <c r="BG103" s="107"/>
      <c r="BH103" s="107"/>
      <c r="BI103" s="107"/>
      <c r="BJ103" s="107"/>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outlineLevel="2">
      <c r="A104" s="9"/>
      <c r="B104" s="9"/>
      <c r="C104" s="9"/>
      <c r="D104" s="26"/>
      <c r="E104" s="392"/>
      <c r="F104" s="91">
        <v>1</v>
      </c>
      <c r="G104" s="124"/>
      <c r="H104" s="148"/>
      <c r="I104" s="73">
        <f>IF(A3stdlife="n/a","n/a",IF(I$3&gt;(A3stdlife+$F104),(Input!$H$213*(1+vanilla1)^0.5)-SUM($H104:H104),(Input!$H$213*(1+vanilla1)^0.5)/A3stdlife))</f>
        <v>0</v>
      </c>
      <c r="J104" s="73">
        <f>IF(A3stdlife="n/a","n/a",IF(J$3&gt;(A3stdlife+$F104),(Input!$H$213*(1+vanilla1)^0.5)-SUM($H104:I104),(Input!$H$213*(1+vanilla1)^0.5)/A3stdlife))</f>
        <v>0</v>
      </c>
      <c r="K104" s="73">
        <f>IF(A3stdlife="n/a","n/a",IF(K$3&gt;(A3stdlife+$F104),(Input!$H$213*(1+vanilla1)^0.5)-SUM($H104:J104),(Input!$H$213*(1+vanilla1)^0.5)/A3stdlife))</f>
        <v>0</v>
      </c>
      <c r="L104" s="73">
        <f>IF(A3stdlife="n/a","n/a",IF(L$3&gt;(A3stdlife+$F104),(Input!$H$213*(1+vanilla1)^0.5)-SUM($H104:K104),(Input!$H$213*(1+vanilla1)^0.5)/A3stdlife))</f>
        <v>0</v>
      </c>
      <c r="M104" s="73">
        <f>IF(A3stdlife="n/a","n/a",IF(M$3&gt;(A3stdlife+$F104),(Input!$H$213*(1+vanilla1)^0.5)-SUM($H104:L104),(Input!$H$213*(1+vanilla1)^0.5)/A3stdlife))</f>
        <v>0</v>
      </c>
      <c r="N104" s="73">
        <f>IF(A3stdlife="n/a","n/a",IF(N$3&gt;(A3stdlife+$F104),(Input!$H$213*(1+vanilla1)^0.5)-SUM($H104:M104),(Input!$H$213*(1+vanilla1)^0.5)/A3stdlife))</f>
        <v>0</v>
      </c>
      <c r="O104" s="73">
        <f>IF(A3stdlife="n/a","n/a",IF(O$3&gt;(A3stdlife+$F104),(Input!$H$213*(1+vanilla1)^0.5)-SUM($H104:N104),(Input!$H$213*(1+vanilla1)^0.5)/A3stdlife))</f>
        <v>0</v>
      </c>
      <c r="P104" s="73">
        <f>IF(A3stdlife="n/a","n/a",IF(P$3&gt;(A3stdlife+$F104),(Input!$H$213*(1+vanilla1)^0.5)-SUM($H104:O104),(Input!$H$213*(1+vanilla1)^0.5)/A3stdlife))</f>
        <v>0</v>
      </c>
      <c r="Q104" s="73">
        <f>IF(A3stdlife="n/a","n/a",IF(Q$3&gt;(A3stdlife+$F104),(Input!$H$213*(1+vanilla1)^0.5)-SUM($H104:P104),(Input!$H$213*(1+vanilla1)^0.5)/A3stdlife))</f>
        <v>0</v>
      </c>
      <c r="R104" s="73"/>
      <c r="S104" s="107"/>
      <c r="T104" s="107"/>
      <c r="U104" s="107"/>
      <c r="V104" s="107"/>
      <c r="W104" s="107"/>
      <c r="X104" s="107"/>
      <c r="Y104" s="107"/>
      <c r="Z104" s="107"/>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107"/>
      <c r="BE104" s="107"/>
      <c r="BF104" s="107"/>
      <c r="BG104" s="107"/>
      <c r="BH104" s="107"/>
      <c r="BI104" s="107"/>
      <c r="BJ104" s="107"/>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outlineLevel="2">
      <c r="A105" s="9"/>
      <c r="B105" s="9"/>
      <c r="C105" s="9"/>
      <c r="D105" s="26"/>
      <c r="E105" s="392"/>
      <c r="F105" s="91">
        <v>2</v>
      </c>
      <c r="G105" s="124"/>
      <c r="H105" s="149"/>
      <c r="I105" s="150"/>
      <c r="J105" s="73">
        <f>IF(A3stdlife="n/a","n/a",IF(J$3&gt;(A3stdlife+$F105),(Input!$I$213*(1+vanilla2)^0.5)-SUM($I105:I105),(Input!$I$213*(1+vanilla2)^0.5)/A3stdlife))</f>
        <v>-2.9304387483204317E-3</v>
      </c>
      <c r="K105" s="73">
        <f>IF(A3stdlife="n/a","n/a",IF(K$3&gt;(A3stdlife+$F105),(Input!$I$213*(1+vanilla2)^0.5)-SUM($I105:J105),(Input!$I$213*(1+vanilla2)^0.5)/A3stdlife))</f>
        <v>-2.9304387483204317E-3</v>
      </c>
      <c r="L105" s="73">
        <f>IF(A3stdlife="n/a","n/a",IF(L$3&gt;(A3stdlife+$F105),(Input!$I$213*(1+vanilla2)^0.5)-SUM($I105:K105),(Input!$I$213*(1+vanilla2)^0.5)/A3stdlife))</f>
        <v>-2.9304387483204317E-3</v>
      </c>
      <c r="M105" s="73">
        <f>IF(A3stdlife="n/a","n/a",IF(M$3&gt;(A3stdlife+$F105),(Input!$I$213*(1+vanilla2)^0.5)-SUM($I105:L105),(Input!$I$213*(1+vanilla2)^0.5)/A3stdlife))</f>
        <v>-2.9304387483204317E-3</v>
      </c>
      <c r="N105" s="73">
        <f>IF(A3stdlife="n/a","n/a",IF(N$3&gt;(A3stdlife+$F105),(Input!$I$213*(1+vanilla2)^0.5)-SUM($I105:M105),(Input!$I$213*(1+vanilla2)^0.5)/A3stdlife))</f>
        <v>-2.9304387483204317E-3</v>
      </c>
      <c r="O105" s="73">
        <f>IF(A3stdlife="n/a","n/a",IF(O$3&gt;(A3stdlife+$F105),(Input!$I$213*(1+vanilla2)^0.5)-SUM($I105:N105),(Input!$I$213*(1+vanilla2)^0.5)/A3stdlife))</f>
        <v>-2.9304387483204317E-3</v>
      </c>
      <c r="P105" s="73">
        <f>IF(A3stdlife="n/a","n/a",IF(P$3&gt;(A3stdlife+$F105),(Input!$I$213*(1+vanilla2)^0.5)-SUM($I105:O105),(Input!$I$213*(1+vanilla2)^0.5)/A3stdlife))</f>
        <v>-2.9304387483204317E-3</v>
      </c>
      <c r="Q105" s="73">
        <f>IF(A3stdlife="n/a","n/a",IF(Q$3&gt;(A3stdlife+$F105),(Input!$I$213*(1+vanilla2)^0.5)-SUM($I105:P105),(Input!$I$213*(1+vanilla2)^0.5)/A3stdlife))</f>
        <v>-2.9304387483204317E-3</v>
      </c>
      <c r="R105" s="73"/>
      <c r="S105" s="107"/>
      <c r="T105" s="107"/>
      <c r="U105" s="107"/>
      <c r="V105" s="107"/>
      <c r="W105" s="107"/>
      <c r="X105" s="107"/>
      <c r="Y105" s="107"/>
      <c r="Z105" s="107"/>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107"/>
      <c r="BE105" s="107"/>
      <c r="BF105" s="107"/>
      <c r="BG105" s="107"/>
      <c r="BH105" s="107"/>
      <c r="BI105" s="107"/>
      <c r="BJ105" s="107"/>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outlineLevel="2">
      <c r="A106" s="9"/>
      <c r="B106" s="9"/>
      <c r="C106" s="9"/>
      <c r="D106" s="26"/>
      <c r="E106" s="392"/>
      <c r="F106" s="91">
        <v>3</v>
      </c>
      <c r="G106" s="124"/>
      <c r="H106" s="149"/>
      <c r="I106" s="151"/>
      <c r="J106" s="150"/>
      <c r="K106" s="73">
        <f>IF(A3stdlife="n/a","n/a",IF(K$3&gt;(A3stdlife+$F106),(Input!$J$213*(1+vanilla3)^0.5)-SUM($J106:J106),(Input!$J$213*(1+vanilla3)^0.5)/A3stdlife))</f>
        <v>0</v>
      </c>
      <c r="L106" s="73">
        <f>IF(A3stdlife="n/a","n/a",IF(L$3&gt;(A3stdlife+$F106),(Input!$J$213*(1+vanilla3)^0.5)-SUM($J106:K106),(Input!$J$213*(1+vanilla3)^0.5)/A3stdlife))</f>
        <v>0</v>
      </c>
      <c r="M106" s="73">
        <f>IF(A3stdlife="n/a","n/a",IF(M$3&gt;(A3stdlife+$F106),(Input!$J$213*(1+vanilla3)^0.5)-SUM($J106:L106),(Input!$J$213*(1+vanilla3)^0.5)/A3stdlife))</f>
        <v>0</v>
      </c>
      <c r="N106" s="73">
        <f>IF(A3stdlife="n/a","n/a",IF(N$3&gt;(A3stdlife+$F106),(Input!$J$213*(1+vanilla3)^0.5)-SUM($J106:M106),(Input!$J$213*(1+vanilla3)^0.5)/A3stdlife))</f>
        <v>0</v>
      </c>
      <c r="O106" s="73">
        <f>IF(A3stdlife="n/a","n/a",IF(O$3&gt;(A3stdlife+$F106),(Input!$J$213*(1+vanilla3)^0.5)-SUM($J106:N106),(Input!$J$213*(1+vanilla3)^0.5)/A3stdlife))</f>
        <v>0</v>
      </c>
      <c r="P106" s="73">
        <f>IF(A3stdlife="n/a","n/a",IF(P$3&gt;(A3stdlife+$F106),(Input!$J$213*(1+vanilla3)^0.5)-SUM($J106:O106),(Input!$J$213*(1+vanilla3)^0.5)/A3stdlife))</f>
        <v>0</v>
      </c>
      <c r="Q106" s="73">
        <f>IF(A3stdlife="n/a","n/a",IF(Q$3&gt;(A3stdlife+$F106),(Input!$J$213*(1+vanilla3)^0.5)-SUM($J106:P106),(Input!$J$213*(1+vanilla3)^0.5)/A3stdlife))</f>
        <v>0</v>
      </c>
      <c r="R106" s="73"/>
      <c r="S106" s="107"/>
      <c r="T106" s="107"/>
      <c r="U106" s="107"/>
      <c r="V106" s="107"/>
      <c r="W106" s="107"/>
      <c r="X106" s="107"/>
      <c r="Y106" s="107"/>
      <c r="Z106" s="107"/>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107"/>
      <c r="BE106" s="107"/>
      <c r="BF106" s="107"/>
      <c r="BG106" s="107"/>
      <c r="BH106" s="107"/>
      <c r="BI106" s="107"/>
      <c r="BJ106" s="107"/>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outlineLevel="2">
      <c r="A107" s="9"/>
      <c r="B107" s="9"/>
      <c r="C107" s="9"/>
      <c r="D107" s="26"/>
      <c r="E107" s="392"/>
      <c r="F107" s="91">
        <v>4</v>
      </c>
      <c r="G107" s="124"/>
      <c r="H107" s="149"/>
      <c r="I107" s="151"/>
      <c r="J107" s="151"/>
      <c r="K107" s="150"/>
      <c r="L107" s="73">
        <f>IF(A3stdlife="n/a","n/a",IF(L$3&gt;(A3stdlife+$F107),(Input!$K$213*(1+vanilla4)^0.5)-SUM($K107:K107),(Input!$K$213*(1+vanilla4)^0.5)/A3stdlife))</f>
        <v>0</v>
      </c>
      <c r="M107" s="73">
        <f>IF(A3stdlife="n/a","n/a",IF(M$3&gt;(A3stdlife+$F107),(Input!$K$213*(1+vanilla4)^0.5)-SUM($K107:L107),(Input!$K$213*(1+vanilla4)^0.5)/A3stdlife))</f>
        <v>0</v>
      </c>
      <c r="N107" s="73">
        <f>IF(A3stdlife="n/a","n/a",IF(N$3&gt;(A3stdlife+$F107),(Input!$K$213*(1+vanilla4)^0.5)-SUM($K107:M107),(Input!$K$213*(1+vanilla4)^0.5)/A3stdlife))</f>
        <v>0</v>
      </c>
      <c r="O107" s="73">
        <f>IF(A3stdlife="n/a","n/a",IF(O$3&gt;(A3stdlife+$F107),(Input!$K$213*(1+vanilla4)^0.5)-SUM($K107:N107),(Input!$K$213*(1+vanilla4)^0.5)/A3stdlife))</f>
        <v>0</v>
      </c>
      <c r="P107" s="73">
        <f>IF(A3stdlife="n/a","n/a",IF(P$3&gt;(A3stdlife+$F107),(Input!$K$213*(1+vanilla4)^0.5)-SUM($K107:O107),(Input!$K$213*(1+vanilla4)^0.5)/A3stdlife))</f>
        <v>0</v>
      </c>
      <c r="Q107" s="73">
        <f>IF(A3stdlife="n/a","n/a",IF(Q$3&gt;(A3stdlife+$F107),(Input!$K$213*(1+vanilla4)^0.5)-SUM($K107:P107),(Input!$K$213*(1+vanilla4)^0.5)/A3stdlife))</f>
        <v>0</v>
      </c>
      <c r="R107" s="73"/>
      <c r="S107" s="107"/>
      <c r="T107" s="107"/>
      <c r="U107" s="107"/>
      <c r="V107" s="107"/>
      <c r="W107" s="107"/>
      <c r="X107" s="107"/>
      <c r="Y107" s="107"/>
      <c r="Z107" s="107"/>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107"/>
      <c r="BE107" s="107"/>
      <c r="BF107" s="107"/>
      <c r="BG107" s="107"/>
      <c r="BH107" s="107"/>
      <c r="BI107" s="107"/>
      <c r="BJ107" s="107"/>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2">
      <c r="A108" s="9"/>
      <c r="B108" s="9"/>
      <c r="C108" s="9"/>
      <c r="D108" s="26"/>
      <c r="E108" s="392"/>
      <c r="F108" s="91">
        <v>5</v>
      </c>
      <c r="G108" s="124"/>
      <c r="H108" s="149"/>
      <c r="I108" s="151"/>
      <c r="J108" s="151"/>
      <c r="K108" s="151"/>
      <c r="L108" s="150"/>
      <c r="M108" s="73">
        <f>IF(A3stdlife="n/a","n/a",IF(M$3&gt;(A3stdlife+$F108),(Input!$L$213*(1+vanilla5)^0.5)-SUM($L108:L108),(Input!$L$213*(1+vanilla5)^0.5)/A3stdlife))</f>
        <v>0</v>
      </c>
      <c r="N108" s="73">
        <f>IF(A3stdlife="n/a","n/a",IF(N$3&gt;(A3stdlife+$F108),(Input!$L$213*(1+vanilla5)^0.5)-SUM($L108:M108),(Input!$L$213*(1+vanilla5)^0.5)/A3stdlife))</f>
        <v>0</v>
      </c>
      <c r="O108" s="73">
        <f>IF(A3stdlife="n/a","n/a",IF(O$3&gt;(A3stdlife+$F108),(Input!$L$213*(1+vanilla5)^0.5)-SUM($L108:N108),(Input!$L$213*(1+vanilla5)^0.5)/A3stdlife))</f>
        <v>0</v>
      </c>
      <c r="P108" s="73">
        <f>IF(A3stdlife="n/a","n/a",IF(P$3&gt;(A3stdlife+$F108),(Input!$L$213*(1+vanilla5)^0.5)-SUM($L108:O108),(Input!$L$213*(1+vanilla5)^0.5)/A3stdlife))</f>
        <v>0</v>
      </c>
      <c r="Q108" s="73">
        <f>IF(A3stdlife="n/a","n/a",IF(Q$3&gt;(A3stdlife+$F108),(Input!$L$213*(1+vanilla5)^0.5)-SUM($L108:P108),(Input!$L$213*(1+vanilla5)^0.5)/A3stdlife))</f>
        <v>0</v>
      </c>
      <c r="R108" s="73"/>
      <c r="S108" s="107"/>
      <c r="T108" s="107"/>
      <c r="U108" s="107"/>
      <c r="V108" s="107"/>
      <c r="W108" s="107"/>
      <c r="X108" s="107"/>
      <c r="Y108" s="107"/>
      <c r="Z108" s="107"/>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outlineLevel="2">
      <c r="A109" s="9"/>
      <c r="B109" s="9"/>
      <c r="C109" s="9"/>
      <c r="D109" s="26"/>
      <c r="E109" s="392"/>
      <c r="F109" s="91">
        <v>6</v>
      </c>
      <c r="G109" s="124"/>
      <c r="H109" s="149"/>
      <c r="I109" s="151"/>
      <c r="J109" s="151"/>
      <c r="K109" s="151"/>
      <c r="L109" s="151"/>
      <c r="M109" s="150"/>
      <c r="N109" s="73">
        <f>IF(A3stdlife="n/a","n/a",IF(N$3&gt;(A3stdlife+$F109),(Input!$M$213*(1+vanilla6)^0.5)-SUM($M109:M109),(Input!$M$213*(1+vanilla6)^0.5)/A3stdlife))</f>
        <v>0</v>
      </c>
      <c r="O109" s="73">
        <f>IF(A3stdlife="n/a","n/a",IF(O$3&gt;(A3stdlife+$F109),(Input!$M$213*(1+vanilla6)^0.5)-SUM($M109:N109),(Input!$M$213*(1+vanilla6)^0.5)/A3stdlife))</f>
        <v>0</v>
      </c>
      <c r="P109" s="73">
        <f>IF(A3stdlife="n/a","n/a",IF(P$3&gt;(A3stdlife+$F109),(Input!$M$213*(1+vanilla6)^0.5)-SUM($M109:O109),(Input!$M$213*(1+vanilla6)^0.5)/A3stdlife))</f>
        <v>0</v>
      </c>
      <c r="Q109" s="73">
        <f>IF(A3stdlife="n/a","n/a",IF(Q$3&gt;(A3stdlife+$F109),(Input!$M$213*(1+vanilla6)^0.5)-SUM($M109:P109),(Input!$M$213*(1+vanilla6)^0.5)/A3stdlife))</f>
        <v>0</v>
      </c>
      <c r="R109" s="73"/>
      <c r="S109" s="107"/>
      <c r="T109" s="107"/>
      <c r="U109" s="107"/>
      <c r="V109" s="107"/>
      <c r="W109" s="107"/>
      <c r="X109" s="107"/>
      <c r="Y109" s="107"/>
      <c r="Z109" s="107"/>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107"/>
      <c r="BE109" s="107"/>
      <c r="BF109" s="107"/>
      <c r="BG109" s="107"/>
      <c r="BH109" s="107"/>
      <c r="BI109" s="107"/>
      <c r="BJ109" s="107"/>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outlineLevel="2">
      <c r="A110" s="9"/>
      <c r="B110" s="9"/>
      <c r="C110" s="9"/>
      <c r="D110" s="26"/>
      <c r="E110" s="392"/>
      <c r="F110" s="91">
        <v>7</v>
      </c>
      <c r="G110" s="124"/>
      <c r="H110" s="149"/>
      <c r="I110" s="151"/>
      <c r="J110" s="151"/>
      <c r="K110" s="151"/>
      <c r="L110" s="151"/>
      <c r="M110" s="151"/>
      <c r="N110" s="150"/>
      <c r="O110" s="73">
        <f>IF(A3stdlife="n/a","n/a",IF(O$3&gt;(A3stdlife+$F110),(Input!$N$213*(1+vanilla7)^0.5)-SUM($N110:N110),(Input!$N$213*(1+vanilla7)^0.5)/A3stdlife))</f>
        <v>0</v>
      </c>
      <c r="P110" s="73">
        <f>IF(A3stdlife="n/a","n/a",IF(P$3&gt;(A3stdlife+$F110),(Input!$N$213*(1+vanilla7)^0.5)-SUM($N110:O110),(Input!$N$213*(1+vanilla7)^0.5)/A3stdlife))</f>
        <v>0</v>
      </c>
      <c r="Q110" s="73">
        <f>IF(A3stdlife="n/a","n/a",IF(Q$3&gt;(A3stdlife+$F110),(Input!$N$213*(1+vanilla7)^0.5)-SUM($N110:P110),(Input!$N$213*(1+vanilla7)^0.5)/A3stdlife))</f>
        <v>0</v>
      </c>
      <c r="R110" s="73"/>
      <c r="S110" s="107"/>
      <c r="T110" s="107"/>
      <c r="U110" s="107"/>
      <c r="V110" s="107"/>
      <c r="W110" s="107"/>
      <c r="X110" s="107"/>
      <c r="Y110" s="107"/>
      <c r="Z110" s="107"/>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107"/>
      <c r="BE110" s="107"/>
      <c r="BF110" s="107"/>
      <c r="BG110" s="107"/>
      <c r="BH110" s="107"/>
      <c r="BI110" s="107"/>
      <c r="BJ110" s="107"/>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outlineLevel="2">
      <c r="A111" s="9"/>
      <c r="B111" s="9"/>
      <c r="C111" s="9"/>
      <c r="D111" s="26"/>
      <c r="E111" s="392"/>
      <c r="F111" s="91">
        <v>8</v>
      </c>
      <c r="G111" s="124"/>
      <c r="H111" s="149"/>
      <c r="I111" s="151"/>
      <c r="J111" s="151"/>
      <c r="K111" s="151"/>
      <c r="L111" s="151"/>
      <c r="M111" s="151"/>
      <c r="N111" s="151"/>
      <c r="O111" s="150"/>
      <c r="P111" s="73">
        <f>IF(A3stdlife="n/a","n/a",IF(P$3&gt;(A3stdlife+$F111),(Input!$O$213*(1+vanilla8)^0.5)-SUM($O111:O111),(Input!$O$213*(1+vanilla8)^0.5)/A3stdlife))</f>
        <v>0</v>
      </c>
      <c r="Q111" s="73">
        <f>IF(A3stdlife="n/a","n/a",IF(Q$3&gt;(A3stdlife+$F111),(Input!$O$213*(1+vanilla8)^0.5)-SUM($O111:P111),(Input!$O$213*(1+vanilla8)^0.5)/A3stdlife))</f>
        <v>0</v>
      </c>
      <c r="R111" s="73"/>
      <c r="S111" s="107"/>
      <c r="T111" s="107"/>
      <c r="U111" s="107"/>
      <c r="V111" s="107"/>
      <c r="W111" s="107"/>
      <c r="X111" s="107"/>
      <c r="Y111" s="107"/>
      <c r="Z111" s="107"/>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107"/>
      <c r="BE111" s="107"/>
      <c r="BF111" s="107"/>
      <c r="BG111" s="107"/>
      <c r="BH111" s="107"/>
      <c r="BI111" s="107"/>
      <c r="BJ111" s="107"/>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outlineLevel="2">
      <c r="A112" s="9"/>
      <c r="B112" s="9"/>
      <c r="C112" s="9"/>
      <c r="D112" s="26"/>
      <c r="E112" s="392"/>
      <c r="F112" s="91">
        <v>9</v>
      </c>
      <c r="G112" s="124"/>
      <c r="H112" s="149"/>
      <c r="I112" s="151"/>
      <c r="J112" s="151"/>
      <c r="K112" s="151"/>
      <c r="L112" s="151"/>
      <c r="M112" s="151"/>
      <c r="N112" s="151"/>
      <c r="O112" s="151"/>
      <c r="P112" s="150"/>
      <c r="Q112" s="73">
        <f>IF(A3stdlife="n/a","n/a",IF(Q$3&gt;(A3stdlife+$F112),(Input!$P$213*(1+vanilla9)^0.5)-SUM($P112:P112),(Input!$P$213*(1+vanilla9)^0.5)/A3stdlife))</f>
        <v>0</v>
      </c>
      <c r="R112" s="73"/>
      <c r="S112" s="107"/>
      <c r="T112" s="107"/>
      <c r="U112" s="107"/>
      <c r="V112" s="107"/>
      <c r="W112" s="107"/>
      <c r="X112" s="107"/>
      <c r="Y112" s="107"/>
      <c r="Z112" s="107"/>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107"/>
      <c r="BE112" s="107"/>
      <c r="BF112" s="107"/>
      <c r="BG112" s="107"/>
      <c r="BH112" s="107"/>
      <c r="BI112" s="107"/>
      <c r="BJ112" s="107"/>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outlineLevel="2">
      <c r="A113" s="9"/>
      <c r="B113" s="9"/>
      <c r="C113" s="9"/>
      <c r="D113" s="26"/>
      <c r="E113" s="392"/>
      <c r="F113" s="92">
        <v>10</v>
      </c>
      <c r="G113" s="124"/>
      <c r="H113" s="149"/>
      <c r="I113" s="151"/>
      <c r="J113" s="151"/>
      <c r="K113" s="151"/>
      <c r="L113" s="151"/>
      <c r="M113" s="151"/>
      <c r="N113" s="151"/>
      <c r="O113" s="151"/>
      <c r="P113" s="151"/>
      <c r="Q113" s="150"/>
      <c r="R113" s="73"/>
      <c r="S113" s="107"/>
      <c r="T113" s="107"/>
      <c r="U113" s="107"/>
      <c r="V113" s="107"/>
      <c r="W113" s="107"/>
      <c r="X113" s="107"/>
      <c r="Y113" s="107"/>
      <c r="Z113" s="107"/>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107"/>
      <c r="BE113" s="107"/>
      <c r="BF113" s="107"/>
      <c r="BG113" s="107"/>
      <c r="BH113" s="107"/>
      <c r="BI113" s="107"/>
      <c r="BJ113" s="107"/>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outlineLevel="1">
      <c r="A114" s="9"/>
      <c r="B114" s="9"/>
      <c r="C114" s="9"/>
      <c r="D114" s="279" t="str">
        <f>Asset3</f>
        <v>Protection and Control</v>
      </c>
      <c r="E114" s="9"/>
      <c r="F114" s="9"/>
      <c r="G114" s="124"/>
      <c r="H114" s="165">
        <f>-SUM(H102:H113)</f>
        <v>-5.8061702205552894</v>
      </c>
      <c r="I114" s="165">
        <f>-SUM(I102:I113)</f>
        <v>-5.8061702205552894</v>
      </c>
      <c r="J114" s="165">
        <f>-SUM(J102:J113)</f>
        <v>-5.803239781806969</v>
      </c>
      <c r="K114" s="165">
        <f>-SUM(K102:K113)</f>
        <v>-5.803239781806969</v>
      </c>
      <c r="L114" s="165">
        <f>-SUM(L102:L113)</f>
        <v>-5.803239781806969</v>
      </c>
      <c r="M114" s="73">
        <f>IF(COUNT($H114:L114)&gt;=Input!$W$7,0, -SUM(M102:M113))</f>
        <v>0</v>
      </c>
      <c r="N114" s="73">
        <f>IF(COUNT($H114:M114)&gt;=Input!$W$7,0, -SUM(N102:N113))</f>
        <v>0</v>
      </c>
      <c r="O114" s="73">
        <f>IF(COUNT($H114:N114)&gt;=Input!$W$7,0, -SUM(O102:O113))</f>
        <v>0</v>
      </c>
      <c r="P114" s="73">
        <f>IF(COUNT($H114:O114)&gt;=Input!$W$7,0, -SUM(P102:P113))</f>
        <v>0</v>
      </c>
      <c r="Q114" s="73">
        <f>IF(COUNT($H114:P114)&gt;=Input!$W$7,0, -SUM(Q102:Q113))</f>
        <v>0</v>
      </c>
      <c r="R114" s="71"/>
      <c r="S114" s="109"/>
      <c r="T114" s="109"/>
      <c r="U114" s="109"/>
      <c r="V114" s="109"/>
      <c r="W114" s="109"/>
      <c r="X114" s="109"/>
      <c r="Y114" s="109"/>
      <c r="Z114" s="109"/>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109"/>
      <c r="BE114" s="109"/>
      <c r="BF114" s="109"/>
      <c r="BG114" s="109"/>
      <c r="BH114" s="109"/>
      <c r="BI114" s="109"/>
      <c r="BJ114" s="109"/>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outlineLevel="2">
      <c r="A115" s="9"/>
      <c r="B115" s="9"/>
      <c r="C115" s="280" t="str">
        <f>Asset4</f>
        <v>Refurbishment</v>
      </c>
      <c r="D115" s="161"/>
      <c r="E115" s="32" t="s">
        <v>26</v>
      </c>
      <c r="F115" s="31"/>
      <c r="G115" s="181"/>
      <c r="H115" s="72">
        <f>IF(H$3&gt;A4remlife,A4value-$G$633-SUM($G115:G115),IF(A4remlife="N/A","n/a",(A4value-$G$633)/A4remlife))</f>
        <v>2.2629257463692327</v>
      </c>
      <c r="I115" s="72">
        <f>IF(I$3&gt;A4remlife,A4value-$G$633-SUM($G115:H115),IF(A4remlife="N/A","n/a",(A4value-$G$633)/A4remlife))</f>
        <v>2.2629257463692327</v>
      </c>
      <c r="J115" s="72">
        <f>IF(J$3&gt;A4remlife,A4value-$G$633-SUM($G115:I115),IF(A4remlife="N/A","n/a",(A4value-$G$633)/A4remlife))</f>
        <v>2.2629257463692327</v>
      </c>
      <c r="K115" s="72">
        <f>IF(K$3&gt;A4remlife,A4value-$G$633-SUM($G115:J115),IF(A4remlife="N/A","n/a",(A4value-$G$633)/A4remlife))</f>
        <v>2.2629257463692327</v>
      </c>
      <c r="L115" s="72">
        <f>IF(L$3&gt;A4remlife,A4value-$G$633-SUM($G115:K115),IF(A4remlife="N/A","n/a",(A4value-$G$633)/A4remlife))</f>
        <v>2.2629257463692327</v>
      </c>
      <c r="M115" s="72">
        <f>IF(M$3&gt;A4remlife,A4value-$G$633-SUM($G115:L115),IF(A4remlife="N/A","n/a",(A4value-$G$633)/A4remlife))</f>
        <v>2.2629257463692327</v>
      </c>
      <c r="N115" s="72">
        <f>IF(N$3&gt;A4remlife,A4value-$G$633-SUM($G115:M115),IF(A4remlife="N/A","n/a",(A4value-$G$633)/A4remlife))</f>
        <v>2.2629257463692327</v>
      </c>
      <c r="O115" s="72">
        <f>IF(O$3&gt;A4remlife,A4value-$G$633-SUM($G115:N115),IF(A4remlife="N/A","n/a",(A4value-$G$633)/A4remlife))</f>
        <v>2.2629257463692327</v>
      </c>
      <c r="P115" s="72">
        <f>IF(P$3&gt;A4remlife,A4value-$G$633-SUM($G115:O115),IF(A4remlife="N/A","n/a",(A4value-$G$633)/A4remlife))</f>
        <v>2.2629257463692327</v>
      </c>
      <c r="Q115" s="72">
        <f>IF(Q$3&gt;A4remlife,A4value-$G$633-SUM($G115:P115),IF(A4remlife="N/A","n/a",(A4value-$G$633)/A4remlife))</f>
        <v>2.2629257463692327</v>
      </c>
      <c r="R115" s="72"/>
      <c r="S115" s="107"/>
      <c r="T115" s="107"/>
      <c r="U115" s="107"/>
      <c r="V115" s="107"/>
      <c r="W115" s="107"/>
      <c r="X115" s="107"/>
      <c r="Y115" s="107"/>
      <c r="Z115" s="107"/>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107"/>
      <c r="BE115" s="107"/>
      <c r="BF115" s="107"/>
      <c r="BG115" s="107"/>
      <c r="BH115" s="107"/>
      <c r="BI115" s="107"/>
      <c r="BJ115" s="107"/>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customHeight="1" outlineLevel="2">
      <c r="A116" s="9"/>
      <c r="B116" s="9"/>
      <c r="C116" s="9"/>
      <c r="D116" s="26"/>
      <c r="E116" s="391" t="s">
        <v>81</v>
      </c>
      <c r="F116" s="91"/>
      <c r="G116" s="124"/>
      <c r="H116" s="73"/>
      <c r="I116" s="73"/>
      <c r="J116" s="73"/>
      <c r="K116" s="73"/>
      <c r="L116" s="73"/>
      <c r="M116" s="163"/>
      <c r="N116" s="115"/>
      <c r="O116" s="73"/>
      <c r="P116" s="73"/>
      <c r="Q116" s="73"/>
      <c r="R116" s="73"/>
      <c r="S116" s="107"/>
      <c r="T116" s="107"/>
      <c r="U116" s="107"/>
      <c r="V116" s="107"/>
      <c r="W116" s="107"/>
      <c r="X116" s="107"/>
      <c r="Y116" s="107"/>
      <c r="Z116" s="107"/>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107"/>
      <c r="BE116" s="107"/>
      <c r="BF116" s="107"/>
      <c r="BG116" s="107"/>
      <c r="BH116" s="107"/>
      <c r="BI116" s="107"/>
      <c r="BJ116" s="107"/>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outlineLevel="2">
      <c r="A117" s="9"/>
      <c r="B117" s="9"/>
      <c r="C117" s="9"/>
      <c r="D117" s="26"/>
      <c r="E117" s="392"/>
      <c r="F117" s="91">
        <v>1</v>
      </c>
      <c r="G117" s="124"/>
      <c r="H117" s="148"/>
      <c r="I117" s="73">
        <f>IF(A4stdlife="n/a","n/a",IF(I$3&gt;(A4stdlife+$F117),(Input!$H$214*(1+vanilla1)^0.5)-SUM($H117:H117),(Input!$H$214*(1+vanilla1)^0.5)/A4stdlife))</f>
        <v>0</v>
      </c>
      <c r="J117" s="73">
        <f>IF(A4stdlife="n/a","n/a",IF(J$3&gt;(A4stdlife+$F117),(Input!$H$214*(1+vanilla1)^0.5)-SUM($H117:I117),(Input!$H$214*(1+vanilla1)^0.5)/A4stdlife))</f>
        <v>0</v>
      </c>
      <c r="K117" s="73">
        <f>IF(A4stdlife="n/a","n/a",IF(K$3&gt;(A4stdlife+$F117),(Input!$H$214*(1+vanilla1)^0.5)-SUM($H117:J117),(Input!$H$214*(1+vanilla1)^0.5)/A4stdlife))</f>
        <v>0</v>
      </c>
      <c r="L117" s="73">
        <f>IF(A4stdlife="n/a","n/a",IF(L$3&gt;(A4stdlife+$F117),(Input!$H$214*(1+vanilla1)^0.5)-SUM($H117:K117),(Input!$H$214*(1+vanilla1)^0.5)/A4stdlife))</f>
        <v>0</v>
      </c>
      <c r="M117" s="73">
        <f>IF(A4stdlife="n/a","n/a",IF(M$3&gt;(A4stdlife+$F117),(Input!$H$214*(1+vanilla1)^0.5)-SUM($H117:L117),(Input!$H$214*(1+vanilla1)^0.5)/A4stdlife))</f>
        <v>0</v>
      </c>
      <c r="N117" s="73">
        <f>IF(A4stdlife="n/a","n/a",IF(N$3&gt;(A4stdlife+$F117),(Input!$H$214*(1+vanilla1)^0.5)-SUM($H117:M117),(Input!$H$214*(1+vanilla1)^0.5)/A4stdlife))</f>
        <v>0</v>
      </c>
      <c r="O117" s="73">
        <f>IF(A4stdlife="n/a","n/a",IF(O$3&gt;(A4stdlife+$F117),(Input!$H$214*(1+vanilla1)^0.5)-SUM($H117:N117),(Input!$H$214*(1+vanilla1)^0.5)/A4stdlife))</f>
        <v>0</v>
      </c>
      <c r="P117" s="73">
        <f>IF(A4stdlife="n/a","n/a",IF(P$3&gt;(A4stdlife+$F117),(Input!$H$214*(1+vanilla1)^0.5)-SUM($H117:O117),(Input!$H$214*(1+vanilla1)^0.5)/A4stdlife))</f>
        <v>0</v>
      </c>
      <c r="Q117" s="73">
        <f>IF(A4stdlife="n/a","n/a",IF(Q$3&gt;(A4stdlife+$F117),(Input!$H$214*(1+vanilla1)^0.5)-SUM($H117:P117),(Input!$H$214*(1+vanilla1)^0.5)/A4stdlife))</f>
        <v>0</v>
      </c>
      <c r="R117" s="73"/>
      <c r="S117" s="107"/>
      <c r="T117" s="107"/>
      <c r="U117" s="107"/>
      <c r="V117" s="107"/>
      <c r="W117" s="107"/>
      <c r="X117" s="107"/>
      <c r="Y117" s="107"/>
      <c r="Z117" s="107"/>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107"/>
      <c r="BE117" s="107"/>
      <c r="BF117" s="107"/>
      <c r="BG117" s="107"/>
      <c r="BH117" s="107"/>
      <c r="BI117" s="107"/>
      <c r="BJ117" s="107"/>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outlineLevel="2">
      <c r="A118" s="9"/>
      <c r="B118" s="9"/>
      <c r="C118" s="9"/>
      <c r="D118" s="26"/>
      <c r="E118" s="392"/>
      <c r="F118" s="91">
        <v>2</v>
      </c>
      <c r="G118" s="124"/>
      <c r="H118" s="149"/>
      <c r="I118" s="150"/>
      <c r="J118" s="73">
        <f>IF(A4stdlife="n/a","n/a",IF(J$3&gt;(A4stdlife+$F118),(Input!$I$214*(1+vanilla2)^0.5)-SUM($I118:I118),(Input!$I$214*(1+vanilla2)^0.5)/A4stdlife))</f>
        <v>0</v>
      </c>
      <c r="K118" s="73">
        <f>IF(A4stdlife="n/a","n/a",IF(K$3&gt;(A4stdlife+$F118),(Input!$I$214*(1+vanilla2)^0.5)-SUM($I118:J118),(Input!$I$214*(1+vanilla2)^0.5)/A4stdlife))</f>
        <v>0</v>
      </c>
      <c r="L118" s="73">
        <f>IF(A4stdlife="n/a","n/a",IF(L$3&gt;(A4stdlife+$F118),(Input!$I$214*(1+vanilla2)^0.5)-SUM($I118:K118),(Input!$I$214*(1+vanilla2)^0.5)/A4stdlife))</f>
        <v>0</v>
      </c>
      <c r="M118" s="73">
        <f>IF(A4stdlife="n/a","n/a",IF(M$3&gt;(A4stdlife+$F118),(Input!$I$214*(1+vanilla2)^0.5)-SUM($I118:L118),(Input!$I$214*(1+vanilla2)^0.5)/A4stdlife))</f>
        <v>0</v>
      </c>
      <c r="N118" s="73">
        <f>IF(A4stdlife="n/a","n/a",IF(N$3&gt;(A4stdlife+$F118),(Input!$I$214*(1+vanilla2)^0.5)-SUM($I118:M118),(Input!$I$214*(1+vanilla2)^0.5)/A4stdlife))</f>
        <v>0</v>
      </c>
      <c r="O118" s="73">
        <f>IF(A4stdlife="n/a","n/a",IF(O$3&gt;(A4stdlife+$F118),(Input!$I$214*(1+vanilla2)^0.5)-SUM($I118:N118),(Input!$I$214*(1+vanilla2)^0.5)/A4stdlife))</f>
        <v>0</v>
      </c>
      <c r="P118" s="73">
        <f>IF(A4stdlife="n/a","n/a",IF(P$3&gt;(A4stdlife+$F118),(Input!$I$214*(1+vanilla2)^0.5)-SUM($I118:O118),(Input!$I$214*(1+vanilla2)^0.5)/A4stdlife))</f>
        <v>0</v>
      </c>
      <c r="Q118" s="73">
        <f>IF(A4stdlife="n/a","n/a",IF(Q$3&gt;(A4stdlife+$F118),(Input!$I$214*(1+vanilla2)^0.5)-SUM($I118:P118),(Input!$I$214*(1+vanilla2)^0.5)/A4stdlife))</f>
        <v>0</v>
      </c>
      <c r="R118" s="73"/>
      <c r="S118" s="107"/>
      <c r="T118" s="107"/>
      <c r="U118" s="107"/>
      <c r="V118" s="107"/>
      <c r="W118" s="107"/>
      <c r="X118" s="107"/>
      <c r="Y118" s="107"/>
      <c r="Z118" s="107"/>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107"/>
      <c r="BE118" s="107"/>
      <c r="BF118" s="107"/>
      <c r="BG118" s="107"/>
      <c r="BH118" s="107"/>
      <c r="BI118" s="107"/>
      <c r="BJ118" s="107"/>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outlineLevel="2">
      <c r="A119" s="9"/>
      <c r="B119" s="9"/>
      <c r="C119" s="9"/>
      <c r="D119" s="26"/>
      <c r="E119" s="392"/>
      <c r="F119" s="91">
        <v>3</v>
      </c>
      <c r="G119" s="124"/>
      <c r="H119" s="149"/>
      <c r="I119" s="151"/>
      <c r="J119" s="150"/>
      <c r="K119" s="73">
        <f>IF(A4stdlife="n/a","n/a",IF(K$3&gt;(A4stdlife+$F119),(Input!$J$214*(1+vanilla3)^0.5)-SUM($J119:J119),(Input!$J$214*(1+vanilla3)^0.5)/A4stdlife))</f>
        <v>0</v>
      </c>
      <c r="L119" s="73">
        <f>IF(A4stdlife="n/a","n/a",IF(L$3&gt;(A4stdlife+$F119),(Input!$J$214*(1+vanilla3)^0.5)-SUM($J119:K119),(Input!$J$214*(1+vanilla3)^0.5)/A4stdlife))</f>
        <v>0</v>
      </c>
      <c r="M119" s="73">
        <f>IF(A4stdlife="n/a","n/a",IF(M$3&gt;(A4stdlife+$F119),(Input!$J$214*(1+vanilla3)^0.5)-SUM($J119:L119),(Input!$J$214*(1+vanilla3)^0.5)/A4stdlife))</f>
        <v>0</v>
      </c>
      <c r="N119" s="73">
        <f>IF(A4stdlife="n/a","n/a",IF(N$3&gt;(A4stdlife+$F119),(Input!$J$214*(1+vanilla3)^0.5)-SUM($J119:M119),(Input!$J$214*(1+vanilla3)^0.5)/A4stdlife))</f>
        <v>0</v>
      </c>
      <c r="O119" s="73">
        <f>IF(A4stdlife="n/a","n/a",IF(O$3&gt;(A4stdlife+$F119),(Input!$J$214*(1+vanilla3)^0.5)-SUM($J119:N119),(Input!$J$214*(1+vanilla3)^0.5)/A4stdlife))</f>
        <v>0</v>
      </c>
      <c r="P119" s="73">
        <f>IF(A4stdlife="n/a","n/a",IF(P$3&gt;(A4stdlife+$F119),(Input!$J$214*(1+vanilla3)^0.5)-SUM($J119:O119),(Input!$J$214*(1+vanilla3)^0.5)/A4stdlife))</f>
        <v>0</v>
      </c>
      <c r="Q119" s="73">
        <f>IF(A4stdlife="n/a","n/a",IF(Q$3&gt;(A4stdlife+$F119),(Input!$J$214*(1+vanilla3)^0.5)-SUM($J119:P119),(Input!$J$214*(1+vanilla3)^0.5)/A4stdlife))</f>
        <v>0</v>
      </c>
      <c r="R119" s="73"/>
      <c r="S119" s="107"/>
      <c r="T119" s="107"/>
      <c r="U119" s="107"/>
      <c r="V119" s="107"/>
      <c r="W119" s="107"/>
      <c r="X119" s="107"/>
      <c r="Y119" s="107"/>
      <c r="Z119" s="107"/>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107"/>
      <c r="BE119" s="107"/>
      <c r="BF119" s="107"/>
      <c r="BG119" s="107"/>
      <c r="BH119" s="107"/>
      <c r="BI119" s="107"/>
      <c r="BJ119" s="107"/>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outlineLevel="2">
      <c r="A120" s="9"/>
      <c r="B120" s="9"/>
      <c r="C120" s="9"/>
      <c r="D120" s="26"/>
      <c r="E120" s="392"/>
      <c r="F120" s="91">
        <v>4</v>
      </c>
      <c r="G120" s="124"/>
      <c r="H120" s="149"/>
      <c r="I120" s="151"/>
      <c r="J120" s="151"/>
      <c r="K120" s="150"/>
      <c r="L120" s="73">
        <f>IF(A4stdlife="n/a","n/a",IF(L$3&gt;(A4stdlife+$F120),(Input!$K$214*(1+vanilla4)^0.5)-SUM($K120:K120),(Input!$K$214*(1+vanilla4)^0.5)/A4stdlife))</f>
        <v>0</v>
      </c>
      <c r="M120" s="73">
        <f>IF(A4stdlife="n/a","n/a",IF(M$3&gt;(A4stdlife+$F120),(Input!$K$214*(1+vanilla4)^0.5)-SUM($K120:L120),(Input!$K$214*(1+vanilla4)^0.5)/A4stdlife))</f>
        <v>0</v>
      </c>
      <c r="N120" s="73">
        <f>IF(A4stdlife="n/a","n/a",IF(N$3&gt;(A4stdlife+$F120),(Input!$K$214*(1+vanilla4)^0.5)-SUM($K120:M120),(Input!$K$214*(1+vanilla4)^0.5)/A4stdlife))</f>
        <v>0</v>
      </c>
      <c r="O120" s="73">
        <f>IF(A4stdlife="n/a","n/a",IF(O$3&gt;(A4stdlife+$F120),(Input!$K$214*(1+vanilla4)^0.5)-SUM($K120:N120),(Input!$K$214*(1+vanilla4)^0.5)/A4stdlife))</f>
        <v>0</v>
      </c>
      <c r="P120" s="73">
        <f>IF(A4stdlife="n/a","n/a",IF(P$3&gt;(A4stdlife+$F120),(Input!$K$214*(1+vanilla4)^0.5)-SUM($K120:O120),(Input!$K$214*(1+vanilla4)^0.5)/A4stdlife))</f>
        <v>0</v>
      </c>
      <c r="Q120" s="73">
        <f>IF(A4stdlife="n/a","n/a",IF(Q$3&gt;(A4stdlife+$F120),(Input!$K$214*(1+vanilla4)^0.5)-SUM($K120:P120),(Input!$K$214*(1+vanilla4)^0.5)/A4stdlife))</f>
        <v>0</v>
      </c>
      <c r="R120" s="73"/>
      <c r="S120" s="107"/>
      <c r="T120" s="107"/>
      <c r="U120" s="107"/>
      <c r="V120" s="107"/>
      <c r="W120" s="107"/>
      <c r="X120" s="107"/>
      <c r="Y120" s="107"/>
      <c r="Z120" s="107"/>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107"/>
      <c r="BE120" s="107"/>
      <c r="BF120" s="107"/>
      <c r="BG120" s="107"/>
      <c r="BH120" s="107"/>
      <c r="BI120" s="107"/>
      <c r="BJ120" s="107"/>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2">
      <c r="A121" s="9"/>
      <c r="B121" s="9"/>
      <c r="C121" s="9"/>
      <c r="D121" s="26"/>
      <c r="E121" s="392"/>
      <c r="F121" s="91">
        <v>5</v>
      </c>
      <c r="G121" s="124"/>
      <c r="H121" s="149"/>
      <c r="I121" s="151"/>
      <c r="J121" s="151"/>
      <c r="K121" s="151"/>
      <c r="L121" s="150"/>
      <c r="M121" s="73">
        <f>IF(A4stdlife="n/a","n/a",IF(M$3&gt;(A4stdlife+$F121),(Input!$L$214*(1+vanilla5)^0.5)-SUM($L121:L121),(Input!$L$214*(1+vanilla5)^0.5)/A4stdlife))</f>
        <v>0</v>
      </c>
      <c r="N121" s="73">
        <f>IF(A4stdlife="n/a","n/a",IF(N$3&gt;(A4stdlife+$F121),(Input!$L$214*(1+vanilla5)^0.5)-SUM($L121:M121),(Input!$L$214*(1+vanilla5)^0.5)/A4stdlife))</f>
        <v>0</v>
      </c>
      <c r="O121" s="73">
        <f>IF(A4stdlife="n/a","n/a",IF(O$3&gt;(A4stdlife+$F121),(Input!$L$214*(1+vanilla5)^0.5)-SUM($L121:N121),(Input!$L$214*(1+vanilla5)^0.5)/A4stdlife))</f>
        <v>0</v>
      </c>
      <c r="P121" s="73">
        <f>IF(A4stdlife="n/a","n/a",IF(P$3&gt;(A4stdlife+$F121),(Input!$L$214*(1+vanilla5)^0.5)-SUM($L121:O121),(Input!$L$214*(1+vanilla5)^0.5)/A4stdlife))</f>
        <v>0</v>
      </c>
      <c r="Q121" s="73">
        <f>IF(A4stdlife="n/a","n/a",IF(Q$3&gt;(A4stdlife+$F121),(Input!$L$214*(1+vanilla5)^0.5)-SUM($L121:P121),(Input!$L$214*(1+vanilla5)^0.5)/A4stdlife))</f>
        <v>0</v>
      </c>
      <c r="R121" s="73"/>
      <c r="S121" s="107"/>
      <c r="T121" s="107"/>
      <c r="U121" s="107"/>
      <c r="V121" s="107"/>
      <c r="W121" s="107"/>
      <c r="X121" s="107"/>
      <c r="Y121" s="107"/>
      <c r="Z121" s="107"/>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outlineLevel="2">
      <c r="A122" s="9"/>
      <c r="B122" s="9"/>
      <c r="C122" s="9"/>
      <c r="D122" s="26"/>
      <c r="E122" s="392"/>
      <c r="F122" s="91">
        <v>6</v>
      </c>
      <c r="G122" s="124"/>
      <c r="H122" s="149"/>
      <c r="I122" s="151"/>
      <c r="J122" s="151"/>
      <c r="K122" s="151"/>
      <c r="L122" s="151"/>
      <c r="M122" s="150"/>
      <c r="N122" s="73">
        <f>IF(A4stdlife="n/a","n/a",IF(N$3&gt;(A4stdlife+$F122),(Input!$M$214*(1+vanilla6)^0.5)-SUM($M122:M122),(Input!$M$214*(1+vanilla6)^0.5)/A4stdlife))</f>
        <v>0</v>
      </c>
      <c r="O122" s="73">
        <f>IF(A4stdlife="n/a","n/a",IF(O$3&gt;(A4stdlife+$F122),(Input!$M$214*(1+vanilla6)^0.5)-SUM($M122:N122),(Input!$M$214*(1+vanilla6)^0.5)/A4stdlife))</f>
        <v>0</v>
      </c>
      <c r="P122" s="73">
        <f>IF(A4stdlife="n/a","n/a",IF(P$3&gt;(A4stdlife+$F122),(Input!$M$214*(1+vanilla6)^0.5)-SUM($M122:O122),(Input!$M$214*(1+vanilla6)^0.5)/A4stdlife))</f>
        <v>0</v>
      </c>
      <c r="Q122" s="73">
        <f>IF(A4stdlife="n/a","n/a",IF(Q$3&gt;(A4stdlife+$F122),(Input!$M$214*(1+vanilla6)^0.5)-SUM($M122:P122),(Input!$M$214*(1+vanilla6)^0.5)/A4stdlife))</f>
        <v>0</v>
      </c>
      <c r="R122" s="73"/>
      <c r="S122" s="107"/>
      <c r="T122" s="107"/>
      <c r="U122" s="107"/>
      <c r="V122" s="107"/>
      <c r="W122" s="107"/>
      <c r="X122" s="107"/>
      <c r="Y122" s="107"/>
      <c r="Z122" s="107"/>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107"/>
      <c r="BE122" s="107"/>
      <c r="BF122" s="107"/>
      <c r="BG122" s="107"/>
      <c r="BH122" s="107"/>
      <c r="BI122" s="107"/>
      <c r="BJ122" s="107"/>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outlineLevel="2">
      <c r="A123" s="9"/>
      <c r="B123" s="9"/>
      <c r="C123" s="9"/>
      <c r="D123" s="26"/>
      <c r="E123" s="392"/>
      <c r="F123" s="91">
        <v>7</v>
      </c>
      <c r="G123" s="124"/>
      <c r="H123" s="149"/>
      <c r="I123" s="151"/>
      <c r="J123" s="151"/>
      <c r="K123" s="151"/>
      <c r="L123" s="151"/>
      <c r="M123" s="151"/>
      <c r="N123" s="150"/>
      <c r="O123" s="73">
        <f>IF(A4stdlife="n/a","n/a",IF(O$3&gt;(A4stdlife+$F123),(Input!$N$214*(1+vanilla7)^0.5)-SUM($N123:N123),(Input!$N$214*(1+vanilla7)^0.5)/A4stdlife))</f>
        <v>0</v>
      </c>
      <c r="P123" s="73">
        <f>IF(A4stdlife="n/a","n/a",IF(P$3&gt;(A4stdlife+$F123),(Input!$N$214*(1+vanilla7)^0.5)-SUM($N123:O123),(Input!$N$214*(1+vanilla7)^0.5)/A4stdlife))</f>
        <v>0</v>
      </c>
      <c r="Q123" s="73">
        <f>IF(A4stdlife="n/a","n/a",IF(Q$3&gt;(A4stdlife+$F123),(Input!$N$214*(1+vanilla7)^0.5)-SUM($N123:P123),(Input!$N$214*(1+vanilla7)^0.5)/A4stdlife))</f>
        <v>0</v>
      </c>
      <c r="R123" s="73"/>
      <c r="S123" s="107"/>
      <c r="T123" s="107"/>
      <c r="U123" s="107"/>
      <c r="V123" s="107"/>
      <c r="W123" s="107"/>
      <c r="X123" s="107"/>
      <c r="Y123" s="107"/>
      <c r="Z123" s="107"/>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107"/>
      <c r="BE123" s="107"/>
      <c r="BF123" s="107"/>
      <c r="BG123" s="107"/>
      <c r="BH123" s="107"/>
      <c r="BI123" s="107"/>
      <c r="BJ123" s="107"/>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outlineLevel="2">
      <c r="A124" s="9"/>
      <c r="B124" s="9"/>
      <c r="C124" s="9"/>
      <c r="D124" s="26"/>
      <c r="E124" s="392"/>
      <c r="F124" s="91">
        <v>8</v>
      </c>
      <c r="G124" s="124"/>
      <c r="H124" s="149"/>
      <c r="I124" s="151"/>
      <c r="J124" s="151"/>
      <c r="K124" s="151"/>
      <c r="L124" s="151"/>
      <c r="M124" s="151"/>
      <c r="N124" s="151"/>
      <c r="O124" s="150"/>
      <c r="P124" s="73">
        <f>IF(A4stdlife="n/a","n/a",IF(P$3&gt;(A4stdlife+$F124),(Input!$O$214*(1+vanilla8)^0.5)-SUM($O124:O124),(Input!$O$214*(1+vanilla8)^0.5)/A4stdlife))</f>
        <v>0</v>
      </c>
      <c r="Q124" s="73">
        <f>IF(A4stdlife="n/a","n/a",IF(Q$3&gt;(A4stdlife+$F124),(Input!$O$214*(1+vanilla8)^0.5)-SUM($O124:P124),(Input!$O$214*(1+vanilla8)^0.5)/A4stdlife))</f>
        <v>0</v>
      </c>
      <c r="R124" s="73"/>
      <c r="S124" s="107"/>
      <c r="T124" s="107"/>
      <c r="U124" s="107"/>
      <c r="V124" s="107"/>
      <c r="W124" s="107"/>
      <c r="X124" s="107"/>
      <c r="Y124" s="107"/>
      <c r="Z124" s="107"/>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107"/>
      <c r="BE124" s="107"/>
      <c r="BF124" s="107"/>
      <c r="BG124" s="107"/>
      <c r="BH124" s="107"/>
      <c r="BI124" s="107"/>
      <c r="BJ124" s="107"/>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outlineLevel="2">
      <c r="A125" s="9"/>
      <c r="B125" s="9"/>
      <c r="C125" s="9"/>
      <c r="D125" s="26"/>
      <c r="E125" s="392"/>
      <c r="F125" s="91">
        <v>9</v>
      </c>
      <c r="G125" s="124"/>
      <c r="H125" s="149"/>
      <c r="I125" s="151"/>
      <c r="J125" s="151"/>
      <c r="K125" s="151"/>
      <c r="L125" s="151"/>
      <c r="M125" s="151"/>
      <c r="N125" s="151"/>
      <c r="O125" s="151"/>
      <c r="P125" s="150"/>
      <c r="Q125" s="73">
        <f>IF(A4stdlife="n/a","n/a",IF(Q$3&gt;(A4stdlife+$F125),(Input!$P$214*(1+vanilla9)^0.5)-SUM($P125:P125),(Input!$P$214*(1+vanilla9)^0.5)/A4stdlife))</f>
        <v>0</v>
      </c>
      <c r="R125" s="73"/>
      <c r="S125" s="107"/>
      <c r="T125" s="107"/>
      <c r="U125" s="107"/>
      <c r="V125" s="107"/>
      <c r="W125" s="107"/>
      <c r="X125" s="107"/>
      <c r="Y125" s="107"/>
      <c r="Z125" s="107"/>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107"/>
      <c r="BE125" s="107"/>
      <c r="BF125" s="107"/>
      <c r="BG125" s="107"/>
      <c r="BH125" s="107"/>
      <c r="BI125" s="107"/>
      <c r="BJ125" s="107"/>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outlineLevel="2">
      <c r="A126" s="9"/>
      <c r="B126" s="9"/>
      <c r="C126" s="9"/>
      <c r="D126" s="26"/>
      <c r="E126" s="392"/>
      <c r="F126" s="92">
        <v>10</v>
      </c>
      <c r="G126" s="124"/>
      <c r="H126" s="149"/>
      <c r="I126" s="151"/>
      <c r="J126" s="151"/>
      <c r="K126" s="151"/>
      <c r="L126" s="151"/>
      <c r="M126" s="151"/>
      <c r="N126" s="151"/>
      <c r="O126" s="151"/>
      <c r="P126" s="151"/>
      <c r="Q126" s="150"/>
      <c r="R126" s="73"/>
      <c r="S126" s="107"/>
      <c r="T126" s="107"/>
      <c r="U126" s="107"/>
      <c r="V126" s="107"/>
      <c r="W126" s="107"/>
      <c r="X126" s="107"/>
      <c r="Y126" s="107"/>
      <c r="Z126" s="107"/>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107"/>
      <c r="BE126" s="107"/>
      <c r="BF126" s="107"/>
      <c r="BG126" s="107"/>
      <c r="BH126" s="107"/>
      <c r="BI126" s="107"/>
      <c r="BJ126" s="107"/>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outlineLevel="1">
      <c r="A127" s="9"/>
      <c r="B127" s="9"/>
      <c r="C127" s="9"/>
      <c r="D127" s="279" t="str">
        <f>Asset4</f>
        <v>Refurbishment</v>
      </c>
      <c r="E127" s="9"/>
      <c r="F127" s="9"/>
      <c r="G127" s="124"/>
      <c r="H127" s="165">
        <f>-SUM(H115:H126)</f>
        <v>-2.2629257463692327</v>
      </c>
      <c r="I127" s="165">
        <f>-SUM(I115:I126)</f>
        <v>-2.2629257463692327</v>
      </c>
      <c r="J127" s="165">
        <f>-SUM(J115:J126)</f>
        <v>-2.2629257463692327</v>
      </c>
      <c r="K127" s="165">
        <f>-SUM(K115:K126)</f>
        <v>-2.2629257463692327</v>
      </c>
      <c r="L127" s="165">
        <f>-SUM(L115:L126)</f>
        <v>-2.2629257463692327</v>
      </c>
      <c r="M127" s="73">
        <f>IF(COUNT($H127:L127)&gt;=Input!$W$7,0, -SUM(M115:M126))</f>
        <v>0</v>
      </c>
      <c r="N127" s="73">
        <f>IF(COUNT($H127:M127)&gt;=Input!$W$7,0, -SUM(N115:N126))</f>
        <v>0</v>
      </c>
      <c r="O127" s="73">
        <f>IF(COUNT($H127:N127)&gt;=Input!$W$7,0, -SUM(O115:O126))</f>
        <v>0</v>
      </c>
      <c r="P127" s="73">
        <f>IF(COUNT($H127:O127)&gt;=Input!$W$7,0, -SUM(P115:P126))</f>
        <v>0</v>
      </c>
      <c r="Q127" s="73">
        <f>IF(COUNT($H127:P127)&gt;=Input!$W$7,0, -SUM(Q115:Q126))</f>
        <v>0</v>
      </c>
      <c r="R127" s="71"/>
      <c r="S127" s="109"/>
      <c r="T127" s="109"/>
      <c r="U127" s="109"/>
      <c r="V127" s="109"/>
      <c r="W127" s="109"/>
      <c r="X127" s="109"/>
      <c r="Y127" s="109"/>
      <c r="Z127" s="109"/>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109"/>
      <c r="BE127" s="109"/>
      <c r="BF127" s="109"/>
      <c r="BG127" s="109"/>
      <c r="BH127" s="109"/>
      <c r="BI127" s="109"/>
      <c r="BJ127" s="109"/>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outlineLevel="2">
      <c r="A128" s="9"/>
      <c r="B128" s="9"/>
      <c r="C128" s="280" t="str">
        <f>Asset5</f>
        <v>Other</v>
      </c>
      <c r="D128" s="161"/>
      <c r="E128" s="32" t="s">
        <v>26</v>
      </c>
      <c r="F128" s="31"/>
      <c r="G128" s="181"/>
      <c r="H128" s="72">
        <f>IF(H$3&gt;A5remlife,A5value-$G$634-SUM($G128:G128),IF(A5remlife="N/A","n/a",(A5value-$G$634)/A5remlife))</f>
        <v>1.8868640039599673</v>
      </c>
      <c r="I128" s="72">
        <f>IF(I$3&gt;A5remlife,A5value-$G$634-SUM($G128:H128),IF(A5remlife="N/A","n/a",(A5value-$G$634)/A5remlife))</f>
        <v>1.8868640039599673</v>
      </c>
      <c r="J128" s="72">
        <f>IF(J$3&gt;A5remlife,A5value-$G$634-SUM($G128:I128),IF(A5remlife="N/A","n/a",(A5value-$G$634)/A5remlife))</f>
        <v>1.8868640039599673</v>
      </c>
      <c r="K128" s="72">
        <f>IF(K$3&gt;A5remlife,A5value-$G$634-SUM($G128:J128),IF(A5remlife="N/A","n/a",(A5value-$G$634)/A5remlife))</f>
        <v>1.8868640039599673</v>
      </c>
      <c r="L128" s="72">
        <f>IF(L$3&gt;A5remlife,A5value-$G$634-SUM($G128:K128),IF(A5remlife="N/A","n/a",(A5value-$G$634)/A5remlife))</f>
        <v>1.8868640039599673</v>
      </c>
      <c r="M128" s="72">
        <f>IF(M$3&gt;A5remlife,A5value-$G$634-SUM($G128:L128),IF(A5remlife="N/A","n/a",(A5value-$G$634)/A5remlife))</f>
        <v>0.51499774543934507</v>
      </c>
      <c r="N128" s="72">
        <f>IF(N$3&gt;A5remlife,A5value-$G$634-SUM($G128:M128),IF(A5remlife="N/A","n/a",(A5value-$G$634)/A5remlife))</f>
        <v>0</v>
      </c>
      <c r="O128" s="72">
        <f>IF(O$3&gt;A5remlife,A5value-$G$634-SUM($G128:N128),IF(A5remlife="N/A","n/a",(A5value-$G$634)/A5remlife))</f>
        <v>0</v>
      </c>
      <c r="P128" s="72">
        <f>IF(P$3&gt;A5remlife,A5value-$G$634-SUM($G128:O128),IF(A5remlife="N/A","n/a",(A5value-$G$634)/A5remlife))</f>
        <v>0</v>
      </c>
      <c r="Q128" s="72">
        <f>IF(Q$3&gt;A5remlife,A5value-$G$634-SUM($G128:P128),IF(A5remlife="N/A","n/a",(A5value-$G$634)/A5remlife))</f>
        <v>0</v>
      </c>
      <c r="R128" s="72"/>
      <c r="S128" s="107"/>
      <c r="T128" s="107"/>
      <c r="U128" s="107"/>
      <c r="V128" s="107"/>
      <c r="W128" s="107"/>
      <c r="X128" s="107"/>
      <c r="Y128" s="107"/>
      <c r="Z128" s="107"/>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107"/>
      <c r="BE128" s="107"/>
      <c r="BF128" s="107"/>
      <c r="BG128" s="107"/>
      <c r="BH128" s="107"/>
      <c r="BI128" s="107"/>
      <c r="BJ128" s="107"/>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customHeight="1" outlineLevel="2">
      <c r="A129" s="9"/>
      <c r="B129" s="9"/>
      <c r="C129" s="9"/>
      <c r="D129" s="26"/>
      <c r="E129" s="391" t="s">
        <v>81</v>
      </c>
      <c r="F129" s="91"/>
      <c r="G129" s="124"/>
      <c r="H129" s="73"/>
      <c r="I129" s="73"/>
      <c r="J129" s="73"/>
      <c r="K129" s="73"/>
      <c r="L129" s="73"/>
      <c r="M129" s="163"/>
      <c r="N129" s="115"/>
      <c r="O129" s="73"/>
      <c r="P129" s="73"/>
      <c r="Q129" s="73"/>
      <c r="R129" s="73"/>
      <c r="S129" s="107"/>
      <c r="T129" s="107"/>
      <c r="U129" s="107"/>
      <c r="V129" s="107"/>
      <c r="W129" s="107"/>
      <c r="X129" s="107"/>
      <c r="Y129" s="107"/>
      <c r="Z129" s="107"/>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107"/>
      <c r="BE129" s="107"/>
      <c r="BF129" s="107"/>
      <c r="BG129" s="107"/>
      <c r="BH129" s="107"/>
      <c r="BI129" s="107"/>
      <c r="BJ129" s="107"/>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outlineLevel="2">
      <c r="A130" s="9"/>
      <c r="B130" s="9"/>
      <c r="C130" s="9"/>
      <c r="D130" s="26"/>
      <c r="E130" s="392"/>
      <c r="F130" s="91">
        <v>1</v>
      </c>
      <c r="G130" s="124"/>
      <c r="H130" s="148"/>
      <c r="I130" s="73" t="str">
        <f>IF(A5stdlife="n/a","n/a",IF(I$3&gt;(A5stdlife+$F130),(Input!$H$215*(1+vanilla1)^0.5)-SUM($H130:H130),(Input!$H$215*(1+vanilla1)^0.5)/A5stdlife))</f>
        <v>n/a</v>
      </c>
      <c r="J130" s="73" t="str">
        <f>IF(A5stdlife="n/a","n/a",IF(J$3&gt;(A5stdlife+$F130),(Input!$H$215*(1+vanilla1)^0.5)-SUM($H130:I130),(Input!$H$215*(1+vanilla1)^0.5)/A5stdlife))</f>
        <v>n/a</v>
      </c>
      <c r="K130" s="73" t="str">
        <f>IF(A5stdlife="n/a","n/a",IF(K$3&gt;(A5stdlife+$F130),(Input!$H$215*(1+vanilla1)^0.5)-SUM($H130:J130),(Input!$H$215*(1+vanilla1)^0.5)/A5stdlife))</f>
        <v>n/a</v>
      </c>
      <c r="L130" s="73" t="str">
        <f>IF(A5stdlife="n/a","n/a",IF(L$3&gt;(A5stdlife+$F130),(Input!$H$215*(1+vanilla1)^0.5)-SUM($H130:K130),(Input!$H$215*(1+vanilla1)^0.5)/A5stdlife))</f>
        <v>n/a</v>
      </c>
      <c r="M130" s="73" t="str">
        <f>IF(A5stdlife="n/a","n/a",IF(M$3&gt;(A5stdlife+$F130),(Input!$H$215*(1+vanilla1)^0.5)-SUM($H130:L130),(Input!$H$215*(1+vanilla1)^0.5)/A5stdlife))</f>
        <v>n/a</v>
      </c>
      <c r="N130" s="73" t="str">
        <f>IF(A5stdlife="n/a","n/a",IF(N$3&gt;(A5stdlife+$F130),(Input!$H$215*(1+vanilla1)^0.5)-SUM($H130:M130),(Input!$H$215*(1+vanilla1)^0.5)/A5stdlife))</f>
        <v>n/a</v>
      </c>
      <c r="O130" s="73" t="str">
        <f>IF(A5stdlife="n/a","n/a",IF(O$3&gt;(A5stdlife+$F130),(Input!$H$215*(1+vanilla1)^0.5)-SUM($H130:N130),(Input!$H$215*(1+vanilla1)^0.5)/A5stdlife))</f>
        <v>n/a</v>
      </c>
      <c r="P130" s="73" t="str">
        <f>IF(A5stdlife="n/a","n/a",IF(P$3&gt;(A5stdlife+$F130),(Input!$H$215*(1+vanilla1)^0.5)-SUM($H130:O130),(Input!$H$215*(1+vanilla1)^0.5)/A5stdlife))</f>
        <v>n/a</v>
      </c>
      <c r="Q130" s="73" t="str">
        <f>IF(A5stdlife="n/a","n/a",IF(Q$3&gt;(A5stdlife+$F130),(Input!$H$215*(1+vanilla1)^0.5)-SUM($H130:P130),(Input!$H$215*(1+vanilla1)^0.5)/A5stdlife))</f>
        <v>n/a</v>
      </c>
      <c r="R130" s="73"/>
      <c r="S130" s="107"/>
      <c r="T130" s="107"/>
      <c r="U130" s="107"/>
      <c r="V130" s="107"/>
      <c r="W130" s="107"/>
      <c r="X130" s="107"/>
      <c r="Y130" s="107"/>
      <c r="Z130" s="107"/>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107"/>
      <c r="BE130" s="107"/>
      <c r="BF130" s="107"/>
      <c r="BG130" s="107"/>
      <c r="BH130" s="107"/>
      <c r="BI130" s="107"/>
      <c r="BJ130" s="107"/>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outlineLevel="2">
      <c r="A131" s="9"/>
      <c r="B131" s="9"/>
      <c r="C131" s="9"/>
      <c r="D131" s="26"/>
      <c r="E131" s="392"/>
      <c r="F131" s="91">
        <v>2</v>
      </c>
      <c r="G131" s="124"/>
      <c r="H131" s="149"/>
      <c r="I131" s="150"/>
      <c r="J131" s="73" t="str">
        <f>IF(A5stdlife="n/a","n/a",IF(J$3&gt;(A5stdlife+$F131),(Input!$I$215*(1+vanilla2)^0.5)-SUM($I131:I131),(Input!$I$215*(1+vanilla2)^0.5)/A5stdlife))</f>
        <v>n/a</v>
      </c>
      <c r="K131" s="73" t="str">
        <f>IF(A5stdlife="n/a","n/a",IF(K$3&gt;(A5stdlife+$F131),(Input!$I$215*(1+vanilla2)^0.5)-SUM($I131:J131),(Input!$I$215*(1+vanilla2)^0.5)/A5stdlife))</f>
        <v>n/a</v>
      </c>
      <c r="L131" s="73" t="str">
        <f>IF(A5stdlife="n/a","n/a",IF(L$3&gt;(A5stdlife+$F131),(Input!$I$215*(1+vanilla2)^0.5)-SUM($I131:K131),(Input!$I$215*(1+vanilla2)^0.5)/A5stdlife))</f>
        <v>n/a</v>
      </c>
      <c r="M131" s="73" t="str">
        <f>IF(A5stdlife="n/a","n/a",IF(M$3&gt;(A5stdlife+$F131),(Input!$I$215*(1+vanilla2)^0.5)-SUM($I131:L131),(Input!$I$215*(1+vanilla2)^0.5)/A5stdlife))</f>
        <v>n/a</v>
      </c>
      <c r="N131" s="73" t="str">
        <f>IF(A5stdlife="n/a","n/a",IF(N$3&gt;(A5stdlife+$F131),(Input!$I$215*(1+vanilla2)^0.5)-SUM($I131:M131),(Input!$I$215*(1+vanilla2)^0.5)/A5stdlife))</f>
        <v>n/a</v>
      </c>
      <c r="O131" s="73" t="str">
        <f>IF(A5stdlife="n/a","n/a",IF(O$3&gt;(A5stdlife+$F131),(Input!$I$215*(1+vanilla2)^0.5)-SUM($I131:N131),(Input!$I$215*(1+vanilla2)^0.5)/A5stdlife))</f>
        <v>n/a</v>
      </c>
      <c r="P131" s="73" t="str">
        <f>IF(A5stdlife="n/a","n/a",IF(P$3&gt;(A5stdlife+$F131),(Input!$I$215*(1+vanilla2)^0.5)-SUM($I131:O131),(Input!$I$215*(1+vanilla2)^0.5)/A5stdlife))</f>
        <v>n/a</v>
      </c>
      <c r="Q131" s="73" t="str">
        <f>IF(A5stdlife="n/a","n/a",IF(Q$3&gt;(A5stdlife+$F131),(Input!$I$215*(1+vanilla2)^0.5)-SUM($I131:P131),(Input!$I$215*(1+vanilla2)^0.5)/A5stdlife))</f>
        <v>n/a</v>
      </c>
      <c r="R131" s="73"/>
      <c r="S131" s="107"/>
      <c r="T131" s="107"/>
      <c r="U131" s="107"/>
      <c r="V131" s="107"/>
      <c r="W131" s="107"/>
      <c r="X131" s="107"/>
      <c r="Y131" s="107"/>
      <c r="Z131" s="107"/>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107"/>
      <c r="BE131" s="107"/>
      <c r="BF131" s="107"/>
      <c r="BG131" s="107"/>
      <c r="BH131" s="107"/>
      <c r="BI131" s="107"/>
      <c r="BJ131" s="107"/>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outlineLevel="2">
      <c r="A132" s="9"/>
      <c r="B132" s="9"/>
      <c r="C132" s="9"/>
      <c r="D132" s="26"/>
      <c r="E132" s="392"/>
      <c r="F132" s="91">
        <v>3</v>
      </c>
      <c r="G132" s="124"/>
      <c r="H132" s="149"/>
      <c r="I132" s="151"/>
      <c r="J132" s="150"/>
      <c r="K132" s="73" t="str">
        <f>IF(A5stdlife="n/a","n/a",IF(K$3&gt;(A5stdlife+$F132),(Input!$J$215*(1+vanilla3)^0.5)-SUM($J132:J132),(Input!$J$215*(1+vanilla3)^0.5)/A5stdlife))</f>
        <v>n/a</v>
      </c>
      <c r="L132" s="73" t="str">
        <f>IF(A5stdlife="n/a","n/a",IF(L$3&gt;(A5stdlife+$F132),(Input!$J$215*(1+vanilla3)^0.5)-SUM($J132:K132),(Input!$J$215*(1+vanilla3)^0.5)/A5stdlife))</f>
        <v>n/a</v>
      </c>
      <c r="M132" s="73" t="str">
        <f>IF(A5stdlife="n/a","n/a",IF(M$3&gt;(A5stdlife+$F132),(Input!$J$215*(1+vanilla3)^0.5)-SUM($J132:L132),(Input!$J$215*(1+vanilla3)^0.5)/A5stdlife))</f>
        <v>n/a</v>
      </c>
      <c r="N132" s="73" t="str">
        <f>IF(A5stdlife="n/a","n/a",IF(N$3&gt;(A5stdlife+$F132),(Input!$J$215*(1+vanilla3)^0.5)-SUM($J132:M132),(Input!$J$215*(1+vanilla3)^0.5)/A5stdlife))</f>
        <v>n/a</v>
      </c>
      <c r="O132" s="73" t="str">
        <f>IF(A5stdlife="n/a","n/a",IF(O$3&gt;(A5stdlife+$F132),(Input!$J$215*(1+vanilla3)^0.5)-SUM($J132:N132),(Input!$J$215*(1+vanilla3)^0.5)/A5stdlife))</f>
        <v>n/a</v>
      </c>
      <c r="P132" s="73" t="str">
        <f>IF(A5stdlife="n/a","n/a",IF(P$3&gt;(A5stdlife+$F132),(Input!$J$215*(1+vanilla3)^0.5)-SUM($J132:O132),(Input!$J$215*(1+vanilla3)^0.5)/A5stdlife))</f>
        <v>n/a</v>
      </c>
      <c r="Q132" s="73" t="str">
        <f>IF(A5stdlife="n/a","n/a",IF(Q$3&gt;(A5stdlife+$F132),(Input!$J$215*(1+vanilla3)^0.5)-SUM($J132:P132),(Input!$J$215*(1+vanilla3)^0.5)/A5stdlife))</f>
        <v>n/a</v>
      </c>
      <c r="R132" s="73"/>
      <c r="S132" s="107"/>
      <c r="T132" s="107"/>
      <c r="U132" s="107"/>
      <c r="V132" s="107"/>
      <c r="W132" s="107"/>
      <c r="X132" s="107"/>
      <c r="Y132" s="107"/>
      <c r="Z132" s="107"/>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107"/>
      <c r="BE132" s="107"/>
      <c r="BF132" s="107"/>
      <c r="BG132" s="107"/>
      <c r="BH132" s="107"/>
      <c r="BI132" s="107"/>
      <c r="BJ132" s="107"/>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outlineLevel="2">
      <c r="A133" s="9"/>
      <c r="B133" s="9"/>
      <c r="C133" s="9"/>
      <c r="D133" s="26"/>
      <c r="E133" s="392"/>
      <c r="F133" s="91">
        <v>4</v>
      </c>
      <c r="G133" s="124"/>
      <c r="H133" s="149"/>
      <c r="I133" s="151"/>
      <c r="J133" s="151"/>
      <c r="K133" s="150"/>
      <c r="L133" s="73" t="str">
        <f>IF(A5stdlife="n/a","n/a",IF(L$3&gt;(A5stdlife+$F133),(Input!$K$215*(1+vanilla4)^0.5)-SUM($K133:K133),(Input!$K$215*(1+vanilla4)^0.5)/A5stdlife))</f>
        <v>n/a</v>
      </c>
      <c r="M133" s="73" t="str">
        <f>IF(A5stdlife="n/a","n/a",IF(M$3&gt;(A5stdlife+$F133),(Input!$K$215*(1+vanilla4)^0.5)-SUM($K133:L133),(Input!$K$215*(1+vanilla4)^0.5)/A5stdlife))</f>
        <v>n/a</v>
      </c>
      <c r="N133" s="73" t="str">
        <f>IF(A5stdlife="n/a","n/a",IF(N$3&gt;(A5stdlife+$F133),(Input!$K$215*(1+vanilla4)^0.5)-SUM($K133:M133),(Input!$K$215*(1+vanilla4)^0.5)/A5stdlife))</f>
        <v>n/a</v>
      </c>
      <c r="O133" s="73" t="str">
        <f>IF(A5stdlife="n/a","n/a",IF(O$3&gt;(A5stdlife+$F133),(Input!$K$215*(1+vanilla4)^0.5)-SUM($K133:N133),(Input!$K$215*(1+vanilla4)^0.5)/A5stdlife))</f>
        <v>n/a</v>
      </c>
      <c r="P133" s="73" t="str">
        <f>IF(A5stdlife="n/a","n/a",IF(P$3&gt;(A5stdlife+$F133),(Input!$K$215*(1+vanilla4)^0.5)-SUM($K133:O133),(Input!$K$215*(1+vanilla4)^0.5)/A5stdlife))</f>
        <v>n/a</v>
      </c>
      <c r="Q133" s="73" t="str">
        <f>IF(A5stdlife="n/a","n/a",IF(Q$3&gt;(A5stdlife+$F133),(Input!$K$215*(1+vanilla4)^0.5)-SUM($K133:P133),(Input!$K$215*(1+vanilla4)^0.5)/A5stdlife))</f>
        <v>n/a</v>
      </c>
      <c r="R133" s="73"/>
      <c r="S133" s="107"/>
      <c r="T133" s="107"/>
      <c r="U133" s="107"/>
      <c r="V133" s="107"/>
      <c r="W133" s="107"/>
      <c r="X133" s="107"/>
      <c r="Y133" s="107"/>
      <c r="Z133" s="107"/>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107"/>
      <c r="BE133" s="107"/>
      <c r="BF133" s="107"/>
      <c r="BG133" s="107"/>
      <c r="BH133" s="107"/>
      <c r="BI133" s="107"/>
      <c r="BJ133" s="107"/>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customHeight="1" outlineLevel="2">
      <c r="A134" s="9"/>
      <c r="B134" s="9"/>
      <c r="C134" s="9"/>
      <c r="D134" s="26"/>
      <c r="E134" s="392"/>
      <c r="F134" s="91">
        <v>5</v>
      </c>
      <c r="G134" s="124"/>
      <c r="H134" s="149"/>
      <c r="I134" s="151"/>
      <c r="J134" s="151"/>
      <c r="K134" s="151"/>
      <c r="L134" s="150"/>
      <c r="M134" s="73" t="str">
        <f>IF(A5stdlife="n/a","n/a",IF(M$3&gt;(A5stdlife+$F134),(Input!$L$215*(1+vanilla5)^0.5)-SUM($L134:L134),(Input!$L$215*(1+vanilla5)^0.5)/A5stdlife))</f>
        <v>n/a</v>
      </c>
      <c r="N134" s="73" t="str">
        <f>IF(A5stdlife="n/a","n/a",IF(N$3&gt;(A5stdlife+$F134),(Input!$L$215*(1+vanilla5)^0.5)-SUM($L134:M134),(Input!$L$215*(1+vanilla5)^0.5)/A5stdlife))</f>
        <v>n/a</v>
      </c>
      <c r="O134" s="73" t="str">
        <f>IF(A5stdlife="n/a","n/a",IF(O$3&gt;(A5stdlife+$F134),(Input!$L$215*(1+vanilla5)^0.5)-SUM($L134:N134),(Input!$L$215*(1+vanilla5)^0.5)/A5stdlife))</f>
        <v>n/a</v>
      </c>
      <c r="P134" s="73" t="str">
        <f>IF(A5stdlife="n/a","n/a",IF(P$3&gt;(A5stdlife+$F134),(Input!$L$215*(1+vanilla5)^0.5)-SUM($L134:O134),(Input!$L$215*(1+vanilla5)^0.5)/A5stdlife))</f>
        <v>n/a</v>
      </c>
      <c r="Q134" s="73" t="str">
        <f>IF(A5stdlife="n/a","n/a",IF(Q$3&gt;(A5stdlife+$F134),(Input!$L$215*(1+vanilla5)^0.5)-SUM($L134:P134),(Input!$L$215*(1+vanilla5)^0.5)/A5stdlife))</f>
        <v>n/a</v>
      </c>
      <c r="R134" s="73"/>
      <c r="S134" s="107"/>
      <c r="T134" s="107"/>
      <c r="U134" s="107"/>
      <c r="V134" s="107"/>
      <c r="W134" s="107"/>
      <c r="X134" s="107"/>
      <c r="Y134" s="107"/>
      <c r="Z134" s="107"/>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customHeight="1" outlineLevel="2">
      <c r="A135" s="9"/>
      <c r="B135" s="9"/>
      <c r="C135" s="9"/>
      <c r="D135" s="26"/>
      <c r="E135" s="392"/>
      <c r="F135" s="91">
        <v>6</v>
      </c>
      <c r="G135" s="124"/>
      <c r="H135" s="149"/>
      <c r="I135" s="151"/>
      <c r="J135" s="151"/>
      <c r="K135" s="151"/>
      <c r="L135" s="151"/>
      <c r="M135" s="150"/>
      <c r="N135" s="73" t="str">
        <f>IF(A5stdlife="n/a","n/a",IF(N$3&gt;(A5stdlife+$F135),(Input!$M$215*(1+vanilla6)^0.5)-SUM($M135:M135),(Input!$M$215*(1+vanilla6)^0.5)/A5stdlife))</f>
        <v>n/a</v>
      </c>
      <c r="O135" s="73" t="str">
        <f>IF(A5stdlife="n/a","n/a",IF(O$3&gt;(A5stdlife+$F135),(Input!$M$215*(1+vanilla6)^0.5)-SUM($M135:N135),(Input!$M$215*(1+vanilla6)^0.5)/A5stdlife))</f>
        <v>n/a</v>
      </c>
      <c r="P135" s="73" t="str">
        <f>IF(A5stdlife="n/a","n/a",IF(P$3&gt;(A5stdlife+$F135),(Input!$M$215*(1+vanilla6)^0.5)-SUM($M135:O135),(Input!$M$215*(1+vanilla6)^0.5)/A5stdlife))</f>
        <v>n/a</v>
      </c>
      <c r="Q135" s="73" t="str">
        <f>IF(A5stdlife="n/a","n/a",IF(Q$3&gt;(A5stdlife+$F135),(Input!$M$215*(1+vanilla6)^0.5)-SUM($M135:P135),(Input!$M$215*(1+vanilla6)^0.5)/A5stdlife))</f>
        <v>n/a</v>
      </c>
      <c r="R135" s="73"/>
      <c r="S135" s="107"/>
      <c r="T135" s="107"/>
      <c r="U135" s="107"/>
      <c r="V135" s="107"/>
      <c r="W135" s="107"/>
      <c r="X135" s="107"/>
      <c r="Y135" s="107"/>
      <c r="Z135" s="107"/>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107"/>
      <c r="BE135" s="107"/>
      <c r="BF135" s="107"/>
      <c r="BG135" s="107"/>
      <c r="BH135" s="107"/>
      <c r="BI135" s="107"/>
      <c r="BJ135" s="107"/>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customHeight="1" outlineLevel="2">
      <c r="A136" s="9"/>
      <c r="B136" s="9"/>
      <c r="C136" s="9"/>
      <c r="D136" s="26"/>
      <c r="E136" s="392"/>
      <c r="F136" s="91">
        <v>7</v>
      </c>
      <c r="G136" s="124"/>
      <c r="H136" s="149"/>
      <c r="I136" s="151"/>
      <c r="J136" s="151"/>
      <c r="K136" s="151"/>
      <c r="L136" s="151"/>
      <c r="M136" s="151"/>
      <c r="N136" s="150"/>
      <c r="O136" s="73" t="str">
        <f>IF(A5stdlife="n/a","n/a",IF(O$3&gt;(A5stdlife+$F136),(Input!$N$215*(1+vanilla7)^0.5)-SUM($N136:N136),(Input!$N$215*(1+vanilla7)^0.5)/A5stdlife))</f>
        <v>n/a</v>
      </c>
      <c r="P136" s="73" t="str">
        <f>IF(A5stdlife="n/a","n/a",IF(P$3&gt;(A5stdlife+$F136),(Input!$N$215*(1+vanilla7)^0.5)-SUM($N136:O136),(Input!$N$215*(1+vanilla7)^0.5)/A5stdlife))</f>
        <v>n/a</v>
      </c>
      <c r="Q136" s="73" t="str">
        <f>IF(A5stdlife="n/a","n/a",IF(Q$3&gt;(A5stdlife+$F136),(Input!$N$215*(1+vanilla7)^0.5)-SUM($N136:P136),(Input!$N$215*(1+vanilla7)^0.5)/A5stdlife))</f>
        <v>n/a</v>
      </c>
      <c r="R136" s="73"/>
      <c r="S136" s="107"/>
      <c r="T136" s="107"/>
      <c r="U136" s="107"/>
      <c r="V136" s="107"/>
      <c r="W136" s="107"/>
      <c r="X136" s="107"/>
      <c r="Y136" s="107"/>
      <c r="Z136" s="107"/>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107"/>
      <c r="BE136" s="107"/>
      <c r="BF136" s="107"/>
      <c r="BG136" s="107"/>
      <c r="BH136" s="107"/>
      <c r="BI136" s="107"/>
      <c r="BJ136" s="107"/>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customHeight="1" outlineLevel="2">
      <c r="A137" s="9"/>
      <c r="B137" s="9"/>
      <c r="C137" s="9"/>
      <c r="D137" s="26"/>
      <c r="E137" s="392"/>
      <c r="F137" s="91">
        <v>8</v>
      </c>
      <c r="G137" s="124"/>
      <c r="H137" s="149"/>
      <c r="I137" s="151"/>
      <c r="J137" s="151"/>
      <c r="K137" s="151"/>
      <c r="L137" s="151"/>
      <c r="M137" s="151"/>
      <c r="N137" s="151"/>
      <c r="O137" s="150"/>
      <c r="P137" s="73" t="str">
        <f>IF(A5stdlife="n/a","n/a",IF(P$3&gt;(A5stdlife+$F137),(Input!$O$215*(1+vanilla8)^0.5)-SUM($O137:O137),(Input!$O$215*(1+vanilla8)^0.5)/A5stdlife))</f>
        <v>n/a</v>
      </c>
      <c r="Q137" s="73" t="str">
        <f>IF(A5stdlife="n/a","n/a",IF(Q$3&gt;(A5stdlife+$F137),(Input!$O$215*(1+vanilla8)^0.5)-SUM($O137:P137),(Input!$O$215*(1+vanilla8)^0.5)/A5stdlife))</f>
        <v>n/a</v>
      </c>
      <c r="R137" s="73"/>
      <c r="S137" s="107"/>
      <c r="T137" s="107"/>
      <c r="U137" s="107"/>
      <c r="V137" s="107"/>
      <c r="W137" s="107"/>
      <c r="X137" s="107"/>
      <c r="Y137" s="107"/>
      <c r="Z137" s="107"/>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107"/>
      <c r="BE137" s="107"/>
      <c r="BF137" s="107"/>
      <c r="BG137" s="107"/>
      <c r="BH137" s="107"/>
      <c r="BI137" s="107"/>
      <c r="BJ137" s="107"/>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customHeight="1" outlineLevel="2">
      <c r="A138" s="9"/>
      <c r="B138" s="9"/>
      <c r="C138" s="9"/>
      <c r="D138" s="26"/>
      <c r="E138" s="392"/>
      <c r="F138" s="91">
        <v>9</v>
      </c>
      <c r="G138" s="124"/>
      <c r="H138" s="149"/>
      <c r="I138" s="151"/>
      <c r="J138" s="151"/>
      <c r="K138" s="151"/>
      <c r="L138" s="151"/>
      <c r="M138" s="151"/>
      <c r="N138" s="151"/>
      <c r="O138" s="151"/>
      <c r="P138" s="150"/>
      <c r="Q138" s="73" t="str">
        <f>IF(A5stdlife="n/a","n/a",IF(Q$3&gt;(A5stdlife+$F138),(Input!$P$215*(1+vanilla9)^0.5)-SUM($P138:P138),(Input!$P$215*(1+vanilla9)^0.5)/A5stdlife))</f>
        <v>n/a</v>
      </c>
      <c r="R138" s="73"/>
      <c r="S138" s="107"/>
      <c r="T138" s="107"/>
      <c r="U138" s="107"/>
      <c r="V138" s="107"/>
      <c r="W138" s="107"/>
      <c r="X138" s="107"/>
      <c r="Y138" s="107"/>
      <c r="Z138" s="107"/>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107"/>
      <c r="BE138" s="107"/>
      <c r="BF138" s="107"/>
      <c r="BG138" s="107"/>
      <c r="BH138" s="107"/>
      <c r="BI138" s="107"/>
      <c r="BJ138" s="107"/>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customHeight="1" outlineLevel="2">
      <c r="A139" s="9"/>
      <c r="B139" s="9"/>
      <c r="C139" s="9"/>
      <c r="D139" s="26"/>
      <c r="E139" s="392"/>
      <c r="F139" s="92">
        <v>10</v>
      </c>
      <c r="G139" s="124"/>
      <c r="H139" s="149"/>
      <c r="I139" s="151"/>
      <c r="J139" s="151"/>
      <c r="K139" s="151"/>
      <c r="L139" s="151"/>
      <c r="M139" s="151"/>
      <c r="N139" s="151"/>
      <c r="O139" s="151"/>
      <c r="P139" s="151"/>
      <c r="Q139" s="150"/>
      <c r="R139" s="73"/>
      <c r="S139" s="107"/>
      <c r="T139" s="107"/>
      <c r="U139" s="107"/>
      <c r="V139" s="107"/>
      <c r="W139" s="107"/>
      <c r="X139" s="107"/>
      <c r="Y139" s="107"/>
      <c r="Z139" s="107"/>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107"/>
      <c r="BE139" s="107"/>
      <c r="BF139" s="107"/>
      <c r="BG139" s="107"/>
      <c r="BH139" s="107"/>
      <c r="BI139" s="107"/>
      <c r="BJ139" s="107"/>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outlineLevel="1">
      <c r="A140" s="9"/>
      <c r="B140" s="9"/>
      <c r="C140" s="9"/>
      <c r="D140" s="279" t="str">
        <f>Asset5</f>
        <v>Other</v>
      </c>
      <c r="E140" s="9"/>
      <c r="F140" s="9"/>
      <c r="G140" s="124"/>
      <c r="H140" s="165">
        <f>-SUM(H128:H139)</f>
        <v>-1.8868640039599673</v>
      </c>
      <c r="I140" s="165">
        <f>-SUM(I128:I139)</f>
        <v>-1.8868640039599673</v>
      </c>
      <c r="J140" s="165">
        <f>-SUM(J128:J139)</f>
        <v>-1.8868640039599673</v>
      </c>
      <c r="K140" s="165">
        <f>-SUM(K128:K139)</f>
        <v>-1.8868640039599673</v>
      </c>
      <c r="L140" s="165">
        <f>-SUM(L128:L139)</f>
        <v>-1.8868640039599673</v>
      </c>
      <c r="M140" s="73">
        <f>IF(COUNT($H140:L140)&gt;=Input!$W$7,0, -SUM(M128:M139))</f>
        <v>0</v>
      </c>
      <c r="N140" s="73">
        <f>IF(COUNT($H140:M140)&gt;=Input!$W$7,0, -SUM(N128:N139))</f>
        <v>0</v>
      </c>
      <c r="O140" s="73">
        <f>IF(COUNT($H140:N140)&gt;=Input!$W$7,0, -SUM(O128:O139))</f>
        <v>0</v>
      </c>
      <c r="P140" s="73">
        <f>IF(COUNT($H140:O140)&gt;=Input!$W$7,0, -SUM(P128:P139))</f>
        <v>0</v>
      </c>
      <c r="Q140" s="73">
        <f>IF(COUNT($H140:P140)&gt;=Input!$W$7,0, -SUM(Q128:Q139))</f>
        <v>0</v>
      </c>
      <c r="R140" s="71"/>
      <c r="S140" s="109"/>
      <c r="T140" s="109"/>
      <c r="U140" s="109"/>
      <c r="V140" s="109"/>
      <c r="W140" s="109"/>
      <c r="X140" s="109"/>
      <c r="Y140" s="109"/>
      <c r="Z140" s="109"/>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109"/>
      <c r="BE140" s="109"/>
      <c r="BF140" s="109"/>
      <c r="BG140" s="109"/>
      <c r="BH140" s="109"/>
      <c r="BI140" s="109"/>
      <c r="BJ140" s="109"/>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outlineLevel="2">
      <c r="A141" s="9"/>
      <c r="B141" s="9"/>
      <c r="C141" s="280" t="str">
        <f>Asset6</f>
        <v>Other - IT</v>
      </c>
      <c r="D141" s="161"/>
      <c r="E141" s="32" t="s">
        <v>26</v>
      </c>
      <c r="F141" s="31"/>
      <c r="G141" s="181"/>
      <c r="H141" s="72">
        <f>IF(H$3&gt;A6remlife,A6value-$G$635-SUM($G141:G141),IF(A6remlife="N/A","n/a",(A6value-$G$635)/A6remlife))</f>
        <v>11.560631724819562</v>
      </c>
      <c r="I141" s="72">
        <f>IF(I$3&gt;A6remlife,A6value-$G$635-SUM($G141:H141),IF(A6remlife="N/A","n/a",(A6value-$G$635)/A6remlife))</f>
        <v>11.560631724819562</v>
      </c>
      <c r="J141" s="72">
        <f>IF(J$3&gt;A6remlife,A6value-$G$635-SUM($G141:I141),IF(A6remlife="N/A","n/a",(A6value-$G$635)/A6remlife))</f>
        <v>0</v>
      </c>
      <c r="K141" s="72">
        <f>IF(K$3&gt;A6remlife,A6value-$G$635-SUM($G141:J141),IF(A6remlife="N/A","n/a",(A6value-$G$635)/A6remlife))</f>
        <v>0</v>
      </c>
      <c r="L141" s="72">
        <f>IF(L$3&gt;A6remlife,A6value-$G$635-SUM($G141:K141),IF(A6remlife="N/A","n/a",(A6value-$G$635)/A6remlife))</f>
        <v>0</v>
      </c>
      <c r="M141" s="72">
        <f>IF(M$3&gt;A6remlife,A6value-$G$635-SUM($G141:L141),IF(A6remlife="N/A","n/a",(A6value-$G$635)/A6remlife))</f>
        <v>0</v>
      </c>
      <c r="N141" s="72">
        <f>IF(N$3&gt;A6remlife,A6value-$G$635-SUM($G141:M141),IF(A6remlife="N/A","n/a",(A6value-$G$635)/A6remlife))</f>
        <v>0</v>
      </c>
      <c r="O141" s="72">
        <f>IF(O$3&gt;A6remlife,A6value-$G$635-SUM($G141:N141),IF(A6remlife="N/A","n/a",(A6value-$G$635)/A6remlife))</f>
        <v>0</v>
      </c>
      <c r="P141" s="72">
        <f>IF(P$3&gt;A6remlife,A6value-$G$635-SUM($G141:O141),IF(A6remlife="N/A","n/a",(A6value-$G$635)/A6remlife))</f>
        <v>0</v>
      </c>
      <c r="Q141" s="72">
        <f>IF(Q$3&gt;A6remlife,A6value-$G$635-SUM($G141:P141),IF(A6remlife="N/A","n/a",(A6value-$G$635)/A6remlife))</f>
        <v>0</v>
      </c>
      <c r="R141" s="72"/>
      <c r="S141" s="107"/>
      <c r="T141" s="107"/>
      <c r="U141" s="107"/>
      <c r="V141" s="107"/>
      <c r="W141" s="107"/>
      <c r="X141" s="107"/>
      <c r="Y141" s="107"/>
      <c r="Z141" s="107"/>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107"/>
      <c r="BE141" s="107"/>
      <c r="BF141" s="107"/>
      <c r="BG141" s="107"/>
      <c r="BH141" s="107"/>
      <c r="BI141" s="107"/>
      <c r="BJ141" s="107"/>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customHeight="1" outlineLevel="2">
      <c r="A142" s="9"/>
      <c r="B142" s="9"/>
      <c r="C142" s="9"/>
      <c r="D142" s="26"/>
      <c r="E142" s="391" t="s">
        <v>81</v>
      </c>
      <c r="F142" s="91"/>
      <c r="G142" s="124"/>
      <c r="H142" s="73"/>
      <c r="I142" s="73"/>
      <c r="J142" s="73"/>
      <c r="K142" s="73"/>
      <c r="L142" s="73"/>
      <c r="M142" s="163"/>
      <c r="N142" s="115"/>
      <c r="O142" s="73"/>
      <c r="P142" s="73"/>
      <c r="Q142" s="73"/>
      <c r="R142" s="73"/>
      <c r="S142" s="107"/>
      <c r="T142" s="107"/>
      <c r="U142" s="107"/>
      <c r="V142" s="107"/>
      <c r="W142" s="107"/>
      <c r="X142" s="107"/>
      <c r="Y142" s="107"/>
      <c r="Z142" s="107"/>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107"/>
      <c r="BE142" s="107"/>
      <c r="BF142" s="107"/>
      <c r="BG142" s="107"/>
      <c r="BH142" s="107"/>
      <c r="BI142" s="107"/>
      <c r="BJ142" s="107"/>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outlineLevel="2">
      <c r="A143" s="9"/>
      <c r="B143" s="9"/>
      <c r="C143" s="9"/>
      <c r="D143" s="26"/>
      <c r="E143" s="392"/>
      <c r="F143" s="91">
        <v>1</v>
      </c>
      <c r="G143" s="124"/>
      <c r="H143" s="148"/>
      <c r="I143" s="73">
        <f>IF(A6stdlife="n/a","n/a",IF(I$3&gt;(A6stdlife+$F143),(Input!$H$216*(1+vanilla1)^0.5)-SUM($H143:H143),(Input!$H$216*(1+vanilla1)^0.5)/A6stdlife))</f>
        <v>0</v>
      </c>
      <c r="J143" s="73">
        <f>IF(A6stdlife="n/a","n/a",IF(J$3&gt;(A6stdlife+$F143),(Input!$H$216*(1+vanilla1)^0.5)-SUM($H143:I143),(Input!$H$216*(1+vanilla1)^0.5)/A6stdlife))</f>
        <v>0</v>
      </c>
      <c r="K143" s="73">
        <f>IF(A6stdlife="n/a","n/a",IF(K$3&gt;(A6stdlife+$F143),(Input!$H$216*(1+vanilla1)^0.5)-SUM($H143:J143),(Input!$H$216*(1+vanilla1)^0.5)/A6stdlife))</f>
        <v>0</v>
      </c>
      <c r="L143" s="73">
        <f>IF(A6stdlife="n/a","n/a",IF(L$3&gt;(A6stdlife+$F143),(Input!$H$216*(1+vanilla1)^0.5)-SUM($H143:K143),(Input!$H$216*(1+vanilla1)^0.5)/A6stdlife))</f>
        <v>0</v>
      </c>
      <c r="M143" s="73">
        <f>IF(A6stdlife="n/a","n/a",IF(M$3&gt;(A6stdlife+$F143),(Input!$H$216*(1+vanilla1)^0.5)-SUM($H143:L143),(Input!$H$216*(1+vanilla1)^0.5)/A6stdlife))</f>
        <v>0</v>
      </c>
      <c r="N143" s="73">
        <f>IF(A6stdlife="n/a","n/a",IF(N$3&gt;(A6stdlife+$F143),(Input!$H$216*(1+vanilla1)^0.5)-SUM($H143:M143),(Input!$H$216*(1+vanilla1)^0.5)/A6stdlife))</f>
        <v>0</v>
      </c>
      <c r="O143" s="73">
        <f>IF(A6stdlife="n/a","n/a",IF(O$3&gt;(A6stdlife+$F143),(Input!$H$216*(1+vanilla1)^0.5)-SUM($H143:N143),(Input!$H$216*(1+vanilla1)^0.5)/A6stdlife))</f>
        <v>0</v>
      </c>
      <c r="P143" s="73">
        <f>IF(A6stdlife="n/a","n/a",IF(P$3&gt;(A6stdlife+$F143),(Input!$H$216*(1+vanilla1)^0.5)-SUM($H143:O143),(Input!$H$216*(1+vanilla1)^0.5)/A6stdlife))</f>
        <v>0</v>
      </c>
      <c r="Q143" s="73">
        <f>IF(A6stdlife="n/a","n/a",IF(Q$3&gt;(A6stdlife+$F143),(Input!$H$216*(1+vanilla1)^0.5)-SUM($H143:P143),(Input!$H$216*(1+vanilla1)^0.5)/A6stdlife))</f>
        <v>0</v>
      </c>
      <c r="R143" s="73"/>
      <c r="S143" s="107"/>
      <c r="T143" s="107"/>
      <c r="U143" s="107"/>
      <c r="V143" s="107"/>
      <c r="W143" s="107"/>
      <c r="X143" s="107"/>
      <c r="Y143" s="107"/>
      <c r="Z143" s="107"/>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107"/>
      <c r="BE143" s="107"/>
      <c r="BF143" s="107"/>
      <c r="BG143" s="107"/>
      <c r="BH143" s="107"/>
      <c r="BI143" s="107"/>
      <c r="BJ143" s="107"/>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outlineLevel="2">
      <c r="A144" s="9"/>
      <c r="B144" s="9"/>
      <c r="C144" s="9"/>
      <c r="D144" s="26"/>
      <c r="E144" s="392"/>
      <c r="F144" s="91">
        <v>2</v>
      </c>
      <c r="G144" s="124"/>
      <c r="H144" s="149"/>
      <c r="I144" s="150"/>
      <c r="J144" s="73">
        <f>IF(A6stdlife="n/a","n/a",IF(J$3&gt;(A6stdlife+$F144),(Input!$I$216*(1+vanilla2)^0.5)-SUM($I144:I144),(Input!$I$216*(1+vanilla2)^0.5)/A6stdlife))</f>
        <v>-1.665022016091154E-3</v>
      </c>
      <c r="K144" s="73">
        <f>IF(A6stdlife="n/a","n/a",IF(K$3&gt;(A6stdlife+$F144),(Input!$I$216*(1+vanilla2)^0.5)-SUM($I144:J144),(Input!$I$216*(1+vanilla2)^0.5)/A6stdlife))</f>
        <v>-1.665022016091154E-3</v>
      </c>
      <c r="L144" s="73">
        <f>IF(A6stdlife="n/a","n/a",IF(L$3&gt;(A6stdlife+$F144),(Input!$I$216*(1+vanilla2)^0.5)-SUM($I144:K144),(Input!$I$216*(1+vanilla2)^0.5)/A6stdlife))</f>
        <v>-1.665022016091154E-3</v>
      </c>
      <c r="M144" s="73">
        <f>IF(A6stdlife="n/a","n/a",IF(M$3&gt;(A6stdlife+$F144),(Input!$I$216*(1+vanilla2)^0.5)-SUM($I144:L144),(Input!$I$216*(1+vanilla2)^0.5)/A6stdlife))</f>
        <v>0</v>
      </c>
      <c r="N144" s="73">
        <f>IF(A6stdlife="n/a","n/a",IF(N$3&gt;(A6stdlife+$F144),(Input!$I$216*(1+vanilla2)^0.5)-SUM($I144:M144),(Input!$I$216*(1+vanilla2)^0.5)/A6stdlife))</f>
        <v>0</v>
      </c>
      <c r="O144" s="73">
        <f>IF(A6stdlife="n/a","n/a",IF(O$3&gt;(A6stdlife+$F144),(Input!$I$216*(1+vanilla2)^0.5)-SUM($I144:N144),(Input!$I$216*(1+vanilla2)^0.5)/A6stdlife))</f>
        <v>0</v>
      </c>
      <c r="P144" s="73">
        <f>IF(A6stdlife="n/a","n/a",IF(P$3&gt;(A6stdlife+$F144),(Input!$I$216*(1+vanilla2)^0.5)-SUM($I144:O144),(Input!$I$216*(1+vanilla2)^0.5)/A6stdlife))</f>
        <v>0</v>
      </c>
      <c r="Q144" s="73">
        <f>IF(A6stdlife="n/a","n/a",IF(Q$3&gt;(A6stdlife+$F144),(Input!$I$216*(1+vanilla2)^0.5)-SUM($I144:P144),(Input!$I$216*(1+vanilla2)^0.5)/A6stdlife))</f>
        <v>0</v>
      </c>
      <c r="R144" s="73"/>
      <c r="S144" s="107"/>
      <c r="T144" s="107"/>
      <c r="U144" s="107"/>
      <c r="V144" s="107"/>
      <c r="W144" s="107"/>
      <c r="X144" s="107"/>
      <c r="Y144" s="107"/>
      <c r="Z144" s="107"/>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107"/>
      <c r="BE144" s="107"/>
      <c r="BF144" s="107"/>
      <c r="BG144" s="107"/>
      <c r="BH144" s="107"/>
      <c r="BI144" s="107"/>
      <c r="BJ144" s="107"/>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outlineLevel="2">
      <c r="A145" s="9"/>
      <c r="B145" s="9"/>
      <c r="C145" s="9"/>
      <c r="D145" s="26"/>
      <c r="E145" s="392"/>
      <c r="F145" s="91">
        <v>3</v>
      </c>
      <c r="G145" s="124"/>
      <c r="H145" s="149"/>
      <c r="I145" s="151"/>
      <c r="J145" s="150"/>
      <c r="K145" s="73">
        <f>IF(A6stdlife="n/a","n/a",IF(K$3&gt;(A6stdlife+$F145),(Input!$J$216*(1+vanilla3)^0.5)-SUM($J145:J145),(Input!$J$216*(1+vanilla3)^0.5)/A6stdlife))</f>
        <v>0</v>
      </c>
      <c r="L145" s="73">
        <f>IF(A6stdlife="n/a","n/a",IF(L$3&gt;(A6stdlife+$F145),(Input!$J$216*(1+vanilla3)^0.5)-SUM($J145:K145),(Input!$J$216*(1+vanilla3)^0.5)/A6stdlife))</f>
        <v>0</v>
      </c>
      <c r="M145" s="73">
        <f>IF(A6stdlife="n/a","n/a",IF(M$3&gt;(A6stdlife+$F145),(Input!$J$216*(1+vanilla3)^0.5)-SUM($J145:L145),(Input!$J$216*(1+vanilla3)^0.5)/A6stdlife))</f>
        <v>0</v>
      </c>
      <c r="N145" s="73">
        <f>IF(A6stdlife="n/a","n/a",IF(N$3&gt;(A6stdlife+$F145),(Input!$J$216*(1+vanilla3)^0.5)-SUM($J145:M145),(Input!$J$216*(1+vanilla3)^0.5)/A6stdlife))</f>
        <v>0</v>
      </c>
      <c r="O145" s="73">
        <f>IF(A6stdlife="n/a","n/a",IF(O$3&gt;(A6stdlife+$F145),(Input!$J$216*(1+vanilla3)^0.5)-SUM($J145:N145),(Input!$J$216*(1+vanilla3)^0.5)/A6stdlife))</f>
        <v>0</v>
      </c>
      <c r="P145" s="73">
        <f>IF(A6stdlife="n/a","n/a",IF(P$3&gt;(A6stdlife+$F145),(Input!$J$216*(1+vanilla3)^0.5)-SUM($J145:O145),(Input!$J$216*(1+vanilla3)^0.5)/A6stdlife))</f>
        <v>0</v>
      </c>
      <c r="Q145" s="73">
        <f>IF(A6stdlife="n/a","n/a",IF(Q$3&gt;(A6stdlife+$F145),(Input!$J$216*(1+vanilla3)^0.5)-SUM($J145:P145),(Input!$J$216*(1+vanilla3)^0.5)/A6stdlife))</f>
        <v>0</v>
      </c>
      <c r="R145" s="73"/>
      <c r="S145" s="107"/>
      <c r="T145" s="107"/>
      <c r="U145" s="107"/>
      <c r="V145" s="107"/>
      <c r="W145" s="107"/>
      <c r="X145" s="107"/>
      <c r="Y145" s="107"/>
      <c r="Z145" s="107"/>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107"/>
      <c r="BE145" s="107"/>
      <c r="BF145" s="107"/>
      <c r="BG145" s="107"/>
      <c r="BH145" s="107"/>
      <c r="BI145" s="107"/>
      <c r="BJ145" s="107"/>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outlineLevel="2">
      <c r="A146" s="9"/>
      <c r="B146" s="9"/>
      <c r="C146" s="9"/>
      <c r="D146" s="26"/>
      <c r="E146" s="392"/>
      <c r="F146" s="91">
        <v>4</v>
      </c>
      <c r="G146" s="124"/>
      <c r="H146" s="149"/>
      <c r="I146" s="151"/>
      <c r="J146" s="151"/>
      <c r="K146" s="150"/>
      <c r="L146" s="73">
        <f>IF(A6stdlife="n/a","n/a",IF(L$3&gt;(A6stdlife+$F146),(Input!$K$216*(1+vanilla4)^0.5)-SUM($K146:K146),(Input!$K$216*(1+vanilla4)^0.5)/A6stdlife))</f>
        <v>0</v>
      </c>
      <c r="M146" s="73">
        <f>IF(A6stdlife="n/a","n/a",IF(M$3&gt;(A6stdlife+$F146),(Input!$K$216*(1+vanilla4)^0.5)-SUM($K146:L146),(Input!$K$216*(1+vanilla4)^0.5)/A6stdlife))</f>
        <v>0</v>
      </c>
      <c r="N146" s="73">
        <f>IF(A6stdlife="n/a","n/a",IF(N$3&gt;(A6stdlife+$F146),(Input!$K$216*(1+vanilla4)^0.5)-SUM($K146:M146),(Input!$K$216*(1+vanilla4)^0.5)/A6stdlife))</f>
        <v>0</v>
      </c>
      <c r="O146" s="73">
        <f>IF(A6stdlife="n/a","n/a",IF(O$3&gt;(A6stdlife+$F146),(Input!$K$216*(1+vanilla4)^0.5)-SUM($K146:N146),(Input!$K$216*(1+vanilla4)^0.5)/A6stdlife))</f>
        <v>0</v>
      </c>
      <c r="P146" s="73">
        <f>IF(A6stdlife="n/a","n/a",IF(P$3&gt;(A6stdlife+$F146),(Input!$K$216*(1+vanilla4)^0.5)-SUM($K146:O146),(Input!$K$216*(1+vanilla4)^0.5)/A6stdlife))</f>
        <v>0</v>
      </c>
      <c r="Q146" s="73">
        <f>IF(A6stdlife="n/a","n/a",IF(Q$3&gt;(A6stdlife+$F146),(Input!$K$216*(1+vanilla4)^0.5)-SUM($K146:P146),(Input!$K$216*(1+vanilla4)^0.5)/A6stdlife))</f>
        <v>0</v>
      </c>
      <c r="R146" s="73"/>
      <c r="S146" s="107"/>
      <c r="T146" s="107"/>
      <c r="U146" s="107"/>
      <c r="V146" s="107"/>
      <c r="W146" s="107"/>
      <c r="X146" s="107"/>
      <c r="Y146" s="107"/>
      <c r="Z146" s="107"/>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107"/>
      <c r="BE146" s="107"/>
      <c r="BF146" s="107"/>
      <c r="BG146" s="107"/>
      <c r="BH146" s="107"/>
      <c r="BI146" s="107"/>
      <c r="BJ146" s="107"/>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2">
      <c r="A147" s="9"/>
      <c r="B147" s="9"/>
      <c r="C147" s="9"/>
      <c r="D147" s="26"/>
      <c r="E147" s="392"/>
      <c r="F147" s="91">
        <v>5</v>
      </c>
      <c r="G147" s="124"/>
      <c r="H147" s="149"/>
      <c r="I147" s="151"/>
      <c r="J147" s="151"/>
      <c r="K147" s="151"/>
      <c r="L147" s="150"/>
      <c r="M147" s="73">
        <f>IF(A6stdlife="n/a","n/a",IF(M$3&gt;(A6stdlife+$F147),(Input!$L$216*(1+vanilla5)^0.5)-SUM($L147:L147),(Input!$L$216*(1+vanilla5)^0.5)/A6stdlife))</f>
        <v>0</v>
      </c>
      <c r="N147" s="73">
        <f>IF(A6stdlife="n/a","n/a",IF(N$3&gt;(A6stdlife+$F147),(Input!$L$216*(1+vanilla5)^0.5)-SUM($L147:M147),(Input!$L$216*(1+vanilla5)^0.5)/A6stdlife))</f>
        <v>0</v>
      </c>
      <c r="O147" s="73">
        <f>IF(A6stdlife="n/a","n/a",IF(O$3&gt;(A6stdlife+$F147),(Input!$L$216*(1+vanilla5)^0.5)-SUM($L147:N147),(Input!$L$216*(1+vanilla5)^0.5)/A6stdlife))</f>
        <v>0</v>
      </c>
      <c r="P147" s="73">
        <f>IF(A6stdlife="n/a","n/a",IF(P$3&gt;(A6stdlife+$F147),(Input!$L$216*(1+vanilla5)^0.5)-SUM($L147:O147),(Input!$L$216*(1+vanilla5)^0.5)/A6stdlife))</f>
        <v>0</v>
      </c>
      <c r="Q147" s="73">
        <f>IF(A6stdlife="n/a","n/a",IF(Q$3&gt;(A6stdlife+$F147),(Input!$L$216*(1+vanilla5)^0.5)-SUM($L147:P147),(Input!$L$216*(1+vanilla5)^0.5)/A6stdlife))</f>
        <v>0</v>
      </c>
      <c r="R147" s="73"/>
      <c r="S147" s="107"/>
      <c r="T147" s="107"/>
      <c r="U147" s="107"/>
      <c r="V147" s="107"/>
      <c r="W147" s="107"/>
      <c r="X147" s="107"/>
      <c r="Y147" s="107"/>
      <c r="Z147" s="107"/>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outlineLevel="2">
      <c r="A148" s="9"/>
      <c r="B148" s="9"/>
      <c r="C148" s="9"/>
      <c r="D148" s="26"/>
      <c r="E148" s="392"/>
      <c r="F148" s="91">
        <v>6</v>
      </c>
      <c r="G148" s="124"/>
      <c r="H148" s="149"/>
      <c r="I148" s="151"/>
      <c r="J148" s="151"/>
      <c r="K148" s="151"/>
      <c r="L148" s="151"/>
      <c r="M148" s="150"/>
      <c r="N148" s="73">
        <f>IF(A6stdlife="n/a","n/a",IF(N$3&gt;(A6stdlife+$F148),(Input!$M$216*(1+vanilla6)^0.5)-SUM($M148:M148),(Input!$M$216*(1+vanilla6)^0.5)/A6stdlife))</f>
        <v>0</v>
      </c>
      <c r="O148" s="73">
        <f>IF(A6stdlife="n/a","n/a",IF(O$3&gt;(A6stdlife+$F148),(Input!$M$216*(1+vanilla6)^0.5)-SUM($M148:N148),(Input!$M$216*(1+vanilla6)^0.5)/A6stdlife))</f>
        <v>0</v>
      </c>
      <c r="P148" s="73">
        <f>IF(A6stdlife="n/a","n/a",IF(P$3&gt;(A6stdlife+$F148),(Input!$M$216*(1+vanilla6)^0.5)-SUM($M148:O148),(Input!$M$216*(1+vanilla6)^0.5)/A6stdlife))</f>
        <v>0</v>
      </c>
      <c r="Q148" s="73">
        <f>IF(A6stdlife="n/a","n/a",IF(Q$3&gt;(A6stdlife+$F148),(Input!$M$216*(1+vanilla6)^0.5)-SUM($M148:P148),(Input!$M$216*(1+vanilla6)^0.5)/A6stdlife))</f>
        <v>0</v>
      </c>
      <c r="R148" s="73"/>
      <c r="S148" s="107"/>
      <c r="T148" s="107"/>
      <c r="U148" s="107"/>
      <c r="V148" s="107"/>
      <c r="W148" s="107"/>
      <c r="X148" s="107"/>
      <c r="Y148" s="107"/>
      <c r="Z148" s="107"/>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107"/>
      <c r="BE148" s="107"/>
      <c r="BF148" s="107"/>
      <c r="BG148" s="107"/>
      <c r="BH148" s="107"/>
      <c r="BI148" s="107"/>
      <c r="BJ148" s="107"/>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outlineLevel="2">
      <c r="A149" s="9"/>
      <c r="B149" s="9"/>
      <c r="C149" s="9"/>
      <c r="D149" s="26"/>
      <c r="E149" s="392"/>
      <c r="F149" s="91">
        <v>7</v>
      </c>
      <c r="G149" s="124"/>
      <c r="H149" s="149"/>
      <c r="I149" s="151"/>
      <c r="J149" s="151"/>
      <c r="K149" s="151"/>
      <c r="L149" s="151"/>
      <c r="M149" s="151"/>
      <c r="N149" s="150"/>
      <c r="O149" s="73">
        <f>IF(A6stdlife="n/a","n/a",IF(O$3&gt;(A6stdlife+$F149),(Input!$N$216*(1+vanilla7)^0.5)-SUM($N149:N149),(Input!$N$216*(1+vanilla7)^0.5)/A6stdlife))</f>
        <v>0</v>
      </c>
      <c r="P149" s="73">
        <f>IF(A6stdlife="n/a","n/a",IF(P$3&gt;(A6stdlife+$F149),(Input!$N$216*(1+vanilla7)^0.5)-SUM($N149:O149),(Input!$N$216*(1+vanilla7)^0.5)/A6stdlife))</f>
        <v>0</v>
      </c>
      <c r="Q149" s="73">
        <f>IF(A6stdlife="n/a","n/a",IF(Q$3&gt;(A6stdlife+$F149),(Input!$N$216*(1+vanilla7)^0.5)-SUM($N149:P149),(Input!$N$216*(1+vanilla7)^0.5)/A6stdlife))</f>
        <v>0</v>
      </c>
      <c r="R149" s="73"/>
      <c r="S149" s="107"/>
      <c r="T149" s="107"/>
      <c r="U149" s="107"/>
      <c r="V149" s="107"/>
      <c r="W149" s="107"/>
      <c r="X149" s="107"/>
      <c r="Y149" s="107"/>
      <c r="Z149" s="107"/>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107"/>
      <c r="BE149" s="107"/>
      <c r="BF149" s="107"/>
      <c r="BG149" s="107"/>
      <c r="BH149" s="107"/>
      <c r="BI149" s="107"/>
      <c r="BJ149" s="107"/>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outlineLevel="2">
      <c r="A150" s="9"/>
      <c r="B150" s="9"/>
      <c r="C150" s="9"/>
      <c r="D150" s="26"/>
      <c r="E150" s="392"/>
      <c r="F150" s="91">
        <v>8</v>
      </c>
      <c r="G150" s="124"/>
      <c r="H150" s="149"/>
      <c r="I150" s="151"/>
      <c r="J150" s="151"/>
      <c r="K150" s="151"/>
      <c r="L150" s="151"/>
      <c r="M150" s="151"/>
      <c r="N150" s="151"/>
      <c r="O150" s="150"/>
      <c r="P150" s="73">
        <f>IF(A6stdlife="n/a","n/a",IF(P$3&gt;(A6stdlife+$F150),(Input!$O$216*(1+vanilla8)^0.5)-SUM($O150:O150),(Input!$O$216*(1+vanilla8)^0.5)/A6stdlife))</f>
        <v>0</v>
      </c>
      <c r="Q150" s="73">
        <f>IF(A6stdlife="n/a","n/a",IF(Q$3&gt;(A6stdlife+$F150),(Input!$O$216*(1+vanilla8)^0.5)-SUM($O150:P150),(Input!$O$216*(1+vanilla8)^0.5)/A6stdlife))</f>
        <v>0</v>
      </c>
      <c r="R150" s="73"/>
      <c r="S150" s="107"/>
      <c r="T150" s="107"/>
      <c r="U150" s="107"/>
      <c r="V150" s="107"/>
      <c r="W150" s="107"/>
      <c r="X150" s="107"/>
      <c r="Y150" s="107"/>
      <c r="Z150" s="107"/>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107"/>
      <c r="BE150" s="107"/>
      <c r="BF150" s="107"/>
      <c r="BG150" s="107"/>
      <c r="BH150" s="107"/>
      <c r="BI150" s="107"/>
      <c r="BJ150" s="107"/>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outlineLevel="2">
      <c r="A151" s="9"/>
      <c r="B151" s="9"/>
      <c r="C151" s="9"/>
      <c r="D151" s="26"/>
      <c r="E151" s="392"/>
      <c r="F151" s="91">
        <v>9</v>
      </c>
      <c r="G151" s="124"/>
      <c r="H151" s="149"/>
      <c r="I151" s="151"/>
      <c r="J151" s="151"/>
      <c r="K151" s="151"/>
      <c r="L151" s="151"/>
      <c r="M151" s="151"/>
      <c r="N151" s="151"/>
      <c r="O151" s="151"/>
      <c r="P151" s="150"/>
      <c r="Q151" s="73">
        <f>IF(A6stdlife="n/a","n/a",IF(Q$3&gt;(A6stdlife+$F151),(Input!$P$216*(1+vanilla9)^0.5)-SUM($P151:P151),(Input!$P$216*(1+vanilla9)^0.5)/A6stdlife))</f>
        <v>0</v>
      </c>
      <c r="R151" s="73"/>
      <c r="S151" s="107"/>
      <c r="T151" s="107"/>
      <c r="U151" s="107"/>
      <c r="V151" s="107"/>
      <c r="W151" s="107"/>
      <c r="X151" s="107"/>
      <c r="Y151" s="107"/>
      <c r="Z151" s="107"/>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107"/>
      <c r="BE151" s="107"/>
      <c r="BF151" s="107"/>
      <c r="BG151" s="107"/>
      <c r="BH151" s="107"/>
      <c r="BI151" s="107"/>
      <c r="BJ151" s="107"/>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outlineLevel="2">
      <c r="A152" s="9"/>
      <c r="B152" s="9"/>
      <c r="C152" s="9"/>
      <c r="D152" s="26"/>
      <c r="E152" s="392"/>
      <c r="F152" s="92">
        <v>10</v>
      </c>
      <c r="G152" s="124"/>
      <c r="H152" s="149"/>
      <c r="I152" s="151"/>
      <c r="J152" s="151"/>
      <c r="K152" s="151"/>
      <c r="L152" s="151"/>
      <c r="M152" s="151"/>
      <c r="N152" s="151"/>
      <c r="O152" s="151"/>
      <c r="P152" s="151"/>
      <c r="Q152" s="150"/>
      <c r="R152" s="73"/>
      <c r="S152" s="107"/>
      <c r="T152" s="107"/>
      <c r="U152" s="107"/>
      <c r="V152" s="107"/>
      <c r="W152" s="107"/>
      <c r="X152" s="107"/>
      <c r="Y152" s="107"/>
      <c r="Z152" s="107"/>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107"/>
      <c r="BE152" s="107"/>
      <c r="BF152" s="107"/>
      <c r="BG152" s="107"/>
      <c r="BH152" s="107"/>
      <c r="BI152" s="107"/>
      <c r="BJ152" s="107"/>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outlineLevel="1">
      <c r="A153" s="9"/>
      <c r="B153" s="9"/>
      <c r="C153" s="9"/>
      <c r="D153" s="279" t="str">
        <f>Asset6</f>
        <v>Other - IT</v>
      </c>
      <c r="E153" s="9"/>
      <c r="F153" s="9"/>
      <c r="G153" s="124"/>
      <c r="H153" s="165">
        <f>-SUM(H141:H152)</f>
        <v>-11.560631724819562</v>
      </c>
      <c r="I153" s="165">
        <f>-SUM(I141:I152)</f>
        <v>-11.560631724819562</v>
      </c>
      <c r="J153" s="165">
        <f>-SUM(J141:J152)</f>
        <v>1.665022016091154E-3</v>
      </c>
      <c r="K153" s="165">
        <f>-SUM(K141:K152)</f>
        <v>1.665022016091154E-3</v>
      </c>
      <c r="L153" s="165">
        <f>-SUM(L141:L152)</f>
        <v>1.665022016091154E-3</v>
      </c>
      <c r="M153" s="73">
        <f>IF(COUNT($H153:L153)&gt;=Input!$W$7,0, -SUM(M141:M152))</f>
        <v>0</v>
      </c>
      <c r="N153" s="73">
        <f>IF(COUNT($H153:M153)&gt;=Input!$W$7,0, -SUM(N141:N152))</f>
        <v>0</v>
      </c>
      <c r="O153" s="73">
        <f>IF(COUNT($H153:N153)&gt;=Input!$W$7,0, -SUM(O141:O152))</f>
        <v>0</v>
      </c>
      <c r="P153" s="73">
        <f>IF(COUNT($H153:O153)&gt;=Input!$W$7,0, -SUM(P141:P152))</f>
        <v>0</v>
      </c>
      <c r="Q153" s="73">
        <f>IF(COUNT($H153:P153)&gt;=Input!$W$7,0, -SUM(Q141:Q152))</f>
        <v>0</v>
      </c>
      <c r="R153" s="71"/>
      <c r="S153" s="109"/>
      <c r="T153" s="109"/>
      <c r="U153" s="109"/>
      <c r="V153" s="109"/>
      <c r="W153" s="109"/>
      <c r="X153" s="109"/>
      <c r="Y153" s="109"/>
      <c r="Z153" s="109"/>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109"/>
      <c r="BE153" s="109"/>
      <c r="BF153" s="109"/>
      <c r="BG153" s="109"/>
      <c r="BH153" s="109"/>
      <c r="BI153" s="109"/>
      <c r="BJ153" s="109"/>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outlineLevel="2">
      <c r="A154" s="9"/>
      <c r="B154" s="9"/>
      <c r="C154" s="280" t="str">
        <f>Asset7</f>
        <v>Other - General</v>
      </c>
      <c r="D154" s="161"/>
      <c r="E154" s="32" t="s">
        <v>26</v>
      </c>
      <c r="F154" s="31"/>
      <c r="G154" s="181"/>
      <c r="H154" s="72">
        <f>IF(H$3&gt;A7remlife,A7value-$G$636-SUM($G154:G154),IF(A7remlife="N/A","n/a",(A7value-$G$636)/A7remlife))</f>
        <v>-1.3297440801140403</v>
      </c>
      <c r="I154" s="72">
        <f>IF(I$3&gt;A7remlife,A7value-$G$636-SUM($G154:H154),IF(A7remlife="N/A","n/a",(A7value-$G$636)/A7remlife))</f>
        <v>-1.3297440801140403</v>
      </c>
      <c r="J154" s="72">
        <f>IF(J$3&gt;A7remlife,A7value-$G$636-SUM($G154:I154),IF(A7remlife="N/A","n/a",(A7value-$G$636)/A7remlife))</f>
        <v>-1.3297440801140403</v>
      </c>
      <c r="K154" s="72">
        <f>IF(K$3&gt;A7remlife,A7value-$G$636-SUM($G154:J154),IF(A7remlife="N/A","n/a",(A7value-$G$636)/A7remlife))</f>
        <v>0</v>
      </c>
      <c r="L154" s="72">
        <f>IF(L$3&gt;A7remlife,A7value-$G$636-SUM($G154:K154),IF(A7remlife="N/A","n/a",(A7value-$G$636)/A7remlife))</f>
        <v>0</v>
      </c>
      <c r="M154" s="72">
        <f>IF(M$3&gt;A7remlife,A7value-$G$636-SUM($G154:L154),IF(A7remlife="N/A","n/a",(A7value-$G$636)/A7remlife))</f>
        <v>0</v>
      </c>
      <c r="N154" s="72">
        <f>IF(N$3&gt;A7remlife,A7value-$G$636-SUM($G154:M154),IF(A7remlife="N/A","n/a",(A7value-$G$636)/A7remlife))</f>
        <v>0</v>
      </c>
      <c r="O154" s="72">
        <f>IF(O$3&gt;A7remlife,A7value-$G$636-SUM($G154:N154),IF(A7remlife="N/A","n/a",(A7value-$G$636)/A7remlife))</f>
        <v>0</v>
      </c>
      <c r="P154" s="72">
        <f>IF(P$3&gt;A7remlife,A7value-$G$636-SUM($G154:O154),IF(A7remlife="N/A","n/a",(A7value-$G$636)/A7remlife))</f>
        <v>0</v>
      </c>
      <c r="Q154" s="72">
        <f>IF(Q$3&gt;A7remlife,A7value-$G$636-SUM($G154:P154),IF(A7remlife="N/A","n/a",(A7value-$G$636)/A7remlife))</f>
        <v>0</v>
      </c>
      <c r="R154" s="72"/>
      <c r="S154" s="107"/>
      <c r="T154" s="107"/>
      <c r="U154" s="107"/>
      <c r="V154" s="107"/>
      <c r="W154" s="107"/>
      <c r="X154" s="107"/>
      <c r="Y154" s="107"/>
      <c r="Z154" s="107"/>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107"/>
      <c r="BE154" s="107"/>
      <c r="BF154" s="107"/>
      <c r="BG154" s="107"/>
      <c r="BH154" s="107"/>
      <c r="BI154" s="107"/>
      <c r="BJ154" s="107"/>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customHeight="1" outlineLevel="2">
      <c r="A155" s="9"/>
      <c r="B155" s="9"/>
      <c r="C155" s="9"/>
      <c r="D155" s="26"/>
      <c r="E155" s="391" t="s">
        <v>81</v>
      </c>
      <c r="F155" s="91"/>
      <c r="G155" s="124"/>
      <c r="H155" s="73"/>
      <c r="I155" s="73"/>
      <c r="J155" s="73"/>
      <c r="K155" s="73"/>
      <c r="L155" s="73"/>
      <c r="M155" s="163"/>
      <c r="N155" s="115"/>
      <c r="O155" s="73"/>
      <c r="P155" s="73"/>
      <c r="Q155" s="73"/>
      <c r="R155" s="73"/>
      <c r="S155" s="107"/>
      <c r="T155" s="107"/>
      <c r="U155" s="107"/>
      <c r="V155" s="107"/>
      <c r="W155" s="107"/>
      <c r="X155" s="107"/>
      <c r="Y155" s="107"/>
      <c r="Z155" s="107"/>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107"/>
      <c r="BE155" s="107"/>
      <c r="BF155" s="107"/>
      <c r="BG155" s="107"/>
      <c r="BH155" s="107"/>
      <c r="BI155" s="107"/>
      <c r="BJ155" s="107"/>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outlineLevel="2">
      <c r="A156" s="9"/>
      <c r="B156" s="9"/>
      <c r="C156" s="9"/>
      <c r="D156" s="26"/>
      <c r="E156" s="392"/>
      <c r="F156" s="91">
        <v>1</v>
      </c>
      <c r="G156" s="124"/>
      <c r="H156" s="148"/>
      <c r="I156" s="73">
        <f>IF(A7stdlife="n/a","n/a",IF(I$3&gt;(A7stdlife+$F156),(Input!$H$217*(1+vanilla1)^0.5)-SUM($H156:H156),(Input!$H$217*(1+vanilla1)^0.5)/A7stdlife))</f>
        <v>0</v>
      </c>
      <c r="J156" s="73">
        <f>IF(A7stdlife="n/a","n/a",IF(J$3&gt;(A7stdlife+$F156),(Input!$H$217*(1+vanilla1)^0.5)-SUM($H156:I156),(Input!$H$217*(1+vanilla1)^0.5)/A7stdlife))</f>
        <v>0</v>
      </c>
      <c r="K156" s="73">
        <f>IF(A7stdlife="n/a","n/a",IF(K$3&gt;(A7stdlife+$F156),(Input!$H$217*(1+vanilla1)^0.5)-SUM($H156:J156),(Input!$H$217*(1+vanilla1)^0.5)/A7stdlife))</f>
        <v>0</v>
      </c>
      <c r="L156" s="73">
        <f>IF(A7stdlife="n/a","n/a",IF(L$3&gt;(A7stdlife+$F156),(Input!$H$217*(1+vanilla1)^0.5)-SUM($H156:K156),(Input!$H$217*(1+vanilla1)^0.5)/A7stdlife))</f>
        <v>0</v>
      </c>
      <c r="M156" s="73">
        <f>IF(A7stdlife="n/a","n/a",IF(M$3&gt;(A7stdlife+$F156),(Input!$H$217*(1+vanilla1)^0.5)-SUM($H156:L156),(Input!$H$217*(1+vanilla1)^0.5)/A7stdlife))</f>
        <v>0</v>
      </c>
      <c r="N156" s="73">
        <f>IF(A7stdlife="n/a","n/a",IF(N$3&gt;(A7stdlife+$F156),(Input!$H$217*(1+vanilla1)^0.5)-SUM($H156:M156),(Input!$H$217*(1+vanilla1)^0.5)/A7stdlife))</f>
        <v>0</v>
      </c>
      <c r="O156" s="73">
        <f>IF(A7stdlife="n/a","n/a",IF(O$3&gt;(A7stdlife+$F156),(Input!$H$217*(1+vanilla1)^0.5)-SUM($H156:N156),(Input!$H$217*(1+vanilla1)^0.5)/A7stdlife))</f>
        <v>0</v>
      </c>
      <c r="P156" s="73">
        <f>IF(A7stdlife="n/a","n/a",IF(P$3&gt;(A7stdlife+$F156),(Input!$H$217*(1+vanilla1)^0.5)-SUM($H156:O156),(Input!$H$217*(1+vanilla1)^0.5)/A7stdlife))</f>
        <v>0</v>
      </c>
      <c r="Q156" s="73">
        <f>IF(A7stdlife="n/a","n/a",IF(Q$3&gt;(A7stdlife+$F156),(Input!$H$217*(1+vanilla1)^0.5)-SUM($H156:P156),(Input!$H$217*(1+vanilla1)^0.5)/A7stdlife))</f>
        <v>0</v>
      </c>
      <c r="R156" s="73"/>
      <c r="S156" s="107"/>
      <c r="T156" s="107"/>
      <c r="U156" s="107"/>
      <c r="V156" s="107"/>
      <c r="W156" s="107"/>
      <c r="X156" s="107"/>
      <c r="Y156" s="107"/>
      <c r="Z156" s="107"/>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107"/>
      <c r="BE156" s="107"/>
      <c r="BF156" s="107"/>
      <c r="BG156" s="107"/>
      <c r="BH156" s="107"/>
      <c r="BI156" s="107"/>
      <c r="BJ156" s="107"/>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outlineLevel="2">
      <c r="A157" s="9"/>
      <c r="B157" s="9"/>
      <c r="C157" s="9"/>
      <c r="D157" s="26"/>
      <c r="E157" s="392"/>
      <c r="F157" s="91">
        <v>2</v>
      </c>
      <c r="G157" s="124"/>
      <c r="H157" s="149"/>
      <c r="I157" s="150"/>
      <c r="J157" s="73">
        <f>IF(A7stdlife="n/a","n/a",IF(J$3&gt;(A7stdlife+$F157),(Input!$I$217*(1+vanilla2)^0.5)-SUM($I157:I157),(Input!$I$217*(1+vanilla2)^0.5)/A7stdlife))</f>
        <v>0</v>
      </c>
      <c r="K157" s="73">
        <f>IF(A7stdlife="n/a","n/a",IF(K$3&gt;(A7stdlife+$F157),(Input!$I$217*(1+vanilla2)^0.5)-SUM($I157:J157),(Input!$I$217*(1+vanilla2)^0.5)/A7stdlife))</f>
        <v>0</v>
      </c>
      <c r="L157" s="73">
        <f>IF(A7stdlife="n/a","n/a",IF(L$3&gt;(A7stdlife+$F157),(Input!$I$217*(1+vanilla2)^0.5)-SUM($I157:K157),(Input!$I$217*(1+vanilla2)^0.5)/A7stdlife))</f>
        <v>0</v>
      </c>
      <c r="M157" s="73">
        <f>IF(A7stdlife="n/a","n/a",IF(M$3&gt;(A7stdlife+$F157),(Input!$I$217*(1+vanilla2)^0.5)-SUM($I157:L157),(Input!$I$217*(1+vanilla2)^0.5)/A7stdlife))</f>
        <v>0</v>
      </c>
      <c r="N157" s="73">
        <f>IF(A7stdlife="n/a","n/a",IF(N$3&gt;(A7stdlife+$F157),(Input!$I$217*(1+vanilla2)^0.5)-SUM($I157:M157),(Input!$I$217*(1+vanilla2)^0.5)/A7stdlife))</f>
        <v>0</v>
      </c>
      <c r="O157" s="73">
        <f>IF(A7stdlife="n/a","n/a",IF(O$3&gt;(A7stdlife+$F157),(Input!$I$217*(1+vanilla2)^0.5)-SUM($I157:N157),(Input!$I$217*(1+vanilla2)^0.5)/A7stdlife))</f>
        <v>0</v>
      </c>
      <c r="P157" s="73">
        <f>IF(A7stdlife="n/a","n/a",IF(P$3&gt;(A7stdlife+$F157),(Input!$I$217*(1+vanilla2)^0.5)-SUM($I157:O157),(Input!$I$217*(1+vanilla2)^0.5)/A7stdlife))</f>
        <v>0</v>
      </c>
      <c r="Q157" s="73">
        <f>IF(A7stdlife="n/a","n/a",IF(Q$3&gt;(A7stdlife+$F157),(Input!$I$217*(1+vanilla2)^0.5)-SUM($I157:P157),(Input!$I$217*(1+vanilla2)^0.5)/A7stdlife))</f>
        <v>0</v>
      </c>
      <c r="R157" s="73"/>
      <c r="S157" s="107"/>
      <c r="T157" s="107"/>
      <c r="U157" s="107"/>
      <c r="V157" s="107"/>
      <c r="W157" s="107"/>
      <c r="X157" s="107"/>
      <c r="Y157" s="107"/>
      <c r="Z157" s="107"/>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107"/>
      <c r="BE157" s="107"/>
      <c r="BF157" s="107"/>
      <c r="BG157" s="107"/>
      <c r="BH157" s="107"/>
      <c r="BI157" s="107"/>
      <c r="BJ157" s="107"/>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outlineLevel="2">
      <c r="A158" s="9"/>
      <c r="B158" s="9"/>
      <c r="C158" s="9"/>
      <c r="D158" s="26"/>
      <c r="E158" s="392"/>
      <c r="F158" s="91">
        <v>3</v>
      </c>
      <c r="G158" s="124"/>
      <c r="H158" s="149"/>
      <c r="I158" s="151"/>
      <c r="J158" s="150"/>
      <c r="K158" s="73">
        <f>IF(A7stdlife="n/a","n/a",IF(K$3&gt;(A7stdlife+$F158),(Input!$J$217*(1+vanilla3)^0.5)-SUM($J158:J158),(Input!$J$217*(1+vanilla3)^0.5)/A7stdlife))</f>
        <v>0</v>
      </c>
      <c r="L158" s="73">
        <f>IF(A7stdlife="n/a","n/a",IF(L$3&gt;(A7stdlife+$F158),(Input!$J$217*(1+vanilla3)^0.5)-SUM($J158:K158),(Input!$J$217*(1+vanilla3)^0.5)/A7stdlife))</f>
        <v>0</v>
      </c>
      <c r="M158" s="73">
        <f>IF(A7stdlife="n/a","n/a",IF(M$3&gt;(A7stdlife+$F158),(Input!$J$217*(1+vanilla3)^0.5)-SUM($J158:L158),(Input!$J$217*(1+vanilla3)^0.5)/A7stdlife))</f>
        <v>0</v>
      </c>
      <c r="N158" s="73">
        <f>IF(A7stdlife="n/a","n/a",IF(N$3&gt;(A7stdlife+$F158),(Input!$J$217*(1+vanilla3)^0.5)-SUM($J158:M158),(Input!$J$217*(1+vanilla3)^0.5)/A7stdlife))</f>
        <v>0</v>
      </c>
      <c r="O158" s="73">
        <f>IF(A7stdlife="n/a","n/a",IF(O$3&gt;(A7stdlife+$F158),(Input!$J$217*(1+vanilla3)^0.5)-SUM($J158:N158),(Input!$J$217*(1+vanilla3)^0.5)/A7stdlife))</f>
        <v>0</v>
      </c>
      <c r="P158" s="73">
        <f>IF(A7stdlife="n/a","n/a",IF(P$3&gt;(A7stdlife+$F158),(Input!$J$217*(1+vanilla3)^0.5)-SUM($J158:O158),(Input!$J$217*(1+vanilla3)^0.5)/A7stdlife))</f>
        <v>0</v>
      </c>
      <c r="Q158" s="73">
        <f>IF(A7stdlife="n/a","n/a",IF(Q$3&gt;(A7stdlife+$F158),(Input!$J$217*(1+vanilla3)^0.5)-SUM($J158:P158),(Input!$J$217*(1+vanilla3)^0.5)/A7stdlife))</f>
        <v>0</v>
      </c>
      <c r="R158" s="73"/>
      <c r="S158" s="107"/>
      <c r="T158" s="107"/>
      <c r="U158" s="107"/>
      <c r="V158" s="107"/>
      <c r="W158" s="107"/>
      <c r="X158" s="107"/>
      <c r="Y158" s="107"/>
      <c r="Z158" s="107"/>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107"/>
      <c r="BE158" s="107"/>
      <c r="BF158" s="107"/>
      <c r="BG158" s="107"/>
      <c r="BH158" s="107"/>
      <c r="BI158" s="107"/>
      <c r="BJ158" s="107"/>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outlineLevel="2">
      <c r="A159" s="9"/>
      <c r="B159" s="9"/>
      <c r="C159" s="9"/>
      <c r="D159" s="26"/>
      <c r="E159" s="392"/>
      <c r="F159" s="91">
        <v>4</v>
      </c>
      <c r="G159" s="124"/>
      <c r="H159" s="149"/>
      <c r="I159" s="151"/>
      <c r="J159" s="151"/>
      <c r="K159" s="150"/>
      <c r="L159" s="73">
        <f>IF(A7stdlife="n/a","n/a",IF(L$3&gt;(A7stdlife+$F159),(Input!$K$217*(1+vanilla4)^0.5)-SUM($K159:K159),(Input!$K$217*(1+vanilla4)^0.5)/A7stdlife))</f>
        <v>0</v>
      </c>
      <c r="M159" s="73">
        <f>IF(A7stdlife="n/a","n/a",IF(M$3&gt;(A7stdlife+$F159),(Input!$K$217*(1+vanilla4)^0.5)-SUM($K159:L159),(Input!$K$217*(1+vanilla4)^0.5)/A7stdlife))</f>
        <v>0</v>
      </c>
      <c r="N159" s="73">
        <f>IF(A7stdlife="n/a","n/a",IF(N$3&gt;(A7stdlife+$F159),(Input!$K$217*(1+vanilla4)^0.5)-SUM($K159:M159),(Input!$K$217*(1+vanilla4)^0.5)/A7stdlife))</f>
        <v>0</v>
      </c>
      <c r="O159" s="73">
        <f>IF(A7stdlife="n/a","n/a",IF(O$3&gt;(A7stdlife+$F159),(Input!$K$217*(1+vanilla4)^0.5)-SUM($K159:N159),(Input!$K$217*(1+vanilla4)^0.5)/A7stdlife))</f>
        <v>0</v>
      </c>
      <c r="P159" s="73">
        <f>IF(A7stdlife="n/a","n/a",IF(P$3&gt;(A7stdlife+$F159),(Input!$K$217*(1+vanilla4)^0.5)-SUM($K159:O159),(Input!$K$217*(1+vanilla4)^0.5)/A7stdlife))</f>
        <v>0</v>
      </c>
      <c r="Q159" s="73">
        <f>IF(A7stdlife="n/a","n/a",IF(Q$3&gt;(A7stdlife+$F159),(Input!$K$217*(1+vanilla4)^0.5)-SUM($K159:P159),(Input!$K$217*(1+vanilla4)^0.5)/A7stdlife))</f>
        <v>0</v>
      </c>
      <c r="R159" s="73"/>
      <c r="S159" s="107"/>
      <c r="T159" s="107"/>
      <c r="U159" s="107"/>
      <c r="V159" s="107"/>
      <c r="W159" s="107"/>
      <c r="X159" s="107"/>
      <c r="Y159" s="107"/>
      <c r="Z159" s="107"/>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107"/>
      <c r="BE159" s="107"/>
      <c r="BF159" s="107"/>
      <c r="BG159" s="107"/>
      <c r="BH159" s="107"/>
      <c r="BI159" s="107"/>
      <c r="BJ159" s="107"/>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2">
      <c r="A160" s="9"/>
      <c r="B160" s="9"/>
      <c r="C160" s="9"/>
      <c r="D160" s="26"/>
      <c r="E160" s="392"/>
      <c r="F160" s="91">
        <v>5</v>
      </c>
      <c r="G160" s="124"/>
      <c r="H160" s="149"/>
      <c r="I160" s="151"/>
      <c r="J160" s="151"/>
      <c r="K160" s="151"/>
      <c r="L160" s="150"/>
      <c r="M160" s="73">
        <f>IF(A7stdlife="n/a","n/a",IF(M$3&gt;(A7stdlife+$F160),(Input!$L$217*(1+vanilla5)^0.5)-SUM($L160:L160),(Input!$L$217*(1+vanilla5)^0.5)/A7stdlife))</f>
        <v>0</v>
      </c>
      <c r="N160" s="73">
        <f>IF(A7stdlife="n/a","n/a",IF(N$3&gt;(A7stdlife+$F160),(Input!$L$217*(1+vanilla5)^0.5)-SUM($L160:M160),(Input!$L$217*(1+vanilla5)^0.5)/A7stdlife))</f>
        <v>0</v>
      </c>
      <c r="O160" s="73">
        <f>IF(A7stdlife="n/a","n/a",IF(O$3&gt;(A7stdlife+$F160),(Input!$L$217*(1+vanilla5)^0.5)-SUM($L160:N160),(Input!$L$217*(1+vanilla5)^0.5)/A7stdlife))</f>
        <v>0</v>
      </c>
      <c r="P160" s="73">
        <f>IF(A7stdlife="n/a","n/a",IF(P$3&gt;(A7stdlife+$F160),(Input!$L$217*(1+vanilla5)^0.5)-SUM($L160:O160),(Input!$L$217*(1+vanilla5)^0.5)/A7stdlife))</f>
        <v>0</v>
      </c>
      <c r="Q160" s="73">
        <f>IF(A7stdlife="n/a","n/a",IF(Q$3&gt;(A7stdlife+$F160),(Input!$L$217*(1+vanilla5)^0.5)-SUM($L160:P160),(Input!$L$217*(1+vanilla5)^0.5)/A7stdlife))</f>
        <v>0</v>
      </c>
      <c r="R160" s="73"/>
      <c r="S160" s="107"/>
      <c r="T160" s="107"/>
      <c r="U160" s="107"/>
      <c r="V160" s="107"/>
      <c r="W160" s="107"/>
      <c r="X160" s="107"/>
      <c r="Y160" s="107"/>
      <c r="Z160" s="107"/>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outlineLevel="2">
      <c r="A161" s="9"/>
      <c r="B161" s="9"/>
      <c r="C161" s="9"/>
      <c r="D161" s="26"/>
      <c r="E161" s="392"/>
      <c r="F161" s="91">
        <v>6</v>
      </c>
      <c r="G161" s="124"/>
      <c r="H161" s="149"/>
      <c r="I161" s="151"/>
      <c r="J161" s="151"/>
      <c r="K161" s="151"/>
      <c r="L161" s="151"/>
      <c r="M161" s="150"/>
      <c r="N161" s="73">
        <f>IF(A7stdlife="n/a","n/a",IF(N$3&gt;(A7stdlife+$F161),(Input!$M$217*(1+vanilla6)^0.5)-SUM($M161:M161),(Input!$M$217*(1+vanilla6)^0.5)/A7stdlife))</f>
        <v>0</v>
      </c>
      <c r="O161" s="73">
        <f>IF(A7stdlife="n/a","n/a",IF(O$3&gt;(A7stdlife+$F161),(Input!$M$217*(1+vanilla6)^0.5)-SUM($M161:N161),(Input!$M$217*(1+vanilla6)^0.5)/A7stdlife))</f>
        <v>0</v>
      </c>
      <c r="P161" s="73">
        <f>IF(A7stdlife="n/a","n/a",IF(P$3&gt;(A7stdlife+$F161),(Input!$M$217*(1+vanilla6)^0.5)-SUM($M161:O161),(Input!$M$217*(1+vanilla6)^0.5)/A7stdlife))</f>
        <v>0</v>
      </c>
      <c r="Q161" s="73">
        <f>IF(A7stdlife="n/a","n/a",IF(Q$3&gt;(A7stdlife+$F161),(Input!$M$217*(1+vanilla6)^0.5)-SUM($M161:P161),(Input!$M$217*(1+vanilla6)^0.5)/A7stdlife))</f>
        <v>0</v>
      </c>
      <c r="R161" s="73"/>
      <c r="S161" s="107"/>
      <c r="T161" s="107"/>
      <c r="U161" s="107"/>
      <c r="V161" s="107"/>
      <c r="W161" s="107"/>
      <c r="X161" s="107"/>
      <c r="Y161" s="107"/>
      <c r="Z161" s="107"/>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107"/>
      <c r="BE161" s="107"/>
      <c r="BF161" s="107"/>
      <c r="BG161" s="107"/>
      <c r="BH161" s="107"/>
      <c r="BI161" s="107"/>
      <c r="BJ161" s="107"/>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outlineLevel="2">
      <c r="A162" s="9"/>
      <c r="B162" s="9"/>
      <c r="C162" s="9"/>
      <c r="D162" s="26"/>
      <c r="E162" s="392"/>
      <c r="F162" s="91">
        <v>7</v>
      </c>
      <c r="G162" s="124"/>
      <c r="H162" s="149"/>
      <c r="I162" s="151"/>
      <c r="J162" s="151"/>
      <c r="K162" s="151"/>
      <c r="L162" s="151"/>
      <c r="M162" s="151"/>
      <c r="N162" s="150"/>
      <c r="O162" s="73">
        <f>IF(A7stdlife="n/a","n/a",IF(O$3&gt;(A7stdlife+$F162),(Input!$N$217*(1+vanilla7)^0.5)-SUM($N162:N162),(Input!$N$217*(1+vanilla7)^0.5)/A7stdlife))</f>
        <v>0</v>
      </c>
      <c r="P162" s="73">
        <f>IF(A7stdlife="n/a","n/a",IF(P$3&gt;(A7stdlife+$F162),(Input!$N$217*(1+vanilla7)^0.5)-SUM($N162:O162),(Input!$N$217*(1+vanilla7)^0.5)/A7stdlife))</f>
        <v>0</v>
      </c>
      <c r="Q162" s="73">
        <f>IF(A7stdlife="n/a","n/a",IF(Q$3&gt;(A7stdlife+$F162),(Input!$N$217*(1+vanilla7)^0.5)-SUM($N162:P162),(Input!$N$217*(1+vanilla7)^0.5)/A7stdlife))</f>
        <v>0</v>
      </c>
      <c r="R162" s="73"/>
      <c r="S162" s="107"/>
      <c r="T162" s="107"/>
      <c r="U162" s="107"/>
      <c r="V162" s="107"/>
      <c r="W162" s="107"/>
      <c r="X162" s="107"/>
      <c r="Y162" s="107"/>
      <c r="Z162" s="107"/>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107"/>
      <c r="BE162" s="107"/>
      <c r="BF162" s="107"/>
      <c r="BG162" s="107"/>
      <c r="BH162" s="107"/>
      <c r="BI162" s="107"/>
      <c r="BJ162" s="107"/>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outlineLevel="2">
      <c r="A163" s="9"/>
      <c r="B163" s="9"/>
      <c r="C163" s="9"/>
      <c r="D163" s="26"/>
      <c r="E163" s="392"/>
      <c r="F163" s="91">
        <v>8</v>
      </c>
      <c r="G163" s="124"/>
      <c r="H163" s="149"/>
      <c r="I163" s="151"/>
      <c r="J163" s="151"/>
      <c r="K163" s="151"/>
      <c r="L163" s="151"/>
      <c r="M163" s="151"/>
      <c r="N163" s="151"/>
      <c r="O163" s="150"/>
      <c r="P163" s="73">
        <f>IF(A7stdlife="n/a","n/a",IF(P$3&gt;(A7stdlife+$F163),(Input!$O$217*(1+vanilla8)^0.5)-SUM($O163:O163),(Input!$O$217*(1+vanilla8)^0.5)/A7stdlife))</f>
        <v>0</v>
      </c>
      <c r="Q163" s="73">
        <f>IF(A7stdlife="n/a","n/a",IF(Q$3&gt;(A7stdlife+$F163),(Input!$O$217*(1+vanilla8)^0.5)-SUM($O163:P163),(Input!$O$217*(1+vanilla8)^0.5)/A7stdlife))</f>
        <v>0</v>
      </c>
      <c r="R163" s="73"/>
      <c r="S163" s="107"/>
      <c r="T163" s="107"/>
      <c r="U163" s="107"/>
      <c r="V163" s="107"/>
      <c r="W163" s="107"/>
      <c r="X163" s="107"/>
      <c r="Y163" s="107"/>
      <c r="Z163" s="107"/>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107"/>
      <c r="BE163" s="107"/>
      <c r="BF163" s="107"/>
      <c r="BG163" s="107"/>
      <c r="BH163" s="107"/>
      <c r="BI163" s="107"/>
      <c r="BJ163" s="107"/>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outlineLevel="2">
      <c r="A164" s="9"/>
      <c r="B164" s="9"/>
      <c r="C164" s="9"/>
      <c r="D164" s="26"/>
      <c r="E164" s="392"/>
      <c r="F164" s="91">
        <v>9</v>
      </c>
      <c r="G164" s="124"/>
      <c r="H164" s="149"/>
      <c r="I164" s="151"/>
      <c r="J164" s="151"/>
      <c r="K164" s="151"/>
      <c r="L164" s="151"/>
      <c r="M164" s="151"/>
      <c r="N164" s="151"/>
      <c r="O164" s="151"/>
      <c r="P164" s="150"/>
      <c r="Q164" s="73">
        <f>IF(A7stdlife="n/a","n/a",IF(Q$3&gt;(A7stdlife+$F164),(Input!$P$217*(1+vanilla9)^0.5)-SUM($P164:P164),(Input!$P$217*(1+vanilla9)^0.5)/A7stdlife))</f>
        <v>0</v>
      </c>
      <c r="R164" s="73"/>
      <c r="S164" s="107"/>
      <c r="T164" s="107"/>
      <c r="U164" s="107"/>
      <c r="V164" s="107"/>
      <c r="W164" s="107"/>
      <c r="X164" s="107"/>
      <c r="Y164" s="107"/>
      <c r="Z164" s="107"/>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107"/>
      <c r="BE164" s="107"/>
      <c r="BF164" s="107"/>
      <c r="BG164" s="107"/>
      <c r="BH164" s="107"/>
      <c r="BI164" s="107"/>
      <c r="BJ164" s="107"/>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outlineLevel="2">
      <c r="A165" s="9"/>
      <c r="B165" s="9"/>
      <c r="C165" s="9"/>
      <c r="D165" s="26"/>
      <c r="E165" s="392"/>
      <c r="F165" s="92">
        <v>10</v>
      </c>
      <c r="G165" s="124"/>
      <c r="H165" s="149"/>
      <c r="I165" s="151"/>
      <c r="J165" s="151"/>
      <c r="K165" s="151"/>
      <c r="L165" s="151"/>
      <c r="M165" s="151"/>
      <c r="N165" s="151"/>
      <c r="O165" s="151"/>
      <c r="P165" s="151"/>
      <c r="Q165" s="150"/>
      <c r="R165" s="73"/>
      <c r="S165" s="107"/>
      <c r="T165" s="107"/>
      <c r="U165" s="107"/>
      <c r="V165" s="107"/>
      <c r="W165" s="107"/>
      <c r="X165" s="107"/>
      <c r="Y165" s="107"/>
      <c r="Z165" s="107"/>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107"/>
      <c r="BE165" s="107"/>
      <c r="BF165" s="107"/>
      <c r="BG165" s="107"/>
      <c r="BH165" s="107"/>
      <c r="BI165" s="107"/>
      <c r="BJ165" s="107"/>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outlineLevel="1">
      <c r="A166" s="9"/>
      <c r="B166" s="9"/>
      <c r="C166" s="9"/>
      <c r="D166" s="279" t="str">
        <f>Asset7</f>
        <v>Other - General</v>
      </c>
      <c r="E166" s="9"/>
      <c r="F166" s="9"/>
      <c r="G166" s="124"/>
      <c r="H166" s="165">
        <f>-SUM(H154:H165)</f>
        <v>1.3297440801140403</v>
      </c>
      <c r="I166" s="165">
        <f>-SUM(I154:I165)</f>
        <v>1.3297440801140403</v>
      </c>
      <c r="J166" s="165">
        <f>-SUM(J154:J165)</f>
        <v>1.3297440801140403</v>
      </c>
      <c r="K166" s="165">
        <f>-SUM(K154:K165)</f>
        <v>0</v>
      </c>
      <c r="L166" s="165">
        <f>-SUM(L154:L165)</f>
        <v>0</v>
      </c>
      <c r="M166" s="73">
        <f>IF(COUNT($H166:L166)&gt;=Input!$W$7,0, -SUM(M154:M165))</f>
        <v>0</v>
      </c>
      <c r="N166" s="73">
        <f>IF(COUNT($H166:M166)&gt;=Input!$W$7,0, -SUM(N154:N165))</f>
        <v>0</v>
      </c>
      <c r="O166" s="73">
        <f>IF(COUNT($H166:N166)&gt;=Input!$W$7,0, -SUM(O154:O165))</f>
        <v>0</v>
      </c>
      <c r="P166" s="73">
        <f>IF(COUNT($H166:O166)&gt;=Input!$W$7,0, -SUM(P154:P165))</f>
        <v>0</v>
      </c>
      <c r="Q166" s="73">
        <f>IF(COUNT($H166:P166)&gt;=Input!$W$7,0, -SUM(Q154:Q165))</f>
        <v>0</v>
      </c>
      <c r="R166" s="71"/>
      <c r="S166" s="109"/>
      <c r="T166" s="109"/>
      <c r="U166" s="109"/>
      <c r="V166" s="109"/>
      <c r="W166" s="109"/>
      <c r="X166" s="109"/>
      <c r="Y166" s="109"/>
      <c r="Z166" s="109"/>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109"/>
      <c r="BE166" s="109"/>
      <c r="BF166" s="109"/>
      <c r="BG166" s="109"/>
      <c r="BH166" s="109"/>
      <c r="BI166" s="109"/>
      <c r="BJ166" s="109"/>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outlineLevel="2">
      <c r="A167" s="9"/>
      <c r="B167" s="9"/>
      <c r="C167" s="280" t="str">
        <f>Asset8</f>
        <v>Other - Buildings</v>
      </c>
      <c r="D167" s="161"/>
      <c r="E167" s="32" t="s">
        <v>26</v>
      </c>
      <c r="F167" s="31"/>
      <c r="G167" s="181"/>
      <c r="H167" s="72">
        <f>IF(H$3&gt;A8remlife,A8value-$G$637-SUM($G167:G167),IF(A8remlife="N/A","n/a",(A8value-$G$637)/A8remlife))</f>
        <v>0.58644816807563105</v>
      </c>
      <c r="I167" s="72">
        <f>IF(I$3&gt;A8remlife,A8value-$G$637-SUM($G167:H167),IF(A8remlife="N/A","n/a",(A8value-$G$637)/A8remlife))</f>
        <v>0.58644816807563105</v>
      </c>
      <c r="J167" s="72">
        <f>IF(J$3&gt;A8remlife,A8value-$G$637-SUM($G167:I167),IF(A8remlife="N/A","n/a",(A8value-$G$637)/A8remlife))</f>
        <v>0.58644816807563105</v>
      </c>
      <c r="K167" s="72">
        <f>IF(K$3&gt;A8remlife,A8value-$G$637-SUM($G167:J167),IF(A8remlife="N/A","n/a",(A8value-$G$637)/A8remlife))</f>
        <v>0.58644816807563105</v>
      </c>
      <c r="L167" s="72">
        <f>IF(L$3&gt;A8remlife,A8value-$G$637-SUM($G167:K167),IF(A8remlife="N/A","n/a",(A8value-$G$637)/A8remlife))</f>
        <v>0.58644816807563105</v>
      </c>
      <c r="M167" s="72">
        <f>IF(M$3&gt;A8remlife,A8value-$G$637-SUM($G167:L167),IF(A8remlife="N/A","n/a",(A8value-$G$637)/A8remlife))</f>
        <v>0.58644816807563105</v>
      </c>
      <c r="N167" s="72">
        <f>IF(N$3&gt;A8remlife,A8value-$G$637-SUM($G167:M167),IF(A8remlife="N/A","n/a",(A8value-$G$637)/A8remlife))</f>
        <v>0.58644816807563105</v>
      </c>
      <c r="O167" s="72">
        <f>IF(O$3&gt;A8remlife,A8value-$G$637-SUM($G167:N167),IF(A8remlife="N/A","n/a",(A8value-$G$637)/A8remlife))</f>
        <v>0.58644816807563105</v>
      </c>
      <c r="P167" s="72">
        <f>IF(P$3&gt;A8remlife,A8value-$G$637-SUM($G167:O167),IF(A8remlife="N/A","n/a",(A8value-$G$637)/A8remlife))</f>
        <v>0.58644816807563105</v>
      </c>
      <c r="Q167" s="72">
        <f>IF(Q$3&gt;A8remlife,A8value-$G$637-SUM($G167:P167),IF(A8remlife="N/A","n/a",(A8value-$G$637)/A8remlife))</f>
        <v>0.58644816807563105</v>
      </c>
      <c r="R167" s="72"/>
      <c r="S167" s="107"/>
      <c r="T167" s="107"/>
      <c r="U167" s="107"/>
      <c r="V167" s="107"/>
      <c r="W167" s="107"/>
      <c r="X167" s="107"/>
      <c r="Y167" s="107"/>
      <c r="Z167" s="107"/>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107"/>
      <c r="BE167" s="107"/>
      <c r="BF167" s="107"/>
      <c r="BG167" s="107"/>
      <c r="BH167" s="107"/>
      <c r="BI167" s="107"/>
      <c r="BJ167" s="107"/>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9"/>
      <c r="D168" s="26"/>
      <c r="E168" s="391" t="s">
        <v>81</v>
      </c>
      <c r="F168" s="91"/>
      <c r="G168" s="124"/>
      <c r="H168" s="73"/>
      <c r="I168" s="73"/>
      <c r="J168" s="73"/>
      <c r="K168" s="73"/>
      <c r="L168" s="73"/>
      <c r="M168" s="163"/>
      <c r="N168" s="115"/>
      <c r="O168" s="73"/>
      <c r="P168" s="73"/>
      <c r="Q168" s="73"/>
      <c r="R168" s="73"/>
      <c r="S168" s="107"/>
      <c r="T168" s="107"/>
      <c r="U168" s="107"/>
      <c r="V168" s="107"/>
      <c r="W168" s="107"/>
      <c r="X168" s="107"/>
      <c r="Y168" s="107"/>
      <c r="Z168" s="107"/>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107"/>
      <c r="BE168" s="107"/>
      <c r="BF168" s="107"/>
      <c r="BG168" s="107"/>
      <c r="BH168" s="107"/>
      <c r="BI168" s="107"/>
      <c r="BJ168" s="107"/>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2">
      <c r="A169" s="9"/>
      <c r="B169" s="9"/>
      <c r="C169" s="9"/>
      <c r="D169" s="26"/>
      <c r="E169" s="392"/>
      <c r="F169" s="91">
        <v>1</v>
      </c>
      <c r="G169" s="124"/>
      <c r="H169" s="148"/>
      <c r="I169" s="73">
        <f>IF(A8stdlife="n/a","n/a",IF(I$3&gt;(A8stdlife+$F169),(Input!$H$218*(1+vanilla1)^0.5)-SUM($H169:H169),(Input!$H$218*(1+vanilla1)^0.5)/A8stdlife))</f>
        <v>0</v>
      </c>
      <c r="J169" s="73">
        <f>IF(A8stdlife="n/a","n/a",IF(J$3&gt;(A8stdlife+$F169),(Input!$H$218*(1+vanilla1)^0.5)-SUM($H169:I169),(Input!$H$218*(1+vanilla1)^0.5)/A8stdlife))</f>
        <v>0</v>
      </c>
      <c r="K169" s="73">
        <f>IF(A8stdlife="n/a","n/a",IF(K$3&gt;(A8stdlife+$F169),(Input!$H$218*(1+vanilla1)^0.5)-SUM($H169:J169),(Input!$H$218*(1+vanilla1)^0.5)/A8stdlife))</f>
        <v>0</v>
      </c>
      <c r="L169" s="73">
        <f>IF(A8stdlife="n/a","n/a",IF(L$3&gt;(A8stdlife+$F169),(Input!$H$218*(1+vanilla1)^0.5)-SUM($H169:K169),(Input!$H$218*(1+vanilla1)^0.5)/A8stdlife))</f>
        <v>0</v>
      </c>
      <c r="M169" s="73">
        <f>IF(A8stdlife="n/a","n/a",IF(M$3&gt;(A8stdlife+$F169),(Input!$H$218*(1+vanilla1)^0.5)-SUM($H169:L169),(Input!$H$218*(1+vanilla1)^0.5)/A8stdlife))</f>
        <v>0</v>
      </c>
      <c r="N169" s="73">
        <f>IF(A8stdlife="n/a","n/a",IF(N$3&gt;(A8stdlife+$F169),(Input!$H$218*(1+vanilla1)^0.5)-SUM($H169:M169),(Input!$H$218*(1+vanilla1)^0.5)/A8stdlife))</f>
        <v>0</v>
      </c>
      <c r="O169" s="73">
        <f>IF(A8stdlife="n/a","n/a",IF(O$3&gt;(A8stdlife+$F169),(Input!$H$218*(1+vanilla1)^0.5)-SUM($H169:N169),(Input!$H$218*(1+vanilla1)^0.5)/A8stdlife))</f>
        <v>0</v>
      </c>
      <c r="P169" s="73">
        <f>IF(A8stdlife="n/a","n/a",IF(P$3&gt;(A8stdlife+$F169),(Input!$H$218*(1+vanilla1)^0.5)-SUM($H169:O169),(Input!$H$218*(1+vanilla1)^0.5)/A8stdlife))</f>
        <v>0</v>
      </c>
      <c r="Q169" s="73">
        <f>IF(A8stdlife="n/a","n/a",IF(Q$3&gt;(A8stdlife+$F169),(Input!$H$218*(1+vanilla1)^0.5)-SUM($H169:P169),(Input!$H$218*(1+vanilla1)^0.5)/A8stdlife))</f>
        <v>0</v>
      </c>
      <c r="R169" s="73"/>
      <c r="S169" s="107"/>
      <c r="T169" s="107"/>
      <c r="U169" s="107"/>
      <c r="V169" s="107"/>
      <c r="W169" s="107"/>
      <c r="X169" s="107"/>
      <c r="Y169" s="107"/>
      <c r="Z169" s="107"/>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107"/>
      <c r="BE169" s="107"/>
      <c r="BF169" s="107"/>
      <c r="BG169" s="107"/>
      <c r="BH169" s="107"/>
      <c r="BI169" s="107"/>
      <c r="BJ169" s="107"/>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outlineLevel="2">
      <c r="A170" s="9"/>
      <c r="B170" s="9"/>
      <c r="C170" s="9"/>
      <c r="D170" s="26"/>
      <c r="E170" s="392"/>
      <c r="F170" s="91">
        <v>2</v>
      </c>
      <c r="G170" s="124"/>
      <c r="H170" s="149"/>
      <c r="I170" s="150"/>
      <c r="J170" s="73">
        <f>IF(A8stdlife="n/a","n/a",IF(J$3&gt;(A8stdlife+$F170),(Input!$I$218*(1+vanilla2)^0.5)-SUM($I170:I170),(Input!$I$218*(1+vanilla2)^0.5)/A8stdlife))</f>
        <v>0</v>
      </c>
      <c r="K170" s="73">
        <f>IF(A8stdlife="n/a","n/a",IF(K$3&gt;(A8stdlife+$F170),(Input!$I$218*(1+vanilla2)^0.5)-SUM($I170:J170),(Input!$I$218*(1+vanilla2)^0.5)/A8stdlife))</f>
        <v>0</v>
      </c>
      <c r="L170" s="73">
        <f>IF(A8stdlife="n/a","n/a",IF(L$3&gt;(A8stdlife+$F170),(Input!$I$218*(1+vanilla2)^0.5)-SUM($I170:K170),(Input!$I$218*(1+vanilla2)^0.5)/A8stdlife))</f>
        <v>0</v>
      </c>
      <c r="M170" s="73">
        <f>IF(A8stdlife="n/a","n/a",IF(M$3&gt;(A8stdlife+$F170),(Input!$I$218*(1+vanilla2)^0.5)-SUM($I170:L170),(Input!$I$218*(1+vanilla2)^0.5)/A8stdlife))</f>
        <v>0</v>
      </c>
      <c r="N170" s="73">
        <f>IF(A8stdlife="n/a","n/a",IF(N$3&gt;(A8stdlife+$F170),(Input!$I$218*(1+vanilla2)^0.5)-SUM($I170:M170),(Input!$I$218*(1+vanilla2)^0.5)/A8stdlife))</f>
        <v>0</v>
      </c>
      <c r="O170" s="73">
        <f>IF(A8stdlife="n/a","n/a",IF(O$3&gt;(A8stdlife+$F170),(Input!$I$218*(1+vanilla2)^0.5)-SUM($I170:N170),(Input!$I$218*(1+vanilla2)^0.5)/A8stdlife))</f>
        <v>0</v>
      </c>
      <c r="P170" s="73">
        <f>IF(A8stdlife="n/a","n/a",IF(P$3&gt;(A8stdlife+$F170),(Input!$I$218*(1+vanilla2)^0.5)-SUM($I170:O170),(Input!$I$218*(1+vanilla2)^0.5)/A8stdlife))</f>
        <v>0</v>
      </c>
      <c r="Q170" s="73">
        <f>IF(A8stdlife="n/a","n/a",IF(Q$3&gt;(A8stdlife+$F170),(Input!$I$218*(1+vanilla2)^0.5)-SUM($I170:P170),(Input!$I$218*(1+vanilla2)^0.5)/A8stdlife))</f>
        <v>0</v>
      </c>
      <c r="R170" s="73"/>
      <c r="S170" s="107"/>
      <c r="T170" s="107"/>
      <c r="U170" s="107"/>
      <c r="V170" s="107"/>
      <c r="W170" s="107"/>
      <c r="X170" s="107"/>
      <c r="Y170" s="107"/>
      <c r="Z170" s="107"/>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107"/>
      <c r="BE170" s="107"/>
      <c r="BF170" s="107"/>
      <c r="BG170" s="107"/>
      <c r="BH170" s="107"/>
      <c r="BI170" s="107"/>
      <c r="BJ170" s="107"/>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outlineLevel="2">
      <c r="A171" s="9"/>
      <c r="B171" s="9"/>
      <c r="C171" s="9"/>
      <c r="D171" s="26"/>
      <c r="E171" s="392"/>
      <c r="F171" s="91">
        <v>3</v>
      </c>
      <c r="G171" s="124"/>
      <c r="H171" s="149"/>
      <c r="I171" s="151"/>
      <c r="J171" s="150"/>
      <c r="K171" s="73">
        <f>IF(A8stdlife="n/a","n/a",IF(K$3&gt;(A8stdlife+$F171),(Input!$J$218*(1+vanilla3)^0.5)-SUM($J171:J171),(Input!$J$218*(1+vanilla3)^0.5)/A8stdlife))</f>
        <v>0</v>
      </c>
      <c r="L171" s="73">
        <f>IF(A8stdlife="n/a","n/a",IF(L$3&gt;(A8stdlife+$F171),(Input!$J$218*(1+vanilla3)^0.5)-SUM($J171:K171),(Input!$J$218*(1+vanilla3)^0.5)/A8stdlife))</f>
        <v>0</v>
      </c>
      <c r="M171" s="73">
        <f>IF(A8stdlife="n/a","n/a",IF(M$3&gt;(A8stdlife+$F171),(Input!$J$218*(1+vanilla3)^0.5)-SUM($J171:L171),(Input!$J$218*(1+vanilla3)^0.5)/A8stdlife))</f>
        <v>0</v>
      </c>
      <c r="N171" s="73">
        <f>IF(A8stdlife="n/a","n/a",IF(N$3&gt;(A8stdlife+$F171),(Input!$J$218*(1+vanilla3)^0.5)-SUM($J171:M171),(Input!$J$218*(1+vanilla3)^0.5)/A8stdlife))</f>
        <v>0</v>
      </c>
      <c r="O171" s="73">
        <f>IF(A8stdlife="n/a","n/a",IF(O$3&gt;(A8stdlife+$F171),(Input!$J$218*(1+vanilla3)^0.5)-SUM($J171:N171),(Input!$J$218*(1+vanilla3)^0.5)/A8stdlife))</f>
        <v>0</v>
      </c>
      <c r="P171" s="73">
        <f>IF(A8stdlife="n/a","n/a",IF(P$3&gt;(A8stdlife+$F171),(Input!$J$218*(1+vanilla3)^0.5)-SUM($J171:O171),(Input!$J$218*(1+vanilla3)^0.5)/A8stdlife))</f>
        <v>0</v>
      </c>
      <c r="Q171" s="73">
        <f>IF(A8stdlife="n/a","n/a",IF(Q$3&gt;(A8stdlife+$F171),(Input!$J$218*(1+vanilla3)^0.5)-SUM($J171:P171),(Input!$J$218*(1+vanilla3)^0.5)/A8stdlife))</f>
        <v>0</v>
      </c>
      <c r="R171" s="73"/>
      <c r="S171" s="107"/>
      <c r="T171" s="107"/>
      <c r="U171" s="107"/>
      <c r="V171" s="107"/>
      <c r="W171" s="107"/>
      <c r="X171" s="107"/>
      <c r="Y171" s="107"/>
      <c r="Z171" s="107"/>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107"/>
      <c r="BE171" s="107"/>
      <c r="BF171" s="107"/>
      <c r="BG171" s="107"/>
      <c r="BH171" s="107"/>
      <c r="BI171" s="107"/>
      <c r="BJ171" s="107"/>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outlineLevel="2">
      <c r="A172" s="9"/>
      <c r="B172" s="9"/>
      <c r="C172" s="9"/>
      <c r="D172" s="26"/>
      <c r="E172" s="392"/>
      <c r="F172" s="91">
        <v>4</v>
      </c>
      <c r="G172" s="124"/>
      <c r="H172" s="149"/>
      <c r="I172" s="151"/>
      <c r="J172" s="151"/>
      <c r="K172" s="150"/>
      <c r="L172" s="73">
        <f>IF(A8stdlife="n/a","n/a",IF(L$3&gt;(A8stdlife+$F172),(Input!$K$218*(1+vanilla4)^0.5)-SUM($K172:K172),(Input!$K$218*(1+vanilla4)^0.5)/A8stdlife))</f>
        <v>0</v>
      </c>
      <c r="M172" s="73">
        <f>IF(A8stdlife="n/a","n/a",IF(M$3&gt;(A8stdlife+$F172),(Input!$K$218*(1+vanilla4)^0.5)-SUM($K172:L172),(Input!$K$218*(1+vanilla4)^0.5)/A8stdlife))</f>
        <v>0</v>
      </c>
      <c r="N172" s="73">
        <f>IF(A8stdlife="n/a","n/a",IF(N$3&gt;(A8stdlife+$F172),(Input!$K$218*(1+vanilla4)^0.5)-SUM($K172:M172),(Input!$K$218*(1+vanilla4)^0.5)/A8stdlife))</f>
        <v>0</v>
      </c>
      <c r="O172" s="73">
        <f>IF(A8stdlife="n/a","n/a",IF(O$3&gt;(A8stdlife+$F172),(Input!$K$218*(1+vanilla4)^0.5)-SUM($K172:N172),(Input!$K$218*(1+vanilla4)^0.5)/A8stdlife))</f>
        <v>0</v>
      </c>
      <c r="P172" s="73">
        <f>IF(A8stdlife="n/a","n/a",IF(P$3&gt;(A8stdlife+$F172),(Input!$K$218*(1+vanilla4)^0.5)-SUM($K172:O172),(Input!$K$218*(1+vanilla4)^0.5)/A8stdlife))</f>
        <v>0</v>
      </c>
      <c r="Q172" s="73">
        <f>IF(A8stdlife="n/a","n/a",IF(Q$3&gt;(A8stdlife+$F172),(Input!$K$218*(1+vanilla4)^0.5)-SUM($K172:P172),(Input!$K$218*(1+vanilla4)^0.5)/A8stdlife))</f>
        <v>0</v>
      </c>
      <c r="R172" s="73"/>
      <c r="S172" s="107"/>
      <c r="T172" s="107"/>
      <c r="U172" s="107"/>
      <c r="V172" s="107"/>
      <c r="W172" s="107"/>
      <c r="X172" s="107"/>
      <c r="Y172" s="107"/>
      <c r="Z172" s="107"/>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107"/>
      <c r="BE172" s="107"/>
      <c r="BF172" s="107"/>
      <c r="BG172" s="107"/>
      <c r="BH172" s="107"/>
      <c r="BI172" s="107"/>
      <c r="BJ172" s="107"/>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2">
      <c r="A173" s="9"/>
      <c r="B173" s="9"/>
      <c r="C173" s="9"/>
      <c r="D173" s="26"/>
      <c r="E173" s="392"/>
      <c r="F173" s="91">
        <v>5</v>
      </c>
      <c r="G173" s="124"/>
      <c r="H173" s="149"/>
      <c r="I173" s="151"/>
      <c r="J173" s="151"/>
      <c r="K173" s="151"/>
      <c r="L173" s="150"/>
      <c r="M173" s="73">
        <f>IF(A8stdlife="n/a","n/a",IF(M$3&gt;(A8stdlife+$F173),(Input!$L$218*(1+vanilla5)^0.5)-SUM($L173:L173),(Input!$L$218*(1+vanilla5)^0.5)/A8stdlife))</f>
        <v>0</v>
      </c>
      <c r="N173" s="73">
        <f>IF(A8stdlife="n/a","n/a",IF(N$3&gt;(A8stdlife+$F173),(Input!$L$218*(1+vanilla5)^0.5)-SUM($L173:M173),(Input!$L$218*(1+vanilla5)^0.5)/A8stdlife))</f>
        <v>0</v>
      </c>
      <c r="O173" s="73">
        <f>IF(A8stdlife="n/a","n/a",IF(O$3&gt;(A8stdlife+$F173),(Input!$L$218*(1+vanilla5)^0.5)-SUM($L173:N173),(Input!$L$218*(1+vanilla5)^0.5)/A8stdlife))</f>
        <v>0</v>
      </c>
      <c r="P173" s="73">
        <f>IF(A8stdlife="n/a","n/a",IF(P$3&gt;(A8stdlife+$F173),(Input!$L$218*(1+vanilla5)^0.5)-SUM($L173:O173),(Input!$L$218*(1+vanilla5)^0.5)/A8stdlife))</f>
        <v>0</v>
      </c>
      <c r="Q173" s="73">
        <f>IF(A8stdlife="n/a","n/a",IF(Q$3&gt;(A8stdlife+$F173),(Input!$L$218*(1+vanilla5)^0.5)-SUM($L173:P173),(Input!$L$218*(1+vanilla5)^0.5)/A8stdlife))</f>
        <v>0</v>
      </c>
      <c r="R173" s="73"/>
      <c r="S173" s="107"/>
      <c r="T173" s="107"/>
      <c r="U173" s="107"/>
      <c r="V173" s="107"/>
      <c r="W173" s="107"/>
      <c r="X173" s="107"/>
      <c r="Y173" s="107"/>
      <c r="Z173" s="107"/>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outlineLevel="2">
      <c r="A174" s="9"/>
      <c r="B174" s="9"/>
      <c r="C174" s="9"/>
      <c r="D174" s="26"/>
      <c r="E174" s="392"/>
      <c r="F174" s="91">
        <v>6</v>
      </c>
      <c r="G174" s="124"/>
      <c r="H174" s="149"/>
      <c r="I174" s="151"/>
      <c r="J174" s="151"/>
      <c r="K174" s="151"/>
      <c r="L174" s="151"/>
      <c r="M174" s="150"/>
      <c r="N174" s="73">
        <f>IF(A8stdlife="n/a","n/a",IF(N$3&gt;(A8stdlife+$F174),(Input!$M$218*(1+vanilla6)^0.5)-SUM($M174:M174),(Input!$M$218*(1+vanilla6)^0.5)/A8stdlife))</f>
        <v>0</v>
      </c>
      <c r="O174" s="73">
        <f>IF(A8stdlife="n/a","n/a",IF(O$3&gt;(A8stdlife+$F174),(Input!$M$218*(1+vanilla6)^0.5)-SUM($M174:N174),(Input!$M$218*(1+vanilla6)^0.5)/A8stdlife))</f>
        <v>0</v>
      </c>
      <c r="P174" s="73">
        <f>IF(A8stdlife="n/a","n/a",IF(P$3&gt;(A8stdlife+$F174),(Input!$M$218*(1+vanilla6)^0.5)-SUM($M174:O174),(Input!$M$218*(1+vanilla6)^0.5)/A8stdlife))</f>
        <v>0</v>
      </c>
      <c r="Q174" s="73">
        <f>IF(A8stdlife="n/a","n/a",IF(Q$3&gt;(A8stdlife+$F174),(Input!$M$218*(1+vanilla6)^0.5)-SUM($M174:P174),(Input!$M$218*(1+vanilla6)^0.5)/A8stdlife))</f>
        <v>0</v>
      </c>
      <c r="R174" s="73"/>
      <c r="S174" s="107"/>
      <c r="T174" s="107"/>
      <c r="U174" s="107"/>
      <c r="V174" s="107"/>
      <c r="W174" s="107"/>
      <c r="X174" s="107"/>
      <c r="Y174" s="107"/>
      <c r="Z174" s="107"/>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107"/>
      <c r="BE174" s="107"/>
      <c r="BF174" s="107"/>
      <c r="BG174" s="107"/>
      <c r="BH174" s="107"/>
      <c r="BI174" s="107"/>
      <c r="BJ174" s="107"/>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outlineLevel="2">
      <c r="A175" s="9"/>
      <c r="B175" s="9"/>
      <c r="C175" s="9"/>
      <c r="D175" s="26"/>
      <c r="E175" s="392"/>
      <c r="F175" s="91">
        <v>7</v>
      </c>
      <c r="G175" s="124"/>
      <c r="H175" s="149"/>
      <c r="I175" s="151"/>
      <c r="J175" s="151"/>
      <c r="K175" s="151"/>
      <c r="L175" s="151"/>
      <c r="M175" s="151"/>
      <c r="N175" s="150"/>
      <c r="O175" s="73">
        <f>IF(A8stdlife="n/a","n/a",IF(O$3&gt;(A8stdlife+$F175),(Input!$N$218*(1+vanilla7)^0.5)-SUM($N175:N175),(Input!$N$218*(1+vanilla7)^0.5)/A8stdlife))</f>
        <v>0</v>
      </c>
      <c r="P175" s="73">
        <f>IF(A8stdlife="n/a","n/a",IF(P$3&gt;(A8stdlife+$F175),(Input!$N$218*(1+vanilla7)^0.5)-SUM($N175:O175),(Input!$N$218*(1+vanilla7)^0.5)/A8stdlife))</f>
        <v>0</v>
      </c>
      <c r="Q175" s="73">
        <f>IF(A8stdlife="n/a","n/a",IF(Q$3&gt;(A8stdlife+$F175),(Input!$N$218*(1+vanilla7)^0.5)-SUM($N175:P175),(Input!$N$218*(1+vanilla7)^0.5)/A8stdlife))</f>
        <v>0</v>
      </c>
      <c r="R175" s="73"/>
      <c r="S175" s="107"/>
      <c r="T175" s="107"/>
      <c r="U175" s="107"/>
      <c r="V175" s="107"/>
      <c r="W175" s="107"/>
      <c r="X175" s="107"/>
      <c r="Y175" s="107"/>
      <c r="Z175" s="107"/>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107"/>
      <c r="BE175" s="107"/>
      <c r="BF175" s="107"/>
      <c r="BG175" s="107"/>
      <c r="BH175" s="107"/>
      <c r="BI175" s="107"/>
      <c r="BJ175" s="107"/>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outlineLevel="2">
      <c r="A176" s="9"/>
      <c r="B176" s="9"/>
      <c r="C176" s="9"/>
      <c r="D176" s="26"/>
      <c r="E176" s="392"/>
      <c r="F176" s="91">
        <v>8</v>
      </c>
      <c r="G176" s="124"/>
      <c r="H176" s="149"/>
      <c r="I176" s="151"/>
      <c r="J176" s="151"/>
      <c r="K176" s="151"/>
      <c r="L176" s="151"/>
      <c r="M176" s="151"/>
      <c r="N176" s="151"/>
      <c r="O176" s="150"/>
      <c r="P176" s="73">
        <f>IF(A8stdlife="n/a","n/a",IF(P$3&gt;(A8stdlife+$F176),(Input!$O$218*(1+vanilla8)^0.5)-SUM($O176:O176),(Input!$O$218*(1+vanilla8)^0.5)/A8stdlife))</f>
        <v>0</v>
      </c>
      <c r="Q176" s="73">
        <f>IF(A8stdlife="n/a","n/a",IF(Q$3&gt;(A8stdlife+$F176),(Input!$O$218*(1+vanilla8)^0.5)-SUM($O176:P176),(Input!$O$218*(1+vanilla8)^0.5)/A8stdlife))</f>
        <v>0</v>
      </c>
      <c r="R176" s="73"/>
      <c r="S176" s="107"/>
      <c r="T176" s="107"/>
      <c r="U176" s="107"/>
      <c r="V176" s="107"/>
      <c r="W176" s="107"/>
      <c r="X176" s="107"/>
      <c r="Y176" s="107"/>
      <c r="Z176" s="107"/>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107"/>
      <c r="BE176" s="107"/>
      <c r="BF176" s="107"/>
      <c r="BG176" s="107"/>
      <c r="BH176" s="107"/>
      <c r="BI176" s="107"/>
      <c r="BJ176" s="107"/>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outlineLevel="2">
      <c r="A177" s="9"/>
      <c r="B177" s="9"/>
      <c r="C177" s="9"/>
      <c r="D177" s="26"/>
      <c r="E177" s="392"/>
      <c r="F177" s="91">
        <v>9</v>
      </c>
      <c r="G177" s="124"/>
      <c r="H177" s="149"/>
      <c r="I177" s="151"/>
      <c r="J177" s="151"/>
      <c r="K177" s="151"/>
      <c r="L177" s="151"/>
      <c r="M177" s="151"/>
      <c r="N177" s="151"/>
      <c r="O177" s="151"/>
      <c r="P177" s="150"/>
      <c r="Q177" s="73">
        <f>IF(A8stdlife="n/a","n/a",IF(Q$3&gt;(A8stdlife+$F177),(Input!$P$218*(1+vanilla9)^0.5)-SUM($P177:P177),(Input!$P$218*(1+vanilla9)^0.5)/A8stdlife))</f>
        <v>0</v>
      </c>
      <c r="R177" s="73"/>
      <c r="S177" s="107"/>
      <c r="T177" s="107"/>
      <c r="U177" s="107"/>
      <c r="V177" s="107"/>
      <c r="W177" s="107"/>
      <c r="X177" s="107"/>
      <c r="Y177" s="107"/>
      <c r="Z177" s="107"/>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107"/>
      <c r="BE177" s="107"/>
      <c r="BF177" s="107"/>
      <c r="BG177" s="107"/>
      <c r="BH177" s="107"/>
      <c r="BI177" s="107"/>
      <c r="BJ177" s="107"/>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outlineLevel="2">
      <c r="A178" s="9"/>
      <c r="B178" s="9"/>
      <c r="C178" s="9"/>
      <c r="D178" s="26"/>
      <c r="E178" s="392"/>
      <c r="F178" s="92">
        <v>10</v>
      </c>
      <c r="G178" s="124"/>
      <c r="H178" s="149"/>
      <c r="I178" s="151"/>
      <c r="J178" s="151"/>
      <c r="K178" s="151"/>
      <c r="L178" s="151"/>
      <c r="M178" s="151"/>
      <c r="N178" s="151"/>
      <c r="O178" s="151"/>
      <c r="P178" s="151"/>
      <c r="Q178" s="150"/>
      <c r="R178" s="73"/>
      <c r="S178" s="107"/>
      <c r="T178" s="107"/>
      <c r="U178" s="107"/>
      <c r="V178" s="107"/>
      <c r="W178" s="107"/>
      <c r="X178" s="107"/>
      <c r="Y178" s="107"/>
      <c r="Z178" s="107"/>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107"/>
      <c r="BE178" s="107"/>
      <c r="BF178" s="107"/>
      <c r="BG178" s="107"/>
      <c r="BH178" s="107"/>
      <c r="BI178" s="107"/>
      <c r="BJ178" s="107"/>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outlineLevel="1">
      <c r="A179" s="9"/>
      <c r="B179" s="9"/>
      <c r="C179" s="9"/>
      <c r="D179" s="279" t="str">
        <f>Asset8</f>
        <v>Other - Buildings</v>
      </c>
      <c r="E179" s="9"/>
      <c r="F179" s="9"/>
      <c r="G179" s="124"/>
      <c r="H179" s="165">
        <f>-SUM(H167:H178)</f>
        <v>-0.58644816807563105</v>
      </c>
      <c r="I179" s="165">
        <f>-SUM(I167:I178)</f>
        <v>-0.58644816807563105</v>
      </c>
      <c r="J179" s="165">
        <f>-SUM(J167:J178)</f>
        <v>-0.58644816807563105</v>
      </c>
      <c r="K179" s="165">
        <f>-SUM(K167:K178)</f>
        <v>-0.58644816807563105</v>
      </c>
      <c r="L179" s="165">
        <f>-SUM(L167:L178)</f>
        <v>-0.58644816807563105</v>
      </c>
      <c r="M179" s="73">
        <f>IF(COUNT($H179:L179)&gt;=Input!$W$7,0, -SUM(M167:M178))</f>
        <v>0</v>
      </c>
      <c r="N179" s="73">
        <f>IF(COUNT($H179:M179)&gt;=Input!$W$7,0, -SUM(N167:N178))</f>
        <v>0</v>
      </c>
      <c r="O179" s="73">
        <f>IF(COUNT($H179:N179)&gt;=Input!$W$7,0, -SUM(O167:O178))</f>
        <v>0</v>
      </c>
      <c r="P179" s="73">
        <f>IF(COUNT($H179:O179)&gt;=Input!$W$7,0, -SUM(P167:P178))</f>
        <v>0</v>
      </c>
      <c r="Q179" s="73">
        <f>IF(COUNT($H179:P179)&gt;=Input!$W$7,0, -SUM(Q167:Q178))</f>
        <v>0</v>
      </c>
      <c r="R179" s="71"/>
      <c r="S179" s="109"/>
      <c r="T179" s="109"/>
      <c r="U179" s="109"/>
      <c r="V179" s="109"/>
      <c r="W179" s="109"/>
      <c r="X179" s="109"/>
      <c r="Y179" s="109"/>
      <c r="Z179" s="109"/>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109"/>
      <c r="BE179" s="109"/>
      <c r="BF179" s="109"/>
      <c r="BG179" s="109"/>
      <c r="BH179" s="109"/>
      <c r="BI179" s="109"/>
      <c r="BJ179" s="109"/>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outlineLevel="2">
      <c r="A180" s="9"/>
      <c r="B180" s="9"/>
      <c r="C180" s="280" t="str">
        <f>Asset9</f>
        <v>Land and Easements</v>
      </c>
      <c r="D180" s="161"/>
      <c r="E180" s="32" t="s">
        <v>26</v>
      </c>
      <c r="F180" s="31"/>
      <c r="G180" s="181"/>
      <c r="H180" s="72" t="str">
        <f>IF(H$3&gt;A9remlife,A9value-$G$638-SUM($G180:G180),IF(A9remlife="N/A","n/a",(A9value-$G$638)/A9remlife))</f>
        <v>n/a</v>
      </c>
      <c r="I180" s="72" t="str">
        <f>IF(I$3&gt;A9remlife,A9value-$G$638-SUM($G180:H180),IF(A9remlife="N/A","n/a",(A9value-$G$638)/A9remlife))</f>
        <v>n/a</v>
      </c>
      <c r="J180" s="72" t="str">
        <f>IF(J$3&gt;A9remlife,A9value-$G$638-SUM($G180:I180),IF(A9remlife="N/A","n/a",(A9value-$G$638)/A9remlife))</f>
        <v>n/a</v>
      </c>
      <c r="K180" s="72" t="str">
        <f>IF(K$3&gt;A9remlife,A9value-$G$638-SUM($G180:J180),IF(A9remlife="N/A","n/a",(A9value-$G$638)/A9remlife))</f>
        <v>n/a</v>
      </c>
      <c r="L180" s="72" t="str">
        <f>IF(L$3&gt;A9remlife,A9value-$G$638-SUM($G180:K180),IF(A9remlife="N/A","n/a",(A9value-$G$638)/A9remlife))</f>
        <v>n/a</v>
      </c>
      <c r="M180" s="72" t="str">
        <f>IF(M$3&gt;A9remlife,A9value-$G$638-SUM($G180:L180),IF(A9remlife="N/A","n/a",(A9value-$G$638)/A9remlife))</f>
        <v>n/a</v>
      </c>
      <c r="N180" s="72" t="str">
        <f>IF(N$3&gt;A9remlife,A9value-$G$638-SUM($G180:M180),IF(A9remlife="N/A","n/a",(A9value-$G$638)/A9remlife))</f>
        <v>n/a</v>
      </c>
      <c r="O180" s="72" t="str">
        <f>IF(O$3&gt;A9remlife,A9value-$G$638-SUM($G180:N180),IF(A9remlife="N/A","n/a",(A9value-$G$638)/A9remlife))</f>
        <v>n/a</v>
      </c>
      <c r="P180" s="72" t="str">
        <f>IF(P$3&gt;A9remlife,A9value-$G$638-SUM($G180:O180),IF(A9remlife="N/A","n/a",(A9value-$G$638)/A9remlife))</f>
        <v>n/a</v>
      </c>
      <c r="Q180" s="72" t="str">
        <f>IF(Q$3&gt;A9remlife,A9value-$G$638-SUM($G180:P180),IF(A9remlife="N/A","n/a",(A9value-$G$638)/A9remlife))</f>
        <v>n/a</v>
      </c>
      <c r="R180" s="72"/>
      <c r="S180" s="107"/>
      <c r="T180" s="107"/>
      <c r="U180" s="107"/>
      <c r="V180" s="107"/>
      <c r="W180" s="107"/>
      <c r="X180" s="107"/>
      <c r="Y180" s="107"/>
      <c r="Z180" s="107"/>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107"/>
      <c r="BE180" s="107"/>
      <c r="BF180" s="107"/>
      <c r="BG180" s="107"/>
      <c r="BH180" s="107"/>
      <c r="BI180" s="107"/>
      <c r="BJ180" s="107"/>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9"/>
      <c r="D181" s="26"/>
      <c r="E181" s="391" t="s">
        <v>81</v>
      </c>
      <c r="F181" s="91"/>
      <c r="G181" s="124"/>
      <c r="H181" s="73"/>
      <c r="I181" s="73"/>
      <c r="J181" s="73"/>
      <c r="K181" s="73"/>
      <c r="L181" s="73"/>
      <c r="M181" s="163"/>
      <c r="N181" s="115"/>
      <c r="O181" s="73"/>
      <c r="P181" s="73"/>
      <c r="Q181" s="73"/>
      <c r="R181" s="73"/>
      <c r="S181" s="107"/>
      <c r="T181" s="107"/>
      <c r="U181" s="107"/>
      <c r="V181" s="107"/>
      <c r="W181" s="107"/>
      <c r="X181" s="107"/>
      <c r="Y181" s="107"/>
      <c r="Z181" s="107"/>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107"/>
      <c r="BE181" s="107"/>
      <c r="BF181" s="107"/>
      <c r="BG181" s="107"/>
      <c r="BH181" s="107"/>
      <c r="BI181" s="107"/>
      <c r="BJ181" s="107"/>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outlineLevel="2">
      <c r="A182" s="9"/>
      <c r="B182" s="9"/>
      <c r="C182" s="9"/>
      <c r="D182" s="26"/>
      <c r="E182" s="392"/>
      <c r="F182" s="91">
        <v>1</v>
      </c>
      <c r="G182" s="124"/>
      <c r="H182" s="148"/>
      <c r="I182" s="73" t="str">
        <f>IF(A9stdlife="n/a","n/a",IF(I$3&gt;(A9stdlife+$F182),(Input!$H$219*(1+vanilla1)^0.5)-SUM($H182:H182),(Input!$H$219*(1+vanilla1)^0.5)/A9stdlife))</f>
        <v>n/a</v>
      </c>
      <c r="J182" s="73" t="str">
        <f>IF(A9stdlife="n/a","n/a",IF(J$3&gt;(A9stdlife+$F182),(Input!$H$219*(1+vanilla1)^0.5)-SUM($H182:I182),(Input!$H$219*(1+vanilla1)^0.5)/A9stdlife))</f>
        <v>n/a</v>
      </c>
      <c r="K182" s="73" t="str">
        <f>IF(A9stdlife="n/a","n/a",IF(K$3&gt;(A9stdlife+$F182),(Input!$H$219*(1+vanilla1)^0.5)-SUM($H182:J182),(Input!$H$219*(1+vanilla1)^0.5)/A9stdlife))</f>
        <v>n/a</v>
      </c>
      <c r="L182" s="73" t="str">
        <f>IF(A9stdlife="n/a","n/a",IF(L$3&gt;(A9stdlife+$F182),(Input!$H$219*(1+vanilla1)^0.5)-SUM($H182:K182),(Input!$H$219*(1+vanilla1)^0.5)/A9stdlife))</f>
        <v>n/a</v>
      </c>
      <c r="M182" s="73" t="str">
        <f>IF(A9stdlife="n/a","n/a",IF(M$3&gt;(A9stdlife+$F182),(Input!$H$219*(1+vanilla1)^0.5)-SUM($H182:L182),(Input!$H$219*(1+vanilla1)^0.5)/A9stdlife))</f>
        <v>n/a</v>
      </c>
      <c r="N182" s="73" t="str">
        <f>IF(A9stdlife="n/a","n/a",IF(N$3&gt;(A9stdlife+$F182),(Input!$H$219*(1+vanilla1)^0.5)-SUM($H182:M182),(Input!$H$219*(1+vanilla1)^0.5)/A9stdlife))</f>
        <v>n/a</v>
      </c>
      <c r="O182" s="73" t="str">
        <f>IF(A9stdlife="n/a","n/a",IF(O$3&gt;(A9stdlife+$F182),(Input!$H$219*(1+vanilla1)^0.5)-SUM($H182:N182),(Input!$H$219*(1+vanilla1)^0.5)/A9stdlife))</f>
        <v>n/a</v>
      </c>
      <c r="P182" s="73" t="str">
        <f>IF(A9stdlife="n/a","n/a",IF(P$3&gt;(A9stdlife+$F182),(Input!$H$219*(1+vanilla1)^0.5)-SUM($H182:O182),(Input!$H$219*(1+vanilla1)^0.5)/A9stdlife))</f>
        <v>n/a</v>
      </c>
      <c r="Q182" s="73" t="str">
        <f>IF(A9stdlife="n/a","n/a",IF(Q$3&gt;(A9stdlife+$F182),(Input!$H$219*(1+vanilla1)^0.5)-SUM($H182:P182),(Input!$H$219*(1+vanilla1)^0.5)/A9stdlife))</f>
        <v>n/a</v>
      </c>
      <c r="R182" s="73"/>
      <c r="S182" s="107"/>
      <c r="T182" s="107"/>
      <c r="U182" s="107"/>
      <c r="V182" s="107"/>
      <c r="W182" s="107"/>
      <c r="X182" s="107"/>
      <c r="Y182" s="107"/>
      <c r="Z182" s="107"/>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107"/>
      <c r="BE182" s="107"/>
      <c r="BF182" s="107"/>
      <c r="BG182" s="107"/>
      <c r="BH182" s="107"/>
      <c r="BI182" s="107"/>
      <c r="BJ182" s="107"/>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2">
      <c r="A183" s="9"/>
      <c r="B183" s="9"/>
      <c r="C183" s="9"/>
      <c r="D183" s="26"/>
      <c r="E183" s="392"/>
      <c r="F183" s="91">
        <v>2</v>
      </c>
      <c r="G183" s="124"/>
      <c r="H183" s="149"/>
      <c r="I183" s="150"/>
      <c r="J183" s="73" t="str">
        <f>IF(A9stdlife="n/a","n/a",IF(J$3&gt;(A9stdlife+$F183),(Input!$I$219*(1+vanilla2)^0.5)-SUM($I183:I183),(Input!$I$219*(1+vanilla2)^0.5)/A9stdlife))</f>
        <v>n/a</v>
      </c>
      <c r="K183" s="73" t="str">
        <f>IF(A9stdlife="n/a","n/a",IF(K$3&gt;(A9stdlife+$F183),(Input!$I$219*(1+vanilla2)^0.5)-SUM($I183:J183),(Input!$I$219*(1+vanilla2)^0.5)/A9stdlife))</f>
        <v>n/a</v>
      </c>
      <c r="L183" s="73" t="str">
        <f>IF(A9stdlife="n/a","n/a",IF(L$3&gt;(A9stdlife+$F183),(Input!$I$219*(1+vanilla2)^0.5)-SUM($I183:K183),(Input!$I$219*(1+vanilla2)^0.5)/A9stdlife))</f>
        <v>n/a</v>
      </c>
      <c r="M183" s="73" t="str">
        <f>IF(A9stdlife="n/a","n/a",IF(M$3&gt;(A9stdlife+$F183),(Input!$I$219*(1+vanilla2)^0.5)-SUM($I183:L183),(Input!$I$219*(1+vanilla2)^0.5)/A9stdlife))</f>
        <v>n/a</v>
      </c>
      <c r="N183" s="73" t="str">
        <f>IF(A9stdlife="n/a","n/a",IF(N$3&gt;(A9stdlife+$F183),(Input!$I$219*(1+vanilla2)^0.5)-SUM($I183:M183),(Input!$I$219*(1+vanilla2)^0.5)/A9stdlife))</f>
        <v>n/a</v>
      </c>
      <c r="O183" s="73" t="str">
        <f>IF(A9stdlife="n/a","n/a",IF(O$3&gt;(A9stdlife+$F183),(Input!$I$219*(1+vanilla2)^0.5)-SUM($I183:N183),(Input!$I$219*(1+vanilla2)^0.5)/A9stdlife))</f>
        <v>n/a</v>
      </c>
      <c r="P183" s="73" t="str">
        <f>IF(A9stdlife="n/a","n/a",IF(P$3&gt;(A9stdlife+$F183),(Input!$I$219*(1+vanilla2)^0.5)-SUM($I183:O183),(Input!$I$219*(1+vanilla2)^0.5)/A9stdlife))</f>
        <v>n/a</v>
      </c>
      <c r="Q183" s="73" t="str">
        <f>IF(A9stdlife="n/a","n/a",IF(Q$3&gt;(A9stdlife+$F183),(Input!$I$219*(1+vanilla2)^0.5)-SUM($I183:P183),(Input!$I$219*(1+vanilla2)^0.5)/A9stdlife))</f>
        <v>n/a</v>
      </c>
      <c r="R183" s="73"/>
      <c r="S183" s="107"/>
      <c r="T183" s="107"/>
      <c r="U183" s="107"/>
      <c r="V183" s="107"/>
      <c r="W183" s="107"/>
      <c r="X183" s="107"/>
      <c r="Y183" s="107"/>
      <c r="Z183" s="107"/>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107"/>
      <c r="BE183" s="107"/>
      <c r="BF183" s="107"/>
      <c r="BG183" s="107"/>
      <c r="BH183" s="107"/>
      <c r="BI183" s="107"/>
      <c r="BJ183" s="107"/>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outlineLevel="2">
      <c r="A184" s="9"/>
      <c r="B184" s="9"/>
      <c r="C184" s="9"/>
      <c r="D184" s="26"/>
      <c r="E184" s="392"/>
      <c r="F184" s="91">
        <v>3</v>
      </c>
      <c r="G184" s="124"/>
      <c r="H184" s="149"/>
      <c r="I184" s="151"/>
      <c r="J184" s="150"/>
      <c r="K184" s="73" t="str">
        <f>IF(A9stdlife="n/a","n/a",IF(K$3&gt;(A9stdlife+$F184),(Input!$J$219*(1+vanilla3)^0.5)-SUM($J184:J184),(Input!$J$219*(1+vanilla3)^0.5)/A9stdlife))</f>
        <v>n/a</v>
      </c>
      <c r="L184" s="73" t="str">
        <f>IF(A9stdlife="n/a","n/a",IF(L$3&gt;(A9stdlife+$F184),(Input!$J$219*(1+vanilla3)^0.5)-SUM($J184:K184),(Input!$J$219*(1+vanilla3)^0.5)/A9stdlife))</f>
        <v>n/a</v>
      </c>
      <c r="M184" s="73" t="str">
        <f>IF(A9stdlife="n/a","n/a",IF(M$3&gt;(A9stdlife+$F184),(Input!$J$219*(1+vanilla3)^0.5)-SUM($J184:L184),(Input!$J$219*(1+vanilla3)^0.5)/A9stdlife))</f>
        <v>n/a</v>
      </c>
      <c r="N184" s="73" t="str">
        <f>IF(A9stdlife="n/a","n/a",IF(N$3&gt;(A9stdlife+$F184),(Input!$J$219*(1+vanilla3)^0.5)-SUM($J184:M184),(Input!$J$219*(1+vanilla3)^0.5)/A9stdlife))</f>
        <v>n/a</v>
      </c>
      <c r="O184" s="73" t="str">
        <f>IF(A9stdlife="n/a","n/a",IF(O$3&gt;(A9stdlife+$F184),(Input!$J$219*(1+vanilla3)^0.5)-SUM($J184:N184),(Input!$J$219*(1+vanilla3)^0.5)/A9stdlife))</f>
        <v>n/a</v>
      </c>
      <c r="P184" s="73" t="str">
        <f>IF(A9stdlife="n/a","n/a",IF(P$3&gt;(A9stdlife+$F184),(Input!$J$219*(1+vanilla3)^0.5)-SUM($J184:O184),(Input!$J$219*(1+vanilla3)^0.5)/A9stdlife))</f>
        <v>n/a</v>
      </c>
      <c r="Q184" s="73" t="str">
        <f>IF(A9stdlife="n/a","n/a",IF(Q$3&gt;(A9stdlife+$F184),(Input!$J$219*(1+vanilla3)^0.5)-SUM($J184:P184),(Input!$J$219*(1+vanilla3)^0.5)/A9stdlife))</f>
        <v>n/a</v>
      </c>
      <c r="R184" s="73"/>
      <c r="S184" s="107"/>
      <c r="T184" s="107"/>
      <c r="U184" s="107"/>
      <c r="V184" s="107"/>
      <c r="W184" s="107"/>
      <c r="X184" s="107"/>
      <c r="Y184" s="107"/>
      <c r="Z184" s="107"/>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107"/>
      <c r="BE184" s="107"/>
      <c r="BF184" s="107"/>
      <c r="BG184" s="107"/>
      <c r="BH184" s="107"/>
      <c r="BI184" s="107"/>
      <c r="BJ184" s="107"/>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outlineLevel="2">
      <c r="A185" s="9"/>
      <c r="B185" s="9"/>
      <c r="C185" s="9"/>
      <c r="D185" s="26"/>
      <c r="E185" s="392"/>
      <c r="F185" s="91">
        <v>4</v>
      </c>
      <c r="G185" s="124"/>
      <c r="H185" s="149"/>
      <c r="I185" s="151"/>
      <c r="J185" s="151"/>
      <c r="K185" s="150"/>
      <c r="L185" s="73" t="str">
        <f>IF(A9stdlife="n/a","n/a",IF(L$3&gt;(A9stdlife+$F185),(Input!$K$219*(1+vanilla4)^0.5)-SUM($K185:K185),(Input!$K$219*(1+vanilla4)^0.5)/A9stdlife))</f>
        <v>n/a</v>
      </c>
      <c r="M185" s="73" t="str">
        <f>IF(A9stdlife="n/a","n/a",IF(M$3&gt;(A9stdlife+$F185),(Input!$K$219*(1+vanilla4)^0.5)-SUM($K185:L185),(Input!$K$219*(1+vanilla4)^0.5)/A9stdlife))</f>
        <v>n/a</v>
      </c>
      <c r="N185" s="73" t="str">
        <f>IF(A9stdlife="n/a","n/a",IF(N$3&gt;(A9stdlife+$F185),(Input!$K$219*(1+vanilla4)^0.5)-SUM($K185:M185),(Input!$K$219*(1+vanilla4)^0.5)/A9stdlife))</f>
        <v>n/a</v>
      </c>
      <c r="O185" s="73" t="str">
        <f>IF(A9stdlife="n/a","n/a",IF(O$3&gt;(A9stdlife+$F185),(Input!$K$219*(1+vanilla4)^0.5)-SUM($K185:N185),(Input!$K$219*(1+vanilla4)^0.5)/A9stdlife))</f>
        <v>n/a</v>
      </c>
      <c r="P185" s="73" t="str">
        <f>IF(A9stdlife="n/a","n/a",IF(P$3&gt;(A9stdlife+$F185),(Input!$K$219*(1+vanilla4)^0.5)-SUM($K185:O185),(Input!$K$219*(1+vanilla4)^0.5)/A9stdlife))</f>
        <v>n/a</v>
      </c>
      <c r="Q185" s="73" t="str">
        <f>IF(A9stdlife="n/a","n/a",IF(Q$3&gt;(A9stdlife+$F185),(Input!$K$219*(1+vanilla4)^0.5)-SUM($K185:P185),(Input!$K$219*(1+vanilla4)^0.5)/A9stdlife))</f>
        <v>n/a</v>
      </c>
      <c r="R185" s="73"/>
      <c r="S185" s="107"/>
      <c r="T185" s="107"/>
      <c r="U185" s="107"/>
      <c r="V185" s="107"/>
      <c r="W185" s="107"/>
      <c r="X185" s="107"/>
      <c r="Y185" s="107"/>
      <c r="Z185" s="107"/>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107"/>
      <c r="BE185" s="107"/>
      <c r="BF185" s="107"/>
      <c r="BG185" s="107"/>
      <c r="BH185" s="107"/>
      <c r="BI185" s="107"/>
      <c r="BJ185" s="107"/>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outlineLevel="2">
      <c r="A186" s="9"/>
      <c r="B186" s="9"/>
      <c r="C186" s="9"/>
      <c r="D186" s="26"/>
      <c r="E186" s="392"/>
      <c r="F186" s="91">
        <v>5</v>
      </c>
      <c r="G186" s="124"/>
      <c r="H186" s="149"/>
      <c r="I186" s="151"/>
      <c r="J186" s="151"/>
      <c r="K186" s="151"/>
      <c r="L186" s="150"/>
      <c r="M186" s="73" t="str">
        <f>IF(A9stdlife="n/a","n/a",IF(M$3&gt;(A9stdlife+$F186),(Input!$L$219*(1+vanilla5)^0.5)-SUM($L186:L186),(Input!$L$219*(1+vanilla5)^0.5)/A9stdlife))</f>
        <v>n/a</v>
      </c>
      <c r="N186" s="73" t="str">
        <f>IF(A9stdlife="n/a","n/a",IF(N$3&gt;(A9stdlife+$F186),(Input!$L$219*(1+vanilla5)^0.5)-SUM($L186:M186),(Input!$L$219*(1+vanilla5)^0.5)/A9stdlife))</f>
        <v>n/a</v>
      </c>
      <c r="O186" s="73" t="str">
        <f>IF(A9stdlife="n/a","n/a",IF(O$3&gt;(A9stdlife+$F186),(Input!$L$219*(1+vanilla5)^0.5)-SUM($L186:N186),(Input!$L$219*(1+vanilla5)^0.5)/A9stdlife))</f>
        <v>n/a</v>
      </c>
      <c r="P186" s="73" t="str">
        <f>IF(A9stdlife="n/a","n/a",IF(P$3&gt;(A9stdlife+$F186),(Input!$L$219*(1+vanilla5)^0.5)-SUM($L186:O186),(Input!$L$219*(1+vanilla5)^0.5)/A9stdlife))</f>
        <v>n/a</v>
      </c>
      <c r="Q186" s="73" t="str">
        <f>IF(A9stdlife="n/a","n/a",IF(Q$3&gt;(A9stdlife+$F186),(Input!$L$219*(1+vanilla5)^0.5)-SUM($L186:P186),(Input!$L$219*(1+vanilla5)^0.5)/A9stdlife))</f>
        <v>n/a</v>
      </c>
      <c r="R186" s="73"/>
      <c r="S186" s="107"/>
      <c r="T186" s="107"/>
      <c r="U186" s="107"/>
      <c r="V186" s="107"/>
      <c r="W186" s="107"/>
      <c r="X186" s="107"/>
      <c r="Y186" s="107"/>
      <c r="Z186" s="107"/>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outlineLevel="2">
      <c r="A187" s="9"/>
      <c r="B187" s="9"/>
      <c r="C187" s="9"/>
      <c r="D187" s="26"/>
      <c r="E187" s="392"/>
      <c r="F187" s="91">
        <v>6</v>
      </c>
      <c r="G187" s="124"/>
      <c r="H187" s="149"/>
      <c r="I187" s="151"/>
      <c r="J187" s="151"/>
      <c r="K187" s="151"/>
      <c r="L187" s="151"/>
      <c r="M187" s="150"/>
      <c r="N187" s="73" t="str">
        <f>IF(A9stdlife="n/a","n/a",IF(N$3&gt;(A9stdlife+$F187),(Input!$M$219*(1+vanilla6)^0.5)-SUM($M187:M187),(Input!$M$219*(1+vanilla6)^0.5)/A9stdlife))</f>
        <v>n/a</v>
      </c>
      <c r="O187" s="73" t="str">
        <f>IF(A9stdlife="n/a","n/a",IF(O$3&gt;(A9stdlife+$F187),(Input!$M$219*(1+vanilla6)^0.5)-SUM($M187:N187),(Input!$M$219*(1+vanilla6)^0.5)/A9stdlife))</f>
        <v>n/a</v>
      </c>
      <c r="P187" s="73" t="str">
        <f>IF(A9stdlife="n/a","n/a",IF(P$3&gt;(A9stdlife+$F187),(Input!$M$219*(1+vanilla6)^0.5)-SUM($M187:O187),(Input!$M$219*(1+vanilla6)^0.5)/A9stdlife))</f>
        <v>n/a</v>
      </c>
      <c r="Q187" s="73" t="str">
        <f>IF(A9stdlife="n/a","n/a",IF(Q$3&gt;(A9stdlife+$F187),(Input!$M$219*(1+vanilla6)^0.5)-SUM($M187:P187),(Input!$M$219*(1+vanilla6)^0.5)/A9stdlife))</f>
        <v>n/a</v>
      </c>
      <c r="R187" s="73"/>
      <c r="S187" s="107"/>
      <c r="T187" s="107"/>
      <c r="U187" s="107"/>
      <c r="V187" s="107"/>
      <c r="W187" s="107"/>
      <c r="X187" s="107"/>
      <c r="Y187" s="107"/>
      <c r="Z187" s="107"/>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107"/>
      <c r="BE187" s="107"/>
      <c r="BF187" s="107"/>
      <c r="BG187" s="107"/>
      <c r="BH187" s="107"/>
      <c r="BI187" s="107"/>
      <c r="BJ187" s="107"/>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outlineLevel="2">
      <c r="A188" s="9"/>
      <c r="B188" s="9"/>
      <c r="C188" s="9"/>
      <c r="D188" s="26"/>
      <c r="E188" s="392"/>
      <c r="F188" s="91">
        <v>7</v>
      </c>
      <c r="G188" s="124"/>
      <c r="H188" s="149"/>
      <c r="I188" s="151"/>
      <c r="J188" s="151"/>
      <c r="K188" s="151"/>
      <c r="L188" s="151"/>
      <c r="M188" s="151"/>
      <c r="N188" s="150"/>
      <c r="O188" s="73" t="str">
        <f>IF(A9stdlife="n/a","n/a",IF(O$3&gt;(A9stdlife+$F188),(Input!$N$219*(1+vanilla7)^0.5)-SUM($N188:N188),(Input!$N$219*(1+vanilla7)^0.5)/A9stdlife))</f>
        <v>n/a</v>
      </c>
      <c r="P188" s="73" t="str">
        <f>IF(A9stdlife="n/a","n/a",IF(P$3&gt;(A9stdlife+$F188),(Input!$N$219*(1+vanilla7)^0.5)-SUM($N188:O188),(Input!$N$219*(1+vanilla7)^0.5)/A9stdlife))</f>
        <v>n/a</v>
      </c>
      <c r="Q188" s="73" t="str">
        <f>IF(A9stdlife="n/a","n/a",IF(Q$3&gt;(A9stdlife+$F188),(Input!$N$219*(1+vanilla7)^0.5)-SUM($N188:P188),(Input!$N$219*(1+vanilla7)^0.5)/A9stdlife))</f>
        <v>n/a</v>
      </c>
      <c r="R188" s="73"/>
      <c r="S188" s="107"/>
      <c r="T188" s="107"/>
      <c r="U188" s="107"/>
      <c r="V188" s="107"/>
      <c r="W188" s="107"/>
      <c r="X188" s="107"/>
      <c r="Y188" s="107"/>
      <c r="Z188" s="107"/>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107"/>
      <c r="BE188" s="107"/>
      <c r="BF188" s="107"/>
      <c r="BG188" s="107"/>
      <c r="BH188" s="107"/>
      <c r="BI188" s="107"/>
      <c r="BJ188" s="107"/>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outlineLevel="2">
      <c r="A189" s="9"/>
      <c r="B189" s="9"/>
      <c r="C189" s="9"/>
      <c r="D189" s="26"/>
      <c r="E189" s="392"/>
      <c r="F189" s="91">
        <v>8</v>
      </c>
      <c r="G189" s="124"/>
      <c r="H189" s="149"/>
      <c r="I189" s="151"/>
      <c r="J189" s="151"/>
      <c r="K189" s="151"/>
      <c r="L189" s="151"/>
      <c r="M189" s="151"/>
      <c r="N189" s="151"/>
      <c r="O189" s="150"/>
      <c r="P189" s="73" t="str">
        <f>IF(A9stdlife="n/a","n/a",IF(P$3&gt;(A9stdlife+$F189),(Input!$O$219*(1+vanilla8)^0.5)-SUM($O189:O189),(Input!$O$219*(1+vanilla8)^0.5)/A9stdlife))</f>
        <v>n/a</v>
      </c>
      <c r="Q189" s="73" t="str">
        <f>IF(A9stdlife="n/a","n/a",IF(Q$3&gt;(A9stdlife+$F189),(Input!$O$219*(1+vanilla8)^0.5)-SUM($O189:P189),(Input!$O$219*(1+vanilla8)^0.5)/A9stdlife))</f>
        <v>n/a</v>
      </c>
      <c r="R189" s="73"/>
      <c r="S189" s="107"/>
      <c r="T189" s="107"/>
      <c r="U189" s="107"/>
      <c r="V189" s="107"/>
      <c r="W189" s="107"/>
      <c r="X189" s="107"/>
      <c r="Y189" s="107"/>
      <c r="Z189" s="107"/>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107"/>
      <c r="BE189" s="107"/>
      <c r="BF189" s="107"/>
      <c r="BG189" s="107"/>
      <c r="BH189" s="107"/>
      <c r="BI189" s="107"/>
      <c r="BJ189" s="107"/>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outlineLevel="2">
      <c r="A190" s="9"/>
      <c r="B190" s="9"/>
      <c r="C190" s="9"/>
      <c r="D190" s="26"/>
      <c r="E190" s="392"/>
      <c r="F190" s="91">
        <v>9</v>
      </c>
      <c r="G190" s="124"/>
      <c r="H190" s="149"/>
      <c r="I190" s="151"/>
      <c r="J190" s="151"/>
      <c r="K190" s="151"/>
      <c r="L190" s="151"/>
      <c r="M190" s="151"/>
      <c r="N190" s="151"/>
      <c r="O190" s="151"/>
      <c r="P190" s="150"/>
      <c r="Q190" s="73" t="str">
        <f>IF(A9stdlife="n/a","n/a",IF(Q$3&gt;(A9stdlife+$F190),(Input!$P$219*(1+vanilla9)^0.5)-SUM($P190:P190),(Input!$P$219*(1+vanilla9)^0.5)/A9stdlife))</f>
        <v>n/a</v>
      </c>
      <c r="R190" s="73"/>
      <c r="S190" s="107"/>
      <c r="T190" s="107"/>
      <c r="U190" s="107"/>
      <c r="V190" s="107"/>
      <c r="W190" s="107"/>
      <c r="X190" s="107"/>
      <c r="Y190" s="107"/>
      <c r="Z190" s="107"/>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107"/>
      <c r="BE190" s="107"/>
      <c r="BF190" s="107"/>
      <c r="BG190" s="107"/>
      <c r="BH190" s="107"/>
      <c r="BI190" s="107"/>
      <c r="BJ190" s="107"/>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outlineLevel="2">
      <c r="A191" s="9"/>
      <c r="B191" s="9"/>
      <c r="C191" s="9"/>
      <c r="D191" s="26"/>
      <c r="E191" s="392"/>
      <c r="F191" s="92">
        <v>10</v>
      </c>
      <c r="G191" s="124"/>
      <c r="H191" s="149"/>
      <c r="I191" s="151"/>
      <c r="J191" s="151"/>
      <c r="K191" s="151"/>
      <c r="L191" s="151"/>
      <c r="M191" s="151"/>
      <c r="N191" s="151"/>
      <c r="O191" s="151"/>
      <c r="P191" s="151"/>
      <c r="Q191" s="150"/>
      <c r="R191" s="73"/>
      <c r="S191" s="107"/>
      <c r="T191" s="107"/>
      <c r="U191" s="107"/>
      <c r="V191" s="107"/>
      <c r="W191" s="107"/>
      <c r="X191" s="107"/>
      <c r="Y191" s="107"/>
      <c r="Z191" s="107"/>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107"/>
      <c r="BE191" s="107"/>
      <c r="BF191" s="107"/>
      <c r="BG191" s="107"/>
      <c r="BH191" s="107"/>
      <c r="BI191" s="107"/>
      <c r="BJ191" s="107"/>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outlineLevel="1">
      <c r="A192" s="9"/>
      <c r="B192" s="9"/>
      <c r="C192" s="9"/>
      <c r="D192" s="279" t="str">
        <f>Asset9</f>
        <v>Land and Easements</v>
      </c>
      <c r="E192" s="9"/>
      <c r="F192" s="9"/>
      <c r="G192" s="124"/>
      <c r="H192" s="165">
        <f>-SUM(H180:H191)</f>
        <v>0</v>
      </c>
      <c r="I192" s="165">
        <f>-SUM(I180:I191)</f>
        <v>0</v>
      </c>
      <c r="J192" s="165">
        <f>-SUM(J180:J191)</f>
        <v>0</v>
      </c>
      <c r="K192" s="165">
        <f>-SUM(K180:K191)</f>
        <v>0</v>
      </c>
      <c r="L192" s="165">
        <f>-SUM(L180:L191)</f>
        <v>0</v>
      </c>
      <c r="M192" s="73">
        <f>IF(COUNT($H192:L192)&gt;=Input!$W$7,0, -SUM(M180:M191))</f>
        <v>0</v>
      </c>
      <c r="N192" s="73">
        <f>IF(COUNT($H192:M192)&gt;=Input!$W$7,0, -SUM(N180:N191))</f>
        <v>0</v>
      </c>
      <c r="O192" s="73">
        <f>IF(COUNT($H192:N192)&gt;=Input!$W$7,0, -SUM(O180:O191))</f>
        <v>0</v>
      </c>
      <c r="P192" s="73">
        <f>IF(COUNT($H192:O192)&gt;=Input!$W$7,0, -SUM(P180:P191))</f>
        <v>0</v>
      </c>
      <c r="Q192" s="73">
        <f>IF(COUNT($H192:P192)&gt;=Input!$W$7,0, -SUM(Q180:Q191))</f>
        <v>0</v>
      </c>
      <c r="R192" s="71"/>
      <c r="S192" s="109"/>
      <c r="T192" s="109"/>
      <c r="U192" s="109"/>
      <c r="V192" s="109"/>
      <c r="W192" s="109"/>
      <c r="X192" s="109"/>
      <c r="Y192" s="109"/>
      <c r="Z192" s="109"/>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109"/>
      <c r="BE192" s="109"/>
      <c r="BF192" s="109"/>
      <c r="BG192" s="109"/>
      <c r="BH192" s="109"/>
      <c r="BI192" s="109"/>
      <c r="BJ192" s="109"/>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outlineLevel="2">
      <c r="A193" s="9"/>
      <c r="B193" s="9"/>
      <c r="C193" s="280" t="str">
        <f>Asset10</f>
        <v>Transmission line assets - long life (60)</v>
      </c>
      <c r="D193" s="161"/>
      <c r="E193" s="32" t="s">
        <v>26</v>
      </c>
      <c r="F193" s="31"/>
      <c r="G193" s="181"/>
      <c r="H193" s="72" t="str">
        <f>IF(H$3&gt;A10remlife,A10value-$G$639-SUM($G193:G193),IF(A10remlife="N/A","n/a",(A10value-$G$639)/A10remlife))</f>
        <v>n/a</v>
      </c>
      <c r="I193" s="72" t="str">
        <f>IF(I$3&gt;A10remlife,A10value-$G$639-SUM($G193:H193),IF(A10remlife="N/A","n/a",(A10value-$G$639)/A10remlife))</f>
        <v>n/a</v>
      </c>
      <c r="J193" s="72" t="str">
        <f>IF(J$3&gt;A10remlife,A10value-$G$639-SUM($G193:I193),IF(A10remlife="N/A","n/a",(A10value-$G$639)/A10remlife))</f>
        <v>n/a</v>
      </c>
      <c r="K193" s="72" t="str">
        <f>IF(K$3&gt;A10remlife,A10value-$G$639-SUM($G193:J193),IF(A10remlife="N/A","n/a",(A10value-$G$639)/A10remlife))</f>
        <v>n/a</v>
      </c>
      <c r="L193" s="72" t="str">
        <f>IF(L$3&gt;A10remlife,A10value-$G$639-SUM($G193:K193),IF(A10remlife="N/A","n/a",(A10value-$G$639)/A10remlife))</f>
        <v>n/a</v>
      </c>
      <c r="M193" s="72" t="str">
        <f>IF(M$3&gt;A10remlife,A10value-$G$639-SUM($G193:L193),IF(A10remlife="N/A","n/a",(A10value-$G$639)/A10remlife))</f>
        <v>n/a</v>
      </c>
      <c r="N193" s="72" t="str">
        <f>IF(N$3&gt;A10remlife,A10value-$G$639-SUM($G193:M193),IF(A10remlife="N/A","n/a",(A10value-$G$639)/A10remlife))</f>
        <v>n/a</v>
      </c>
      <c r="O193" s="72" t="str">
        <f>IF(O$3&gt;A10remlife,A10value-$G$639-SUM($G193:N193),IF(A10remlife="N/A","n/a",(A10value-$G$639)/A10remlife))</f>
        <v>n/a</v>
      </c>
      <c r="P193" s="72" t="str">
        <f>IF(P$3&gt;A10remlife,A10value-$G$639-SUM($G193:O193),IF(A10remlife="N/A","n/a",(A10value-$G$639)/A10remlife))</f>
        <v>n/a</v>
      </c>
      <c r="Q193" s="72" t="str">
        <f>IF(Q$3&gt;A10remlife,A10value-$G$639-SUM($G193:P193),IF(A10remlife="N/A","n/a",(A10value-$G$639)/A10remlife))</f>
        <v>n/a</v>
      </c>
      <c r="R193" s="72"/>
      <c r="S193" s="107"/>
      <c r="T193" s="107"/>
      <c r="U193" s="107"/>
      <c r="V193" s="107"/>
      <c r="W193" s="107"/>
      <c r="X193" s="107"/>
      <c r="Y193" s="107"/>
      <c r="Z193" s="107"/>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107"/>
      <c r="BE193" s="107"/>
      <c r="BF193" s="107"/>
      <c r="BG193" s="107"/>
      <c r="BH193" s="107"/>
      <c r="BI193" s="107"/>
      <c r="BJ193" s="107"/>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9"/>
      <c r="D194" s="162"/>
      <c r="E194" s="391" t="s">
        <v>81</v>
      </c>
      <c r="F194" s="91"/>
      <c r="G194" s="124"/>
      <c r="H194" s="73"/>
      <c r="I194" s="73"/>
      <c r="J194" s="73"/>
      <c r="K194" s="73"/>
      <c r="L194" s="73"/>
      <c r="M194" s="163"/>
      <c r="N194" s="115"/>
      <c r="O194" s="73"/>
      <c r="P194" s="73"/>
      <c r="Q194" s="73"/>
      <c r="R194" s="73"/>
      <c r="S194" s="107"/>
      <c r="T194" s="107"/>
      <c r="U194" s="107"/>
      <c r="V194" s="107"/>
      <c r="W194" s="107"/>
      <c r="X194" s="107"/>
      <c r="Y194" s="107"/>
      <c r="Z194" s="107"/>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107"/>
      <c r="BE194" s="107"/>
      <c r="BF194" s="107"/>
      <c r="BG194" s="107"/>
      <c r="BH194" s="107"/>
      <c r="BI194" s="107"/>
      <c r="BJ194" s="107"/>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outlineLevel="2">
      <c r="A195" s="9"/>
      <c r="B195" s="9"/>
      <c r="C195" s="9"/>
      <c r="D195" s="26"/>
      <c r="E195" s="392"/>
      <c r="F195" s="91">
        <v>1</v>
      </c>
      <c r="G195" s="124"/>
      <c r="H195" s="148"/>
      <c r="I195" s="73">
        <f>IF(A10stdlife="n/a","n/a",IF(I$3&gt;(A10stdlife+$F195),(Input!$H$220*(1+vanilla1)^0.5)-SUM($H195:H195),(Input!$H$220*(1+vanilla1)^0.5)/A10stdlife))</f>
        <v>2.0473282044532939E-2</v>
      </c>
      <c r="J195" s="73">
        <f>IF(A10stdlife="n/a","n/a",IF(J$3&gt;(A10stdlife+$F195),(Input!$H$220*(1+vanilla1)^0.5)-SUM($H195:I195),(Input!$H$220*(1+vanilla1)^0.5)/A10stdlife))</f>
        <v>2.0473282044532939E-2</v>
      </c>
      <c r="K195" s="73">
        <f>IF(A10stdlife="n/a","n/a",IF(K$3&gt;(A10stdlife+$F195),(Input!$H$220*(1+vanilla1)^0.5)-SUM($H195:J195),(Input!$H$220*(1+vanilla1)^0.5)/A10stdlife))</f>
        <v>2.0473282044532939E-2</v>
      </c>
      <c r="L195" s="73">
        <f>IF(A10stdlife="n/a","n/a",IF(L$3&gt;(A10stdlife+$F195),(Input!$H$220*(1+vanilla1)^0.5)-SUM($H195:K195),(Input!$H$220*(1+vanilla1)^0.5)/A10stdlife))</f>
        <v>2.0473282044532939E-2</v>
      </c>
      <c r="M195" s="73">
        <f>IF(A10stdlife="n/a","n/a",IF(M$3&gt;(A10stdlife+$F195),(Input!$H$220*(1+vanilla1)^0.5)-SUM($H195:L195),(Input!$H$220*(1+vanilla1)^0.5)/A10stdlife))</f>
        <v>2.0473282044532939E-2</v>
      </c>
      <c r="N195" s="73">
        <f>IF(A10stdlife="n/a","n/a",IF(N$3&gt;(A10stdlife+$F195),(Input!$H$220*(1+vanilla1)^0.5)-SUM($H195:M195),(Input!$H$220*(1+vanilla1)^0.5)/A10stdlife))</f>
        <v>2.0473282044532939E-2</v>
      </c>
      <c r="O195" s="73">
        <f>IF(A10stdlife="n/a","n/a",IF(O$3&gt;(A10stdlife+$F195),(Input!$H$220*(1+vanilla1)^0.5)-SUM($H195:N195),(Input!$H$220*(1+vanilla1)^0.5)/A10stdlife))</f>
        <v>2.0473282044532939E-2</v>
      </c>
      <c r="P195" s="73">
        <f>IF(A10stdlife="n/a","n/a",IF(P$3&gt;(A10stdlife+$F195),(Input!$H$220*(1+vanilla1)^0.5)-SUM($H195:O195),(Input!$H$220*(1+vanilla1)^0.5)/A10stdlife))</f>
        <v>2.0473282044532939E-2</v>
      </c>
      <c r="Q195" s="73">
        <f>IF(A10stdlife="n/a","n/a",IF(Q$3&gt;(A10stdlife+$F195),(Input!$H$220*(1+vanilla1)^0.5)-SUM($H195:P195),(Input!$H$220*(1+vanilla1)^0.5)/A10stdlife))</f>
        <v>2.0473282044532939E-2</v>
      </c>
      <c r="R195" s="73"/>
      <c r="S195" s="107"/>
      <c r="T195" s="107"/>
      <c r="U195" s="107"/>
      <c r="V195" s="107"/>
      <c r="W195" s="107"/>
      <c r="X195" s="107"/>
      <c r="Y195" s="107"/>
      <c r="Z195" s="107"/>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107"/>
      <c r="BE195" s="107"/>
      <c r="BF195" s="107"/>
      <c r="BG195" s="107"/>
      <c r="BH195" s="107"/>
      <c r="BI195" s="107"/>
      <c r="BJ195" s="107"/>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outlineLevel="2">
      <c r="A196" s="9"/>
      <c r="B196" s="9"/>
      <c r="C196" s="9"/>
      <c r="D196" s="26"/>
      <c r="E196" s="392"/>
      <c r="F196" s="91">
        <v>2</v>
      </c>
      <c r="G196" s="124"/>
      <c r="H196" s="149"/>
      <c r="I196" s="150"/>
      <c r="J196" s="73">
        <f>IF(A10stdlife="n/a","n/a",IF(J$3&gt;(A10stdlife+$F196),(Input!$I$220*(1+vanilla2)^0.5)-SUM($I196:I196),(Input!$I$220*(1+vanilla2)^0.5)/A10stdlife))</f>
        <v>1.842513363006471</v>
      </c>
      <c r="K196" s="73">
        <f>IF(A10stdlife="n/a","n/a",IF(K$3&gt;(A10stdlife+$F196),(Input!$I$220*(1+vanilla2)^0.5)-SUM($I196:J196),(Input!$I$220*(1+vanilla2)^0.5)/A10stdlife))</f>
        <v>1.842513363006471</v>
      </c>
      <c r="L196" s="73">
        <f>IF(A10stdlife="n/a","n/a",IF(L$3&gt;(A10stdlife+$F196),(Input!$I$220*(1+vanilla2)^0.5)-SUM($I196:K196),(Input!$I$220*(1+vanilla2)^0.5)/A10stdlife))</f>
        <v>1.842513363006471</v>
      </c>
      <c r="M196" s="73">
        <f>IF(A10stdlife="n/a","n/a",IF(M$3&gt;(A10stdlife+$F196),(Input!$I$220*(1+vanilla2)^0.5)-SUM($I196:L196),(Input!$I$220*(1+vanilla2)^0.5)/A10stdlife))</f>
        <v>1.842513363006471</v>
      </c>
      <c r="N196" s="73">
        <f>IF(A10stdlife="n/a","n/a",IF(N$3&gt;(A10stdlife+$F196),(Input!$I$220*(1+vanilla2)^0.5)-SUM($I196:M196),(Input!$I$220*(1+vanilla2)^0.5)/A10stdlife))</f>
        <v>1.842513363006471</v>
      </c>
      <c r="O196" s="73">
        <f>IF(A10stdlife="n/a","n/a",IF(O$3&gt;(A10stdlife+$F196),(Input!$I$220*(1+vanilla2)^0.5)-SUM($I196:N196),(Input!$I$220*(1+vanilla2)^0.5)/A10stdlife))</f>
        <v>1.842513363006471</v>
      </c>
      <c r="P196" s="73">
        <f>IF(A10stdlife="n/a","n/a",IF(P$3&gt;(A10stdlife+$F196),(Input!$I$220*(1+vanilla2)^0.5)-SUM($I196:O196),(Input!$I$220*(1+vanilla2)^0.5)/A10stdlife))</f>
        <v>1.842513363006471</v>
      </c>
      <c r="Q196" s="73">
        <f>IF(A10stdlife="n/a","n/a",IF(Q$3&gt;(A10stdlife+$F196),(Input!$I$220*(1+vanilla2)^0.5)-SUM($I196:P196),(Input!$I$220*(1+vanilla2)^0.5)/A10stdlife))</f>
        <v>1.842513363006471</v>
      </c>
      <c r="R196" s="73"/>
      <c r="S196" s="107"/>
      <c r="T196" s="107"/>
      <c r="U196" s="107"/>
      <c r="V196" s="107"/>
      <c r="W196" s="107"/>
      <c r="X196" s="107"/>
      <c r="Y196" s="107"/>
      <c r="Z196" s="107"/>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107"/>
      <c r="BE196" s="107"/>
      <c r="BF196" s="107"/>
      <c r="BG196" s="107"/>
      <c r="BH196" s="107"/>
      <c r="BI196" s="107"/>
      <c r="BJ196" s="107"/>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2">
      <c r="A197" s="9"/>
      <c r="B197" s="9"/>
      <c r="C197" s="9"/>
      <c r="D197" s="26"/>
      <c r="E197" s="392"/>
      <c r="F197" s="91">
        <v>3</v>
      </c>
      <c r="G197" s="124"/>
      <c r="H197" s="149"/>
      <c r="I197" s="151"/>
      <c r="J197" s="150"/>
      <c r="K197" s="73">
        <f>IF(A10stdlife="n/a","n/a",IF(K$3&gt;(A10stdlife+$F197),(Input!$J$220*(1+vanilla3)^0.5)-SUM($J197:J197),(Input!$J$220*(1+vanilla3)^0.5)/A10stdlife))</f>
        <v>0.28146855212389166</v>
      </c>
      <c r="L197" s="73">
        <f>IF(A10stdlife="n/a","n/a",IF(L$3&gt;(A10stdlife+$F197),(Input!$J$220*(1+vanilla3)^0.5)-SUM($J197:K197),(Input!$J$220*(1+vanilla3)^0.5)/A10stdlife))</f>
        <v>0.28146855212389166</v>
      </c>
      <c r="M197" s="73">
        <f>IF(A10stdlife="n/a","n/a",IF(M$3&gt;(A10stdlife+$F197),(Input!$J$220*(1+vanilla3)^0.5)-SUM($J197:L197),(Input!$J$220*(1+vanilla3)^0.5)/A10stdlife))</f>
        <v>0.28146855212389166</v>
      </c>
      <c r="N197" s="73">
        <f>IF(A10stdlife="n/a","n/a",IF(N$3&gt;(A10stdlife+$F197),(Input!$J$220*(1+vanilla3)^0.5)-SUM($J197:M197),(Input!$J$220*(1+vanilla3)^0.5)/A10stdlife))</f>
        <v>0.28146855212389166</v>
      </c>
      <c r="O197" s="73">
        <f>IF(A10stdlife="n/a","n/a",IF(O$3&gt;(A10stdlife+$F197),(Input!$J$220*(1+vanilla3)^0.5)-SUM($J197:N197),(Input!$J$220*(1+vanilla3)^0.5)/A10stdlife))</f>
        <v>0.28146855212389166</v>
      </c>
      <c r="P197" s="73">
        <f>IF(A10stdlife="n/a","n/a",IF(P$3&gt;(A10stdlife+$F197),(Input!$J$220*(1+vanilla3)^0.5)-SUM($J197:O197),(Input!$J$220*(1+vanilla3)^0.5)/A10stdlife))</f>
        <v>0.28146855212389166</v>
      </c>
      <c r="Q197" s="73">
        <f>IF(A10stdlife="n/a","n/a",IF(Q$3&gt;(A10stdlife+$F197),(Input!$J$220*(1+vanilla3)^0.5)-SUM($J197:P197),(Input!$J$220*(1+vanilla3)^0.5)/A10stdlife))</f>
        <v>0.28146855212389166</v>
      </c>
      <c r="R197" s="73"/>
      <c r="S197" s="107"/>
      <c r="T197" s="107"/>
      <c r="U197" s="107"/>
      <c r="V197" s="107"/>
      <c r="W197" s="107"/>
      <c r="X197" s="107"/>
      <c r="Y197" s="107"/>
      <c r="Z197" s="107"/>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107"/>
      <c r="BE197" s="107"/>
      <c r="BF197" s="107"/>
      <c r="BG197" s="107"/>
      <c r="BH197" s="107"/>
      <c r="BI197" s="107"/>
      <c r="BJ197" s="107"/>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outlineLevel="2">
      <c r="A198" s="9"/>
      <c r="B198" s="9"/>
      <c r="C198" s="9"/>
      <c r="D198" s="26"/>
      <c r="E198" s="392"/>
      <c r="F198" s="91">
        <v>4</v>
      </c>
      <c r="G198" s="124"/>
      <c r="H198" s="149"/>
      <c r="I198" s="151"/>
      <c r="J198" s="151"/>
      <c r="K198" s="150"/>
      <c r="L198" s="73">
        <f>IF(A10stdlife="n/a","n/a",IF(L$3&gt;(A10stdlife+$F198),(Input!$K$220*(1+vanilla4)^0.5)-SUM($K198:K198),(Input!$K$220*(1+vanilla4)^0.5)/A10stdlife))</f>
        <v>0.1538396994484495</v>
      </c>
      <c r="M198" s="73">
        <f>IF(A10stdlife="n/a","n/a",IF(M$3&gt;(A10stdlife+$F198),(Input!$K$220*(1+vanilla4)^0.5)-SUM($K198:L198),(Input!$K$220*(1+vanilla4)^0.5)/A10stdlife))</f>
        <v>0.1538396994484495</v>
      </c>
      <c r="N198" s="73">
        <f>IF(A10stdlife="n/a","n/a",IF(N$3&gt;(A10stdlife+$F198),(Input!$K$220*(1+vanilla4)^0.5)-SUM($K198:M198),(Input!$K$220*(1+vanilla4)^0.5)/A10stdlife))</f>
        <v>0.1538396994484495</v>
      </c>
      <c r="O198" s="73">
        <f>IF(A10stdlife="n/a","n/a",IF(O$3&gt;(A10stdlife+$F198),(Input!$K$220*(1+vanilla4)^0.5)-SUM($K198:N198),(Input!$K$220*(1+vanilla4)^0.5)/A10stdlife))</f>
        <v>0.1538396994484495</v>
      </c>
      <c r="P198" s="73">
        <f>IF(A10stdlife="n/a","n/a",IF(P$3&gt;(A10stdlife+$F198),(Input!$K$220*(1+vanilla4)^0.5)-SUM($K198:O198),(Input!$K$220*(1+vanilla4)^0.5)/A10stdlife))</f>
        <v>0.1538396994484495</v>
      </c>
      <c r="Q198" s="73">
        <f>IF(A10stdlife="n/a","n/a",IF(Q$3&gt;(A10stdlife+$F198),(Input!$K$220*(1+vanilla4)^0.5)-SUM($K198:P198),(Input!$K$220*(1+vanilla4)^0.5)/A10stdlife))</f>
        <v>0.1538396994484495</v>
      </c>
      <c r="R198" s="73"/>
      <c r="S198" s="107"/>
      <c r="T198" s="107"/>
      <c r="U198" s="107"/>
      <c r="V198" s="107"/>
      <c r="W198" s="107"/>
      <c r="X198" s="107"/>
      <c r="Y198" s="107"/>
      <c r="Z198" s="107"/>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107"/>
      <c r="BE198" s="107"/>
      <c r="BF198" s="107"/>
      <c r="BG198" s="107"/>
      <c r="BH198" s="107"/>
      <c r="BI198" s="107"/>
      <c r="BJ198" s="107"/>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2">
      <c r="A199" s="9"/>
      <c r="B199" s="9"/>
      <c r="C199" s="9"/>
      <c r="D199" s="26"/>
      <c r="E199" s="392"/>
      <c r="F199" s="91">
        <v>5</v>
      </c>
      <c r="G199" s="27"/>
      <c r="H199" s="149"/>
      <c r="I199" s="151"/>
      <c r="J199" s="151"/>
      <c r="K199" s="151"/>
      <c r="L199" s="150"/>
      <c r="M199" s="73">
        <f>IF(A10stdlife="n/a","n/a",IF(M$3&gt;(A10stdlife+$F199),(Input!$L$220*(1+vanilla5)^0.5)-SUM($L199:L199),(Input!$L$220*(1+vanilla5)^0.5)/A10stdlife))</f>
        <v>0.63664552114770312</v>
      </c>
      <c r="N199" s="73">
        <f>IF(A10stdlife="n/a","n/a",IF(N$3&gt;(A10stdlife+$F199),(Input!$L$220*(1+vanilla5)^0.5)-SUM($L199:M199),(Input!$L$220*(1+vanilla5)^0.5)/A10stdlife))</f>
        <v>0.63664552114770312</v>
      </c>
      <c r="O199" s="73">
        <f>IF(A10stdlife="n/a","n/a",IF(O$3&gt;(A10stdlife+$F199),(Input!$L$220*(1+vanilla5)^0.5)-SUM($L199:N199),(Input!$L$220*(1+vanilla5)^0.5)/A10stdlife))</f>
        <v>0.63664552114770312</v>
      </c>
      <c r="P199" s="73">
        <f>IF(A10stdlife="n/a","n/a",IF(P$3&gt;(A10stdlife+$F199),(Input!$L$220*(1+vanilla5)^0.5)-SUM($L199:O199),(Input!$L$220*(1+vanilla5)^0.5)/A10stdlife))</f>
        <v>0.63664552114770312</v>
      </c>
      <c r="Q199" s="73">
        <f>IF(A10stdlife="n/a","n/a",IF(Q$3&gt;(A10stdlife+$F199),(Input!$L$220*(1+vanilla5)^0.5)-SUM($L199:P199),(Input!$L$220*(1+vanilla5)^0.5)/A10stdlife))</f>
        <v>0.63664552114770312</v>
      </c>
      <c r="R199" s="73"/>
      <c r="S199" s="107"/>
      <c r="T199" s="107"/>
      <c r="U199" s="107"/>
      <c r="V199" s="107"/>
      <c r="W199" s="107"/>
      <c r="X199" s="107"/>
      <c r="Y199" s="107"/>
      <c r="Z199" s="107"/>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outlineLevel="2">
      <c r="A200" s="9"/>
      <c r="B200" s="9"/>
      <c r="C200" s="9"/>
      <c r="D200" s="26"/>
      <c r="E200" s="392"/>
      <c r="F200" s="91">
        <v>6</v>
      </c>
      <c r="G200" s="27"/>
      <c r="H200" s="149"/>
      <c r="I200" s="151"/>
      <c r="J200" s="151"/>
      <c r="K200" s="151"/>
      <c r="L200" s="151"/>
      <c r="M200" s="150"/>
      <c r="N200" s="73">
        <f>IF(A10stdlife="n/a","n/a",IF(N$3&gt;(A10stdlife+$F200),(Input!$M$220*(1+vanilla6)^0.5)-SUM($M200:M200),(Input!$M$220*(1+vanilla6)^0.5)/A10stdlife))</f>
        <v>0</v>
      </c>
      <c r="O200" s="73">
        <f>IF(A10stdlife="n/a","n/a",IF(O$3&gt;(A10stdlife+$F200),(Input!$M$220*(1+vanilla6)^0.5)-SUM($M200:N200),(Input!$M$220*(1+vanilla6)^0.5)/A10stdlife))</f>
        <v>0</v>
      </c>
      <c r="P200" s="73">
        <f>IF(A10stdlife="n/a","n/a",IF(P$3&gt;(A10stdlife+$F200),(Input!$M$220*(1+vanilla6)^0.5)-SUM($M200:O200),(Input!$M$220*(1+vanilla6)^0.5)/A10stdlife))</f>
        <v>0</v>
      </c>
      <c r="Q200" s="73">
        <f>IF(A10stdlife="n/a","n/a",IF(Q$3&gt;(A10stdlife+$F200),(Input!$M$220*(1+vanilla6)^0.5)-SUM($M200:P200),(Input!$M$220*(1+vanilla6)^0.5)/A10stdlife))</f>
        <v>0</v>
      </c>
      <c r="R200" s="73"/>
      <c r="S200" s="107"/>
      <c r="T200" s="107"/>
      <c r="U200" s="107"/>
      <c r="V200" s="107"/>
      <c r="W200" s="107"/>
      <c r="X200" s="107"/>
      <c r="Y200" s="107"/>
      <c r="Z200" s="107"/>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107"/>
      <c r="BE200" s="107"/>
      <c r="BF200" s="107"/>
      <c r="BG200" s="107"/>
      <c r="BH200" s="107"/>
      <c r="BI200" s="107"/>
      <c r="BJ200" s="107"/>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outlineLevel="2">
      <c r="A201" s="9"/>
      <c r="B201" s="9"/>
      <c r="C201" s="9"/>
      <c r="D201" s="26"/>
      <c r="E201" s="392"/>
      <c r="F201" s="91">
        <v>7</v>
      </c>
      <c r="G201" s="27"/>
      <c r="H201" s="149"/>
      <c r="I201" s="151"/>
      <c r="J201" s="151"/>
      <c r="K201" s="151"/>
      <c r="L201" s="151"/>
      <c r="M201" s="151"/>
      <c r="N201" s="150"/>
      <c r="O201" s="73">
        <f>IF(A10stdlife="n/a","n/a",IF(O$3&gt;(A10stdlife+$F201),(Input!$N$220*(1+vanilla7)^0.5)-SUM($N201:N201),(Input!$N$220*(1+vanilla7)^0.5)/A10stdlife))</f>
        <v>0</v>
      </c>
      <c r="P201" s="73">
        <f>IF(A10stdlife="n/a","n/a",IF(P$3&gt;(A10stdlife+$F201),(Input!$N$220*(1+vanilla7)^0.5)-SUM($N201:O201),(Input!$N$220*(1+vanilla7)^0.5)/A10stdlife))</f>
        <v>0</v>
      </c>
      <c r="Q201" s="73">
        <f>IF(A10stdlife="n/a","n/a",IF(Q$3&gt;(A10stdlife+$F201),(Input!$N$220*(1+vanilla7)^0.5)-SUM($N201:P201),(Input!$N$220*(1+vanilla7)^0.5)/A10stdlife))</f>
        <v>0</v>
      </c>
      <c r="R201" s="73"/>
      <c r="S201" s="107"/>
      <c r="T201" s="107"/>
      <c r="U201" s="107"/>
      <c r="V201" s="107"/>
      <c r="W201" s="107"/>
      <c r="X201" s="107"/>
      <c r="Y201" s="107"/>
      <c r="Z201" s="107"/>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107"/>
      <c r="BE201" s="107"/>
      <c r="BF201" s="107"/>
      <c r="BG201" s="107"/>
      <c r="BH201" s="107"/>
      <c r="BI201" s="107"/>
      <c r="BJ201" s="107"/>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outlineLevel="2">
      <c r="A202" s="9"/>
      <c r="B202" s="9"/>
      <c r="C202" s="9"/>
      <c r="D202" s="26"/>
      <c r="E202" s="392"/>
      <c r="F202" s="91">
        <v>8</v>
      </c>
      <c r="G202" s="27"/>
      <c r="H202" s="149"/>
      <c r="I202" s="151"/>
      <c r="J202" s="151"/>
      <c r="K202" s="151"/>
      <c r="L202" s="151"/>
      <c r="M202" s="151"/>
      <c r="N202" s="151"/>
      <c r="O202" s="150"/>
      <c r="P202" s="73">
        <f>IF(A10stdlife="n/a","n/a",IF(P$3&gt;(A10stdlife+$F202),(Input!$O$220*(1+vanilla8)^0.5)-SUM($O202:O202),(Input!$O$220*(1+vanilla8)^0.5)/A10stdlife))</f>
        <v>0</v>
      </c>
      <c r="Q202" s="73">
        <f>IF(A10stdlife="n/a","n/a",IF(Q$3&gt;(A10stdlife+$F202),(Input!$O$220*(1+vanilla8)^0.5)-SUM($O202:P202),(Input!$O$220*(1+vanilla8)^0.5)/A10stdlife))</f>
        <v>0</v>
      </c>
      <c r="R202" s="73"/>
      <c r="S202" s="107"/>
      <c r="T202" s="107"/>
      <c r="U202" s="107"/>
      <c r="V202" s="107"/>
      <c r="W202" s="107"/>
      <c r="X202" s="107"/>
      <c r="Y202" s="107"/>
      <c r="Z202" s="107"/>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107"/>
      <c r="BE202" s="107"/>
      <c r="BF202" s="107"/>
      <c r="BG202" s="107"/>
      <c r="BH202" s="107"/>
      <c r="BI202" s="107"/>
      <c r="BJ202" s="107"/>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outlineLevel="2">
      <c r="A203" s="9"/>
      <c r="B203" s="9"/>
      <c r="C203" s="9"/>
      <c r="D203" s="26"/>
      <c r="E203" s="392"/>
      <c r="F203" s="91">
        <v>9</v>
      </c>
      <c r="G203" s="27"/>
      <c r="H203" s="149"/>
      <c r="I203" s="151"/>
      <c r="J203" s="151"/>
      <c r="K203" s="151"/>
      <c r="L203" s="151"/>
      <c r="M203" s="151"/>
      <c r="N203" s="151"/>
      <c r="O203" s="151"/>
      <c r="P203" s="150"/>
      <c r="Q203" s="73">
        <f>IF(A10stdlife="n/a","n/a",IF(Q$3&gt;(A10stdlife+$F203),(Input!$P$220*(1+vanilla9)^0.5)-SUM($P203:P203),(Input!$P$220*(1+vanilla9)^0.5)/A10stdlife))</f>
        <v>0</v>
      </c>
      <c r="R203" s="73"/>
      <c r="S203" s="107"/>
      <c r="T203" s="107"/>
      <c r="U203" s="107"/>
      <c r="V203" s="107"/>
      <c r="W203" s="107"/>
      <c r="X203" s="107"/>
      <c r="Y203" s="107"/>
      <c r="Z203" s="107"/>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107"/>
      <c r="BE203" s="107"/>
      <c r="BF203" s="107"/>
      <c r="BG203" s="107"/>
      <c r="BH203" s="107"/>
      <c r="BI203" s="107"/>
      <c r="BJ203" s="107"/>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outlineLevel="2">
      <c r="A204" s="9"/>
      <c r="B204" s="9"/>
      <c r="C204" s="9"/>
      <c r="D204" s="26"/>
      <c r="E204" s="392"/>
      <c r="F204" s="92">
        <v>10</v>
      </c>
      <c r="G204" s="27"/>
      <c r="H204" s="149"/>
      <c r="I204" s="151"/>
      <c r="J204" s="151"/>
      <c r="K204" s="151"/>
      <c r="L204" s="151"/>
      <c r="M204" s="151"/>
      <c r="N204" s="151"/>
      <c r="O204" s="151"/>
      <c r="P204" s="151"/>
      <c r="Q204" s="150"/>
      <c r="R204" s="73"/>
      <c r="S204" s="107"/>
      <c r="T204" s="107"/>
      <c r="U204" s="107"/>
      <c r="V204" s="107"/>
      <c r="W204" s="107"/>
      <c r="X204" s="107"/>
      <c r="Y204" s="107"/>
      <c r="Z204" s="107"/>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107"/>
      <c r="BE204" s="107"/>
      <c r="BF204" s="107"/>
      <c r="BG204" s="107"/>
      <c r="BH204" s="107"/>
      <c r="BI204" s="107"/>
      <c r="BJ204" s="107"/>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outlineLevel="1">
      <c r="A205" s="9"/>
      <c r="B205" s="9"/>
      <c r="C205" s="9"/>
      <c r="D205" s="279" t="str">
        <f>Asset10</f>
        <v>Transmission line assets - long life (60)</v>
      </c>
      <c r="E205" s="9"/>
      <c r="F205" s="9"/>
      <c r="G205" s="124"/>
      <c r="H205" s="165">
        <f>-SUM(H193:H204)</f>
        <v>0</v>
      </c>
      <c r="I205" s="165">
        <f>-SUM(I193:I204)</f>
        <v>-2.0473282044532939E-2</v>
      </c>
      <c r="J205" s="165">
        <f>-SUM(J193:J204)</f>
        <v>-1.862986645051004</v>
      </c>
      <c r="K205" s="165">
        <f>-SUM(K193:K204)</f>
        <v>-2.1444551971748957</v>
      </c>
      <c r="L205" s="165">
        <f>-SUM(L193:L204)</f>
        <v>-2.2982948966233452</v>
      </c>
      <c r="M205" s="73">
        <f>IF(COUNT($H205:L205)&gt;=Input!$W$7,0, -SUM(M193:M204))</f>
        <v>0</v>
      </c>
      <c r="N205" s="73">
        <f>IF(COUNT($H205:M205)&gt;=Input!$W$7,0, -SUM(N193:N204))</f>
        <v>0</v>
      </c>
      <c r="O205" s="73">
        <f>IF(COUNT($H205:N205)&gt;=Input!$W$7,0, -SUM(O193:O204))</f>
        <v>0</v>
      </c>
      <c r="P205" s="73">
        <f>IF(COUNT($H205:O205)&gt;=Input!$W$7,0, -SUM(P193:P204))</f>
        <v>0</v>
      </c>
      <c r="Q205" s="73">
        <f>IF(COUNT($H205:P205)&gt;=Input!$W$7,0, -SUM(Q193:Q204))</f>
        <v>0</v>
      </c>
      <c r="R205" s="71"/>
      <c r="S205" s="109"/>
      <c r="T205" s="109"/>
      <c r="U205" s="109"/>
      <c r="V205" s="109"/>
      <c r="W205" s="109"/>
      <c r="X205" s="109"/>
      <c r="Y205" s="109"/>
      <c r="Z205" s="109"/>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109"/>
      <c r="BE205" s="109"/>
      <c r="BF205" s="109"/>
      <c r="BG205" s="109"/>
      <c r="BH205" s="109"/>
      <c r="BI205" s="109"/>
      <c r="BJ205" s="109"/>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outlineLevel="2">
      <c r="A206" s="9"/>
      <c r="B206" s="9"/>
      <c r="C206" s="280" t="str">
        <f>Asset11</f>
        <v>Transmission line assets - medium life (45)</v>
      </c>
      <c r="D206" s="161"/>
      <c r="E206" s="32" t="s">
        <v>26</v>
      </c>
      <c r="F206" s="31"/>
      <c r="G206" s="181"/>
      <c r="H206" s="72" t="str">
        <f>IF(H$3&gt;A11remlife,A11value-$G$640-SUM($G206:G206),IF(A11remlife="N/A","n/a",(A11value-$G$640)/A11remlife))</f>
        <v>n/a</v>
      </c>
      <c r="I206" s="72" t="str">
        <f>IF(I$3&gt;A11remlife,A11value-$G$640-SUM($G206:H206),IF(A11remlife="N/A","n/a",(A11value-$G$640)/A11remlife))</f>
        <v>n/a</v>
      </c>
      <c r="J206" s="72" t="str">
        <f>IF(J$3&gt;A11remlife,A11value-$G$640-SUM($G206:I206),IF(A11remlife="N/A","n/a",(A11value-$G$640)/A11remlife))</f>
        <v>n/a</v>
      </c>
      <c r="K206" s="72" t="str">
        <f>IF(K$3&gt;A11remlife,A11value-$G$640-SUM($G206:J206),IF(A11remlife="N/A","n/a",(A11value-$G$640)/A11remlife))</f>
        <v>n/a</v>
      </c>
      <c r="L206" s="72" t="str">
        <f>IF(L$3&gt;A11remlife,A11value-$G$640-SUM($G206:K206),IF(A11remlife="N/A","n/a",(A11value-$G$640)/A11remlife))</f>
        <v>n/a</v>
      </c>
      <c r="M206" s="72" t="str">
        <f>IF(M$3&gt;A11remlife,A11value-$G$640-SUM($G206:L206),IF(A11remlife="N/A","n/a",(A11value-$G$640)/A11remlife))</f>
        <v>n/a</v>
      </c>
      <c r="N206" s="72" t="str">
        <f>IF(N$3&gt;A11remlife,A11value-$G$640-SUM($G206:M206),IF(A11remlife="N/A","n/a",(A11value-$G$640)/A11remlife))</f>
        <v>n/a</v>
      </c>
      <c r="O206" s="72" t="str">
        <f>IF(O$3&gt;A11remlife,A11value-$G$640-SUM($G206:N206),IF(A11remlife="N/A","n/a",(A11value-$G$640)/A11remlife))</f>
        <v>n/a</v>
      </c>
      <c r="P206" s="72" t="str">
        <f>IF(P$3&gt;A11remlife,A11value-$G$640-SUM($G206:O206),IF(A11remlife="N/A","n/a",(A11value-$G$640)/A11remlife))</f>
        <v>n/a</v>
      </c>
      <c r="Q206" s="72" t="str">
        <f>IF(Q$3&gt;A11remlife,A11value-$G$640-SUM($G206:P206),IF(A11remlife="N/A","n/a",(A11value-$G$640)/A11remlife))</f>
        <v>n/a</v>
      </c>
      <c r="R206" s="72"/>
      <c r="S206" s="107"/>
      <c r="T206" s="107"/>
      <c r="U206" s="107"/>
      <c r="V206" s="107"/>
      <c r="W206" s="107"/>
      <c r="X206" s="107"/>
      <c r="Y206" s="107"/>
      <c r="Z206" s="107"/>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107"/>
      <c r="BE206" s="107"/>
      <c r="BF206" s="107"/>
      <c r="BG206" s="107"/>
      <c r="BH206" s="107"/>
      <c r="BI206" s="107"/>
      <c r="BJ206" s="107"/>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9"/>
      <c r="D207" s="26"/>
      <c r="E207" s="391" t="s">
        <v>81</v>
      </c>
      <c r="F207" s="91"/>
      <c r="G207" s="124"/>
      <c r="H207" s="73"/>
      <c r="I207" s="73"/>
      <c r="J207" s="73"/>
      <c r="K207" s="73"/>
      <c r="L207" s="73"/>
      <c r="M207" s="163"/>
      <c r="N207" s="115"/>
      <c r="O207" s="73"/>
      <c r="P207" s="73"/>
      <c r="Q207" s="73"/>
      <c r="R207" s="73"/>
      <c r="S207" s="107"/>
      <c r="T207" s="107"/>
      <c r="U207" s="107"/>
      <c r="V207" s="107"/>
      <c r="W207" s="107"/>
      <c r="X207" s="107"/>
      <c r="Y207" s="107"/>
      <c r="Z207" s="107"/>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107"/>
      <c r="BE207" s="107"/>
      <c r="BF207" s="107"/>
      <c r="BG207" s="107"/>
      <c r="BH207" s="107"/>
      <c r="BI207" s="107"/>
      <c r="BJ207" s="107"/>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outlineLevel="2">
      <c r="A208" s="9"/>
      <c r="B208" s="9"/>
      <c r="C208" s="9"/>
      <c r="D208" s="26"/>
      <c r="E208" s="392"/>
      <c r="F208" s="91">
        <v>1</v>
      </c>
      <c r="G208" s="124"/>
      <c r="H208" s="148"/>
      <c r="I208" s="73">
        <f>IF(A11stdlife="n/a","n/a",IF(I$3&gt;(A11stdlife+$F208),(Input!$H$221*(1+vanilla1)^0.5)-SUM($H208:H208),(Input!$H$221*(1+vanilla1)^0.5)/A11stdlife))</f>
        <v>2.9299365459104588E-4</v>
      </c>
      <c r="J208" s="73">
        <f>IF(A11stdlife="n/a","n/a",IF(J$3&gt;(A11stdlife+$F208),(Input!$H$221*(1+vanilla1)^0.5)-SUM($H208:I208),(Input!$H$221*(1+vanilla1)^0.5)/A11stdlife))</f>
        <v>2.9299365459104588E-4</v>
      </c>
      <c r="K208" s="73">
        <f>IF(A11stdlife="n/a","n/a",IF(K$3&gt;(A11stdlife+$F208),(Input!$H$221*(1+vanilla1)^0.5)-SUM($H208:J208),(Input!$H$221*(1+vanilla1)^0.5)/A11stdlife))</f>
        <v>2.9299365459104588E-4</v>
      </c>
      <c r="L208" s="73">
        <f>IF(A11stdlife="n/a","n/a",IF(L$3&gt;(A11stdlife+$F208),(Input!$H$221*(1+vanilla1)^0.5)-SUM($H208:K208),(Input!$H$221*(1+vanilla1)^0.5)/A11stdlife))</f>
        <v>2.9299365459104588E-4</v>
      </c>
      <c r="M208" s="73">
        <f>IF(A11stdlife="n/a","n/a",IF(M$3&gt;(A11stdlife+$F208),(Input!$H$221*(1+vanilla1)^0.5)-SUM($H208:L208),(Input!$H$221*(1+vanilla1)^0.5)/A11stdlife))</f>
        <v>2.9299365459104588E-4</v>
      </c>
      <c r="N208" s="73">
        <f>IF(A11stdlife="n/a","n/a",IF(N$3&gt;(A11stdlife+$F208),(Input!$H$221*(1+vanilla1)^0.5)-SUM($H208:M208),(Input!$H$221*(1+vanilla1)^0.5)/A11stdlife))</f>
        <v>2.9299365459104588E-4</v>
      </c>
      <c r="O208" s="73">
        <f>IF(A11stdlife="n/a","n/a",IF(O$3&gt;(A11stdlife+$F208),(Input!$H$221*(1+vanilla1)^0.5)-SUM($H208:N208),(Input!$H$221*(1+vanilla1)^0.5)/A11stdlife))</f>
        <v>2.9299365459104588E-4</v>
      </c>
      <c r="P208" s="73">
        <f>IF(A11stdlife="n/a","n/a",IF(P$3&gt;(A11stdlife+$F208),(Input!$H$221*(1+vanilla1)^0.5)-SUM($H208:O208),(Input!$H$221*(1+vanilla1)^0.5)/A11stdlife))</f>
        <v>2.9299365459104588E-4</v>
      </c>
      <c r="Q208" s="73">
        <f>IF(A11stdlife="n/a","n/a",IF(Q$3&gt;(A11stdlife+$F208),(Input!$H$221*(1+vanilla1)^0.5)-SUM($H208:P208),(Input!$H$221*(1+vanilla1)^0.5)/A11stdlife))</f>
        <v>2.9299365459104588E-4</v>
      </c>
      <c r="R208" s="73"/>
      <c r="S208" s="107"/>
      <c r="T208" s="107"/>
      <c r="U208" s="107"/>
      <c r="V208" s="107"/>
      <c r="W208" s="107"/>
      <c r="X208" s="107"/>
      <c r="Y208" s="107"/>
      <c r="Z208" s="107"/>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107"/>
      <c r="BE208" s="107"/>
      <c r="BF208" s="107"/>
      <c r="BG208" s="107"/>
      <c r="BH208" s="107"/>
      <c r="BI208" s="107"/>
      <c r="BJ208" s="107"/>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outlineLevel="2">
      <c r="A209" s="9"/>
      <c r="B209" s="9"/>
      <c r="C209" s="9"/>
      <c r="D209" s="26"/>
      <c r="E209" s="392"/>
      <c r="F209" s="91">
        <v>2</v>
      </c>
      <c r="G209" s="124"/>
      <c r="H209" s="149"/>
      <c r="I209" s="150"/>
      <c r="J209" s="73">
        <f>IF(A11stdlife="n/a","n/a",IF(J$3&gt;(A11stdlife+$F209),(Input!$I$221*(1+vanilla2)^0.5)-SUM($I209:I209),(Input!$I$221*(1+vanilla2)^0.5)/A11stdlife))</f>
        <v>6.660088064364615E-4</v>
      </c>
      <c r="K209" s="73">
        <f>IF(A11stdlife="n/a","n/a",IF(K$3&gt;(A11stdlife+$F209),(Input!$I$221*(1+vanilla2)^0.5)-SUM($I209:J209),(Input!$I$221*(1+vanilla2)^0.5)/A11stdlife))</f>
        <v>6.660088064364615E-4</v>
      </c>
      <c r="L209" s="73">
        <f>IF(A11stdlife="n/a","n/a",IF(L$3&gt;(A11stdlife+$F209),(Input!$I$221*(1+vanilla2)^0.5)-SUM($I209:K209),(Input!$I$221*(1+vanilla2)^0.5)/A11stdlife))</f>
        <v>6.660088064364615E-4</v>
      </c>
      <c r="M209" s="73">
        <f>IF(A11stdlife="n/a","n/a",IF(M$3&gt;(A11stdlife+$F209),(Input!$I$221*(1+vanilla2)^0.5)-SUM($I209:L209),(Input!$I$221*(1+vanilla2)^0.5)/A11stdlife))</f>
        <v>6.660088064364615E-4</v>
      </c>
      <c r="N209" s="73">
        <f>IF(A11stdlife="n/a","n/a",IF(N$3&gt;(A11stdlife+$F209),(Input!$I$221*(1+vanilla2)^0.5)-SUM($I209:M209),(Input!$I$221*(1+vanilla2)^0.5)/A11stdlife))</f>
        <v>6.660088064364615E-4</v>
      </c>
      <c r="O209" s="73">
        <f>IF(A11stdlife="n/a","n/a",IF(O$3&gt;(A11stdlife+$F209),(Input!$I$221*(1+vanilla2)^0.5)-SUM($I209:N209),(Input!$I$221*(1+vanilla2)^0.5)/A11stdlife))</f>
        <v>6.660088064364615E-4</v>
      </c>
      <c r="P209" s="73">
        <f>IF(A11stdlife="n/a","n/a",IF(P$3&gt;(A11stdlife+$F209),(Input!$I$221*(1+vanilla2)^0.5)-SUM($I209:O209),(Input!$I$221*(1+vanilla2)^0.5)/A11stdlife))</f>
        <v>6.660088064364615E-4</v>
      </c>
      <c r="Q209" s="73">
        <f>IF(A11stdlife="n/a","n/a",IF(Q$3&gt;(A11stdlife+$F209),(Input!$I$221*(1+vanilla2)^0.5)-SUM($I209:P209),(Input!$I$221*(1+vanilla2)^0.5)/A11stdlife))</f>
        <v>6.660088064364615E-4</v>
      </c>
      <c r="R209" s="73"/>
      <c r="S209" s="107"/>
      <c r="T209" s="107"/>
      <c r="U209" s="107"/>
      <c r="V209" s="107"/>
      <c r="W209" s="107"/>
      <c r="X209" s="107"/>
      <c r="Y209" s="107"/>
      <c r="Z209" s="107"/>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107"/>
      <c r="BE209" s="107"/>
      <c r="BF209" s="107"/>
      <c r="BG209" s="107"/>
      <c r="BH209" s="107"/>
      <c r="BI209" s="107"/>
      <c r="BJ209" s="107"/>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outlineLevel="2">
      <c r="A210" s="9"/>
      <c r="B210" s="9"/>
      <c r="C210" s="9"/>
      <c r="D210" s="26"/>
      <c r="E210" s="392"/>
      <c r="F210" s="91">
        <v>3</v>
      </c>
      <c r="G210" s="124"/>
      <c r="H210" s="149"/>
      <c r="I210" s="151"/>
      <c r="J210" s="150"/>
      <c r="K210" s="73">
        <f>IF(A11stdlife="n/a","n/a",IF(K$3&gt;(A11stdlife+$F210),(Input!$J$221*(1+vanilla3)^0.5)-SUM($J210:J210),(Input!$J$221*(1+vanilla3)^0.5)/A11stdlife))</f>
        <v>4.0260004049960663E-3</v>
      </c>
      <c r="L210" s="73">
        <f>IF(A11stdlife="n/a","n/a",IF(L$3&gt;(A11stdlife+$F210),(Input!$J$221*(1+vanilla3)^0.5)-SUM($J210:K210),(Input!$J$221*(1+vanilla3)^0.5)/A11stdlife))</f>
        <v>4.0260004049960663E-3</v>
      </c>
      <c r="M210" s="73">
        <f>IF(A11stdlife="n/a","n/a",IF(M$3&gt;(A11stdlife+$F210),(Input!$J$221*(1+vanilla3)^0.5)-SUM($J210:L210),(Input!$J$221*(1+vanilla3)^0.5)/A11stdlife))</f>
        <v>4.0260004049960663E-3</v>
      </c>
      <c r="N210" s="73">
        <f>IF(A11stdlife="n/a","n/a",IF(N$3&gt;(A11stdlife+$F210),(Input!$J$221*(1+vanilla3)^0.5)-SUM($J210:M210),(Input!$J$221*(1+vanilla3)^0.5)/A11stdlife))</f>
        <v>4.0260004049960663E-3</v>
      </c>
      <c r="O210" s="73">
        <f>IF(A11stdlife="n/a","n/a",IF(O$3&gt;(A11stdlife+$F210),(Input!$J$221*(1+vanilla3)^0.5)-SUM($J210:N210),(Input!$J$221*(1+vanilla3)^0.5)/A11stdlife))</f>
        <v>4.0260004049960663E-3</v>
      </c>
      <c r="P210" s="73">
        <f>IF(A11stdlife="n/a","n/a",IF(P$3&gt;(A11stdlife+$F210),(Input!$J$221*(1+vanilla3)^0.5)-SUM($J210:O210),(Input!$J$221*(1+vanilla3)^0.5)/A11stdlife))</f>
        <v>4.0260004049960663E-3</v>
      </c>
      <c r="Q210" s="73">
        <f>IF(A11stdlife="n/a","n/a",IF(Q$3&gt;(A11stdlife+$F210),(Input!$J$221*(1+vanilla3)^0.5)-SUM($J210:P210),(Input!$J$221*(1+vanilla3)^0.5)/A11stdlife))</f>
        <v>4.0260004049960663E-3</v>
      </c>
      <c r="R210" s="73"/>
      <c r="S210" s="107"/>
      <c r="T210" s="107"/>
      <c r="U210" s="107"/>
      <c r="V210" s="107"/>
      <c r="W210" s="107"/>
      <c r="X210" s="107"/>
      <c r="Y210" s="107"/>
      <c r="Z210" s="107"/>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107"/>
      <c r="BE210" s="107"/>
      <c r="BF210" s="107"/>
      <c r="BG210" s="107"/>
      <c r="BH210" s="107"/>
      <c r="BI210" s="107"/>
      <c r="BJ210" s="107"/>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2">
      <c r="A211" s="9"/>
      <c r="B211" s="9"/>
      <c r="C211" s="9"/>
      <c r="D211" s="26"/>
      <c r="E211" s="392"/>
      <c r="F211" s="91">
        <v>4</v>
      </c>
      <c r="G211" s="124"/>
      <c r="H211" s="149"/>
      <c r="I211" s="151"/>
      <c r="J211" s="151"/>
      <c r="K211" s="150"/>
      <c r="L211" s="73">
        <f>IF(A11stdlife="n/a","n/a",IF(L$3&gt;(A11stdlife+$F211),(Input!$K$221*(1+vanilla4)^0.5)-SUM($K211:K211),(Input!$K$221*(1+vanilla4)^0.5)/A11stdlife))</f>
        <v>8.0253201191017014E-3</v>
      </c>
      <c r="M211" s="73">
        <f>IF(A11stdlife="n/a","n/a",IF(M$3&gt;(A11stdlife+$F211),(Input!$K$221*(1+vanilla4)^0.5)-SUM($K211:L211),(Input!$K$221*(1+vanilla4)^0.5)/A11stdlife))</f>
        <v>8.0253201191017014E-3</v>
      </c>
      <c r="N211" s="73">
        <f>IF(A11stdlife="n/a","n/a",IF(N$3&gt;(A11stdlife+$F211),(Input!$K$221*(1+vanilla4)^0.5)-SUM($K211:M211),(Input!$K$221*(1+vanilla4)^0.5)/A11stdlife))</f>
        <v>8.0253201191017014E-3</v>
      </c>
      <c r="O211" s="73">
        <f>IF(A11stdlife="n/a","n/a",IF(O$3&gt;(A11stdlife+$F211),(Input!$K$221*(1+vanilla4)^0.5)-SUM($K211:N211),(Input!$K$221*(1+vanilla4)^0.5)/A11stdlife))</f>
        <v>8.0253201191017014E-3</v>
      </c>
      <c r="P211" s="73">
        <f>IF(A11stdlife="n/a","n/a",IF(P$3&gt;(A11stdlife+$F211),(Input!$K$221*(1+vanilla4)^0.5)-SUM($K211:O211),(Input!$K$221*(1+vanilla4)^0.5)/A11stdlife))</f>
        <v>8.0253201191017014E-3</v>
      </c>
      <c r="Q211" s="73">
        <f>IF(A11stdlife="n/a","n/a",IF(Q$3&gt;(A11stdlife+$F211),(Input!$K$221*(1+vanilla4)^0.5)-SUM($K211:P211),(Input!$K$221*(1+vanilla4)^0.5)/A11stdlife))</f>
        <v>8.0253201191017014E-3</v>
      </c>
      <c r="R211" s="73"/>
      <c r="S211" s="107"/>
      <c r="T211" s="107"/>
      <c r="U211" s="107"/>
      <c r="V211" s="107"/>
      <c r="W211" s="107"/>
      <c r="X211" s="107"/>
      <c r="Y211" s="107"/>
      <c r="Z211" s="107"/>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107"/>
      <c r="BE211" s="107"/>
      <c r="BF211" s="107"/>
      <c r="BG211" s="107"/>
      <c r="BH211" s="107"/>
      <c r="BI211" s="107"/>
      <c r="BJ211" s="107"/>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2">
      <c r="A212" s="9"/>
      <c r="B212" s="9"/>
      <c r="C212" s="9"/>
      <c r="D212" s="26"/>
      <c r="E212" s="392"/>
      <c r="F212" s="91">
        <v>5</v>
      </c>
      <c r="G212" s="27"/>
      <c r="H212" s="149"/>
      <c r="I212" s="151"/>
      <c r="J212" s="151"/>
      <c r="K212" s="151"/>
      <c r="L212" s="150"/>
      <c r="M212" s="73">
        <f>IF(A11stdlife="n/a","n/a",IF(M$3&gt;(A11stdlife+$F212),(Input!$L$221*(1+vanilla5)^0.5)-SUM($L212:L212),(Input!$L221*(1+vanilla5)^0.5)/A11stdlife))</f>
        <v>3.1201893783031546E-3</v>
      </c>
      <c r="N212" s="73">
        <f>IF(A11stdlife="n/a","n/a",IF(N$3&gt;(A11stdlife+$F212),(Input!$L$221*(1+vanilla5)^0.5)-SUM($L212:M212),(Input!$L221*(1+vanilla5)^0.5)/A11stdlife))</f>
        <v>3.1201893783031546E-3</v>
      </c>
      <c r="O212" s="73">
        <f>IF(A11stdlife="n/a","n/a",IF(O$3&gt;(A11stdlife+$F212),(Input!$L$221*(1+vanilla5)^0.5)-SUM($L212:N212),(Input!$L221*(1+vanilla5)^0.5)/A11stdlife))</f>
        <v>3.1201893783031546E-3</v>
      </c>
      <c r="P212" s="73">
        <f>IF(A11stdlife="n/a","n/a",IF(P$3&gt;(A11stdlife+$F212),(Input!$L$221*(1+vanilla5)^0.5)-SUM($L212:O212),(Input!$L221*(1+vanilla5)^0.5)/A11stdlife))</f>
        <v>3.1201893783031546E-3</v>
      </c>
      <c r="Q212" s="73">
        <f>IF(A11stdlife="n/a","n/a",IF(Q$3&gt;(A11stdlife+$F212),(Input!$L$221*(1+vanilla5)^0.5)-SUM($L212:P212),(Input!$L221*(1+vanilla5)^0.5)/A11stdlife))</f>
        <v>3.1201893783031546E-3</v>
      </c>
      <c r="R212" s="73"/>
      <c r="S212" s="107"/>
      <c r="T212" s="107"/>
      <c r="U212" s="107"/>
      <c r="V212" s="107"/>
      <c r="W212" s="107"/>
      <c r="X212" s="107"/>
      <c r="Y212" s="107"/>
      <c r="Z212" s="107"/>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outlineLevel="2">
      <c r="A213" s="9"/>
      <c r="B213" s="9"/>
      <c r="C213" s="9"/>
      <c r="D213" s="26"/>
      <c r="E213" s="392"/>
      <c r="F213" s="91">
        <v>6</v>
      </c>
      <c r="G213" s="27"/>
      <c r="H213" s="149"/>
      <c r="I213" s="151"/>
      <c r="J213" s="151"/>
      <c r="K213" s="151"/>
      <c r="L213" s="151"/>
      <c r="M213" s="150"/>
      <c r="N213" s="73">
        <f>IF(A11stdlife="n/a","n/a",IF(N$3&gt;(A11stdlife+$F213),(Input!$M$221*(1+vanilla6)^0.5)-SUM($M213:M213),(Input!$M$221*(1+vanilla6)^0.5)/A11stdlife))</f>
        <v>0</v>
      </c>
      <c r="O213" s="73">
        <f>IF(A11stdlife="n/a","n/a",IF(O$3&gt;(A11stdlife+$F213),(Input!$M$221*(1+vanilla6)^0.5)-SUM($M213:N213),(Input!$M$221*(1+vanilla6)^0.5)/A11stdlife))</f>
        <v>0</v>
      </c>
      <c r="P213" s="73">
        <f>IF(A11stdlife="n/a","n/a",IF(P$3&gt;(A11stdlife+$F213),(Input!$M$221*(1+vanilla6)^0.5)-SUM($M213:O213),(Input!$M$221*(1+vanilla6)^0.5)/A11stdlife))</f>
        <v>0</v>
      </c>
      <c r="Q213" s="73">
        <f>IF(A11stdlife="n/a","n/a",IF(Q$3&gt;(A11stdlife+$F213),(Input!$M$221*(1+vanilla6)^0.5)-SUM($M213:P213),(Input!$M$221*(1+vanilla6)^0.5)/A11stdlife))</f>
        <v>0</v>
      </c>
      <c r="R213" s="73"/>
      <c r="S213" s="107"/>
      <c r="T213" s="107"/>
      <c r="U213" s="107"/>
      <c r="V213" s="107"/>
      <c r="W213" s="107"/>
      <c r="X213" s="107"/>
      <c r="Y213" s="107"/>
      <c r="Z213" s="107"/>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107"/>
      <c r="BE213" s="107"/>
      <c r="BF213" s="107"/>
      <c r="BG213" s="107"/>
      <c r="BH213" s="107"/>
      <c r="BI213" s="107"/>
      <c r="BJ213" s="107"/>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outlineLevel="2">
      <c r="A214" s="9"/>
      <c r="B214" s="9"/>
      <c r="C214" s="9"/>
      <c r="D214" s="26"/>
      <c r="E214" s="392"/>
      <c r="F214" s="91">
        <v>7</v>
      </c>
      <c r="G214" s="27"/>
      <c r="H214" s="149"/>
      <c r="I214" s="151"/>
      <c r="J214" s="151"/>
      <c r="K214" s="151"/>
      <c r="L214" s="151"/>
      <c r="M214" s="151"/>
      <c r="N214" s="150"/>
      <c r="O214" s="73">
        <f>IF(A11stdlife="n/a","n/a",IF(O$3&gt;(A11stdlife+$F214),(Input!$N$221*(1+vanilla7)^0.5)-SUM($N214:N214),(Input!$N$221*(1+vanilla7)^0.5)/A11stdlife))</f>
        <v>0</v>
      </c>
      <c r="P214" s="73">
        <f>IF(A11stdlife="n/a","n/a",IF(P$3&gt;(A11stdlife+$F214),(Input!$N$221*(1+vanilla7)^0.5)-SUM($N214:O214),(Input!$N$221*(1+vanilla7)^0.5)/A11stdlife))</f>
        <v>0</v>
      </c>
      <c r="Q214" s="73">
        <f>IF(A11stdlife="n/a","n/a",IF(Q$3&gt;(A11stdlife+$F214),(Input!$N$221*(1+vanilla7)^0.5)-SUM($N214:P214),(Input!$N$221*(1+vanilla7)^0.5)/A11stdlife))</f>
        <v>0</v>
      </c>
      <c r="R214" s="73"/>
      <c r="S214" s="107"/>
      <c r="T214" s="107"/>
      <c r="U214" s="107"/>
      <c r="V214" s="107"/>
      <c r="W214" s="107"/>
      <c r="X214" s="107"/>
      <c r="Y214" s="107"/>
      <c r="Z214" s="107"/>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107"/>
      <c r="BE214" s="107"/>
      <c r="BF214" s="107"/>
      <c r="BG214" s="107"/>
      <c r="BH214" s="107"/>
      <c r="BI214" s="107"/>
      <c r="BJ214" s="107"/>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outlineLevel="2">
      <c r="A215" s="9"/>
      <c r="B215" s="9"/>
      <c r="C215" s="9"/>
      <c r="D215" s="26"/>
      <c r="E215" s="392"/>
      <c r="F215" s="91">
        <v>8</v>
      </c>
      <c r="G215" s="27"/>
      <c r="H215" s="149"/>
      <c r="I215" s="151"/>
      <c r="J215" s="151"/>
      <c r="K215" s="151"/>
      <c r="L215" s="151"/>
      <c r="M215" s="151"/>
      <c r="N215" s="151"/>
      <c r="O215" s="150"/>
      <c r="P215" s="73">
        <f>IF(A11stdlife="n/a","n/a",IF(P$3&gt;(A11stdlife+$F215),(Input!$O$221*(1+vanilla8)^0.5)-SUM($O215:O215),(Input!$O$221*(1+vanilla8)^0.5)/A11stdlife))</f>
        <v>0</v>
      </c>
      <c r="Q215" s="73">
        <f>IF(A11stdlife="n/a","n/a",IF(Q$3&gt;(A11stdlife+$F215),(Input!$O$221*(1+vanilla8)^0.5)-SUM($O215:P215),(Input!$O$221*(1+vanilla8)^0.5)/A11stdlife))</f>
        <v>0</v>
      </c>
      <c r="R215" s="73"/>
      <c r="S215" s="107"/>
      <c r="T215" s="107"/>
      <c r="U215" s="107"/>
      <c r="V215" s="107"/>
      <c r="W215" s="107"/>
      <c r="X215" s="107"/>
      <c r="Y215" s="107"/>
      <c r="Z215" s="107"/>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107"/>
      <c r="BE215" s="107"/>
      <c r="BF215" s="107"/>
      <c r="BG215" s="107"/>
      <c r="BH215" s="107"/>
      <c r="BI215" s="107"/>
      <c r="BJ215" s="107"/>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outlineLevel="2">
      <c r="A216" s="9"/>
      <c r="B216" s="9"/>
      <c r="C216" s="9"/>
      <c r="D216" s="26"/>
      <c r="E216" s="392"/>
      <c r="F216" s="91">
        <v>9</v>
      </c>
      <c r="G216" s="27"/>
      <c r="H216" s="149"/>
      <c r="I216" s="151"/>
      <c r="J216" s="151"/>
      <c r="K216" s="151"/>
      <c r="L216" s="151"/>
      <c r="M216" s="151"/>
      <c r="N216" s="151"/>
      <c r="O216" s="151"/>
      <c r="P216" s="150"/>
      <c r="Q216" s="73">
        <f>IF(A11stdlife="n/a","n/a",IF(Q$3&gt;(A11stdlife+$F216),(Input!$P$221*(1+vanilla9)^0.5)-SUM($P216:P216),(Input!$P$221*(1+vanilla9)^0.5)/A11stdlife))</f>
        <v>0</v>
      </c>
      <c r="R216" s="73"/>
      <c r="S216" s="107"/>
      <c r="T216" s="107"/>
      <c r="U216" s="107"/>
      <c r="V216" s="107"/>
      <c r="W216" s="107"/>
      <c r="X216" s="107"/>
      <c r="Y216" s="107"/>
      <c r="Z216" s="107"/>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107"/>
      <c r="BE216" s="107"/>
      <c r="BF216" s="107"/>
      <c r="BG216" s="107"/>
      <c r="BH216" s="107"/>
      <c r="BI216" s="107"/>
      <c r="BJ216" s="107"/>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outlineLevel="2">
      <c r="A217" s="9"/>
      <c r="B217" s="9"/>
      <c r="C217" s="9"/>
      <c r="D217" s="26"/>
      <c r="E217" s="392"/>
      <c r="F217" s="92">
        <v>10</v>
      </c>
      <c r="G217" s="27"/>
      <c r="H217" s="149"/>
      <c r="I217" s="151"/>
      <c r="J217" s="151"/>
      <c r="K217" s="151"/>
      <c r="L217" s="151"/>
      <c r="M217" s="151"/>
      <c r="N217" s="151"/>
      <c r="O217" s="151"/>
      <c r="P217" s="151"/>
      <c r="Q217" s="150"/>
      <c r="R217" s="73"/>
      <c r="S217" s="107"/>
      <c r="T217" s="107"/>
      <c r="U217" s="107"/>
      <c r="V217" s="107"/>
      <c r="W217" s="107"/>
      <c r="X217" s="107"/>
      <c r="Y217" s="107"/>
      <c r="Z217" s="107"/>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107"/>
      <c r="BE217" s="107"/>
      <c r="BF217" s="107"/>
      <c r="BG217" s="107"/>
      <c r="BH217" s="107"/>
      <c r="BI217" s="107"/>
      <c r="BJ217" s="107"/>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outlineLevel="1">
      <c r="A218" s="9"/>
      <c r="B218" s="9"/>
      <c r="C218" s="9"/>
      <c r="D218" s="279" t="str">
        <f>Asset11</f>
        <v>Transmission line assets - medium life (45)</v>
      </c>
      <c r="E218" s="9"/>
      <c r="F218" s="9"/>
      <c r="G218" s="124"/>
      <c r="H218" s="165">
        <f>-SUM(H206:H217)</f>
        <v>0</v>
      </c>
      <c r="I218" s="165">
        <f>-SUM(I206:I217)</f>
        <v>-2.9299365459104588E-4</v>
      </c>
      <c r="J218" s="165">
        <f>-SUM(J206:J217)</f>
        <v>-9.5900246102750743E-4</v>
      </c>
      <c r="K218" s="165">
        <f>-SUM(K206:K217)</f>
        <v>-4.9850028660235737E-3</v>
      </c>
      <c r="L218" s="165">
        <f>-SUM(L206:L217)</f>
        <v>-1.3010322985125274E-2</v>
      </c>
      <c r="M218" s="73">
        <f>IF(COUNT($H218:L218)&gt;=Input!$W$7,0, -SUM(M206:M217))</f>
        <v>0</v>
      </c>
      <c r="N218" s="73">
        <f>IF(COUNT($H218:M218)&gt;=Input!$W$7,0, -SUM(N206:N217))</f>
        <v>0</v>
      </c>
      <c r="O218" s="73">
        <f>IF(COUNT($H218:N218)&gt;=Input!$W$7,0, -SUM(O206:O217))</f>
        <v>0</v>
      </c>
      <c r="P218" s="73">
        <f>IF(COUNT($H218:O218)&gt;=Input!$W$7,0, -SUM(P206:P217))</f>
        <v>0</v>
      </c>
      <c r="Q218" s="73">
        <f>IF(COUNT($H218:P218)&gt;=Input!$W$7,0, -SUM(Q206:Q217))</f>
        <v>0</v>
      </c>
      <c r="R218" s="71"/>
      <c r="S218" s="109"/>
      <c r="T218" s="109"/>
      <c r="U218" s="109"/>
      <c r="V218" s="109"/>
      <c r="W218" s="109"/>
      <c r="X218" s="109"/>
      <c r="Y218" s="109"/>
      <c r="Z218" s="109"/>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109"/>
      <c r="BE218" s="109"/>
      <c r="BF218" s="109"/>
      <c r="BG218" s="109"/>
      <c r="BH218" s="109"/>
      <c r="BI218" s="109"/>
      <c r="BJ218" s="109"/>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outlineLevel="2">
      <c r="A219" s="9"/>
      <c r="B219" s="9"/>
      <c r="C219" s="280" t="str">
        <f>Asset12</f>
        <v>Transmission line assets - short life (10)</v>
      </c>
      <c r="D219" s="161"/>
      <c r="E219" s="32" t="s">
        <v>26</v>
      </c>
      <c r="F219" s="31"/>
      <c r="G219" s="181"/>
      <c r="H219" s="72" t="str">
        <f>IF(H$3&gt;A12remlife,A12value-$G$641-SUM($G219:G219),IF(A12remlife="N/A","n/a",(A12value-$G$641)/A12remlife))</f>
        <v>n/a</v>
      </c>
      <c r="I219" s="72" t="str">
        <f>IF(I$3&gt;A12remlife,A12value-$G$641-SUM($G219:H219),IF(A12remlife="N/A","n/a",(A12value-$G$641)/A12remlife))</f>
        <v>n/a</v>
      </c>
      <c r="J219" s="72" t="str">
        <f>IF(J$3&gt;A12remlife,A12value-$G$641-SUM($G219:I219),IF(A12remlife="N/A","n/a",(A12value-$G$641)/A12remlife))</f>
        <v>n/a</v>
      </c>
      <c r="K219" s="72" t="str">
        <f>IF(K$3&gt;A12remlife,A12value-$G$641-SUM($G219:J219),IF(A12remlife="N/A","n/a",(A12value-$G$641)/A12remlife))</f>
        <v>n/a</v>
      </c>
      <c r="L219" s="72" t="str">
        <f>IF(L$3&gt;A12remlife,A12value-$G$641-SUM($G219:K219),IF(A12remlife="N/A","n/a",(A12value-$G$641)/A12remlife))</f>
        <v>n/a</v>
      </c>
      <c r="M219" s="72" t="str">
        <f>IF(M$3&gt;A12remlife,A12value-$G$641-SUM($G219:L219),IF(A12remlife="N/A","n/a",(A12value-$G$641)/A12remlife))</f>
        <v>n/a</v>
      </c>
      <c r="N219" s="72" t="str">
        <f>IF(N$3&gt;A12remlife,A12value-$G$641-SUM($G219:M219),IF(A12remlife="N/A","n/a",(A12value-$G$641)/A12remlife))</f>
        <v>n/a</v>
      </c>
      <c r="O219" s="72" t="str">
        <f>IF(O$3&gt;A12remlife,A12value-$G$641-SUM($G219:N219),IF(A12remlife="N/A","n/a",(A12value-$G$641)/A12remlife))</f>
        <v>n/a</v>
      </c>
      <c r="P219" s="72" t="str">
        <f>IF(P$3&gt;A12remlife,A12value-$G$641-SUM($G219:O219),IF(A12remlife="N/A","n/a",(A12value-$G$641)/A12remlife))</f>
        <v>n/a</v>
      </c>
      <c r="Q219" s="72" t="str">
        <f>IF(Q$3&gt;A12remlife,A12value-$G$641-SUM($G219:P219),IF(A12remlife="N/A","n/a",(A12value-$G$641)/A12remlife))</f>
        <v>n/a</v>
      </c>
      <c r="R219" s="72"/>
      <c r="S219" s="107"/>
      <c r="T219" s="107"/>
      <c r="U219" s="107"/>
      <c r="V219" s="107"/>
      <c r="W219" s="107"/>
      <c r="X219" s="107"/>
      <c r="Y219" s="107"/>
      <c r="Z219" s="107"/>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107"/>
      <c r="BE219" s="107"/>
      <c r="BF219" s="107"/>
      <c r="BG219" s="107"/>
      <c r="BH219" s="107"/>
      <c r="BI219" s="107"/>
      <c r="BJ219" s="107"/>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9"/>
      <c r="D220" s="26"/>
      <c r="E220" s="391" t="s">
        <v>81</v>
      </c>
      <c r="F220" s="91"/>
      <c r="G220" s="124"/>
      <c r="H220" s="73"/>
      <c r="I220" s="73"/>
      <c r="J220" s="73"/>
      <c r="K220" s="73"/>
      <c r="L220" s="73"/>
      <c r="M220" s="163"/>
      <c r="N220" s="115"/>
      <c r="O220" s="73"/>
      <c r="P220" s="73"/>
      <c r="Q220" s="73"/>
      <c r="R220" s="73"/>
      <c r="S220" s="107"/>
      <c r="T220" s="107"/>
      <c r="U220" s="107"/>
      <c r="V220" s="107"/>
      <c r="W220" s="107"/>
      <c r="X220" s="107"/>
      <c r="Y220" s="107"/>
      <c r="Z220" s="107"/>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107"/>
      <c r="BE220" s="107"/>
      <c r="BF220" s="107"/>
      <c r="BG220" s="107"/>
      <c r="BH220" s="107"/>
      <c r="BI220" s="107"/>
      <c r="BJ220" s="107"/>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outlineLevel="2">
      <c r="A221" s="9"/>
      <c r="B221" s="9"/>
      <c r="C221" s="9"/>
      <c r="D221" s="26"/>
      <c r="E221" s="392"/>
      <c r="F221" s="91">
        <v>1</v>
      </c>
      <c r="G221" s="124"/>
      <c r="H221" s="148"/>
      <c r="I221" s="73">
        <f>IF(A12stdlife="n/a","n/a",IF(I$3&gt;(A12stdlife+$F221),(Input!$H$222*(1+vanilla1)^0.5)-SUM($H221:H221),(Input!$H$222*(1+vanilla1)^0.5)/A12stdlife))</f>
        <v>3.6951867405631091E-2</v>
      </c>
      <c r="J221" s="73">
        <f>IF(A12stdlife="n/a","n/a",IF(J$3&gt;(A12stdlife+$F221),(Input!$H$222*(1+vanilla1)^0.5)-SUM($H221:I221),(Input!$H$222*(1+vanilla1)^0.5)/A12stdlife))</f>
        <v>3.6951867405631091E-2</v>
      </c>
      <c r="K221" s="73">
        <f>IF(A12stdlife="n/a","n/a",IF(K$3&gt;(A12stdlife+$F221),(Input!$H$222*(1+vanilla1)^0.5)-SUM($H221:J221),(Input!$H$222*(1+vanilla1)^0.5)/A12stdlife))</f>
        <v>3.6951867405631091E-2</v>
      </c>
      <c r="L221" s="73">
        <f>IF(A12stdlife="n/a","n/a",IF(L$3&gt;(A12stdlife+$F221),(Input!$H$222*(1+vanilla1)^0.5)-SUM($H221:K221),(Input!$H$222*(1+vanilla1)^0.5)/A12stdlife))</f>
        <v>3.6951867405631091E-2</v>
      </c>
      <c r="M221" s="73">
        <f>IF(A12stdlife="n/a","n/a",IF(M$3&gt;(A12stdlife+$F221),(Input!$H$222*(1+vanilla1)^0.5)-SUM($H221:L221),(Input!$H$222*(1+vanilla1)^0.5)/A12stdlife))</f>
        <v>3.6951867405631091E-2</v>
      </c>
      <c r="N221" s="73">
        <f>IF(A12stdlife="n/a","n/a",IF(N$3&gt;(A12stdlife+$F221),(Input!$H$222*(1+vanilla1)^0.5)-SUM($H221:M221),(Input!$H$222*(1+vanilla1)^0.5)/A12stdlife))</f>
        <v>3.6951867405631091E-2</v>
      </c>
      <c r="O221" s="73">
        <f>IF(A12stdlife="n/a","n/a",IF(O$3&gt;(A12stdlife+$F221),(Input!$H$222*(1+vanilla1)^0.5)-SUM($H221:N221),(Input!$H$222*(1+vanilla1)^0.5)/A12stdlife))</f>
        <v>3.6951867405631091E-2</v>
      </c>
      <c r="P221" s="73">
        <f>IF(A12stdlife="n/a","n/a",IF(P$3&gt;(A12stdlife+$F221),(Input!$H$222*(1+vanilla1)^0.5)-SUM($H221:O221),(Input!$H$222*(1+vanilla1)^0.5)/A12stdlife))</f>
        <v>3.6951867405631091E-2</v>
      </c>
      <c r="Q221" s="73">
        <f>IF(A12stdlife="n/a","n/a",IF(Q$3&gt;(A12stdlife+$F221),(Input!$H$222*(1+vanilla1)^0.5)-SUM($H221:P221),(Input!$H$222*(1+vanilla1)^0.5)/A12stdlife))</f>
        <v>3.6951867405631091E-2</v>
      </c>
      <c r="R221" s="73"/>
      <c r="S221" s="107"/>
      <c r="T221" s="107"/>
      <c r="U221" s="107"/>
      <c r="V221" s="107"/>
      <c r="W221" s="107"/>
      <c r="X221" s="107"/>
      <c r="Y221" s="107"/>
      <c r="Z221" s="107"/>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107"/>
      <c r="BE221" s="107"/>
      <c r="BF221" s="107"/>
      <c r="BG221" s="107"/>
      <c r="BH221" s="107"/>
      <c r="BI221" s="107"/>
      <c r="BJ221" s="107"/>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outlineLevel="2">
      <c r="A222" s="9"/>
      <c r="B222" s="9"/>
      <c r="C222" s="9"/>
      <c r="D222" s="26"/>
      <c r="E222" s="392"/>
      <c r="F222" s="91">
        <v>2</v>
      </c>
      <c r="G222" s="124"/>
      <c r="H222" s="149"/>
      <c r="I222" s="150"/>
      <c r="J222" s="73">
        <f>IF(A12stdlife="n/a","n/a",IF(J$3&gt;(A12stdlife+$F222),(Input!$I$222*(1+vanilla2)^0.5)-SUM($I222:I222),(Input!$I$222*(1+vanilla2)^0.5)/A12stdlife))</f>
        <v>3.8262205929774723E-2</v>
      </c>
      <c r="K222" s="73">
        <f>IF(A12stdlife="n/a","n/a",IF(K$3&gt;(A12stdlife+$F222),(Input!$I$222*(1+vanilla2)^0.5)-SUM($I222:J222),(Input!$I$222*(1+vanilla2)^0.5)/A12stdlife))</f>
        <v>3.8262205929774723E-2</v>
      </c>
      <c r="L222" s="73">
        <f>IF(A12stdlife="n/a","n/a",IF(L$3&gt;(A12stdlife+$F222),(Input!$I$222*(1+vanilla2)^0.5)-SUM($I222:K222),(Input!$I$222*(1+vanilla2)^0.5)/A12stdlife))</f>
        <v>3.8262205929774723E-2</v>
      </c>
      <c r="M222" s="73">
        <f>IF(A12stdlife="n/a","n/a",IF(M$3&gt;(A12stdlife+$F222),(Input!$I$222*(1+vanilla2)^0.5)-SUM($I222:L222),(Input!$I$222*(1+vanilla2)^0.5)/A12stdlife))</f>
        <v>3.8262205929774723E-2</v>
      </c>
      <c r="N222" s="73">
        <f>IF(A12stdlife="n/a","n/a",IF(N$3&gt;(A12stdlife+$F222),(Input!$I$222*(1+vanilla2)^0.5)-SUM($I222:M222),(Input!$I$222*(1+vanilla2)^0.5)/A12stdlife))</f>
        <v>3.8262205929774723E-2</v>
      </c>
      <c r="O222" s="73">
        <f>IF(A12stdlife="n/a","n/a",IF(O$3&gt;(A12stdlife+$F222),(Input!$I$222*(1+vanilla2)^0.5)-SUM($I222:N222),(Input!$I$222*(1+vanilla2)^0.5)/A12stdlife))</f>
        <v>3.8262205929774723E-2</v>
      </c>
      <c r="P222" s="73">
        <f>IF(A12stdlife="n/a","n/a",IF(P$3&gt;(A12stdlife+$F222),(Input!$I$222*(1+vanilla2)^0.5)-SUM($I222:O222),(Input!$I$222*(1+vanilla2)^0.5)/A12stdlife))</f>
        <v>3.8262205929774723E-2</v>
      </c>
      <c r="Q222" s="73">
        <f>IF(A12stdlife="n/a","n/a",IF(Q$3&gt;(A12stdlife+$F222),(Input!$I$222*(1+vanilla2)^0.5)-SUM($I222:P222),(Input!$I$222*(1+vanilla2)^0.5)/A12stdlife))</f>
        <v>3.8262205929774723E-2</v>
      </c>
      <c r="R222" s="73"/>
      <c r="S222" s="107"/>
      <c r="T222" s="107"/>
      <c r="U222" s="107"/>
      <c r="V222" s="107"/>
      <c r="W222" s="107"/>
      <c r="X222" s="107"/>
      <c r="Y222" s="107"/>
      <c r="Z222" s="107"/>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107"/>
      <c r="BE222" s="107"/>
      <c r="BF222" s="107"/>
      <c r="BG222" s="107"/>
      <c r="BH222" s="107"/>
      <c r="BI222" s="107"/>
      <c r="BJ222" s="107"/>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outlineLevel="2">
      <c r="A223" s="9"/>
      <c r="B223" s="9"/>
      <c r="C223" s="9"/>
      <c r="D223" s="26"/>
      <c r="E223" s="392"/>
      <c r="F223" s="91">
        <v>3</v>
      </c>
      <c r="G223" s="124"/>
      <c r="H223" s="149"/>
      <c r="I223" s="151"/>
      <c r="J223" s="150"/>
      <c r="K223" s="73">
        <f>IF(A12stdlife="n/a","n/a",IF(K$3&gt;(A12stdlife+$F223),(Input!$J$222*(1+vanilla3)^0.5)-SUM($J223:J223),(Input!$J$222*(1+vanilla3)^0.5)/A12stdlife))</f>
        <v>4.9558147842451578E-2</v>
      </c>
      <c r="L223" s="73">
        <f>IF(A12stdlife="n/a","n/a",IF(L$3&gt;(A12stdlife+$F223),(Input!$J$222*(1+vanilla3)^0.5)-SUM($J223:K223),(Input!$J$222*(1+vanilla3)^0.5)/A12stdlife))</f>
        <v>4.9558147842451578E-2</v>
      </c>
      <c r="M223" s="73">
        <f>IF(A12stdlife="n/a","n/a",IF(M$3&gt;(A12stdlife+$F223),(Input!$J$222*(1+vanilla3)^0.5)-SUM($J223:L223),(Input!$J$222*(1+vanilla3)^0.5)/A12stdlife))</f>
        <v>4.9558147842451578E-2</v>
      </c>
      <c r="N223" s="73">
        <f>IF(A12stdlife="n/a","n/a",IF(N$3&gt;(A12stdlife+$F223),(Input!$J$222*(1+vanilla3)^0.5)-SUM($J223:M223),(Input!$J$222*(1+vanilla3)^0.5)/A12stdlife))</f>
        <v>4.9558147842451578E-2</v>
      </c>
      <c r="O223" s="73">
        <f>IF(A12stdlife="n/a","n/a",IF(O$3&gt;(A12stdlife+$F223),(Input!$J$222*(1+vanilla3)^0.5)-SUM($J223:N223),(Input!$J$222*(1+vanilla3)^0.5)/A12stdlife))</f>
        <v>4.9558147842451578E-2</v>
      </c>
      <c r="P223" s="73">
        <f>IF(A12stdlife="n/a","n/a",IF(P$3&gt;(A12stdlife+$F223),(Input!$J$222*(1+vanilla3)^0.5)-SUM($J223:O223),(Input!$J$222*(1+vanilla3)^0.5)/A12stdlife))</f>
        <v>4.9558147842451578E-2</v>
      </c>
      <c r="Q223" s="73">
        <f>IF(A12stdlife="n/a","n/a",IF(Q$3&gt;(A12stdlife+$F223),(Input!$J$222*(1+vanilla3)^0.5)-SUM($J223:P223),(Input!$J$222*(1+vanilla3)^0.5)/A12stdlife))</f>
        <v>4.9558147842451578E-2</v>
      </c>
      <c r="R223" s="73"/>
      <c r="S223" s="107"/>
      <c r="T223" s="107"/>
      <c r="U223" s="107"/>
      <c r="V223" s="107"/>
      <c r="W223" s="107"/>
      <c r="X223" s="107"/>
      <c r="Y223" s="107"/>
      <c r="Z223" s="107"/>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107"/>
      <c r="BE223" s="107"/>
      <c r="BF223" s="107"/>
      <c r="BG223" s="107"/>
      <c r="BH223" s="107"/>
      <c r="BI223" s="107"/>
      <c r="BJ223" s="107"/>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outlineLevel="2">
      <c r="A224" s="9"/>
      <c r="B224" s="9"/>
      <c r="C224" s="9"/>
      <c r="D224" s="26"/>
      <c r="E224" s="392"/>
      <c r="F224" s="91">
        <v>4</v>
      </c>
      <c r="G224" s="124"/>
      <c r="H224" s="149"/>
      <c r="I224" s="151"/>
      <c r="J224" s="151"/>
      <c r="K224" s="150"/>
      <c r="L224" s="73">
        <f>IF(A12stdlife="n/a","n/a",IF(L$3&gt;(A12stdlife+$F224),(Input!$K$222*(1+vanilla4)^0.5)-SUM($K224:K224),(Input!$K$222*(1+vanilla4)^0.5)/A12stdlife))</f>
        <v>6.0474262629766365E-2</v>
      </c>
      <c r="M224" s="73">
        <f>IF(A12stdlife="n/a","n/a",IF(M$3&gt;(A12stdlife+$F224),(Input!$K$222*(1+vanilla4)^0.5)-SUM($K224:L224),(Input!$K$222*(1+vanilla4)^0.5)/A12stdlife))</f>
        <v>6.0474262629766365E-2</v>
      </c>
      <c r="N224" s="73">
        <f>IF(A12stdlife="n/a","n/a",IF(N$3&gt;(A12stdlife+$F224),(Input!$K$222*(1+vanilla4)^0.5)-SUM($K224:M224),(Input!$K$222*(1+vanilla4)^0.5)/A12stdlife))</f>
        <v>6.0474262629766365E-2</v>
      </c>
      <c r="O224" s="73">
        <f>IF(A12stdlife="n/a","n/a",IF(O$3&gt;(A12stdlife+$F224),(Input!$K$222*(1+vanilla4)^0.5)-SUM($K224:N224),(Input!$K$222*(1+vanilla4)^0.5)/A12stdlife))</f>
        <v>6.0474262629766365E-2</v>
      </c>
      <c r="P224" s="73">
        <f>IF(A12stdlife="n/a","n/a",IF(P$3&gt;(A12stdlife+$F224),(Input!$K$222*(1+vanilla4)^0.5)-SUM($K224:O224),(Input!$K$222*(1+vanilla4)^0.5)/A12stdlife))</f>
        <v>6.0474262629766365E-2</v>
      </c>
      <c r="Q224" s="73">
        <f>IF(A12stdlife="n/a","n/a",IF(Q$3&gt;(A12stdlife+$F224),(Input!$K$222*(1+vanilla4)^0.5)-SUM($K224:P224),(Input!$K$222*(1+vanilla4)^0.5)/A12stdlife))</f>
        <v>6.0474262629766365E-2</v>
      </c>
      <c r="R224" s="73"/>
      <c r="S224" s="107"/>
      <c r="T224" s="107"/>
      <c r="U224" s="107"/>
      <c r="V224" s="107"/>
      <c r="W224" s="107"/>
      <c r="X224" s="107"/>
      <c r="Y224" s="107"/>
      <c r="Z224" s="107"/>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107"/>
      <c r="BE224" s="107"/>
      <c r="BF224" s="107"/>
      <c r="BG224" s="107"/>
      <c r="BH224" s="107"/>
      <c r="BI224" s="107"/>
      <c r="BJ224" s="107"/>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2">
      <c r="A225" s="9"/>
      <c r="B225" s="9"/>
      <c r="C225" s="9"/>
      <c r="D225" s="26"/>
      <c r="E225" s="392"/>
      <c r="F225" s="91">
        <v>5</v>
      </c>
      <c r="G225" s="27"/>
      <c r="H225" s="149"/>
      <c r="I225" s="151"/>
      <c r="J225" s="151"/>
      <c r="K225" s="151"/>
      <c r="L225" s="150"/>
      <c r="M225" s="73">
        <f>IF(A12stdlife="n/a","n/a",IF(M$3&gt;(A12stdlife+$F225),(Input!$L$222*(1+vanilla5)^0.5)-SUM($L225:L225),(Input!$L$222*(1+vanilla5)^0.5)/A12stdlife))</f>
        <v>0.32500283334696212</v>
      </c>
      <c r="N225" s="73">
        <f>IF(A12stdlife="n/a","n/a",IF(N$3&gt;(A12stdlife+$F225),(Input!$L$222*(1+vanilla5)^0.5)-SUM($L225:M225),(Input!$L$222*(1+vanilla5)^0.5)/A12stdlife))</f>
        <v>0.32500283334696212</v>
      </c>
      <c r="O225" s="73">
        <f>IF(A12stdlife="n/a","n/a",IF(O$3&gt;(A12stdlife+$F225),(Input!$L$222*(1+vanilla5)^0.5)-SUM($L225:N225),(Input!$L$222*(1+vanilla5)^0.5)/A12stdlife))</f>
        <v>0.32500283334696212</v>
      </c>
      <c r="P225" s="73">
        <f>IF(A12stdlife="n/a","n/a",IF(P$3&gt;(A12stdlife+$F225),(Input!$L$222*(1+vanilla5)^0.5)-SUM($L225:O225),(Input!$L$222*(1+vanilla5)^0.5)/A12stdlife))</f>
        <v>0.32500283334696212</v>
      </c>
      <c r="Q225" s="73">
        <f>IF(A12stdlife="n/a","n/a",IF(Q$3&gt;(A12stdlife+$F225),(Input!$L$222*(1+vanilla5)^0.5)-SUM($L225:P225),(Input!$L$222*(1+vanilla5)^0.5)/A12stdlife))</f>
        <v>0.32500283334696212</v>
      </c>
      <c r="R225" s="73"/>
      <c r="S225" s="107"/>
      <c r="T225" s="107"/>
      <c r="U225" s="107"/>
      <c r="V225" s="107"/>
      <c r="W225" s="107"/>
      <c r="X225" s="107"/>
      <c r="Y225" s="107"/>
      <c r="Z225" s="107"/>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outlineLevel="2">
      <c r="A226" s="9"/>
      <c r="B226" s="9"/>
      <c r="C226" s="9"/>
      <c r="D226" s="26"/>
      <c r="E226" s="392"/>
      <c r="F226" s="91">
        <v>6</v>
      </c>
      <c r="G226" s="27"/>
      <c r="H226" s="149"/>
      <c r="I226" s="151"/>
      <c r="J226" s="151"/>
      <c r="K226" s="151"/>
      <c r="L226" s="151"/>
      <c r="M226" s="150"/>
      <c r="N226" s="73">
        <f>IF(A12stdlife="n/a","n/a",IF(N$3&gt;(A12stdlife+$F226),(Input!$M$222*(1+vanilla6)^0.5)-SUM($M226:M226),(Input!$M$222*(1+vanilla6)^0.5)/A12stdlife))</f>
        <v>0</v>
      </c>
      <c r="O226" s="73">
        <f>IF(A12stdlife="n/a","n/a",IF(O$3&gt;(A12stdlife+$F226),(Input!$M$222*(1+vanilla6)^0.5)-SUM($M226:N226),(Input!$M$222*(1+vanilla6)^0.5)/A12stdlife))</f>
        <v>0</v>
      </c>
      <c r="P226" s="73">
        <f>IF(A12stdlife="n/a","n/a",IF(P$3&gt;(A12stdlife+$F226),(Input!$M$222*(1+vanilla6)^0.5)-SUM($M226:O226),(Input!$M$222*(1+vanilla6)^0.5)/A12stdlife))</f>
        <v>0</v>
      </c>
      <c r="Q226" s="73">
        <f>IF(A12stdlife="n/a","n/a",IF(Q$3&gt;(A12stdlife+$F226),(Input!$M$222*(1+vanilla6)^0.5)-SUM($M226:P226),(Input!$M$222*(1+vanilla6)^0.5)/A12stdlife))</f>
        <v>0</v>
      </c>
      <c r="R226" s="73"/>
      <c r="S226" s="107"/>
      <c r="T226" s="107"/>
      <c r="U226" s="107"/>
      <c r="V226" s="107"/>
      <c r="W226" s="107"/>
      <c r="X226" s="107"/>
      <c r="Y226" s="107"/>
      <c r="Z226" s="107"/>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107"/>
      <c r="BE226" s="107"/>
      <c r="BF226" s="107"/>
      <c r="BG226" s="107"/>
      <c r="BH226" s="107"/>
      <c r="BI226" s="107"/>
      <c r="BJ226" s="107"/>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outlineLevel="2">
      <c r="A227" s="9"/>
      <c r="B227" s="9"/>
      <c r="C227" s="9"/>
      <c r="D227" s="26"/>
      <c r="E227" s="392"/>
      <c r="F227" s="91">
        <v>7</v>
      </c>
      <c r="G227" s="27"/>
      <c r="H227" s="149"/>
      <c r="I227" s="151"/>
      <c r="J227" s="151"/>
      <c r="K227" s="151"/>
      <c r="L227" s="151"/>
      <c r="M227" s="151"/>
      <c r="N227" s="150"/>
      <c r="O227" s="73">
        <f>IF(A12stdlife="n/a","n/a",IF(O$3&gt;(A12stdlife+$F227),(Input!$N$222*(1+vanilla7)^0.5)-SUM($N227:N227),(Input!$N$222*(1+vanilla7)^0.5)/A12stdlife))</f>
        <v>0</v>
      </c>
      <c r="P227" s="73">
        <f>IF(A12stdlife="n/a","n/a",IF(P$3&gt;(A12stdlife+$F227),(Input!$N$222*(1+vanilla7)^0.5)-SUM($N227:O227),(Input!$N$222*(1+vanilla7)^0.5)/A12stdlife))</f>
        <v>0</v>
      </c>
      <c r="Q227" s="73">
        <f>IF(A12stdlife="n/a","n/a",IF(Q$3&gt;(A12stdlife+$F227),(Input!$N$222*(1+vanilla7)^0.5)-SUM($N227:P227),(Input!$N$222*(1+vanilla7)^0.5)/A12stdlife))</f>
        <v>0</v>
      </c>
      <c r="R227" s="73"/>
      <c r="S227" s="107"/>
      <c r="T227" s="107"/>
      <c r="U227" s="107"/>
      <c r="V227" s="107"/>
      <c r="W227" s="107"/>
      <c r="X227" s="107"/>
      <c r="Y227" s="107"/>
      <c r="Z227" s="107"/>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107"/>
      <c r="BE227" s="107"/>
      <c r="BF227" s="107"/>
      <c r="BG227" s="107"/>
      <c r="BH227" s="107"/>
      <c r="BI227" s="107"/>
      <c r="BJ227" s="107"/>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outlineLevel="2">
      <c r="A228" s="9"/>
      <c r="B228" s="9"/>
      <c r="C228" s="9"/>
      <c r="D228" s="26"/>
      <c r="E228" s="392"/>
      <c r="F228" s="91">
        <v>8</v>
      </c>
      <c r="G228" s="27"/>
      <c r="H228" s="149"/>
      <c r="I228" s="151"/>
      <c r="J228" s="151"/>
      <c r="K228" s="151"/>
      <c r="L228" s="151"/>
      <c r="M228" s="151"/>
      <c r="N228" s="151"/>
      <c r="O228" s="150"/>
      <c r="P228" s="73">
        <f>IF(A12stdlife="n/a","n/a",IF(P$3&gt;(A12stdlife+$F228),(Input!$O$222*(1+vanilla8)^0.5)-SUM($O228:O228),(Input!$O$222*(1+vanilla8)^0.5)/A12stdlife))</f>
        <v>0</v>
      </c>
      <c r="Q228" s="73">
        <f>IF(A12stdlife="n/a","n/a",IF(Q$3&gt;(A12stdlife+$F228),(Input!$O$222*(1+vanilla8)^0.5)-SUM($O228:P228),(Input!$O$222*(1+vanilla8)^0.5)/A12stdlife))</f>
        <v>0</v>
      </c>
      <c r="R228" s="73"/>
      <c r="S228" s="107"/>
      <c r="T228" s="107"/>
      <c r="U228" s="107"/>
      <c r="V228" s="107"/>
      <c r="W228" s="107"/>
      <c r="X228" s="107"/>
      <c r="Y228" s="107"/>
      <c r="Z228" s="107"/>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107"/>
      <c r="BE228" s="107"/>
      <c r="BF228" s="107"/>
      <c r="BG228" s="107"/>
      <c r="BH228" s="107"/>
      <c r="BI228" s="107"/>
      <c r="BJ228" s="107"/>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outlineLevel="2">
      <c r="A229" s="9"/>
      <c r="B229" s="9"/>
      <c r="C229" s="9"/>
      <c r="D229" s="26"/>
      <c r="E229" s="392"/>
      <c r="F229" s="91">
        <v>9</v>
      </c>
      <c r="G229" s="27"/>
      <c r="H229" s="149"/>
      <c r="I229" s="151"/>
      <c r="J229" s="151"/>
      <c r="K229" s="151"/>
      <c r="L229" s="151"/>
      <c r="M229" s="151"/>
      <c r="N229" s="151"/>
      <c r="O229" s="151"/>
      <c r="P229" s="150"/>
      <c r="Q229" s="73">
        <f>IF(A12stdlife="n/a","n/a",IF(Q$3&gt;(A12stdlife+$F229),(Input!$P$222*(1+vanilla9)^0.5)-SUM($P229:P229),(Input!$P$222*(1+vanilla9)^0.5)/A12stdlife))</f>
        <v>0</v>
      </c>
      <c r="R229" s="73"/>
      <c r="S229" s="107"/>
      <c r="T229" s="107"/>
      <c r="U229" s="107"/>
      <c r="V229" s="107"/>
      <c r="W229" s="107"/>
      <c r="X229" s="107"/>
      <c r="Y229" s="107"/>
      <c r="Z229" s="107"/>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107"/>
      <c r="BE229" s="107"/>
      <c r="BF229" s="107"/>
      <c r="BG229" s="107"/>
      <c r="BH229" s="107"/>
      <c r="BI229" s="107"/>
      <c r="BJ229" s="107"/>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outlineLevel="2">
      <c r="A230" s="9"/>
      <c r="B230" s="9"/>
      <c r="C230" s="9"/>
      <c r="D230" s="26"/>
      <c r="E230" s="392"/>
      <c r="F230" s="92">
        <v>10</v>
      </c>
      <c r="G230" s="27"/>
      <c r="H230" s="149"/>
      <c r="I230" s="151"/>
      <c r="J230" s="151"/>
      <c r="K230" s="151"/>
      <c r="L230" s="151"/>
      <c r="M230" s="151"/>
      <c r="N230" s="151"/>
      <c r="O230" s="151"/>
      <c r="P230" s="151"/>
      <c r="Q230" s="150"/>
      <c r="R230" s="73"/>
      <c r="S230" s="107"/>
      <c r="T230" s="107"/>
      <c r="U230" s="107"/>
      <c r="V230" s="107"/>
      <c r="W230" s="107"/>
      <c r="X230" s="107"/>
      <c r="Y230" s="107"/>
      <c r="Z230" s="107"/>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107"/>
      <c r="BE230" s="107"/>
      <c r="BF230" s="107"/>
      <c r="BG230" s="107"/>
      <c r="BH230" s="107"/>
      <c r="BI230" s="107"/>
      <c r="BJ230" s="107"/>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outlineLevel="1">
      <c r="A231" s="9"/>
      <c r="B231" s="9"/>
      <c r="C231" s="9"/>
      <c r="D231" s="279" t="str">
        <f>Asset12</f>
        <v>Transmission line assets - short life (10)</v>
      </c>
      <c r="E231" s="9"/>
      <c r="F231" s="9"/>
      <c r="G231" s="124"/>
      <c r="H231" s="165">
        <f>-SUM(H219:H230)</f>
        <v>0</v>
      </c>
      <c r="I231" s="165">
        <f>-SUM(I219:I230)</f>
        <v>-3.6951867405631091E-2</v>
      </c>
      <c r="J231" s="165">
        <f>-SUM(J219:J230)</f>
        <v>-7.5214073335405807E-2</v>
      </c>
      <c r="K231" s="165">
        <f>-SUM(K219:K230)</f>
        <v>-0.12477222117785738</v>
      </c>
      <c r="L231" s="165">
        <f>-SUM(L219:L230)</f>
        <v>-0.18524648380762376</v>
      </c>
      <c r="M231" s="73">
        <f>IF(COUNT($H231:L231)&gt;=Input!$W$7,0, -SUM(M219:M230))</f>
        <v>0</v>
      </c>
      <c r="N231" s="73">
        <f>IF(COUNT($H231:M231)&gt;=Input!$W$7,0, -SUM(N219:N230))</f>
        <v>0</v>
      </c>
      <c r="O231" s="73">
        <f>IF(COUNT($H231:N231)&gt;=Input!$W$7,0, -SUM(O219:O230))</f>
        <v>0</v>
      </c>
      <c r="P231" s="73">
        <f>IF(COUNT($H231:O231)&gt;=Input!$W$7,0, -SUM(P219:P230))</f>
        <v>0</v>
      </c>
      <c r="Q231" s="73">
        <f>IF(COUNT($H231:P231)&gt;=Input!$W$7,0, -SUM(Q219:Q230))</f>
        <v>0</v>
      </c>
      <c r="R231" s="71"/>
      <c r="S231" s="109"/>
      <c r="T231" s="109"/>
      <c r="U231" s="109"/>
      <c r="V231" s="109"/>
      <c r="W231" s="109"/>
      <c r="X231" s="109"/>
      <c r="Y231" s="109"/>
      <c r="Z231" s="109"/>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109"/>
      <c r="BE231" s="109"/>
      <c r="BF231" s="109"/>
      <c r="BG231" s="109"/>
      <c r="BH231" s="109"/>
      <c r="BI231" s="109"/>
      <c r="BJ231" s="109"/>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outlineLevel="2">
      <c r="A232" s="9"/>
      <c r="B232" s="9"/>
      <c r="C232" s="280" t="str">
        <f>Asset13</f>
        <v>Substation assets - long life (60)</v>
      </c>
      <c r="D232" s="161"/>
      <c r="E232" s="32" t="s">
        <v>26</v>
      </c>
      <c r="F232" s="31"/>
      <c r="G232" s="181"/>
      <c r="H232" s="72" t="str">
        <f>IF(H$3&gt;A13remlife,A13value-$G$642-SUM($G232:G232),IF(A13remlife="N/A","n/a",(A13value-$G$642)/A13remlife))</f>
        <v>n/a</v>
      </c>
      <c r="I232" s="72" t="str">
        <f>IF(I$3&gt;A13remlife,A13value-$G$642-SUM($G232:H232),IF(A13remlife="N/A","n/a",(A13value-$G$642)/A13remlife))</f>
        <v>n/a</v>
      </c>
      <c r="J232" s="72" t="str">
        <f>IF(J$3&gt;A13remlife,A13value-$G$642-SUM($G232:I232),IF(A13remlife="N/A","n/a",(A13value-$G$642)/A13remlife))</f>
        <v>n/a</v>
      </c>
      <c r="K232" s="72" t="str">
        <f>IF(K$3&gt;A13remlife,A13value-$G$642-SUM($G232:J232),IF(A13remlife="N/A","n/a",(A13value-$G$642)/A13remlife))</f>
        <v>n/a</v>
      </c>
      <c r="L232" s="72" t="str">
        <f>IF(L$3&gt;A13remlife,A13value-$G$642-SUM($G232:K232),IF(A13remlife="N/A","n/a",(A13value-$G$642)/A13remlife))</f>
        <v>n/a</v>
      </c>
      <c r="M232" s="72" t="str">
        <f>IF(M$3&gt;A13remlife,A13value-$G$642-SUM($G232:L232),IF(A13remlife="N/A","n/a",(A13value-$G$642)/A13remlife))</f>
        <v>n/a</v>
      </c>
      <c r="N232" s="72" t="str">
        <f>IF(N$3&gt;A13remlife,A13value-$G$642-SUM($G232:M232),IF(A13remlife="N/A","n/a",(A13value-$G$642)/A13remlife))</f>
        <v>n/a</v>
      </c>
      <c r="O232" s="72" t="str">
        <f>IF(O$3&gt;A13remlife,A13value-$G$642-SUM($G232:N232),IF(A13remlife="N/A","n/a",(A13value-$G$642)/A13remlife))</f>
        <v>n/a</v>
      </c>
      <c r="P232" s="72" t="str">
        <f>IF(P$3&gt;A13remlife,A13value-$G$642-SUM($G232:O232),IF(A13remlife="N/A","n/a",(A13value-$G$642)/A13remlife))</f>
        <v>n/a</v>
      </c>
      <c r="Q232" s="72" t="str">
        <f>IF(Q$3&gt;A13remlife,A13value-$G$642-SUM($G232:P232),IF(A13remlife="N/A","n/a",(A13value-$G$642)/A13remlife))</f>
        <v>n/a</v>
      </c>
      <c r="R232" s="72"/>
      <c r="S232" s="107"/>
      <c r="T232" s="107"/>
      <c r="U232" s="107"/>
      <c r="V232" s="107"/>
      <c r="W232" s="107"/>
      <c r="X232" s="107"/>
      <c r="Y232" s="107"/>
      <c r="Z232" s="107"/>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107"/>
      <c r="BE232" s="107"/>
      <c r="BF232" s="107"/>
      <c r="BG232" s="107"/>
      <c r="BH232" s="107"/>
      <c r="BI232" s="107"/>
      <c r="BJ232" s="107"/>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9"/>
      <c r="D233" s="26"/>
      <c r="E233" s="391" t="s">
        <v>81</v>
      </c>
      <c r="F233" s="91"/>
      <c r="G233" s="124"/>
      <c r="H233" s="73"/>
      <c r="I233" s="73"/>
      <c r="J233" s="73"/>
      <c r="K233" s="73"/>
      <c r="L233" s="73"/>
      <c r="M233" s="163"/>
      <c r="N233" s="115"/>
      <c r="O233" s="73"/>
      <c r="P233" s="73"/>
      <c r="Q233" s="73"/>
      <c r="R233" s="73"/>
      <c r="S233" s="107"/>
      <c r="T233" s="107"/>
      <c r="U233" s="107"/>
      <c r="V233" s="107"/>
      <c r="W233" s="107"/>
      <c r="X233" s="107"/>
      <c r="Y233" s="107"/>
      <c r="Z233" s="107"/>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107"/>
      <c r="BE233" s="107"/>
      <c r="BF233" s="107"/>
      <c r="BG233" s="107"/>
      <c r="BH233" s="107"/>
      <c r="BI233" s="107"/>
      <c r="BJ233" s="107"/>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outlineLevel="2">
      <c r="A234" s="9"/>
      <c r="B234" s="9"/>
      <c r="C234" s="9"/>
      <c r="D234" s="26"/>
      <c r="E234" s="392"/>
      <c r="F234" s="91">
        <v>1</v>
      </c>
      <c r="G234" s="124"/>
      <c r="H234" s="148"/>
      <c r="I234" s="73">
        <f>IF(A13stdlife="n/a","n/a",IF(I$3&gt;(A13stdlife+$F234),(Input!$H$223*(1+vanilla1)^0.5)-SUM($H234:H234),(Input!$H$223*(1+vanilla1)^0.5)/A13stdlife))</f>
        <v>4.0620903522343946E-2</v>
      </c>
      <c r="J234" s="73">
        <f>IF(A13stdlife="n/a","n/a",IF(J$3&gt;(A13stdlife+$F234),(Input!$H$223*(1+vanilla1)^0.5)-SUM($H234:I234),(Input!$H$223*(1+vanilla1)^0.5)/A13stdlife))</f>
        <v>4.0620903522343946E-2</v>
      </c>
      <c r="K234" s="73">
        <f>IF(A13stdlife="n/a","n/a",IF(K$3&gt;(A13stdlife+$F234),(Input!$H$223*(1+vanilla1)^0.5)-SUM($H234:J234),(Input!$H$223*(1+vanilla1)^0.5)/A13stdlife))</f>
        <v>4.0620903522343946E-2</v>
      </c>
      <c r="L234" s="73">
        <f>IF(A13stdlife="n/a","n/a",IF(L$3&gt;(A13stdlife+$F234),(Input!$H$223*(1+vanilla1)^0.5)-SUM($H234:K234),(Input!$H$223*(1+vanilla1)^0.5)/A13stdlife))</f>
        <v>4.0620903522343946E-2</v>
      </c>
      <c r="M234" s="73">
        <f>IF(A13stdlife="n/a","n/a",IF(M$3&gt;(A13stdlife+$F234),(Input!$H$223*(1+vanilla1)^0.5)-SUM($H234:L234),(Input!$H$223*(1+vanilla1)^0.5)/A13stdlife))</f>
        <v>4.0620903522343946E-2</v>
      </c>
      <c r="N234" s="73">
        <f>IF(A13stdlife="n/a","n/a",IF(N$3&gt;(A13stdlife+$F234),(Input!$H$223*(1+vanilla1)^0.5)-SUM($H234:M234),(Input!$H$223*(1+vanilla1)^0.5)/A13stdlife))</f>
        <v>4.0620903522343946E-2</v>
      </c>
      <c r="O234" s="73">
        <f>IF(A13stdlife="n/a","n/a",IF(O$3&gt;(A13stdlife+$F234),(Input!$H$223*(1+vanilla1)^0.5)-SUM($H234:N234),(Input!$H$223*(1+vanilla1)^0.5)/A13stdlife))</f>
        <v>4.0620903522343946E-2</v>
      </c>
      <c r="P234" s="73">
        <f>IF(A13stdlife="n/a","n/a",IF(P$3&gt;(A13stdlife+$F234),(Input!$H$223*(1+vanilla1)^0.5)-SUM($H234:O234),(Input!$H$223*(1+vanilla1)^0.5)/A13stdlife))</f>
        <v>4.0620903522343946E-2</v>
      </c>
      <c r="Q234" s="73">
        <f>IF(A13stdlife="n/a","n/a",IF(Q$3&gt;(A13stdlife+$F234),(Input!$H$223*(1+vanilla1)^0.5)-SUM($H234:P234),(Input!$H$223*(1+vanilla1)^0.5)/A13stdlife))</f>
        <v>4.0620903522343946E-2</v>
      </c>
      <c r="R234" s="73"/>
      <c r="S234" s="107"/>
      <c r="T234" s="107"/>
      <c r="U234" s="107"/>
      <c r="V234" s="107"/>
      <c r="W234" s="107"/>
      <c r="X234" s="107"/>
      <c r="Y234" s="107"/>
      <c r="Z234" s="107"/>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107"/>
      <c r="BE234" s="107"/>
      <c r="BF234" s="107"/>
      <c r="BG234" s="107"/>
      <c r="BH234" s="107"/>
      <c r="BI234" s="107"/>
      <c r="BJ234" s="107"/>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outlineLevel="2">
      <c r="A235" s="9"/>
      <c r="B235" s="9"/>
      <c r="C235" s="9"/>
      <c r="D235" s="26"/>
      <c r="E235" s="392"/>
      <c r="F235" s="91">
        <v>2</v>
      </c>
      <c r="G235" s="124"/>
      <c r="H235" s="149"/>
      <c r="I235" s="150"/>
      <c r="J235" s="73">
        <f>IF(A13stdlife="n/a","n/a",IF(J$3&gt;(A13stdlife+$F235),(Input!$I$223*(1+vanilla2)^0.5)-SUM($I235:I235),(Input!$I$223*(1+vanilla2)^0.5)/A13stdlife))</f>
        <v>0.36478967350541092</v>
      </c>
      <c r="K235" s="73">
        <f>IF(A13stdlife="n/a","n/a",IF(K$3&gt;(A13stdlife+$F235),(Input!$I$223*(1+vanilla2)^0.5)-SUM($I235:J235),(Input!$I$223*(1+vanilla2)^0.5)/A13stdlife))</f>
        <v>0.36478967350541092</v>
      </c>
      <c r="L235" s="73">
        <f>IF(A13stdlife="n/a","n/a",IF(L$3&gt;(A13stdlife+$F235),(Input!$I$223*(1+vanilla2)^0.5)-SUM($I235:K235),(Input!$I$223*(1+vanilla2)^0.5)/A13stdlife))</f>
        <v>0.36478967350541092</v>
      </c>
      <c r="M235" s="73">
        <f>IF(A13stdlife="n/a","n/a",IF(M$3&gt;(A13stdlife+$F235),(Input!$I$223*(1+vanilla2)^0.5)-SUM($I235:L235),(Input!$I$223*(1+vanilla2)^0.5)/A13stdlife))</f>
        <v>0.36478967350541092</v>
      </c>
      <c r="N235" s="73">
        <f>IF(A13stdlife="n/a","n/a",IF(N$3&gt;(A13stdlife+$F235),(Input!$I$223*(1+vanilla2)^0.5)-SUM($I235:M235),(Input!$I$223*(1+vanilla2)^0.5)/A13stdlife))</f>
        <v>0.36478967350541092</v>
      </c>
      <c r="O235" s="73">
        <f>IF(A13stdlife="n/a","n/a",IF(O$3&gt;(A13stdlife+$F235),(Input!$I$223*(1+vanilla2)^0.5)-SUM($I235:N235),(Input!$I$223*(1+vanilla2)^0.5)/A13stdlife))</f>
        <v>0.36478967350541092</v>
      </c>
      <c r="P235" s="73">
        <f>IF(A13stdlife="n/a","n/a",IF(P$3&gt;(A13stdlife+$F235),(Input!$I$223*(1+vanilla2)^0.5)-SUM($I235:O235),(Input!$I$223*(1+vanilla2)^0.5)/A13stdlife))</f>
        <v>0.36478967350541092</v>
      </c>
      <c r="Q235" s="73">
        <f>IF(A13stdlife="n/a","n/a",IF(Q$3&gt;(A13stdlife+$F235),(Input!$I$223*(1+vanilla2)^0.5)-SUM($I235:P235),(Input!$I$223*(1+vanilla2)^0.5)/A13stdlife))</f>
        <v>0.36478967350541092</v>
      </c>
      <c r="R235" s="73"/>
      <c r="S235" s="107"/>
      <c r="T235" s="107"/>
      <c r="U235" s="107"/>
      <c r="V235" s="107"/>
      <c r="W235" s="107"/>
      <c r="X235" s="107"/>
      <c r="Y235" s="107"/>
      <c r="Z235" s="107"/>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107"/>
      <c r="BE235" s="107"/>
      <c r="BF235" s="107"/>
      <c r="BG235" s="107"/>
      <c r="BH235" s="107"/>
      <c r="BI235" s="107"/>
      <c r="BJ235" s="107"/>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outlineLevel="2">
      <c r="A236" s="9"/>
      <c r="B236" s="9"/>
      <c r="C236" s="9"/>
      <c r="D236" s="26"/>
      <c r="E236" s="392"/>
      <c r="F236" s="91">
        <v>3</v>
      </c>
      <c r="G236" s="124"/>
      <c r="H236" s="149"/>
      <c r="I236" s="151"/>
      <c r="J236" s="150"/>
      <c r="K236" s="73">
        <f>IF(A13stdlife="n/a","n/a",IF(K$3&gt;(A13stdlife+$F236),(Input!$J$223*(1+vanilla3)^0.5)-SUM($J236:J236),(Input!$J$223*(1+vanilla3)^0.5)/A13stdlife))</f>
        <v>0.17398073178733003</v>
      </c>
      <c r="L236" s="73">
        <f>IF(A13stdlife="n/a","n/a",IF(L$3&gt;(A13stdlife+$F236),(Input!$J$223*(1+vanilla3)^0.5)-SUM($J236:K236),(Input!$J$223*(1+vanilla3)^0.5)/A13stdlife))</f>
        <v>0.17398073178733003</v>
      </c>
      <c r="M236" s="73">
        <f>IF(A13stdlife="n/a","n/a",IF(M$3&gt;(A13stdlife+$F236),(Input!$J$223*(1+vanilla3)^0.5)-SUM($J236:L236),(Input!$J$223*(1+vanilla3)^0.5)/A13stdlife))</f>
        <v>0.17398073178733003</v>
      </c>
      <c r="N236" s="73">
        <f>IF(A13stdlife="n/a","n/a",IF(N$3&gt;(A13stdlife+$F236),(Input!$J$223*(1+vanilla3)^0.5)-SUM($J236:M236),(Input!$J$223*(1+vanilla3)^0.5)/A13stdlife))</f>
        <v>0.17398073178733003</v>
      </c>
      <c r="O236" s="73">
        <f>IF(A13stdlife="n/a","n/a",IF(O$3&gt;(A13stdlife+$F236),(Input!$J$223*(1+vanilla3)^0.5)-SUM($J236:N236),(Input!$J$223*(1+vanilla3)^0.5)/A13stdlife))</f>
        <v>0.17398073178733003</v>
      </c>
      <c r="P236" s="73">
        <f>IF(A13stdlife="n/a","n/a",IF(P$3&gt;(A13stdlife+$F236),(Input!$J$223*(1+vanilla3)^0.5)-SUM($J236:O236),(Input!$J$223*(1+vanilla3)^0.5)/A13stdlife))</f>
        <v>0.17398073178733003</v>
      </c>
      <c r="Q236" s="73">
        <f>IF(A13stdlife="n/a","n/a",IF(Q$3&gt;(A13stdlife+$F236),(Input!$J$223*(1+vanilla3)^0.5)-SUM($J236:P236),(Input!$J$223*(1+vanilla3)^0.5)/A13stdlife))</f>
        <v>0.17398073178733003</v>
      </c>
      <c r="R236" s="73"/>
      <c r="S236" s="107"/>
      <c r="T236" s="107"/>
      <c r="U236" s="107"/>
      <c r="V236" s="107"/>
      <c r="W236" s="107"/>
      <c r="X236" s="107"/>
      <c r="Y236" s="107"/>
      <c r="Z236" s="107"/>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107"/>
      <c r="BE236" s="107"/>
      <c r="BF236" s="107"/>
      <c r="BG236" s="107"/>
      <c r="BH236" s="107"/>
      <c r="BI236" s="107"/>
      <c r="BJ236" s="107"/>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outlineLevel="2">
      <c r="A237" s="9"/>
      <c r="B237" s="9"/>
      <c r="C237" s="9"/>
      <c r="D237" s="26"/>
      <c r="E237" s="392"/>
      <c r="F237" s="91">
        <v>4</v>
      </c>
      <c r="G237" s="124"/>
      <c r="H237" s="149"/>
      <c r="I237" s="151"/>
      <c r="J237" s="151"/>
      <c r="K237" s="150"/>
      <c r="L237" s="73">
        <f>IF(A13stdlife="n/a","n/a",IF(L$3&gt;(A13stdlife+$F237),(Input!$K$223*(1+vanilla4)^0.5)-SUM($K237:K237),(Input!$K$223*(1+vanilla4)^0.5)/A13stdlife))</f>
        <v>0.12613022801359838</v>
      </c>
      <c r="M237" s="73">
        <f>IF(A13stdlife="n/a","n/a",IF(M$3&gt;(A13stdlife+$F237),(Input!$K$223*(1+vanilla4)^0.5)-SUM($K237:L237),(Input!$K$223*(1+vanilla4)^0.5)/A13stdlife))</f>
        <v>0.12613022801359838</v>
      </c>
      <c r="N237" s="73">
        <f>IF(A13stdlife="n/a","n/a",IF(N$3&gt;(A13stdlife+$F237),(Input!$K$223*(1+vanilla4)^0.5)-SUM($K237:M237),(Input!$K$223*(1+vanilla4)^0.5)/A13stdlife))</f>
        <v>0.12613022801359838</v>
      </c>
      <c r="O237" s="73">
        <f>IF(A13stdlife="n/a","n/a",IF(O$3&gt;(A13stdlife+$F237),(Input!$K$223*(1+vanilla4)^0.5)-SUM($K237:N237),(Input!$K$223*(1+vanilla4)^0.5)/A13stdlife))</f>
        <v>0.12613022801359838</v>
      </c>
      <c r="P237" s="73">
        <f>IF(A13stdlife="n/a","n/a",IF(P$3&gt;(A13stdlife+$F237),(Input!$K$223*(1+vanilla4)^0.5)-SUM($K237:O237),(Input!$K$223*(1+vanilla4)^0.5)/A13stdlife))</f>
        <v>0.12613022801359838</v>
      </c>
      <c r="Q237" s="73">
        <f>IF(A13stdlife="n/a","n/a",IF(Q$3&gt;(A13stdlife+$F237),(Input!$K$223*(1+vanilla4)^0.5)-SUM($K237:P237),(Input!$K$223*(1+vanilla4)^0.5)/A13stdlife))</f>
        <v>0.12613022801359838</v>
      </c>
      <c r="R237" s="73"/>
      <c r="S237" s="107"/>
      <c r="T237" s="107"/>
      <c r="U237" s="107"/>
      <c r="V237" s="107"/>
      <c r="W237" s="107"/>
      <c r="X237" s="107"/>
      <c r="Y237" s="107"/>
      <c r="Z237" s="107"/>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107"/>
      <c r="BE237" s="107"/>
      <c r="BF237" s="107"/>
      <c r="BG237" s="107"/>
      <c r="BH237" s="107"/>
      <c r="BI237" s="107"/>
      <c r="BJ237" s="107"/>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2">
      <c r="A238" s="9"/>
      <c r="B238" s="9"/>
      <c r="C238" s="9"/>
      <c r="D238" s="26"/>
      <c r="E238" s="392"/>
      <c r="F238" s="91">
        <v>5</v>
      </c>
      <c r="G238" s="27"/>
      <c r="H238" s="149"/>
      <c r="I238" s="151"/>
      <c r="J238" s="151"/>
      <c r="K238" s="151"/>
      <c r="L238" s="150"/>
      <c r="M238" s="73">
        <f>IF(A13stdlife="n/a","n/a",IF(M$3&gt;(A13stdlife+$F238),(Input!$L$223*(1+vanilla5)^0.5)-SUM($L238:L238),(Input!$L$223*(1+vanilla5)^0.5)/A13stdlife))</f>
        <v>0.15183154981325514</v>
      </c>
      <c r="N238" s="73">
        <f>IF(A13stdlife="n/a","n/a",IF(N$3&gt;(A13stdlife+$F238),(Input!$L$223*(1+vanilla5)^0.5)-SUM($L238:M238),(Input!$L$223*(1+vanilla5)^0.5)/A13stdlife))</f>
        <v>0.15183154981325514</v>
      </c>
      <c r="O238" s="73">
        <f>IF(A13stdlife="n/a","n/a",IF(O$3&gt;(A13stdlife+$F238),(Input!$L$223*(1+vanilla5)^0.5)-SUM($L238:N238),(Input!$L$223*(1+vanilla5)^0.5)/A13stdlife))</f>
        <v>0.15183154981325514</v>
      </c>
      <c r="P238" s="73">
        <f>IF(A13stdlife="n/a","n/a",IF(P$3&gt;(A13stdlife+$F238),(Input!$L$223*(1+vanilla5)^0.5)-SUM($L238:O238),(Input!$L$223*(1+vanilla5)^0.5)/A13stdlife))</f>
        <v>0.15183154981325514</v>
      </c>
      <c r="Q238" s="73">
        <f>IF(A13stdlife="n/a","n/a",IF(Q$3&gt;(A13stdlife+$F238),(Input!$L$223*(1+vanilla5)^0.5)-SUM($L238:P238),(Input!$L$223*(1+vanilla5)^0.5)/A13stdlife))</f>
        <v>0.15183154981325514</v>
      </c>
      <c r="R238" s="73"/>
      <c r="S238" s="107"/>
      <c r="T238" s="107"/>
      <c r="U238" s="107"/>
      <c r="V238" s="107"/>
      <c r="W238" s="107"/>
      <c r="X238" s="107"/>
      <c r="Y238" s="107"/>
      <c r="Z238" s="107"/>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2">
      <c r="A239" s="9"/>
      <c r="B239" s="9"/>
      <c r="C239" s="9"/>
      <c r="D239" s="26"/>
      <c r="E239" s="392"/>
      <c r="F239" s="91">
        <v>6</v>
      </c>
      <c r="G239" s="27"/>
      <c r="H239" s="149"/>
      <c r="I239" s="151"/>
      <c r="J239" s="151"/>
      <c r="K239" s="151"/>
      <c r="L239" s="151"/>
      <c r="M239" s="150"/>
      <c r="N239" s="73">
        <f>IF(A13stdlife="n/a","n/a",IF(N$3&gt;(A13stdlife+$F239),(Input!$M$223*(1+vanilla6)^0.5)-SUM($M239:M239),(Input!$M$223*(1+vanilla6)^0.5)/A13stdlife))</f>
        <v>0</v>
      </c>
      <c r="O239" s="73">
        <f>IF(A13stdlife="n/a","n/a",IF(O$3&gt;(A13stdlife+$F239),(Input!$M$223*(1+vanilla6)^0.5)-SUM($M239:N239),(Input!$M$223*(1+vanilla6)^0.5)/A13stdlife))</f>
        <v>0</v>
      </c>
      <c r="P239" s="73">
        <f>IF(A13stdlife="n/a","n/a",IF(P$3&gt;(A13stdlife+$F239),(Input!$M$223*(1+vanilla6)^0.5)-SUM($M239:O239),(Input!$M$223*(1+vanilla6)^0.5)/A13stdlife))</f>
        <v>0</v>
      </c>
      <c r="Q239" s="73">
        <f>IF(A13stdlife="n/a","n/a",IF(Q$3&gt;(A13stdlife+$F239),(Input!$M$223*(1+vanilla6)^0.5)-SUM($M239:P239),(Input!$M$223*(1+vanilla6)^0.5)/A13stdlife))</f>
        <v>0</v>
      </c>
      <c r="R239" s="73"/>
      <c r="S239" s="107"/>
      <c r="T239" s="107"/>
      <c r="U239" s="107"/>
      <c r="V239" s="107"/>
      <c r="W239" s="107"/>
      <c r="X239" s="107"/>
      <c r="Y239" s="107"/>
      <c r="Z239" s="107"/>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107"/>
      <c r="BE239" s="107"/>
      <c r="BF239" s="107"/>
      <c r="BG239" s="107"/>
      <c r="BH239" s="107"/>
      <c r="BI239" s="107"/>
      <c r="BJ239" s="107"/>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outlineLevel="2">
      <c r="A240" s="9"/>
      <c r="B240" s="9"/>
      <c r="C240" s="9"/>
      <c r="D240" s="26"/>
      <c r="E240" s="392"/>
      <c r="F240" s="91">
        <v>7</v>
      </c>
      <c r="G240" s="27"/>
      <c r="H240" s="149"/>
      <c r="I240" s="151"/>
      <c r="J240" s="151"/>
      <c r="K240" s="151"/>
      <c r="L240" s="151"/>
      <c r="M240" s="151"/>
      <c r="N240" s="150"/>
      <c r="O240" s="73">
        <f>IF(A13stdlife="n/a","n/a",IF(O$3&gt;(A13stdlife+$F240),(Input!$N$223*(1+vanilla7)^0.5)-SUM($N240:N240),(Input!$N$223*(1+vanilla7)^0.5)/A13stdlife))</f>
        <v>0</v>
      </c>
      <c r="P240" s="73">
        <f>IF(A13stdlife="n/a","n/a",IF(P$3&gt;(A13stdlife+$F240),(Input!$N$223*(1+vanilla7)^0.5)-SUM($N240:O240),(Input!$N$223*(1+vanilla7)^0.5)/A13stdlife))</f>
        <v>0</v>
      </c>
      <c r="Q240" s="73">
        <f>IF(A13stdlife="n/a","n/a",IF(Q$3&gt;(A13stdlife+$F240),(Input!$N$223*(1+vanilla7)^0.5)-SUM($N240:P240),(Input!$N$223*(1+vanilla7)^0.5)/A13stdlife))</f>
        <v>0</v>
      </c>
      <c r="R240" s="73"/>
      <c r="S240" s="107"/>
      <c r="T240" s="107"/>
      <c r="U240" s="107"/>
      <c r="V240" s="107"/>
      <c r="W240" s="107"/>
      <c r="X240" s="107"/>
      <c r="Y240" s="107"/>
      <c r="Z240" s="107"/>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107"/>
      <c r="BE240" s="107"/>
      <c r="BF240" s="107"/>
      <c r="BG240" s="107"/>
      <c r="BH240" s="107"/>
      <c r="BI240" s="107"/>
      <c r="BJ240" s="107"/>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outlineLevel="2">
      <c r="A241" s="9"/>
      <c r="B241" s="9"/>
      <c r="C241" s="9"/>
      <c r="D241" s="26"/>
      <c r="E241" s="392"/>
      <c r="F241" s="91">
        <v>8</v>
      </c>
      <c r="G241" s="27"/>
      <c r="H241" s="149"/>
      <c r="I241" s="151"/>
      <c r="J241" s="151"/>
      <c r="K241" s="151"/>
      <c r="L241" s="151"/>
      <c r="M241" s="151"/>
      <c r="N241" s="151"/>
      <c r="O241" s="150"/>
      <c r="P241" s="73">
        <f>IF(A13stdlife="n/a","n/a",IF(P$3&gt;(A13stdlife+$F241),(Input!$O$223*(1+vanilla8)^0.5)-SUM($O241:O241),(Input!$O$223*(1+vanilla8)^0.5)/A13stdlife))</f>
        <v>0</v>
      </c>
      <c r="Q241" s="73">
        <f>IF(A13stdlife="n/a","n/a",IF(Q$3&gt;(A13stdlife+$F241),(Input!$O$223*(1+vanilla8)^0.5)-SUM($O241:P241),(Input!$O$223*(1+vanilla8)^0.5)/A13stdlife))</f>
        <v>0</v>
      </c>
      <c r="R241" s="73"/>
      <c r="S241" s="107"/>
      <c r="T241" s="107"/>
      <c r="U241" s="107"/>
      <c r="V241" s="107"/>
      <c r="W241" s="107"/>
      <c r="X241" s="107"/>
      <c r="Y241" s="107"/>
      <c r="Z241" s="107"/>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107"/>
      <c r="BE241" s="107"/>
      <c r="BF241" s="107"/>
      <c r="BG241" s="107"/>
      <c r="BH241" s="107"/>
      <c r="BI241" s="107"/>
      <c r="BJ241" s="107"/>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outlineLevel="2">
      <c r="A242" s="9"/>
      <c r="B242" s="9"/>
      <c r="C242" s="9"/>
      <c r="D242" s="26"/>
      <c r="E242" s="392"/>
      <c r="F242" s="91">
        <v>9</v>
      </c>
      <c r="G242" s="27"/>
      <c r="H242" s="149"/>
      <c r="I242" s="151"/>
      <c r="J242" s="151"/>
      <c r="K242" s="151"/>
      <c r="L242" s="151"/>
      <c r="M242" s="151"/>
      <c r="N242" s="151"/>
      <c r="O242" s="151"/>
      <c r="P242" s="150"/>
      <c r="Q242" s="73">
        <f>IF(A13stdlife="n/a","n/a",IF(Q$3&gt;(A13stdlife+$F242),(Input!$P$223*(1+vanilla9)^0.5)-SUM($P242:P242),(Input!$P$223*(1+vanilla9)^0.5)/A13stdlife))</f>
        <v>0</v>
      </c>
      <c r="R242" s="73"/>
      <c r="S242" s="107"/>
      <c r="T242" s="107"/>
      <c r="U242" s="107"/>
      <c r="V242" s="107"/>
      <c r="W242" s="107"/>
      <c r="X242" s="107"/>
      <c r="Y242" s="107"/>
      <c r="Z242" s="107"/>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107"/>
      <c r="BE242" s="107"/>
      <c r="BF242" s="107"/>
      <c r="BG242" s="107"/>
      <c r="BH242" s="107"/>
      <c r="BI242" s="107"/>
      <c r="BJ242" s="107"/>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outlineLevel="2">
      <c r="A243" s="9"/>
      <c r="B243" s="9"/>
      <c r="C243" s="9"/>
      <c r="D243" s="26"/>
      <c r="E243" s="392"/>
      <c r="F243" s="92">
        <v>10</v>
      </c>
      <c r="G243" s="27"/>
      <c r="H243" s="149"/>
      <c r="I243" s="151"/>
      <c r="J243" s="151"/>
      <c r="K243" s="151"/>
      <c r="L243" s="151"/>
      <c r="M243" s="151"/>
      <c r="N243" s="151"/>
      <c r="O243" s="151"/>
      <c r="P243" s="151"/>
      <c r="Q243" s="150"/>
      <c r="R243" s="73"/>
      <c r="S243" s="107"/>
      <c r="T243" s="107"/>
      <c r="U243" s="107"/>
      <c r="V243" s="107"/>
      <c r="W243" s="107"/>
      <c r="X243" s="107"/>
      <c r="Y243" s="107"/>
      <c r="Z243" s="107"/>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107"/>
      <c r="BE243" s="107"/>
      <c r="BF243" s="107"/>
      <c r="BG243" s="107"/>
      <c r="BH243" s="107"/>
      <c r="BI243" s="107"/>
      <c r="BJ243" s="107"/>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outlineLevel="1">
      <c r="A244" s="9"/>
      <c r="B244" s="9"/>
      <c r="C244" s="9"/>
      <c r="D244" s="279" t="str">
        <f>Asset13</f>
        <v>Substation assets - long life (60)</v>
      </c>
      <c r="E244" s="9"/>
      <c r="F244" s="9"/>
      <c r="G244" s="124"/>
      <c r="H244" s="165">
        <f>-SUM(H232:H243)</f>
        <v>0</v>
      </c>
      <c r="I244" s="165">
        <f>-SUM(I232:I243)</f>
        <v>-4.0620903522343946E-2</v>
      </c>
      <c r="J244" s="165">
        <f>-SUM(J232:J243)</f>
        <v>-0.40541057702775485</v>
      </c>
      <c r="K244" s="165">
        <f>-SUM(K232:K243)</f>
        <v>-0.57939130881508483</v>
      </c>
      <c r="L244" s="165">
        <f>-SUM(L232:L243)</f>
        <v>-0.70552153682868324</v>
      </c>
      <c r="M244" s="73">
        <f>IF(COUNT($H244:L244)&gt;=Input!$W$7,0, -SUM(M232:M243))</f>
        <v>0</v>
      </c>
      <c r="N244" s="73">
        <f>IF(COUNT($H244:M244)&gt;=Input!$W$7,0, -SUM(N232:N243))</f>
        <v>0</v>
      </c>
      <c r="O244" s="73">
        <f>IF(COUNT($H244:N244)&gt;=Input!$W$7,0, -SUM(O232:O243))</f>
        <v>0</v>
      </c>
      <c r="P244" s="73">
        <f>IF(COUNT($H244:O244)&gt;=Input!$W$7,0, -SUM(P232:P243))</f>
        <v>0</v>
      </c>
      <c r="Q244" s="73">
        <f>IF(COUNT($H244:P244)&gt;=Input!$W$7,0, -SUM(Q232:Q243))</f>
        <v>0</v>
      </c>
      <c r="R244" s="71"/>
      <c r="S244" s="109"/>
      <c r="T244" s="109"/>
      <c r="U244" s="109"/>
      <c r="V244" s="109"/>
      <c r="W244" s="109"/>
      <c r="X244" s="109"/>
      <c r="Y244" s="109"/>
      <c r="Z244" s="109"/>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109"/>
      <c r="BE244" s="109"/>
      <c r="BF244" s="109"/>
      <c r="BG244" s="109"/>
      <c r="BH244" s="109"/>
      <c r="BI244" s="109"/>
      <c r="BJ244" s="109"/>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outlineLevel="2">
      <c r="A245" s="9"/>
      <c r="B245" s="9"/>
      <c r="C245" s="280" t="str">
        <f>Asset14</f>
        <v>Substation assets - medium life (45)</v>
      </c>
      <c r="D245" s="161"/>
      <c r="E245" s="32" t="s">
        <v>26</v>
      </c>
      <c r="F245" s="31"/>
      <c r="G245" s="181"/>
      <c r="H245" s="72" t="str">
        <f>IF(H$3&gt;A14remlife,A14value-$G$643-SUM($G245:G245),IF(A14remlife="N/A","n/a",(A14value-$G$643)/A14remlife))</f>
        <v>n/a</v>
      </c>
      <c r="I245" s="72" t="str">
        <f>IF(I$3&gt;A14remlife,A14value-$G$643-SUM($G245:H245),IF(A14remlife="N/A","n/a",(A14value-$G$643)/A14remlife))</f>
        <v>n/a</v>
      </c>
      <c r="J245" s="72" t="str">
        <f>IF(J$3&gt;A14remlife,A14value-$G$643-SUM($G245:I245),IF(A14remlife="N/A","n/a",(A14value-$G$643)/A14remlife))</f>
        <v>n/a</v>
      </c>
      <c r="K245" s="72" t="str">
        <f>IF(K$3&gt;A14remlife,A14value-$G$643-SUM($G245:J245),IF(A14remlife="N/A","n/a",(A14value-$G$643)/A14remlife))</f>
        <v>n/a</v>
      </c>
      <c r="L245" s="72" t="str">
        <f>IF(L$3&gt;A14remlife,A14value-$G$643-SUM($G245:K245),IF(A14remlife="N/A","n/a",(A14value-$G$643)/A14remlife))</f>
        <v>n/a</v>
      </c>
      <c r="M245" s="72" t="str">
        <f>IF(M$3&gt;A14remlife,A14value-$G$643-SUM($G245:L245),IF(A14remlife="N/A","n/a",(A14value-$G$643)/A14remlife))</f>
        <v>n/a</v>
      </c>
      <c r="N245" s="72" t="str">
        <f>IF(N$3&gt;A14remlife,A14value-$G$643-SUM($G245:M245),IF(A14remlife="N/A","n/a",(A14value-$G$643)/A14remlife))</f>
        <v>n/a</v>
      </c>
      <c r="O245" s="72" t="str">
        <f>IF(O$3&gt;A14remlife,A14value-$G$643-SUM($G245:N245),IF(A14remlife="N/A","n/a",(A14value-$G$643)/A14remlife))</f>
        <v>n/a</v>
      </c>
      <c r="P245" s="72" t="str">
        <f>IF(P$3&gt;A14remlife,A14value-$G$643-SUM($G245:O245),IF(A14remlife="N/A","n/a",(A14value-$G$643)/A14remlife))</f>
        <v>n/a</v>
      </c>
      <c r="Q245" s="72" t="str">
        <f>IF(Q$3&gt;A14remlife,A14value-$G$643-SUM($G245:P245),IF(A14remlife="N/A","n/a",(A14value-$G$643)/A14remlife))</f>
        <v>n/a</v>
      </c>
      <c r="R245" s="72"/>
      <c r="S245" s="107"/>
      <c r="T245" s="107"/>
      <c r="U245" s="107"/>
      <c r="V245" s="107"/>
      <c r="W245" s="107"/>
      <c r="X245" s="107"/>
      <c r="Y245" s="107"/>
      <c r="Z245" s="107"/>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107"/>
      <c r="BE245" s="107"/>
      <c r="BF245" s="107"/>
      <c r="BG245" s="107"/>
      <c r="BH245" s="107"/>
      <c r="BI245" s="107"/>
      <c r="BJ245" s="107"/>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9"/>
      <c r="D246" s="26"/>
      <c r="E246" s="391" t="s">
        <v>81</v>
      </c>
      <c r="F246" s="91"/>
      <c r="G246" s="124"/>
      <c r="H246" s="73"/>
      <c r="I246" s="73"/>
      <c r="J246" s="73"/>
      <c r="K246" s="73"/>
      <c r="L246" s="73"/>
      <c r="M246" s="163"/>
      <c r="N246" s="115"/>
      <c r="O246" s="73"/>
      <c r="P246" s="73"/>
      <c r="Q246" s="73"/>
      <c r="R246" s="73"/>
      <c r="S246" s="107"/>
      <c r="T246" s="107"/>
      <c r="U246" s="107"/>
      <c r="V246" s="107"/>
      <c r="W246" s="107"/>
      <c r="X246" s="107"/>
      <c r="Y246" s="107"/>
      <c r="Z246" s="107"/>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107"/>
      <c r="BE246" s="107"/>
      <c r="BF246" s="107"/>
      <c r="BG246" s="107"/>
      <c r="BH246" s="107"/>
      <c r="BI246" s="107"/>
      <c r="BJ246" s="107"/>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outlineLevel="2">
      <c r="A247" s="9"/>
      <c r="B247" s="9"/>
      <c r="C247" s="9"/>
      <c r="D247" s="26"/>
      <c r="E247" s="392"/>
      <c r="F247" s="91">
        <v>1</v>
      </c>
      <c r="G247" s="124"/>
      <c r="H247" s="148"/>
      <c r="I247" s="73">
        <f>IF(A14stdlife="n/a","n/a",IF(I$3&gt;(A14stdlife+$F247),(Input!$H$224*(1+vanilla1)^0.5)-SUM($H247:H247),(Input!$H$224*(1+vanilla1)^0.5)/A14stdlife))</f>
        <v>0.25533176475617941</v>
      </c>
      <c r="J247" s="73">
        <f>IF(A14stdlife="n/a","n/a",IF(J$3&gt;(A14stdlife+$F247),(Input!$H$224*(1+vanilla1)^0.5)-SUM($H247:I247),(Input!$H$224*(1+vanilla1)^0.5)/A14stdlife))</f>
        <v>0.25533176475617941</v>
      </c>
      <c r="K247" s="73">
        <f>IF(A14stdlife="n/a","n/a",IF(K$3&gt;(A14stdlife+$F247),(Input!$H$224*(1+vanilla1)^0.5)-SUM($H247:J247),(Input!$H$224*(1+vanilla1)^0.5)/A14stdlife))</f>
        <v>0.25533176475617941</v>
      </c>
      <c r="L247" s="73">
        <f>IF(A14stdlife="n/a","n/a",IF(L$3&gt;(A14stdlife+$F247),(Input!$H$224*(1+vanilla1)^0.5)-SUM($H247:K247),(Input!$H$224*(1+vanilla1)^0.5)/A14stdlife))</f>
        <v>0.25533176475617941</v>
      </c>
      <c r="M247" s="73">
        <f>IF(A14stdlife="n/a","n/a",IF(M$3&gt;(A14stdlife+$F247),(Input!$H$224*(1+vanilla1)^0.5)-SUM($H247:L247),(Input!$H$224*(1+vanilla1)^0.5)/A14stdlife))</f>
        <v>0.25533176475617941</v>
      </c>
      <c r="N247" s="73">
        <f>IF(A14stdlife="n/a","n/a",IF(N$3&gt;(A14stdlife+$F247),(Input!$H$224*(1+vanilla1)^0.5)-SUM($H247:M247),(Input!$H$224*(1+vanilla1)^0.5)/A14stdlife))</f>
        <v>0.25533176475617941</v>
      </c>
      <c r="O247" s="73">
        <f>IF(A14stdlife="n/a","n/a",IF(O$3&gt;(A14stdlife+$F247),(Input!$H$224*(1+vanilla1)^0.5)-SUM($H247:N247),(Input!$H$224*(1+vanilla1)^0.5)/A14stdlife))</f>
        <v>0.25533176475617941</v>
      </c>
      <c r="P247" s="73">
        <f>IF(A14stdlife="n/a","n/a",IF(P$3&gt;(A14stdlife+$F247),(Input!$H$224*(1+vanilla1)^0.5)-SUM($H247:O247),(Input!$H$224*(1+vanilla1)^0.5)/A14stdlife))</f>
        <v>0.25533176475617941</v>
      </c>
      <c r="Q247" s="73">
        <f>IF(A14stdlife="n/a","n/a",IF(Q$3&gt;(A14stdlife+$F247),(Input!$H$224*(1+vanilla1)^0.5)-SUM($H247:P247),(Input!$H$224*(1+vanilla1)^0.5)/A14stdlife))</f>
        <v>0.25533176475617941</v>
      </c>
      <c r="R247" s="73"/>
      <c r="S247" s="107"/>
      <c r="T247" s="107"/>
      <c r="U247" s="107"/>
      <c r="V247" s="107"/>
      <c r="W247" s="107"/>
      <c r="X247" s="107"/>
      <c r="Y247" s="107"/>
      <c r="Z247" s="107"/>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107"/>
      <c r="BE247" s="107"/>
      <c r="BF247" s="107"/>
      <c r="BG247" s="107"/>
      <c r="BH247" s="107"/>
      <c r="BI247" s="107"/>
      <c r="BJ247" s="107"/>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outlineLevel="2">
      <c r="A248" s="9"/>
      <c r="B248" s="9"/>
      <c r="C248" s="9"/>
      <c r="D248" s="26"/>
      <c r="E248" s="392"/>
      <c r="F248" s="91">
        <v>2</v>
      </c>
      <c r="G248" s="124"/>
      <c r="H248" s="149"/>
      <c r="I248" s="150"/>
      <c r="J248" s="73">
        <f>IF(A14stdlife="n/a","n/a",IF(J$3&gt;(A14stdlife+$F248),(Input!$I$224*(1+vanilla2)^0.5)-SUM($I248:I248),(Input!$I$224*(1+vanilla2)^0.5)/A14stdlife))</f>
        <v>1.1854956754569017</v>
      </c>
      <c r="K248" s="73">
        <f>IF(A14stdlife="n/a","n/a",IF(K$3&gt;(A14stdlife+$F248),(Input!$I$224*(1+vanilla2)^0.5)-SUM($I248:J248),(Input!$I$224*(1+vanilla2)^0.5)/A14stdlife))</f>
        <v>1.1854956754569017</v>
      </c>
      <c r="L248" s="73">
        <f>IF(A14stdlife="n/a","n/a",IF(L$3&gt;(A14stdlife+$F248),(Input!$I$224*(1+vanilla2)^0.5)-SUM($I248:K248),(Input!$I$224*(1+vanilla2)^0.5)/A14stdlife))</f>
        <v>1.1854956754569017</v>
      </c>
      <c r="M248" s="73">
        <f>IF(A14stdlife="n/a","n/a",IF(M$3&gt;(A14stdlife+$F248),(Input!$I$224*(1+vanilla2)^0.5)-SUM($I248:L248),(Input!$I$224*(1+vanilla2)^0.5)/A14stdlife))</f>
        <v>1.1854956754569017</v>
      </c>
      <c r="N248" s="73">
        <f>IF(A14stdlife="n/a","n/a",IF(N$3&gt;(A14stdlife+$F248),(Input!$I$224*(1+vanilla2)^0.5)-SUM($I248:M248),(Input!$I$224*(1+vanilla2)^0.5)/A14stdlife))</f>
        <v>1.1854956754569017</v>
      </c>
      <c r="O248" s="73">
        <f>IF(A14stdlife="n/a","n/a",IF(O$3&gt;(A14stdlife+$F248),(Input!$I$224*(1+vanilla2)^0.5)-SUM($I248:N248),(Input!$I$224*(1+vanilla2)^0.5)/A14stdlife))</f>
        <v>1.1854956754569017</v>
      </c>
      <c r="P248" s="73">
        <f>IF(A14stdlife="n/a","n/a",IF(P$3&gt;(A14stdlife+$F248),(Input!$I$224*(1+vanilla2)^0.5)-SUM($I248:O248),(Input!$I$224*(1+vanilla2)^0.5)/A14stdlife))</f>
        <v>1.1854956754569017</v>
      </c>
      <c r="Q248" s="73">
        <f>IF(A14stdlife="n/a","n/a",IF(Q$3&gt;(A14stdlife+$F248),(Input!$I$224*(1+vanilla2)^0.5)-SUM($I248:P248),(Input!$I$224*(1+vanilla2)^0.5)/A14stdlife))</f>
        <v>1.1854956754569017</v>
      </c>
      <c r="R248" s="73"/>
      <c r="S248" s="107"/>
      <c r="T248" s="107"/>
      <c r="U248" s="107"/>
      <c r="V248" s="107"/>
      <c r="W248" s="107"/>
      <c r="X248" s="107"/>
      <c r="Y248" s="107"/>
      <c r="Z248" s="107"/>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107"/>
      <c r="BE248" s="107"/>
      <c r="BF248" s="107"/>
      <c r="BG248" s="107"/>
      <c r="BH248" s="107"/>
      <c r="BI248" s="107"/>
      <c r="BJ248" s="107"/>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outlineLevel="2">
      <c r="A249" s="9"/>
      <c r="B249" s="9"/>
      <c r="C249" s="9"/>
      <c r="D249" s="26"/>
      <c r="E249" s="392"/>
      <c r="F249" s="91">
        <v>3</v>
      </c>
      <c r="G249" s="124"/>
      <c r="H249" s="149"/>
      <c r="I249" s="151"/>
      <c r="J249" s="150"/>
      <c r="K249" s="73">
        <f>IF(A14stdlife="n/a","n/a",IF(K$3&gt;(A14stdlife+$F249),(Input!$J$224*(1+vanilla3)^0.5)-SUM($J249:J249),(Input!$J$224*(1+vanilla3)^0.5)/A14stdlife))</f>
        <v>0.98875587724181169</v>
      </c>
      <c r="L249" s="73">
        <f>IF(A14stdlife="n/a","n/a",IF(L$3&gt;(A14stdlife+$F249),(Input!$J$224*(1+vanilla3)^0.5)-SUM($J249:K249),(Input!$J$224*(1+vanilla3)^0.5)/A14stdlife))</f>
        <v>0.98875587724181169</v>
      </c>
      <c r="M249" s="73">
        <f>IF(A14stdlife="n/a","n/a",IF(M$3&gt;(A14stdlife+$F249),(Input!$J$224*(1+vanilla3)^0.5)-SUM($J249:L249),(Input!$J$224*(1+vanilla3)^0.5)/A14stdlife))</f>
        <v>0.98875587724181169</v>
      </c>
      <c r="N249" s="73">
        <f>IF(A14stdlife="n/a","n/a",IF(N$3&gt;(A14stdlife+$F249),(Input!$J$224*(1+vanilla3)^0.5)-SUM($J249:M249),(Input!$J$224*(1+vanilla3)^0.5)/A14stdlife))</f>
        <v>0.98875587724181169</v>
      </c>
      <c r="O249" s="73">
        <f>IF(A14stdlife="n/a","n/a",IF(O$3&gt;(A14stdlife+$F249),(Input!$J$224*(1+vanilla3)^0.5)-SUM($J249:N249),(Input!$J$224*(1+vanilla3)^0.5)/A14stdlife))</f>
        <v>0.98875587724181169</v>
      </c>
      <c r="P249" s="73">
        <f>IF(A14stdlife="n/a","n/a",IF(P$3&gt;(A14stdlife+$F249),(Input!$J$224*(1+vanilla3)^0.5)-SUM($J249:O249),(Input!$J$224*(1+vanilla3)^0.5)/A14stdlife))</f>
        <v>0.98875587724181169</v>
      </c>
      <c r="Q249" s="73">
        <f>IF(A14stdlife="n/a","n/a",IF(Q$3&gt;(A14stdlife+$F249),(Input!$J$224*(1+vanilla3)^0.5)-SUM($J249:P249),(Input!$J$224*(1+vanilla3)^0.5)/A14stdlife))</f>
        <v>0.98875587724181169</v>
      </c>
      <c r="R249" s="73"/>
      <c r="S249" s="107"/>
      <c r="T249" s="107"/>
      <c r="U249" s="107"/>
      <c r="V249" s="107"/>
      <c r="W249" s="107"/>
      <c r="X249" s="107"/>
      <c r="Y249" s="107"/>
      <c r="Z249" s="107"/>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107"/>
      <c r="BE249" s="107"/>
      <c r="BF249" s="107"/>
      <c r="BG249" s="107"/>
      <c r="BH249" s="107"/>
      <c r="BI249" s="107"/>
      <c r="BJ249" s="107"/>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outlineLevel="2">
      <c r="A250" s="9"/>
      <c r="B250" s="9"/>
      <c r="C250" s="9"/>
      <c r="D250" s="26"/>
      <c r="E250" s="392"/>
      <c r="F250" s="91">
        <v>4</v>
      </c>
      <c r="G250" s="124"/>
      <c r="H250" s="149"/>
      <c r="I250" s="151"/>
      <c r="J250" s="151"/>
      <c r="K250" s="150"/>
      <c r="L250" s="73">
        <f>IF(A14stdlife="n/a","n/a",IF(L$3&gt;(A14stdlife+$F250),(Input!$K$224*(1+vanilla4)^0.5)-SUM($K250:K250),(Input!$K$224*(1+vanilla4)^0.5)/A14stdlife))</f>
        <v>0.78789264843831797</v>
      </c>
      <c r="M250" s="73">
        <f>IF(A14stdlife="n/a","n/a",IF(M$3&gt;(A14stdlife+$F250),(Input!$K$224*(1+vanilla4)^0.5)-SUM($K250:L250),(Input!$K$224*(1+vanilla4)^0.5)/A14stdlife))</f>
        <v>0.78789264843831797</v>
      </c>
      <c r="N250" s="73">
        <f>IF(A14stdlife="n/a","n/a",IF(N$3&gt;(A14stdlife+$F250),(Input!$K$224*(1+vanilla4)^0.5)-SUM($K250:M250),(Input!$K$224*(1+vanilla4)^0.5)/A14stdlife))</f>
        <v>0.78789264843831797</v>
      </c>
      <c r="O250" s="73">
        <f>IF(A14stdlife="n/a","n/a",IF(O$3&gt;(A14stdlife+$F250),(Input!$K$224*(1+vanilla4)^0.5)-SUM($K250:N250),(Input!$K$224*(1+vanilla4)^0.5)/A14stdlife))</f>
        <v>0.78789264843831797</v>
      </c>
      <c r="P250" s="73">
        <f>IF(A14stdlife="n/a","n/a",IF(P$3&gt;(A14stdlife+$F250),(Input!$K$224*(1+vanilla4)^0.5)-SUM($K250:O250),(Input!$K$224*(1+vanilla4)^0.5)/A14stdlife))</f>
        <v>0.78789264843831797</v>
      </c>
      <c r="Q250" s="73">
        <f>IF(A14stdlife="n/a","n/a",IF(Q$3&gt;(A14stdlife+$F250),(Input!$K$224*(1+vanilla4)^0.5)-SUM($K250:P250),(Input!$K$224*(1+vanilla4)^0.5)/A14stdlife))</f>
        <v>0.78789264843831797</v>
      </c>
      <c r="R250" s="73"/>
      <c r="S250" s="107"/>
      <c r="T250" s="107"/>
      <c r="U250" s="107"/>
      <c r="V250" s="107"/>
      <c r="W250" s="107"/>
      <c r="X250" s="107"/>
      <c r="Y250" s="107"/>
      <c r="Z250" s="107"/>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107"/>
      <c r="BE250" s="107"/>
      <c r="BF250" s="107"/>
      <c r="BG250" s="107"/>
      <c r="BH250" s="107"/>
      <c r="BI250" s="107"/>
      <c r="BJ250" s="107"/>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2">
      <c r="A251" s="9"/>
      <c r="B251" s="9"/>
      <c r="C251" s="9"/>
      <c r="D251" s="26"/>
      <c r="E251" s="392"/>
      <c r="F251" s="91">
        <v>5</v>
      </c>
      <c r="G251" s="27"/>
      <c r="H251" s="149"/>
      <c r="I251" s="151"/>
      <c r="J251" s="151"/>
      <c r="K251" s="151"/>
      <c r="L251" s="150"/>
      <c r="M251" s="73">
        <f>IF(A14stdlife="n/a","n/a",IF(M$3&gt;(A14stdlife+$F251),(Input!$L$224*(1+vanilla5)^0.5)-SUM($L251:L251),(Input!$L$224*(1+vanilla5)^0.5)/A14stdlife))</f>
        <v>0.61565755955590684</v>
      </c>
      <c r="N251" s="73">
        <f>IF(A14stdlife="n/a","n/a",IF(N$3&gt;(A14stdlife+$F251),(Input!$L$224*(1+vanilla5)^0.5)-SUM($L251:M251),(Input!$L$224*(1+vanilla5)^0.5)/A14stdlife))</f>
        <v>0.61565755955590684</v>
      </c>
      <c r="O251" s="73">
        <f>IF(A14stdlife="n/a","n/a",IF(O$3&gt;(A14stdlife+$F251),(Input!$L$224*(1+vanilla5)^0.5)-SUM($L251:N251),(Input!$L$224*(1+vanilla5)^0.5)/A14stdlife))</f>
        <v>0.61565755955590684</v>
      </c>
      <c r="P251" s="73">
        <f>IF(A14stdlife="n/a","n/a",IF(P$3&gt;(A14stdlife+$F251),(Input!$L$224*(1+vanilla5)^0.5)-SUM($L251:O251),(Input!$L$224*(1+vanilla5)^0.5)/A14stdlife))</f>
        <v>0.61565755955590684</v>
      </c>
      <c r="Q251" s="73">
        <f>IF(A14stdlife="n/a","n/a",IF(Q$3&gt;(A14stdlife+$F251),(Input!$L$224*(1+vanilla5)^0.5)-SUM($L251:P251),(Input!$L$224*(1+vanilla5)^0.5)/A14stdlife))</f>
        <v>0.61565755955590684</v>
      </c>
      <c r="R251" s="73"/>
      <c r="S251" s="107"/>
      <c r="T251" s="107"/>
      <c r="U251" s="107"/>
      <c r="V251" s="107"/>
      <c r="W251" s="107"/>
      <c r="X251" s="107"/>
      <c r="Y251" s="107"/>
      <c r="Z251" s="107"/>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outlineLevel="2">
      <c r="A252" s="9"/>
      <c r="B252" s="9"/>
      <c r="C252" s="9"/>
      <c r="D252" s="26"/>
      <c r="E252" s="392"/>
      <c r="F252" s="91">
        <v>6</v>
      </c>
      <c r="G252" s="27"/>
      <c r="H252" s="149"/>
      <c r="I252" s="151"/>
      <c r="J252" s="151"/>
      <c r="K252" s="151"/>
      <c r="L252" s="151"/>
      <c r="M252" s="150"/>
      <c r="N252" s="73">
        <f>IF(A14stdlife="n/a","n/a",IF(N$3&gt;(A14stdlife+$F252),(Input!$M$224*(1+vanilla6)^0.5)-SUM($M252:M252),(Input!$IL$224*(1+vanilla6)^0.5)/A14stdlife))</f>
        <v>0</v>
      </c>
      <c r="O252" s="73">
        <f>IF(A14stdlife="n/a","n/a",IF(O$3&gt;(A14stdlife+$F252),(Input!$M$224*(1+vanilla6)^0.5)-SUM($M252:N252),(Input!$IL$224*(1+vanilla6)^0.5)/A14stdlife))</f>
        <v>0</v>
      </c>
      <c r="P252" s="73">
        <f>IF(A14stdlife="n/a","n/a",IF(P$3&gt;(A14stdlife+$F252),(Input!$M$224*(1+vanilla6)^0.5)-SUM($M252:O252),(Input!$IL$224*(1+vanilla6)^0.5)/A14stdlife))</f>
        <v>0</v>
      </c>
      <c r="Q252" s="73">
        <f>IF(A14stdlife="n/a","n/a",IF(Q$3&gt;(A14stdlife+$F252),(Input!$M$224*(1+vanilla6)^0.5)-SUM($M252:P252),(Input!$IL$224*(1+vanilla6)^0.5)/A14stdlife))</f>
        <v>0</v>
      </c>
      <c r="R252" s="73"/>
      <c r="S252" s="107"/>
      <c r="T252" s="107"/>
      <c r="U252" s="107"/>
      <c r="V252" s="107"/>
      <c r="W252" s="107"/>
      <c r="X252" s="107"/>
      <c r="Y252" s="107"/>
      <c r="Z252" s="107"/>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107"/>
      <c r="BE252" s="107"/>
      <c r="BF252" s="107"/>
      <c r="BG252" s="107"/>
      <c r="BH252" s="107"/>
      <c r="BI252" s="107"/>
      <c r="BJ252" s="107"/>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2">
      <c r="A253" s="9"/>
      <c r="B253" s="9"/>
      <c r="C253" s="9"/>
      <c r="D253" s="26"/>
      <c r="E253" s="392"/>
      <c r="F253" s="91">
        <v>7</v>
      </c>
      <c r="G253" s="27"/>
      <c r="H253" s="149"/>
      <c r="I253" s="151"/>
      <c r="J253" s="151"/>
      <c r="K253" s="151"/>
      <c r="L253" s="151"/>
      <c r="M253" s="151"/>
      <c r="N253" s="150"/>
      <c r="O253" s="73">
        <f>IF(A14stdlife="n/a","n/a",IF(O$3&gt;(A14stdlife+$F253),(Input!$N$224*(1+vanilla7)^0.5)-SUM($N253:N253),(Input!$N$224*(1+vanilla7)^0.5)/A14stdlife))</f>
        <v>0</v>
      </c>
      <c r="P253" s="73">
        <f>IF(A14stdlife="n/a","n/a",IF(P$3&gt;(A14stdlife+$F253),(Input!$N$224*(1+vanilla7)^0.5)-SUM($N253:O253),(Input!$N$224*(1+vanilla7)^0.5)/A14stdlife))</f>
        <v>0</v>
      </c>
      <c r="Q253" s="73">
        <f>IF(A14stdlife="n/a","n/a",IF(Q$3&gt;(A14stdlife+$F253),(Input!$N$224*(1+vanilla7)^0.5)-SUM($N253:P253),(Input!$N$224*(1+vanilla7)^0.5)/A14stdlife))</f>
        <v>0</v>
      </c>
      <c r="R253" s="73"/>
      <c r="S253" s="107"/>
      <c r="T253" s="107"/>
      <c r="U253" s="107"/>
      <c r="V253" s="107"/>
      <c r="W253" s="107"/>
      <c r="X253" s="107"/>
      <c r="Y253" s="107"/>
      <c r="Z253" s="107"/>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107"/>
      <c r="BE253" s="107"/>
      <c r="BF253" s="107"/>
      <c r="BG253" s="107"/>
      <c r="BH253" s="107"/>
      <c r="BI253" s="107"/>
      <c r="BJ253" s="107"/>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outlineLevel="2">
      <c r="A254" s="9"/>
      <c r="B254" s="9"/>
      <c r="C254" s="9"/>
      <c r="D254" s="26"/>
      <c r="E254" s="392"/>
      <c r="F254" s="91">
        <v>8</v>
      </c>
      <c r="G254" s="27"/>
      <c r="H254" s="149"/>
      <c r="I254" s="151"/>
      <c r="J254" s="151"/>
      <c r="K254" s="151"/>
      <c r="L254" s="151"/>
      <c r="M254" s="151"/>
      <c r="N254" s="151"/>
      <c r="O254" s="150"/>
      <c r="P254" s="73">
        <f>IF(A14stdlife="n/a","n/a",IF(P$3&gt;(A14stdlife+$F254),(Input!$O$224*(1+vanilla8)^0.5)-SUM($O254:O254),(Input!$O$224*(1+vanilla8)^0.5)/A14stdlife))</f>
        <v>0</v>
      </c>
      <c r="Q254" s="73">
        <f>IF(A14stdlife="n/a","n/a",IF(Q$3&gt;(A14stdlife+$F254),(Input!$O$224*(1+vanilla8)^0.5)-SUM($O254:P254),(Input!$O$224*(1+vanilla8)^0.5)/A14stdlife))</f>
        <v>0</v>
      </c>
      <c r="R254" s="73"/>
      <c r="S254" s="107"/>
      <c r="T254" s="107"/>
      <c r="U254" s="107"/>
      <c r="V254" s="107"/>
      <c r="W254" s="107"/>
      <c r="X254" s="107"/>
      <c r="Y254" s="107"/>
      <c r="Z254" s="107"/>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107"/>
      <c r="BE254" s="107"/>
      <c r="BF254" s="107"/>
      <c r="BG254" s="107"/>
      <c r="BH254" s="107"/>
      <c r="BI254" s="107"/>
      <c r="BJ254" s="107"/>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outlineLevel="2">
      <c r="A255" s="9"/>
      <c r="B255" s="9"/>
      <c r="C255" s="9"/>
      <c r="D255" s="26"/>
      <c r="E255" s="392"/>
      <c r="F255" s="91">
        <v>9</v>
      </c>
      <c r="G255" s="27"/>
      <c r="H255" s="149"/>
      <c r="I255" s="151"/>
      <c r="J255" s="151"/>
      <c r="K255" s="151"/>
      <c r="L255" s="151"/>
      <c r="M255" s="151"/>
      <c r="N255" s="151"/>
      <c r="O255" s="151"/>
      <c r="P255" s="150"/>
      <c r="Q255" s="73">
        <f>IF(A14stdlife="n/a","n/a",IF(Q$3&gt;(A14stdlife+$F255),(Input!$P$224*(1+vanilla9)^0.5)-SUM($P255:P255),(Input!$P$224*(1+vanilla9)^0.5)/A14stdlife))</f>
        <v>0</v>
      </c>
      <c r="R255" s="73"/>
      <c r="S255" s="107"/>
      <c r="T255" s="107"/>
      <c r="U255" s="107"/>
      <c r="V255" s="107"/>
      <c r="W255" s="107"/>
      <c r="X255" s="107"/>
      <c r="Y255" s="107"/>
      <c r="Z255" s="107"/>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107"/>
      <c r="BE255" s="107"/>
      <c r="BF255" s="107"/>
      <c r="BG255" s="107"/>
      <c r="BH255" s="107"/>
      <c r="BI255" s="107"/>
      <c r="BJ255" s="107"/>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outlineLevel="2">
      <c r="A256" s="9"/>
      <c r="B256" s="9"/>
      <c r="C256" s="9"/>
      <c r="D256" s="26"/>
      <c r="E256" s="392"/>
      <c r="F256" s="92">
        <v>10</v>
      </c>
      <c r="G256" s="27"/>
      <c r="H256" s="149"/>
      <c r="I256" s="151"/>
      <c r="J256" s="151"/>
      <c r="K256" s="151"/>
      <c r="L256" s="151"/>
      <c r="M256" s="151"/>
      <c r="N256" s="151"/>
      <c r="O256" s="151"/>
      <c r="P256" s="151"/>
      <c r="Q256" s="150"/>
      <c r="R256" s="73"/>
      <c r="S256" s="107"/>
      <c r="T256" s="107"/>
      <c r="U256" s="107"/>
      <c r="V256" s="107"/>
      <c r="W256" s="107"/>
      <c r="X256" s="107"/>
      <c r="Y256" s="107"/>
      <c r="Z256" s="107"/>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107"/>
      <c r="BE256" s="107"/>
      <c r="BF256" s="107"/>
      <c r="BG256" s="107"/>
      <c r="BH256" s="107"/>
      <c r="BI256" s="107"/>
      <c r="BJ256" s="107"/>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outlineLevel="1">
      <c r="A257" s="9"/>
      <c r="B257" s="9"/>
      <c r="C257" s="9"/>
      <c r="D257" s="279" t="str">
        <f>Asset14</f>
        <v>Substation assets - medium life (45)</v>
      </c>
      <c r="E257" s="9"/>
      <c r="F257" s="9"/>
      <c r="G257" s="124"/>
      <c r="H257" s="165">
        <f>-SUM(H245:H256)</f>
        <v>0</v>
      </c>
      <c r="I257" s="165">
        <f>-SUM(I245:I256)</f>
        <v>-0.25533176475617941</v>
      </c>
      <c r="J257" s="165">
        <f>-SUM(J245:J256)</f>
        <v>-1.4408274402130812</v>
      </c>
      <c r="K257" s="165">
        <f>-SUM(K245:K256)</f>
        <v>-2.4295833174548926</v>
      </c>
      <c r="L257" s="165">
        <f>-SUM(L245:L256)</f>
        <v>-3.2174759658932106</v>
      </c>
      <c r="M257" s="73">
        <f>IF(COUNT($H257:L257)&gt;=Input!$W$7,0, -SUM(M245:M256))</f>
        <v>0</v>
      </c>
      <c r="N257" s="73">
        <f>IF(COUNT($H257:M257)&gt;=Input!$W$7,0, -SUM(N245:N256))</f>
        <v>0</v>
      </c>
      <c r="O257" s="73">
        <f>IF(COUNT($H257:N257)&gt;=Input!$W$7,0, -SUM(O245:O256))</f>
        <v>0</v>
      </c>
      <c r="P257" s="73">
        <f>IF(COUNT($H257:O257)&gt;=Input!$W$7,0, -SUM(P245:P256))</f>
        <v>0</v>
      </c>
      <c r="Q257" s="73">
        <f>IF(COUNT($H257:P257)&gt;=Input!$W$7,0, -SUM(Q245:Q256))</f>
        <v>0</v>
      </c>
      <c r="R257" s="71"/>
      <c r="S257" s="109"/>
      <c r="T257" s="109"/>
      <c r="U257" s="109"/>
      <c r="V257" s="109"/>
      <c r="W257" s="109"/>
      <c r="X257" s="109"/>
      <c r="Y257" s="109"/>
      <c r="Z257" s="109"/>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109"/>
      <c r="BE257" s="109"/>
      <c r="BF257" s="109"/>
      <c r="BG257" s="109"/>
      <c r="BH257" s="109"/>
      <c r="BI257" s="109"/>
      <c r="BJ257" s="109"/>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outlineLevel="2">
      <c r="A258" s="9"/>
      <c r="B258" s="9"/>
      <c r="C258" s="280" t="str">
        <f>Asset15</f>
        <v>Substation assets - short life (15)</v>
      </c>
      <c r="D258" s="161"/>
      <c r="E258" s="32" t="s">
        <v>26</v>
      </c>
      <c r="F258" s="31"/>
      <c r="G258" s="181"/>
      <c r="H258" s="72" t="str">
        <f>IF(H$3&gt;A15remlife,A15value-$G$644-SUM($G258:G258),IF(A15remlife="N/A","n/a",(A15value-$G$644)/A15remlife))</f>
        <v>n/a</v>
      </c>
      <c r="I258" s="72" t="str">
        <f>IF(I$3&gt;A15remlife,A15value-$G$644-SUM($G258:H258),IF(A15remlife="N/A","n/a",(A15value-$G$644)/A15remlife))</f>
        <v>n/a</v>
      </c>
      <c r="J258" s="72" t="str">
        <f>IF(J$3&gt;A15remlife,A15value-$G$644-SUM($G258:I258),IF(A15remlife="N/A","n/a",(A15value-$G$644)/A15remlife))</f>
        <v>n/a</v>
      </c>
      <c r="K258" s="72" t="str">
        <f>IF(K$3&gt;A15remlife,A15value-$G$644-SUM($G258:J258),IF(A15remlife="N/A","n/a",(A15value-$G$644)/A15remlife))</f>
        <v>n/a</v>
      </c>
      <c r="L258" s="72" t="str">
        <f>IF(L$3&gt;A15remlife,A15value-$G$644-SUM($G258:K258),IF(A15remlife="N/A","n/a",(A15value-$G$644)/A15remlife))</f>
        <v>n/a</v>
      </c>
      <c r="M258" s="72" t="str">
        <f>IF(M$3&gt;A15remlife,A15value-$G$644-SUM($G258:L258),IF(A15remlife="N/A","n/a",(A15value-$G$644)/A15remlife))</f>
        <v>n/a</v>
      </c>
      <c r="N258" s="72" t="str">
        <f>IF(N$3&gt;A15remlife,A15value-$G$644-SUM($G258:M258),IF(A15remlife="N/A","n/a",(A15value-$G$644)/A15remlife))</f>
        <v>n/a</v>
      </c>
      <c r="O258" s="72" t="str">
        <f>IF(O$3&gt;A15remlife,A15value-$G$644-SUM($G258:N258),IF(A15remlife="N/A","n/a",(A15value-$G$644)/A15remlife))</f>
        <v>n/a</v>
      </c>
      <c r="P258" s="72" t="str">
        <f>IF(P$3&gt;A15remlife,A15value-$G$644-SUM($G258:O258),IF(A15remlife="N/A","n/a",(A15value-$G$644)/A15remlife))</f>
        <v>n/a</v>
      </c>
      <c r="Q258" s="72" t="str">
        <f>IF(Q$3&gt;A15remlife,A15value-$G$644-SUM($G258:P258),IF(A15remlife="N/A","n/a",(A15value-$G$644)/A15remlife))</f>
        <v>n/a</v>
      </c>
      <c r="R258" s="72"/>
      <c r="S258" s="107"/>
      <c r="T258" s="107"/>
      <c r="U258" s="107"/>
      <c r="V258" s="107"/>
      <c r="W258" s="107"/>
      <c r="X258" s="107"/>
      <c r="Y258" s="107"/>
      <c r="Z258" s="107"/>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107"/>
      <c r="BE258" s="107"/>
      <c r="BF258" s="107"/>
      <c r="BG258" s="107"/>
      <c r="BH258" s="107"/>
      <c r="BI258" s="107"/>
      <c r="BJ258" s="107"/>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9"/>
      <c r="D259" s="26"/>
      <c r="E259" s="391" t="s">
        <v>81</v>
      </c>
      <c r="F259" s="91"/>
      <c r="G259" s="124"/>
      <c r="H259" s="73"/>
      <c r="I259" s="73"/>
      <c r="J259" s="73"/>
      <c r="K259" s="73"/>
      <c r="L259" s="73"/>
      <c r="M259" s="163"/>
      <c r="N259" s="115"/>
      <c r="O259" s="73"/>
      <c r="P259" s="73"/>
      <c r="Q259" s="73"/>
      <c r="R259" s="73"/>
      <c r="S259" s="107"/>
      <c r="T259" s="107"/>
      <c r="U259" s="107"/>
      <c r="V259" s="107"/>
      <c r="W259" s="107"/>
      <c r="X259" s="107"/>
      <c r="Y259" s="107"/>
      <c r="Z259" s="107"/>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107"/>
      <c r="BE259" s="107"/>
      <c r="BF259" s="107"/>
      <c r="BG259" s="107"/>
      <c r="BH259" s="107"/>
      <c r="BI259" s="107"/>
      <c r="BJ259" s="107"/>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outlineLevel="2">
      <c r="A260" s="9"/>
      <c r="B260" s="9"/>
      <c r="C260" s="9"/>
      <c r="D260" s="26"/>
      <c r="E260" s="392"/>
      <c r="F260" s="91">
        <v>1</v>
      </c>
      <c r="G260" s="124"/>
      <c r="H260" s="148"/>
      <c r="I260" s="73">
        <f>IF(A15stdlife="n/a","n/a",IF(I$3&gt;(A15stdlife+$F260),(Input!$H$225*(1+vanilla1)^0.5)-SUM($H260:H260),(Input!$H$225*(1+vanilla1)^0.5)/A15stdlife))</f>
        <v>0.803971853134543</v>
      </c>
      <c r="J260" s="73">
        <f>IF(A15stdlife="n/a","n/a",IF(J$3&gt;(A15stdlife+$F260),(Input!$H$225*(1+vanilla1)^0.5)-SUM($H260:I260),(Input!$H$225*(1+vanilla1)^0.5)/A15stdlife))</f>
        <v>0.803971853134543</v>
      </c>
      <c r="K260" s="73">
        <f>IF(A15stdlife="n/a","n/a",IF(K$3&gt;(A15stdlife+$F260),(Input!$H$225*(1+vanilla1)^0.5)-SUM($H260:J260),(Input!$H$225*(1+vanilla1)^0.5)/A15stdlife))</f>
        <v>0.803971853134543</v>
      </c>
      <c r="L260" s="73">
        <f>IF(A15stdlife="n/a","n/a",IF(L$3&gt;(A15stdlife+$F260),(Input!$H$225*(1+vanilla1)^0.5)-SUM($H260:K260),(Input!$H$225*(1+vanilla1)^0.5)/A15stdlife))</f>
        <v>0.803971853134543</v>
      </c>
      <c r="M260" s="73">
        <f>IF(A15stdlife="n/a","n/a",IF(M$3&gt;(A15stdlife+$F260),(Input!$H$225*(1+vanilla1)^0.5)-SUM($H260:L260),(Input!$H$225*(1+vanilla1)^0.5)/A15stdlife))</f>
        <v>0.803971853134543</v>
      </c>
      <c r="N260" s="73">
        <f>IF(A15stdlife="n/a","n/a",IF(N$3&gt;(A15stdlife+$F260),(Input!$H$225*(1+vanilla1)^0.5)-SUM($H260:M260),(Input!$H$225*(1+vanilla1)^0.5)/A15stdlife))</f>
        <v>0.803971853134543</v>
      </c>
      <c r="O260" s="73">
        <f>IF(A15stdlife="n/a","n/a",IF(O$3&gt;(A15stdlife+$F260),(Input!$H$225*(1+vanilla1)^0.5)-SUM($H260:N260),(Input!$H$225*(1+vanilla1)^0.5)/A15stdlife))</f>
        <v>0.803971853134543</v>
      </c>
      <c r="P260" s="73">
        <f>IF(A15stdlife="n/a","n/a",IF(P$3&gt;(A15stdlife+$F260),(Input!$H$225*(1+vanilla1)^0.5)-SUM($H260:O260),(Input!$H$225*(1+vanilla1)^0.5)/A15stdlife))</f>
        <v>0.803971853134543</v>
      </c>
      <c r="Q260" s="73">
        <f>IF(A15stdlife="n/a","n/a",IF(Q$3&gt;(A15stdlife+$F260),(Input!$H$225*(1+vanilla1)^0.5)-SUM($H260:P260),(Input!$H$225*(1+vanilla1)^0.5)/A15stdlife))</f>
        <v>0.803971853134543</v>
      </c>
      <c r="R260" s="73"/>
      <c r="S260" s="107"/>
      <c r="T260" s="107"/>
      <c r="U260" s="107"/>
      <c r="V260" s="107"/>
      <c r="W260" s="107"/>
      <c r="X260" s="107"/>
      <c r="Y260" s="107"/>
      <c r="Z260" s="107"/>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107"/>
      <c r="BE260" s="107"/>
      <c r="BF260" s="107"/>
      <c r="BG260" s="107"/>
      <c r="BH260" s="107"/>
      <c r="BI260" s="107"/>
      <c r="BJ260" s="107"/>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outlineLevel="2">
      <c r="A261" s="9"/>
      <c r="B261" s="9"/>
      <c r="C261" s="9"/>
      <c r="D261" s="26"/>
      <c r="E261" s="392"/>
      <c r="F261" s="91">
        <v>2</v>
      </c>
      <c r="G261" s="124"/>
      <c r="H261" s="149"/>
      <c r="I261" s="150"/>
      <c r="J261" s="73">
        <f>IF(A15stdlife="n/a","n/a",IF(J$3&gt;(A15stdlife+$F261),(Input!$I$225*(1+vanilla2)^0.5)-SUM($I261:I261),(Input!$I$225*(1+vanilla2)^0.5)/A15stdlife))</f>
        <v>0.1022989526686405</v>
      </c>
      <c r="K261" s="73">
        <f>IF(A15stdlife="n/a","n/a",IF(K$3&gt;(A15stdlife+$F261),(Input!$I$225*(1+vanilla2)^0.5)-SUM($I261:J261),(Input!$I$225*(1+vanilla2)^0.5)/A15stdlife))</f>
        <v>0.1022989526686405</v>
      </c>
      <c r="L261" s="73">
        <f>IF(A15stdlife="n/a","n/a",IF(L$3&gt;(A15stdlife+$F261),(Input!$I$225*(1+vanilla2)^0.5)-SUM($I261:K261),(Input!$I$225*(1+vanilla2)^0.5)/A15stdlife))</f>
        <v>0.1022989526686405</v>
      </c>
      <c r="M261" s="73">
        <f>IF(A15stdlife="n/a","n/a",IF(M$3&gt;(A15stdlife+$F261),(Input!$I$225*(1+vanilla2)^0.5)-SUM($I261:L261),(Input!$I$225*(1+vanilla2)^0.5)/A15stdlife))</f>
        <v>0.1022989526686405</v>
      </c>
      <c r="N261" s="73">
        <f>IF(A15stdlife="n/a","n/a",IF(N$3&gt;(A15stdlife+$F261),(Input!$I$225*(1+vanilla2)^0.5)-SUM($I261:M261),(Input!$I$225*(1+vanilla2)^0.5)/A15stdlife))</f>
        <v>0.1022989526686405</v>
      </c>
      <c r="O261" s="73">
        <f>IF(A15stdlife="n/a","n/a",IF(O$3&gt;(A15stdlife+$F261),(Input!$I$225*(1+vanilla2)^0.5)-SUM($I261:N261),(Input!$I$225*(1+vanilla2)^0.5)/A15stdlife))</f>
        <v>0.1022989526686405</v>
      </c>
      <c r="P261" s="73">
        <f>IF(A15stdlife="n/a","n/a",IF(P$3&gt;(A15stdlife+$F261),(Input!$I$225*(1+vanilla2)^0.5)-SUM($I261:O261),(Input!$I$225*(1+vanilla2)^0.5)/A15stdlife))</f>
        <v>0.1022989526686405</v>
      </c>
      <c r="Q261" s="73">
        <f>IF(A15stdlife="n/a","n/a",IF(Q$3&gt;(A15stdlife+$F261),(Input!$I$225*(1+vanilla2)^0.5)-SUM($I261:P261),(Input!$I$225*(1+vanilla2)^0.5)/A15stdlife))</f>
        <v>0.1022989526686405</v>
      </c>
      <c r="R261" s="73"/>
      <c r="S261" s="107"/>
      <c r="T261" s="107"/>
      <c r="U261" s="107"/>
      <c r="V261" s="107"/>
      <c r="W261" s="107"/>
      <c r="X261" s="107"/>
      <c r="Y261" s="107"/>
      <c r="Z261" s="107"/>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107"/>
      <c r="BE261" s="107"/>
      <c r="BF261" s="107"/>
      <c r="BG261" s="107"/>
      <c r="BH261" s="107"/>
      <c r="BI261" s="107"/>
      <c r="BJ261" s="107"/>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outlineLevel="2">
      <c r="A262" s="9"/>
      <c r="B262" s="9"/>
      <c r="C262" s="9"/>
      <c r="D262" s="26"/>
      <c r="E262" s="392"/>
      <c r="F262" s="91">
        <v>3</v>
      </c>
      <c r="G262" s="124"/>
      <c r="H262" s="149"/>
      <c r="I262" s="151"/>
      <c r="J262" s="150"/>
      <c r="K262" s="73">
        <f>IF(A15stdlife="n/a","n/a",IF(K$3&gt;(A15stdlife+$F262),(Input!$J$225*(1+vanilla3)^0.5)-SUM($J262:J262),(Input!$J$225*(1+vanilla3)^0.5)/A15stdlife))</f>
        <v>6.8889340263266027E-2</v>
      </c>
      <c r="L262" s="73">
        <f>IF(A15stdlife="n/a","n/a",IF(L$3&gt;(A15stdlife+$F262),(Input!$J$225*(1+vanilla3)^0.5)-SUM($J262:K262),(Input!$J$225*(1+vanilla3)^0.5)/A15stdlife))</f>
        <v>6.8889340263266027E-2</v>
      </c>
      <c r="M262" s="73">
        <f>IF(A15stdlife="n/a","n/a",IF(M$3&gt;(A15stdlife+$F262),(Input!$J$225*(1+vanilla3)^0.5)-SUM($J262:L262),(Input!$J$225*(1+vanilla3)^0.5)/A15stdlife))</f>
        <v>6.8889340263266027E-2</v>
      </c>
      <c r="N262" s="73">
        <f>IF(A15stdlife="n/a","n/a",IF(N$3&gt;(A15stdlife+$F262),(Input!$J$225*(1+vanilla3)^0.5)-SUM($J262:M262),(Input!$J$225*(1+vanilla3)^0.5)/A15stdlife))</f>
        <v>6.8889340263266027E-2</v>
      </c>
      <c r="O262" s="73">
        <f>IF(A15stdlife="n/a","n/a",IF(O$3&gt;(A15stdlife+$F262),(Input!$J$225*(1+vanilla3)^0.5)-SUM($J262:N262),(Input!$J$225*(1+vanilla3)^0.5)/A15stdlife))</f>
        <v>6.8889340263266027E-2</v>
      </c>
      <c r="P262" s="73">
        <f>IF(A15stdlife="n/a","n/a",IF(P$3&gt;(A15stdlife+$F262),(Input!$J$225*(1+vanilla3)^0.5)-SUM($J262:O262),(Input!$J$225*(1+vanilla3)^0.5)/A15stdlife))</f>
        <v>6.8889340263266027E-2</v>
      </c>
      <c r="Q262" s="73">
        <f>IF(A15stdlife="n/a","n/a",IF(Q$3&gt;(A15stdlife+$F262),(Input!$J$225*(1+vanilla3)^0.5)-SUM($J262:P262),(Input!$J$225*(1+vanilla3)^0.5)/A15stdlife))</f>
        <v>6.8889340263266027E-2</v>
      </c>
      <c r="R262" s="73"/>
      <c r="S262" s="107"/>
      <c r="T262" s="107"/>
      <c r="U262" s="107"/>
      <c r="V262" s="107"/>
      <c r="W262" s="107"/>
      <c r="X262" s="107"/>
      <c r="Y262" s="107"/>
      <c r="Z262" s="107"/>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107"/>
      <c r="BE262" s="107"/>
      <c r="BF262" s="107"/>
      <c r="BG262" s="107"/>
      <c r="BH262" s="107"/>
      <c r="BI262" s="107"/>
      <c r="BJ262" s="107"/>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outlineLevel="2">
      <c r="A263" s="9"/>
      <c r="B263" s="9"/>
      <c r="C263" s="9"/>
      <c r="D263" s="26"/>
      <c r="E263" s="392"/>
      <c r="F263" s="91">
        <v>4</v>
      </c>
      <c r="G263" s="124"/>
      <c r="H263" s="149"/>
      <c r="I263" s="151"/>
      <c r="J263" s="151"/>
      <c r="K263" s="150"/>
      <c r="L263" s="73">
        <f>IF(A15stdlife="n/a","n/a",IF(L$3&gt;(A15stdlife+$F263),(Input!$K$225*(1+vanilla4)^0.5)-SUM($K263:K263),(Input!$K$225*(1+vanilla4)^0.5)/A15stdlife))</f>
        <v>0.25567279686523997</v>
      </c>
      <c r="M263" s="73">
        <f>IF(A15stdlife="n/a","n/a",IF(M$3&gt;(A15stdlife+$F263),(Input!$K$225*(1+vanilla4)^0.5)-SUM($K263:L263),(Input!$K$225*(1+vanilla4)^0.5)/A15stdlife))</f>
        <v>0.25567279686523997</v>
      </c>
      <c r="N263" s="73">
        <f>IF(A15stdlife="n/a","n/a",IF(N$3&gt;(A15stdlife+$F263),(Input!$K$225*(1+vanilla4)^0.5)-SUM($K263:M263),(Input!$K$225*(1+vanilla4)^0.5)/A15stdlife))</f>
        <v>0.25567279686523997</v>
      </c>
      <c r="O263" s="73">
        <f>IF(A15stdlife="n/a","n/a",IF(O$3&gt;(A15stdlife+$F263),(Input!$K$225*(1+vanilla4)^0.5)-SUM($K263:N263),(Input!$K$225*(1+vanilla4)^0.5)/A15stdlife))</f>
        <v>0.25567279686523997</v>
      </c>
      <c r="P263" s="73">
        <f>IF(A15stdlife="n/a","n/a",IF(P$3&gt;(A15stdlife+$F263),(Input!$K$225*(1+vanilla4)^0.5)-SUM($K263:O263),(Input!$K$225*(1+vanilla4)^0.5)/A15stdlife))</f>
        <v>0.25567279686523997</v>
      </c>
      <c r="Q263" s="73">
        <f>IF(A15stdlife="n/a","n/a",IF(Q$3&gt;(A15stdlife+$F263),(Input!$K$225*(1+vanilla4)^0.5)-SUM($K263:P263),(Input!$K$225*(1+vanilla4)^0.5)/A15stdlife))</f>
        <v>0.25567279686523997</v>
      </c>
      <c r="R263" s="73"/>
      <c r="S263" s="107"/>
      <c r="T263" s="107"/>
      <c r="U263" s="107"/>
      <c r="V263" s="107"/>
      <c r="W263" s="107"/>
      <c r="X263" s="107"/>
      <c r="Y263" s="107"/>
      <c r="Z263" s="107"/>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107"/>
      <c r="BE263" s="107"/>
      <c r="BF263" s="107"/>
      <c r="BG263" s="107"/>
      <c r="BH263" s="107"/>
      <c r="BI263" s="107"/>
      <c r="BJ263" s="107"/>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2">
      <c r="A264" s="9"/>
      <c r="B264" s="9"/>
      <c r="C264" s="9"/>
      <c r="D264" s="26"/>
      <c r="E264" s="392"/>
      <c r="F264" s="91">
        <v>5</v>
      </c>
      <c r="G264" s="27"/>
      <c r="H264" s="149"/>
      <c r="I264" s="151"/>
      <c r="J264" s="151"/>
      <c r="K264" s="151"/>
      <c r="L264" s="150"/>
      <c r="M264" s="73">
        <f>IF(A15stdlife="n/a","n/a",IF(M$3&gt;(A15stdlife+$F264),(Input!$L$225*(1+vanilla5)^0.5)-SUM($L264:L264),(Input!$L$225*(1+vanilla5)^0.5)/A15stdlife))</f>
        <v>0.30892862164168122</v>
      </c>
      <c r="N264" s="73">
        <f>IF(A15stdlife="n/a","n/a",IF(N$3&gt;(A15stdlife+$F264),(Input!$L$225*(1+vanilla5)^0.5)-SUM($L264:M264),(Input!$L$225*(1+vanilla5)^0.5)/A15stdlife))</f>
        <v>0.30892862164168122</v>
      </c>
      <c r="O264" s="73">
        <f>IF(A15stdlife="n/a","n/a",IF(O$3&gt;(A15stdlife+$F264),(Input!$L$225*(1+vanilla5)^0.5)-SUM($L264:N264),(Input!$L$225*(1+vanilla5)^0.5)/A15stdlife))</f>
        <v>0.30892862164168122</v>
      </c>
      <c r="P264" s="73">
        <f>IF(A15stdlife="n/a","n/a",IF(P$3&gt;(A15stdlife+$F264),(Input!$L$225*(1+vanilla5)^0.5)-SUM($L264:O264),(Input!$L$225*(1+vanilla5)^0.5)/A15stdlife))</f>
        <v>0.30892862164168122</v>
      </c>
      <c r="Q264" s="73">
        <f>IF(A15stdlife="n/a","n/a",IF(Q$3&gt;(A15stdlife+$F264),(Input!$L$225*(1+vanilla5)^0.5)-SUM($L264:P264),(Input!$L$225*(1+vanilla5)^0.5)/A15stdlife))</f>
        <v>0.30892862164168122</v>
      </c>
      <c r="R264" s="73"/>
      <c r="S264" s="107"/>
      <c r="T264" s="107"/>
      <c r="U264" s="107"/>
      <c r="V264" s="107"/>
      <c r="W264" s="107"/>
      <c r="X264" s="107"/>
      <c r="Y264" s="107"/>
      <c r="Z264" s="107"/>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outlineLevel="2">
      <c r="A265" s="9"/>
      <c r="B265" s="9"/>
      <c r="C265" s="9"/>
      <c r="D265" s="26"/>
      <c r="E265" s="392"/>
      <c r="F265" s="91">
        <v>6</v>
      </c>
      <c r="G265" s="27"/>
      <c r="H265" s="149"/>
      <c r="I265" s="151"/>
      <c r="J265" s="151"/>
      <c r="K265" s="151"/>
      <c r="L265" s="151"/>
      <c r="M265" s="150"/>
      <c r="N265" s="73">
        <f>IF(A15stdlife="n/a","n/a",IF(N$3&gt;(A15stdlife+$F265),(Input!$M$225*(1+vanilla6)^0.5)-SUM($M265:M265),(Input!$M$225*(1+vanilla6)^0.5)/A15stdlife))</f>
        <v>0</v>
      </c>
      <c r="O265" s="73">
        <f>IF(A15stdlife="n/a","n/a",IF(O$3&gt;(A15stdlife+$F265),(Input!$M$225*(1+vanilla6)^0.5)-SUM($M265:N265),(Input!$M$225*(1+vanilla6)^0.5)/A15stdlife))</f>
        <v>0</v>
      </c>
      <c r="P265" s="73">
        <f>IF(A15stdlife="n/a","n/a",IF(P$3&gt;(A15stdlife+$F265),(Input!$M$225*(1+vanilla6)^0.5)-SUM($M265:O265),(Input!$M$225*(1+vanilla6)^0.5)/A15stdlife))</f>
        <v>0</v>
      </c>
      <c r="Q265" s="73">
        <f>IF(A15stdlife="n/a","n/a",IF(Q$3&gt;(A15stdlife+$F265),(Input!$M$225*(1+vanilla6)^0.5)-SUM($M265:P265),(Input!$M$225*(1+vanilla6)^0.5)/A15stdlife))</f>
        <v>0</v>
      </c>
      <c r="R265" s="73"/>
      <c r="S265" s="107"/>
      <c r="T265" s="107"/>
      <c r="U265" s="107"/>
      <c r="V265" s="107"/>
      <c r="W265" s="107"/>
      <c r="X265" s="107"/>
      <c r="Y265" s="107"/>
      <c r="Z265" s="107"/>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107"/>
      <c r="BE265" s="107"/>
      <c r="BF265" s="107"/>
      <c r="BG265" s="107"/>
      <c r="BH265" s="107"/>
      <c r="BI265" s="107"/>
      <c r="BJ265" s="107"/>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outlineLevel="2">
      <c r="A266" s="9"/>
      <c r="B266" s="9"/>
      <c r="C266" s="9"/>
      <c r="D266" s="26"/>
      <c r="E266" s="392"/>
      <c r="F266" s="91">
        <v>7</v>
      </c>
      <c r="G266" s="27"/>
      <c r="H266" s="149"/>
      <c r="I266" s="151"/>
      <c r="J266" s="151"/>
      <c r="K266" s="151"/>
      <c r="L266" s="151"/>
      <c r="M266" s="151"/>
      <c r="N266" s="150"/>
      <c r="O266" s="73">
        <f>IF(A15stdlife="n/a","n/a",IF(O$3&gt;(A15stdlife+$F266),(Input!$N$225*(1+vanilla7)^0.5)-SUM($N266:N266),(Input!$N$225*(1+vanilla7)^0.5)/A15stdlife))</f>
        <v>0</v>
      </c>
      <c r="P266" s="73">
        <f>IF(A15stdlife="n/a","n/a",IF(P$3&gt;(A15stdlife+$F266),(Input!$N$225*(1+vanilla7)^0.5)-SUM($N266:O266),(Input!$N$225*(1+vanilla7)^0.5)/A15stdlife))</f>
        <v>0</v>
      </c>
      <c r="Q266" s="73">
        <f>IF(A15stdlife="n/a","n/a",IF(Q$3&gt;(A15stdlife+$F266),(Input!$N$225*(1+vanilla7)^0.5)-SUM($N266:P266),(Input!$N$225*(1+vanilla7)^0.5)/A15stdlife))</f>
        <v>0</v>
      </c>
      <c r="R266" s="73"/>
      <c r="S266" s="107"/>
      <c r="T266" s="107"/>
      <c r="U266" s="107"/>
      <c r="V266" s="107"/>
      <c r="W266" s="107"/>
      <c r="X266" s="107"/>
      <c r="Y266" s="107"/>
      <c r="Z266" s="107"/>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107"/>
      <c r="BE266" s="107"/>
      <c r="BF266" s="107"/>
      <c r="BG266" s="107"/>
      <c r="BH266" s="107"/>
      <c r="BI266" s="107"/>
      <c r="BJ266" s="107"/>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2">
      <c r="A267" s="9"/>
      <c r="B267" s="9"/>
      <c r="C267" s="9"/>
      <c r="D267" s="26"/>
      <c r="E267" s="392"/>
      <c r="F267" s="91">
        <v>8</v>
      </c>
      <c r="G267" s="27"/>
      <c r="H267" s="149"/>
      <c r="I267" s="151"/>
      <c r="J267" s="151"/>
      <c r="K267" s="151"/>
      <c r="L267" s="151"/>
      <c r="M267" s="151"/>
      <c r="N267" s="151"/>
      <c r="O267" s="150"/>
      <c r="P267" s="73">
        <f>IF(A15stdlife="n/a","n/a",IF(P$3&gt;(A15stdlife+$F267),(Input!$O$225*(1+vanilla8)^0.5)-SUM($O267:O267),(Input!$O$225*(1+vanilla8)^0.5)/A15stdlife))</f>
        <v>0</v>
      </c>
      <c r="Q267" s="73">
        <f>IF(A15stdlife="n/a","n/a",IF(Q$3&gt;(A15stdlife+$F267),(Input!$O$225*(1+vanilla8)^0.5)-SUM($O267:P267),(Input!$O$225*(1+vanilla8)^0.5)/A15stdlife))</f>
        <v>0</v>
      </c>
      <c r="R267" s="73"/>
      <c r="S267" s="107"/>
      <c r="T267" s="107"/>
      <c r="U267" s="107"/>
      <c r="V267" s="107"/>
      <c r="W267" s="107"/>
      <c r="X267" s="107"/>
      <c r="Y267" s="107"/>
      <c r="Z267" s="107"/>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107"/>
      <c r="BE267" s="107"/>
      <c r="BF267" s="107"/>
      <c r="BG267" s="107"/>
      <c r="BH267" s="107"/>
      <c r="BI267" s="107"/>
      <c r="BJ267" s="107"/>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outlineLevel="2">
      <c r="A268" s="9"/>
      <c r="B268" s="9"/>
      <c r="C268" s="9"/>
      <c r="D268" s="26"/>
      <c r="E268" s="392"/>
      <c r="F268" s="91">
        <v>9</v>
      </c>
      <c r="G268" s="27"/>
      <c r="H268" s="149"/>
      <c r="I268" s="151"/>
      <c r="J268" s="151"/>
      <c r="K268" s="151"/>
      <c r="L268" s="151"/>
      <c r="M268" s="151"/>
      <c r="N268" s="151"/>
      <c r="O268" s="151"/>
      <c r="P268" s="150"/>
      <c r="Q268" s="73">
        <f>IF(A15stdlife="n/a","n/a",IF(Q$3&gt;(A15stdlife+$F268),(Input!$P$225*(1+vanilla9)^0.5)-SUM($P268:P268),(Input!$P$225*(1+vanilla9)^0.5)/A15stdlife))</f>
        <v>0</v>
      </c>
      <c r="R268" s="73"/>
      <c r="S268" s="107"/>
      <c r="T268" s="107"/>
      <c r="U268" s="107"/>
      <c r="V268" s="107"/>
      <c r="W268" s="107"/>
      <c r="X268" s="107"/>
      <c r="Y268" s="107"/>
      <c r="Z268" s="107"/>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107"/>
      <c r="BE268" s="107"/>
      <c r="BF268" s="107"/>
      <c r="BG268" s="107"/>
      <c r="BH268" s="107"/>
      <c r="BI268" s="107"/>
      <c r="BJ268" s="107"/>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outlineLevel="2">
      <c r="A269" s="9"/>
      <c r="B269" s="9"/>
      <c r="C269" s="9"/>
      <c r="D269" s="26"/>
      <c r="E269" s="392"/>
      <c r="F269" s="92">
        <v>10</v>
      </c>
      <c r="G269" s="27"/>
      <c r="H269" s="149"/>
      <c r="I269" s="151"/>
      <c r="J269" s="151"/>
      <c r="K269" s="151"/>
      <c r="L269" s="151"/>
      <c r="M269" s="151"/>
      <c r="N269" s="151"/>
      <c r="O269" s="151"/>
      <c r="P269" s="151"/>
      <c r="Q269" s="150"/>
      <c r="R269" s="73"/>
      <c r="S269" s="107"/>
      <c r="T269" s="107"/>
      <c r="U269" s="107"/>
      <c r="V269" s="107"/>
      <c r="W269" s="107"/>
      <c r="X269" s="107"/>
      <c r="Y269" s="107"/>
      <c r="Z269" s="107"/>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107"/>
      <c r="BE269" s="107"/>
      <c r="BF269" s="107"/>
      <c r="BG269" s="107"/>
      <c r="BH269" s="107"/>
      <c r="BI269" s="107"/>
      <c r="BJ269" s="107"/>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outlineLevel="1">
      <c r="A270" s="9"/>
      <c r="B270" s="9"/>
      <c r="C270" s="9"/>
      <c r="D270" s="279" t="str">
        <f>Asset15</f>
        <v>Substation assets - short life (15)</v>
      </c>
      <c r="E270" s="9"/>
      <c r="F270" s="9"/>
      <c r="G270" s="124"/>
      <c r="H270" s="165">
        <f>-SUM(H258:H269)</f>
        <v>0</v>
      </c>
      <c r="I270" s="165">
        <f>-SUM(I258:I269)</f>
        <v>-0.803971853134543</v>
      </c>
      <c r="J270" s="165">
        <f>-SUM(J258:J269)</f>
        <v>-0.90627080580318353</v>
      </c>
      <c r="K270" s="165">
        <f>-SUM(K258:K269)</f>
        <v>-0.97516014606644952</v>
      </c>
      <c r="L270" s="165">
        <f>-SUM(L258:L269)</f>
        <v>-1.2308329429316895</v>
      </c>
      <c r="M270" s="73">
        <f>IF(COUNT($H270:L270)&gt;=Input!$W$7,0, -SUM(M258:M269))</f>
        <v>0</v>
      </c>
      <c r="N270" s="73">
        <f>IF(COUNT($H270:M270)&gt;=Input!$W$7,0, -SUM(N258:N269))</f>
        <v>0</v>
      </c>
      <c r="O270" s="73">
        <f>IF(COUNT($H270:N270)&gt;=Input!$W$7,0, -SUM(O258:O269))</f>
        <v>0</v>
      </c>
      <c r="P270" s="73">
        <f>IF(COUNT($H270:O270)&gt;=Input!$W$7,0, -SUM(P258:P269))</f>
        <v>0</v>
      </c>
      <c r="Q270" s="73">
        <f>IF(COUNT($H270:P270)&gt;=Input!$W$7,0, -SUM(Q258:Q269))</f>
        <v>0</v>
      </c>
      <c r="R270" s="71"/>
      <c r="S270" s="109"/>
      <c r="T270" s="109"/>
      <c r="U270" s="109"/>
      <c r="V270" s="109"/>
      <c r="W270" s="109"/>
      <c r="X270" s="109"/>
      <c r="Y270" s="109"/>
      <c r="Z270" s="109"/>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109"/>
      <c r="BE270" s="109"/>
      <c r="BF270" s="109"/>
      <c r="BG270" s="109"/>
      <c r="BH270" s="109"/>
      <c r="BI270" s="109"/>
      <c r="BJ270" s="109"/>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outlineLevel="2">
      <c r="A271" s="9"/>
      <c r="B271" s="9"/>
      <c r="C271" s="280" t="str">
        <f>Asset16</f>
        <v>Protection and control - short life (15)</v>
      </c>
      <c r="D271" s="161"/>
      <c r="E271" s="32" t="s">
        <v>26</v>
      </c>
      <c r="F271" s="31"/>
      <c r="G271" s="181"/>
      <c r="H271" s="72" t="str">
        <f>IF(H$3&gt;A16remlife,A16value-$G$645-SUM($G271:G271),IF(A16remlife="N/A","n/a",(A16value-$G$645)/A16remlife))</f>
        <v>n/a</v>
      </c>
      <c r="I271" s="72" t="str">
        <f>IF(I$3&gt;A16remlife,A16value-$G$645-SUM($G271:H271),IF(A16remlife="N/A","n/a",(A16value-$G$645)/A16remlife))</f>
        <v>n/a</v>
      </c>
      <c r="J271" s="72" t="str">
        <f>IF(J$3&gt;A16remlife,A16value-$G$645-SUM($G271:I271),IF(A16remlife="N/A","n/a",(A16value-$G$645)/A16remlife))</f>
        <v>n/a</v>
      </c>
      <c r="K271" s="72" t="str">
        <f>IF(K$3&gt;A16remlife,A16value-$G$645-SUM($G271:J271),IF(A16remlife="N/A","n/a",(A16value-$G$645)/A16remlife))</f>
        <v>n/a</v>
      </c>
      <c r="L271" s="72" t="str">
        <f>IF(L$3&gt;A16remlife,A16value-$G$645-SUM($G271:K271),IF(A16remlife="N/A","n/a",(A16value-$G$645)/A16remlife))</f>
        <v>n/a</v>
      </c>
      <c r="M271" s="72" t="str">
        <f>IF(M$3&gt;A16remlife,A16value-$G$645-SUM($G271:L271),IF(A16remlife="N/A","n/a",(A16value-$G$645)/A16remlife))</f>
        <v>n/a</v>
      </c>
      <c r="N271" s="72" t="str">
        <f>IF(N$3&gt;A16remlife,A16value-$G$645-SUM($G271:M271),IF(A16remlife="N/A","n/a",(A16value-$G$645)/A16remlife))</f>
        <v>n/a</v>
      </c>
      <c r="O271" s="72" t="str">
        <f>IF(O$3&gt;A16remlife,A16value-$G$645-SUM($G271:N271),IF(A16remlife="N/A","n/a",(A16value-$G$645)/A16remlife))</f>
        <v>n/a</v>
      </c>
      <c r="P271" s="72" t="str">
        <f>IF(P$3&gt;A16remlife,A16value-$G$645-SUM($G271:O271),IF(A16remlife="N/A","n/a",(A16value-$G$645)/A16remlife))</f>
        <v>n/a</v>
      </c>
      <c r="Q271" s="72" t="str">
        <f>IF(Q$3&gt;A16remlife,A16value-$G$645-SUM($G271:P271),IF(A16remlife="N/A","n/a",(A16value-$G$645)/A16remlife))</f>
        <v>n/a</v>
      </c>
      <c r="R271" s="72"/>
      <c r="S271" s="107"/>
      <c r="T271" s="107"/>
      <c r="U271" s="107"/>
      <c r="V271" s="107"/>
      <c r="W271" s="107"/>
      <c r="X271" s="107"/>
      <c r="Y271" s="107"/>
      <c r="Z271" s="107"/>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107"/>
      <c r="BE271" s="107"/>
      <c r="BF271" s="107"/>
      <c r="BG271" s="107"/>
      <c r="BH271" s="107"/>
      <c r="BI271" s="107"/>
      <c r="BJ271" s="107"/>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9"/>
      <c r="D272" s="26"/>
      <c r="E272" s="391" t="s">
        <v>81</v>
      </c>
      <c r="F272" s="91"/>
      <c r="G272" s="124"/>
      <c r="H272" s="73"/>
      <c r="I272" s="73"/>
      <c r="J272" s="73"/>
      <c r="K272" s="73"/>
      <c r="L272" s="73"/>
      <c r="M272" s="163"/>
      <c r="N272" s="115"/>
      <c r="O272" s="73"/>
      <c r="P272" s="73"/>
      <c r="Q272" s="73"/>
      <c r="R272" s="73"/>
      <c r="S272" s="107"/>
      <c r="T272" s="107"/>
      <c r="U272" s="107"/>
      <c r="V272" s="107"/>
      <c r="W272" s="107"/>
      <c r="X272" s="107"/>
      <c r="Y272" s="107"/>
      <c r="Z272" s="107"/>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107"/>
      <c r="BE272" s="107"/>
      <c r="BF272" s="107"/>
      <c r="BG272" s="107"/>
      <c r="BH272" s="107"/>
      <c r="BI272" s="107"/>
      <c r="BJ272" s="107"/>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outlineLevel="2">
      <c r="A273" s="9"/>
      <c r="B273" s="9"/>
      <c r="C273" s="9"/>
      <c r="D273" s="26"/>
      <c r="E273" s="392"/>
      <c r="F273" s="91">
        <v>1</v>
      </c>
      <c r="G273" s="124"/>
      <c r="H273" s="148"/>
      <c r="I273" s="73">
        <f>IF(A16stdlife="n/a","n/a",IF(I$3&gt;(A16stdlife+$F273),(Input!$H$226*(1+vanilla1)^0.5)-SUM($H273:H273),(Input!$H$226*(1+vanilla1)^0.5)/A16stdlife))</f>
        <v>0.71641604992756358</v>
      </c>
      <c r="J273" s="73">
        <f>IF(A16stdlife="n/a","n/a",IF(J$3&gt;(A16stdlife+$F273),(Input!$H$226*(1+vanilla1)^0.5)-SUM($H273:I273),(Input!$H$226*(1+vanilla1)^0.5)/A16stdlife))</f>
        <v>0.71641604992756358</v>
      </c>
      <c r="K273" s="73">
        <f>IF(A16stdlife="n/a","n/a",IF(K$3&gt;(A16stdlife+$F273),(Input!$H$226*(1+vanilla1)^0.5)-SUM($H273:J273),(Input!$H$226*(1+vanilla1)^0.5)/A16stdlife))</f>
        <v>0.71641604992756358</v>
      </c>
      <c r="L273" s="73">
        <f>IF(A16stdlife="n/a","n/a",IF(L$3&gt;(A16stdlife+$F273),(Input!$H$226*(1+vanilla1)^0.5)-SUM($H273:K273),(Input!$H$226*(1+vanilla1)^0.5)/A16stdlife))</f>
        <v>0.71641604992756358</v>
      </c>
      <c r="M273" s="73">
        <f>IF(A16stdlife="n/a","n/a",IF(M$3&gt;(A16stdlife+$F273),(Input!$H$226*(1+vanilla1)^0.5)-SUM($H273:L273),(Input!$H$226*(1+vanilla1)^0.5)/A16stdlife))</f>
        <v>0.71641604992756358</v>
      </c>
      <c r="N273" s="73">
        <f>IF(A16stdlife="n/a","n/a",IF(N$3&gt;(A16stdlife+$F273),(Input!$H$226*(1+vanilla1)^0.5)-SUM($H273:M273),(Input!$H$226*(1+vanilla1)^0.5)/A16stdlife))</f>
        <v>0.71641604992756358</v>
      </c>
      <c r="O273" s="73">
        <f>IF(A16stdlife="n/a","n/a",IF(O$3&gt;(A16stdlife+$F273),(Input!$H$226*(1+vanilla1)^0.5)-SUM($H273:N273),(Input!$H$226*(1+vanilla1)^0.5)/A16stdlife))</f>
        <v>0.71641604992756358</v>
      </c>
      <c r="P273" s="73">
        <f>IF(A16stdlife="n/a","n/a",IF(P$3&gt;(A16stdlife+$F273),(Input!$H$226*(1+vanilla1)^0.5)-SUM($H273:O273),(Input!$H$226*(1+vanilla1)^0.5)/A16stdlife))</f>
        <v>0.71641604992756358</v>
      </c>
      <c r="Q273" s="73">
        <f>IF(A16stdlife="n/a","n/a",IF(Q$3&gt;(A16stdlife+$F273),(Input!$H$226*(1+vanilla1)^0.5)-SUM($H273:P273),(Input!$H$226*(1+vanilla1)^0.5)/A16stdlife))</f>
        <v>0.71641604992756358</v>
      </c>
      <c r="R273" s="73"/>
      <c r="S273" s="107"/>
      <c r="T273" s="107"/>
      <c r="U273" s="107"/>
      <c r="V273" s="107"/>
      <c r="W273" s="107"/>
      <c r="X273" s="107"/>
      <c r="Y273" s="107"/>
      <c r="Z273" s="107"/>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107"/>
      <c r="BE273" s="107"/>
      <c r="BF273" s="107"/>
      <c r="BG273" s="107"/>
      <c r="BH273" s="107"/>
      <c r="BI273" s="107"/>
      <c r="BJ273" s="107"/>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outlineLevel="2">
      <c r="A274" s="9"/>
      <c r="B274" s="9"/>
      <c r="C274" s="9"/>
      <c r="D274" s="26"/>
      <c r="E274" s="392"/>
      <c r="F274" s="91">
        <v>2</v>
      </c>
      <c r="G274" s="124"/>
      <c r="H274" s="149"/>
      <c r="I274" s="150"/>
      <c r="J274" s="73">
        <f>IF(A16stdlife="n/a","n/a",IF(J$3&gt;(A16stdlife+$F274),(Input!$I$226*(1+vanilla2)^0.5)-SUM($I274:I274),(Input!$I$226*(1+vanilla2)^0.5)/A16stdlife))</f>
        <v>0.90430675737942745</v>
      </c>
      <c r="K274" s="73">
        <f>IF(A16stdlife="n/a","n/a",IF(K$3&gt;(A16stdlife+$F274),(Input!$I$226*(1+vanilla2)^0.5)-SUM($I274:J274),(Input!$I$226*(1+vanilla2)^0.5)/A16stdlife))</f>
        <v>0.90430675737942745</v>
      </c>
      <c r="L274" s="73">
        <f>IF(A16stdlife="n/a","n/a",IF(L$3&gt;(A16stdlife+$F274),(Input!$I$226*(1+vanilla2)^0.5)-SUM($I274:K274),(Input!$I$226*(1+vanilla2)^0.5)/A16stdlife))</f>
        <v>0.90430675737942745</v>
      </c>
      <c r="M274" s="73">
        <f>IF(A16stdlife="n/a","n/a",IF(M$3&gt;(A16stdlife+$F274),(Input!$I$226*(1+vanilla2)^0.5)-SUM($I274:L274),(Input!$I$226*(1+vanilla2)^0.5)/A16stdlife))</f>
        <v>0.90430675737942745</v>
      </c>
      <c r="N274" s="73">
        <f>IF(A16stdlife="n/a","n/a",IF(N$3&gt;(A16stdlife+$F274),(Input!$I$226*(1+vanilla2)^0.5)-SUM($I274:M274),(Input!$I$226*(1+vanilla2)^0.5)/A16stdlife))</f>
        <v>0.90430675737942745</v>
      </c>
      <c r="O274" s="73">
        <f>IF(A16stdlife="n/a","n/a",IF(O$3&gt;(A16stdlife+$F274),(Input!$I$226*(1+vanilla2)^0.5)-SUM($I274:N274),(Input!$I$226*(1+vanilla2)^0.5)/A16stdlife))</f>
        <v>0.90430675737942745</v>
      </c>
      <c r="P274" s="73">
        <f>IF(A16stdlife="n/a","n/a",IF(P$3&gt;(A16stdlife+$F274),(Input!$I$226*(1+vanilla2)^0.5)-SUM($I274:O274),(Input!$I$226*(1+vanilla2)^0.5)/A16stdlife))</f>
        <v>0.90430675737942745</v>
      </c>
      <c r="Q274" s="73">
        <f>IF(A16stdlife="n/a","n/a",IF(Q$3&gt;(A16stdlife+$F274),(Input!$I$226*(1+vanilla2)^0.5)-SUM($I274:P274),(Input!$I$226*(1+vanilla2)^0.5)/A16stdlife))</f>
        <v>0.90430675737942745</v>
      </c>
      <c r="R274" s="73"/>
      <c r="S274" s="107"/>
      <c r="T274" s="107"/>
      <c r="U274" s="107"/>
      <c r="V274" s="107"/>
      <c r="W274" s="107"/>
      <c r="X274" s="107"/>
      <c r="Y274" s="107"/>
      <c r="Z274" s="107"/>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107"/>
      <c r="BE274" s="107"/>
      <c r="BF274" s="107"/>
      <c r="BG274" s="107"/>
      <c r="BH274" s="107"/>
      <c r="BI274" s="107"/>
      <c r="BJ274" s="107"/>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outlineLevel="2">
      <c r="A275" s="9"/>
      <c r="B275" s="9"/>
      <c r="C275" s="9"/>
      <c r="D275" s="26"/>
      <c r="E275" s="392"/>
      <c r="F275" s="91">
        <v>3</v>
      </c>
      <c r="G275" s="124"/>
      <c r="H275" s="149"/>
      <c r="I275" s="151"/>
      <c r="J275" s="150"/>
      <c r="K275" s="73">
        <f>IF(A16stdlife="n/a","n/a",IF(K$3&gt;(A16stdlife+$F275),(Input!$J$226*(1+vanilla3)^0.5)-SUM($J275:J275),(Input!$J$226*(1+vanilla3)^0.5)/A16stdlife))</f>
        <v>1.2579653646404376</v>
      </c>
      <c r="L275" s="73">
        <f>IF(A16stdlife="n/a","n/a",IF(L$3&gt;(A16stdlife+$F275),(Input!$J$226*(1+vanilla3)^0.5)-SUM($J275:K275),(Input!$J$226*(1+vanilla3)^0.5)/A16stdlife))</f>
        <v>1.2579653646404376</v>
      </c>
      <c r="M275" s="73">
        <f>IF(A16stdlife="n/a","n/a",IF(M$3&gt;(A16stdlife+$F275),(Input!$J$226*(1+vanilla3)^0.5)-SUM($J275:L275),(Input!$J$226*(1+vanilla3)^0.5)/A16stdlife))</f>
        <v>1.2579653646404376</v>
      </c>
      <c r="N275" s="73">
        <f>IF(A16stdlife="n/a","n/a",IF(N$3&gt;(A16stdlife+$F275),(Input!$J$226*(1+vanilla3)^0.5)-SUM($J275:M275),(Input!$J$226*(1+vanilla3)^0.5)/A16stdlife))</f>
        <v>1.2579653646404376</v>
      </c>
      <c r="O275" s="73">
        <f>IF(A16stdlife="n/a","n/a",IF(O$3&gt;(A16stdlife+$F275),(Input!$J$226*(1+vanilla3)^0.5)-SUM($J275:N275),(Input!$J$226*(1+vanilla3)^0.5)/A16stdlife))</f>
        <v>1.2579653646404376</v>
      </c>
      <c r="P275" s="73">
        <f>IF(A16stdlife="n/a","n/a",IF(P$3&gt;(A16stdlife+$F275),(Input!$J$226*(1+vanilla3)^0.5)-SUM($J275:O275),(Input!$J$226*(1+vanilla3)^0.5)/A16stdlife))</f>
        <v>1.2579653646404376</v>
      </c>
      <c r="Q275" s="73">
        <f>IF(A16stdlife="n/a","n/a",IF(Q$3&gt;(A16stdlife+$F275),(Input!$J$226*(1+vanilla3)^0.5)-SUM($J275:P275),(Input!$J$226*(1+vanilla3)^0.5)/A16stdlife))</f>
        <v>1.2579653646404376</v>
      </c>
      <c r="R275" s="73"/>
      <c r="S275" s="107"/>
      <c r="T275" s="107"/>
      <c r="U275" s="107"/>
      <c r="V275" s="107"/>
      <c r="W275" s="107"/>
      <c r="X275" s="107"/>
      <c r="Y275" s="107"/>
      <c r="Z275" s="107"/>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107"/>
      <c r="BE275" s="107"/>
      <c r="BF275" s="107"/>
      <c r="BG275" s="107"/>
      <c r="BH275" s="107"/>
      <c r="BI275" s="107"/>
      <c r="BJ275" s="107"/>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outlineLevel="2">
      <c r="A276" s="9"/>
      <c r="B276" s="9"/>
      <c r="C276" s="9"/>
      <c r="D276" s="26"/>
      <c r="E276" s="392"/>
      <c r="F276" s="91">
        <v>4</v>
      </c>
      <c r="G276" s="124"/>
      <c r="H276" s="149"/>
      <c r="I276" s="151"/>
      <c r="J276" s="151"/>
      <c r="K276" s="150"/>
      <c r="L276" s="73">
        <f>IF(A16stdlife="n/a","n/a",IF(L$3&gt;(A16stdlife+$F276),(Input!$K$226*(1+vanilla4)^0.5)-SUM($K276:K276),(Input!$K$226*(1+vanilla4)^0.5)/A16stdlife))</f>
        <v>1.1439556702054967</v>
      </c>
      <c r="M276" s="73">
        <f>IF(A16stdlife="n/a","n/a",IF(M$3&gt;(A16stdlife+$F276),(Input!$K$226*(1+vanilla4)^0.5)-SUM($K276:L276),(Input!$K$226*(1+vanilla4)^0.5)/A16stdlife))</f>
        <v>1.1439556702054967</v>
      </c>
      <c r="N276" s="73">
        <f>IF(A16stdlife="n/a","n/a",IF(N$3&gt;(A16stdlife+$F276),(Input!$K$226*(1+vanilla4)^0.5)-SUM($K276:M276),(Input!$K$226*(1+vanilla4)^0.5)/A16stdlife))</f>
        <v>1.1439556702054967</v>
      </c>
      <c r="O276" s="73">
        <f>IF(A16stdlife="n/a","n/a",IF(O$3&gt;(A16stdlife+$F276),(Input!$K$226*(1+vanilla4)^0.5)-SUM($K276:N276),(Input!$K$226*(1+vanilla4)^0.5)/A16stdlife))</f>
        <v>1.1439556702054967</v>
      </c>
      <c r="P276" s="73">
        <f>IF(A16stdlife="n/a","n/a",IF(P$3&gt;(A16stdlife+$F276),(Input!$K$226*(1+vanilla4)^0.5)-SUM($K276:O276),(Input!$K$226*(1+vanilla4)^0.5)/A16stdlife))</f>
        <v>1.1439556702054967</v>
      </c>
      <c r="Q276" s="73">
        <f>IF(A16stdlife="n/a","n/a",IF(Q$3&gt;(A16stdlife+$F276),(Input!$K$226*(1+vanilla4)^0.5)-SUM($K276:P276),(Input!$K$226*(1+vanilla4)^0.5)/A16stdlife))</f>
        <v>1.1439556702054967</v>
      </c>
      <c r="R276" s="73"/>
      <c r="S276" s="107"/>
      <c r="T276" s="107"/>
      <c r="U276" s="107"/>
      <c r="V276" s="107"/>
      <c r="W276" s="107"/>
      <c r="X276" s="107"/>
      <c r="Y276" s="107"/>
      <c r="Z276" s="107"/>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107"/>
      <c r="BE276" s="107"/>
      <c r="BF276" s="107"/>
      <c r="BG276" s="107"/>
      <c r="BH276" s="107"/>
      <c r="BI276" s="107"/>
      <c r="BJ276" s="107"/>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2">
      <c r="A277" s="9"/>
      <c r="B277" s="9"/>
      <c r="C277" s="9"/>
      <c r="D277" s="26"/>
      <c r="E277" s="392"/>
      <c r="F277" s="91">
        <v>5</v>
      </c>
      <c r="G277" s="27"/>
      <c r="H277" s="149"/>
      <c r="I277" s="151"/>
      <c r="J277" s="151"/>
      <c r="K277" s="151"/>
      <c r="L277" s="150"/>
      <c r="M277" s="73">
        <f>IF(A16stdlife="n/a","n/a",IF(M$3&gt;(A16stdlife+$F277),(Input!$L$226*(1+vanilla5)^0.5)-SUM($L277:L277),(Input!$L$226*(1+vanilla5)^0.5)/A16stdlife))</f>
        <v>1.2348058179861405</v>
      </c>
      <c r="N277" s="73">
        <f>IF(A16stdlife="n/a","n/a",IF(N$3&gt;(A16stdlife+$F277),(Input!$L$226*(1+vanilla5)^0.5)-SUM($L277:M277),(Input!$L$226*(1+vanilla5)^0.5)/A16stdlife))</f>
        <v>1.2348058179861405</v>
      </c>
      <c r="O277" s="73">
        <f>IF(A16stdlife="n/a","n/a",IF(O$3&gt;(A16stdlife+$F277),(Input!$L$226*(1+vanilla5)^0.5)-SUM($L277:N277),(Input!$L$226*(1+vanilla5)^0.5)/A16stdlife))</f>
        <v>1.2348058179861405</v>
      </c>
      <c r="P277" s="73">
        <f>IF(A16stdlife="n/a","n/a",IF(P$3&gt;(A16stdlife+$F277),(Input!$L$226*(1+vanilla5)^0.5)-SUM($L277:O277),(Input!$L$226*(1+vanilla5)^0.5)/A16stdlife))</f>
        <v>1.2348058179861405</v>
      </c>
      <c r="Q277" s="73">
        <f>IF(A16stdlife="n/a","n/a",IF(Q$3&gt;(A16stdlife+$F277),(Input!$L$226*(1+vanilla5)^0.5)-SUM($L277:P277),(Input!$L$226*(1+vanilla5)^0.5)/A16stdlife))</f>
        <v>1.2348058179861405</v>
      </c>
      <c r="R277" s="73"/>
      <c r="S277" s="107"/>
      <c r="T277" s="107"/>
      <c r="U277" s="107"/>
      <c r="V277" s="107"/>
      <c r="W277" s="107"/>
      <c r="X277" s="107"/>
      <c r="Y277" s="107"/>
      <c r="Z277" s="107"/>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outlineLevel="2">
      <c r="A278" s="9"/>
      <c r="B278" s="9"/>
      <c r="C278" s="9"/>
      <c r="D278" s="26"/>
      <c r="E278" s="392"/>
      <c r="F278" s="91">
        <v>6</v>
      </c>
      <c r="G278" s="27"/>
      <c r="H278" s="149"/>
      <c r="I278" s="151"/>
      <c r="J278" s="151"/>
      <c r="K278" s="151"/>
      <c r="L278" s="151"/>
      <c r="M278" s="150"/>
      <c r="N278" s="73">
        <f>IF(A16stdlife="n/a","n/a",IF(N$3&gt;(A16stdlife+$F278),(Input!$M$226*(1+vanilla6)^0.5)-SUM($M278:M278),(Input!$M$226*(1+vanilla6)^0.5)/A16stdlife))</f>
        <v>0</v>
      </c>
      <c r="O278" s="73">
        <f>IF(A16stdlife="n/a","n/a",IF(O$3&gt;(A16stdlife+$F278),(Input!$M$226*(1+vanilla6)^0.5)-SUM($M278:N278),(Input!$M$226*(1+vanilla6)^0.5)/A16stdlife))</f>
        <v>0</v>
      </c>
      <c r="P278" s="73">
        <f>IF(A16stdlife="n/a","n/a",IF(P$3&gt;(A16stdlife+$F278),(Input!$M$226*(1+vanilla6)^0.5)-SUM($M278:O278),(Input!$M$226*(1+vanilla6)^0.5)/A16stdlife))</f>
        <v>0</v>
      </c>
      <c r="Q278" s="73">
        <f>IF(A16stdlife="n/a","n/a",IF(Q$3&gt;(A16stdlife+$F278),(Input!$M$226*(1+vanilla6)^0.5)-SUM($M278:P278),(Input!$M$226*(1+vanilla6)^0.5)/A16stdlife))</f>
        <v>0</v>
      </c>
      <c r="R278" s="73"/>
      <c r="S278" s="107"/>
      <c r="T278" s="107"/>
      <c r="U278" s="107"/>
      <c r="V278" s="107"/>
      <c r="W278" s="107"/>
      <c r="X278" s="107"/>
      <c r="Y278" s="107"/>
      <c r="Z278" s="107"/>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107"/>
      <c r="BE278" s="107"/>
      <c r="BF278" s="107"/>
      <c r="BG278" s="107"/>
      <c r="BH278" s="107"/>
      <c r="BI278" s="107"/>
      <c r="BJ278" s="107"/>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outlineLevel="2">
      <c r="A279" s="9"/>
      <c r="B279" s="9"/>
      <c r="C279" s="9"/>
      <c r="D279" s="26"/>
      <c r="E279" s="392"/>
      <c r="F279" s="91">
        <v>7</v>
      </c>
      <c r="G279" s="27"/>
      <c r="H279" s="149"/>
      <c r="I279" s="151"/>
      <c r="J279" s="151"/>
      <c r="K279" s="151"/>
      <c r="L279" s="151"/>
      <c r="M279" s="151"/>
      <c r="N279" s="150"/>
      <c r="O279" s="73">
        <f>IF(A16stdlife="n/a","n/a",IF(O$3&gt;(A16stdlife+$F279),(Input!$N$226*(1+vanilla7)^0.5)-SUM($N279:N279),(Input!$N$226*(1+vanilla7)^0.5)/A16stdlife))</f>
        <v>0</v>
      </c>
      <c r="P279" s="73">
        <f>IF(A16stdlife="n/a","n/a",IF(P$3&gt;(A16stdlife+$F279),(Input!$N$226*(1+vanilla7)^0.5)-SUM($N279:O279),(Input!$N$226*(1+vanilla7)^0.5)/A16stdlife))</f>
        <v>0</v>
      </c>
      <c r="Q279" s="73">
        <f>IF(A16stdlife="n/a","n/a",IF(Q$3&gt;(A16stdlife+$F279),(Input!$N$226*(1+vanilla7)^0.5)-SUM($N279:P279),(Input!$N$226*(1+vanilla7)^0.5)/A16stdlife))</f>
        <v>0</v>
      </c>
      <c r="R279" s="73"/>
      <c r="S279" s="107"/>
      <c r="T279" s="107"/>
      <c r="U279" s="107"/>
      <c r="V279" s="107"/>
      <c r="W279" s="107"/>
      <c r="X279" s="107"/>
      <c r="Y279" s="107"/>
      <c r="Z279" s="107"/>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107"/>
      <c r="BE279" s="107"/>
      <c r="BF279" s="107"/>
      <c r="BG279" s="107"/>
      <c r="BH279" s="107"/>
      <c r="BI279" s="107"/>
      <c r="BJ279" s="107"/>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outlineLevel="2">
      <c r="A280" s="9"/>
      <c r="B280" s="9"/>
      <c r="C280" s="9"/>
      <c r="D280" s="26"/>
      <c r="E280" s="392"/>
      <c r="F280" s="91">
        <v>8</v>
      </c>
      <c r="G280" s="27"/>
      <c r="H280" s="149"/>
      <c r="I280" s="151"/>
      <c r="J280" s="151"/>
      <c r="K280" s="151"/>
      <c r="L280" s="151"/>
      <c r="M280" s="151"/>
      <c r="N280" s="151"/>
      <c r="O280" s="150"/>
      <c r="P280" s="73">
        <f>IF(A16stdlife="n/a","n/a",IF(P$3&gt;(A16stdlife+$F280),(Input!$O$226*(1+vanilla8)^0.5)-SUM($O280:O280),(Input!$O$226*(1+vanilla8)^0.5)/A16stdlife))</f>
        <v>0</v>
      </c>
      <c r="Q280" s="73">
        <f>IF(A16stdlife="n/a","n/a",IF(Q$3&gt;(A16stdlife+$F280),(Input!$O$226*(1+vanilla8)^0.5)-SUM($O280:P280),(Input!$O$226*(1+vanilla8)^0.5)/A16stdlife))</f>
        <v>0</v>
      </c>
      <c r="R280" s="73"/>
      <c r="S280" s="107"/>
      <c r="T280" s="107"/>
      <c r="U280" s="107"/>
      <c r="V280" s="107"/>
      <c r="W280" s="107"/>
      <c r="X280" s="107"/>
      <c r="Y280" s="107"/>
      <c r="Z280" s="107"/>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107"/>
      <c r="BE280" s="107"/>
      <c r="BF280" s="107"/>
      <c r="BG280" s="107"/>
      <c r="BH280" s="107"/>
      <c r="BI280" s="107"/>
      <c r="BJ280" s="107"/>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2">
      <c r="A281" s="9"/>
      <c r="B281" s="9"/>
      <c r="C281" s="9"/>
      <c r="D281" s="26"/>
      <c r="E281" s="392"/>
      <c r="F281" s="91">
        <v>9</v>
      </c>
      <c r="G281" s="27"/>
      <c r="H281" s="149"/>
      <c r="I281" s="151"/>
      <c r="J281" s="151"/>
      <c r="K281" s="151"/>
      <c r="L281" s="151"/>
      <c r="M281" s="151"/>
      <c r="N281" s="151"/>
      <c r="O281" s="151"/>
      <c r="P281" s="150"/>
      <c r="Q281" s="73">
        <f>IF(A16stdlife="n/a","n/a",IF(Q$3&gt;(A16stdlife+$F281),(Input!$P$226*(1+vanilla9)^0.5)-SUM($P281:P281),(Input!$P$226*(1+vanilla9)^0.5)/A16stdlife))</f>
        <v>0</v>
      </c>
      <c r="R281" s="73"/>
      <c r="S281" s="107"/>
      <c r="T281" s="107"/>
      <c r="U281" s="107"/>
      <c r="V281" s="107"/>
      <c r="W281" s="107"/>
      <c r="X281" s="107"/>
      <c r="Y281" s="107"/>
      <c r="Z281" s="107"/>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107"/>
      <c r="BE281" s="107"/>
      <c r="BF281" s="107"/>
      <c r="BG281" s="107"/>
      <c r="BH281" s="107"/>
      <c r="BI281" s="107"/>
      <c r="BJ281" s="107"/>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outlineLevel="2">
      <c r="A282" s="9"/>
      <c r="B282" s="9"/>
      <c r="C282" s="9"/>
      <c r="D282" s="26"/>
      <c r="E282" s="392"/>
      <c r="F282" s="92">
        <v>10</v>
      </c>
      <c r="G282" s="27"/>
      <c r="H282" s="149"/>
      <c r="I282" s="151"/>
      <c r="J282" s="151"/>
      <c r="K282" s="151"/>
      <c r="L282" s="151"/>
      <c r="M282" s="151"/>
      <c r="N282" s="151"/>
      <c r="O282" s="151"/>
      <c r="P282" s="151"/>
      <c r="Q282" s="150"/>
      <c r="R282" s="73"/>
      <c r="S282" s="107"/>
      <c r="T282" s="107"/>
      <c r="U282" s="107"/>
      <c r="V282" s="107"/>
      <c r="W282" s="107"/>
      <c r="X282" s="107"/>
      <c r="Y282" s="107"/>
      <c r="Z282" s="107"/>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107"/>
      <c r="BE282" s="107"/>
      <c r="BF282" s="107"/>
      <c r="BG282" s="107"/>
      <c r="BH282" s="107"/>
      <c r="BI282" s="107"/>
      <c r="BJ282" s="107"/>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outlineLevel="1">
      <c r="A283" s="9"/>
      <c r="B283" s="9"/>
      <c r="C283" s="9"/>
      <c r="D283" s="279" t="str">
        <f>Asset16</f>
        <v>Protection and control - short life (15)</v>
      </c>
      <c r="E283" s="9"/>
      <c r="F283" s="9"/>
      <c r="G283" s="124"/>
      <c r="H283" s="165">
        <f>-SUM(H271:H282)</f>
        <v>0</v>
      </c>
      <c r="I283" s="165">
        <f>-SUM(I271:I282)</f>
        <v>-0.71641604992756358</v>
      </c>
      <c r="J283" s="165">
        <f>-SUM(J271:J282)</f>
        <v>-1.620722807306991</v>
      </c>
      <c r="K283" s="165">
        <f>-SUM(K271:K282)</f>
        <v>-2.8786881719474287</v>
      </c>
      <c r="L283" s="165">
        <f>-SUM(L271:L282)</f>
        <v>-4.0226438421529256</v>
      </c>
      <c r="M283" s="73">
        <f>IF(COUNT($H283:L283)&gt;=Input!$W$7,0, -SUM(M271:M282))</f>
        <v>0</v>
      </c>
      <c r="N283" s="73">
        <f>IF(COUNT($H283:M283)&gt;=Input!$W$7,0, -SUM(N271:N282))</f>
        <v>0</v>
      </c>
      <c r="O283" s="73">
        <f>IF(COUNT($H283:N283)&gt;=Input!$W$7,0, -SUM(O271:O282))</f>
        <v>0</v>
      </c>
      <c r="P283" s="73">
        <f>IF(COUNT($H283:O283)&gt;=Input!$W$7,0, -SUM(P271:P282))</f>
        <v>0</v>
      </c>
      <c r="Q283" s="73">
        <f>IF(COUNT($H283:P283)&gt;=Input!$W$7,0, -SUM(Q271:Q282))</f>
        <v>0</v>
      </c>
      <c r="R283" s="71"/>
      <c r="S283" s="109"/>
      <c r="T283" s="109"/>
      <c r="U283" s="109"/>
      <c r="V283" s="109"/>
      <c r="W283" s="109"/>
      <c r="X283" s="109"/>
      <c r="Y283" s="109"/>
      <c r="Z283" s="109"/>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109"/>
      <c r="BE283" s="109"/>
      <c r="BF283" s="109"/>
      <c r="BG283" s="109"/>
      <c r="BH283" s="109"/>
      <c r="BI283" s="109"/>
      <c r="BJ283" s="109"/>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outlineLevel="2">
      <c r="A284" s="9"/>
      <c r="B284" s="9"/>
      <c r="C284" s="280" t="str">
        <f>Asset17</f>
        <v>Protection and control - short life (4)</v>
      </c>
      <c r="D284" s="161"/>
      <c r="E284" s="32" t="s">
        <v>26</v>
      </c>
      <c r="F284" s="31"/>
      <c r="G284" s="181"/>
      <c r="H284" s="72" t="str">
        <f>IF(H$3&gt;A17remlife,A17value-$G$646-SUM($G284:G284),IF(A17remlife="N/A","n/a",(A17value-$G$646)/A17remlife))</f>
        <v>n/a</v>
      </c>
      <c r="I284" s="72" t="str">
        <f>IF(I$3&gt;A17remlife,A17value-$G$646-SUM($G284:H284),IF(A17remlife="N/A","n/a",(A17value-$G$646)/A17remlife))</f>
        <v>n/a</v>
      </c>
      <c r="J284" s="72" t="str">
        <f>IF(J$3&gt;A17remlife,A17value-$G$646-SUM($G284:I284),IF(A17remlife="N/A","n/a",(A17value-$G$646)/A17remlife))</f>
        <v>n/a</v>
      </c>
      <c r="K284" s="72" t="str">
        <f>IF(K$3&gt;A17remlife,A17value-$G$646-SUM($G284:J284),IF(A17remlife="N/A","n/a",(A17value-$G$646)/A17remlife))</f>
        <v>n/a</v>
      </c>
      <c r="L284" s="72" t="str">
        <f>IF(L$3&gt;A17remlife,A17value-$G$646-SUM($G284:K284),IF(A17remlife="N/A","n/a",(A17value-$G$646)/A17remlife))</f>
        <v>n/a</v>
      </c>
      <c r="M284" s="72" t="str">
        <f>IF(M$3&gt;A17remlife,A17value-$G$646-SUM($G284:L284),IF(A17remlife="N/A","n/a",(A17value-$G$646)/A17remlife))</f>
        <v>n/a</v>
      </c>
      <c r="N284" s="72" t="str">
        <f>IF(N$3&gt;A17remlife,A17value-$G$646-SUM($G284:M284),IF(A17remlife="N/A","n/a",(A17value-$G$646)/A17remlife))</f>
        <v>n/a</v>
      </c>
      <c r="O284" s="72" t="str">
        <f>IF(O$3&gt;A17remlife,A17value-$G$646-SUM($G284:N284),IF(A17remlife="N/A","n/a",(A17value-$G$646)/A17remlife))</f>
        <v>n/a</v>
      </c>
      <c r="P284" s="72" t="str">
        <f>IF(P$3&gt;A17remlife,A17value-$G$646-SUM($G284:O284),IF(A17remlife="N/A","n/a",(A17value-$G$646)/A17remlife))</f>
        <v>n/a</v>
      </c>
      <c r="Q284" s="72" t="str">
        <f>IF(Q$3&gt;A17remlife,A17value-$G$646-SUM($G284:P284),IF(A17remlife="N/A","n/a",(A17value-$G$646)/A17remlife))</f>
        <v>n/a</v>
      </c>
      <c r="R284" s="72"/>
      <c r="S284" s="107"/>
      <c r="T284" s="107"/>
      <c r="U284" s="107"/>
      <c r="V284" s="107"/>
      <c r="W284" s="107"/>
      <c r="X284" s="107"/>
      <c r="Y284" s="107"/>
      <c r="Z284" s="107"/>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107"/>
      <c r="BE284" s="107"/>
      <c r="BF284" s="107"/>
      <c r="BG284" s="107"/>
      <c r="BH284" s="107"/>
      <c r="BI284" s="107"/>
      <c r="BJ284" s="107"/>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9"/>
      <c r="D285" s="26"/>
      <c r="E285" s="391" t="s">
        <v>81</v>
      </c>
      <c r="F285" s="91"/>
      <c r="G285" s="124"/>
      <c r="H285" s="73"/>
      <c r="I285" s="73"/>
      <c r="J285" s="73"/>
      <c r="K285" s="73"/>
      <c r="L285" s="73"/>
      <c r="M285" s="163"/>
      <c r="N285" s="115"/>
      <c r="O285" s="73"/>
      <c r="P285" s="73"/>
      <c r="Q285" s="73"/>
      <c r="R285" s="73"/>
      <c r="S285" s="107"/>
      <c r="T285" s="107"/>
      <c r="U285" s="107"/>
      <c r="V285" s="107"/>
      <c r="W285" s="107"/>
      <c r="X285" s="107"/>
      <c r="Y285" s="107"/>
      <c r="Z285" s="107"/>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107"/>
      <c r="BE285" s="107"/>
      <c r="BF285" s="107"/>
      <c r="BG285" s="107"/>
      <c r="BH285" s="107"/>
      <c r="BI285" s="107"/>
      <c r="BJ285" s="107"/>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outlineLevel="2">
      <c r="A286" s="9"/>
      <c r="B286" s="9"/>
      <c r="C286" s="9"/>
      <c r="D286" s="26"/>
      <c r="E286" s="392"/>
      <c r="F286" s="91">
        <v>1</v>
      </c>
      <c r="G286" s="124"/>
      <c r="H286" s="148"/>
      <c r="I286" s="73">
        <f>IF(A17stdlife="n/a","n/a",IF(I$3&gt;(A17stdlife+$F286),(Input!$H$227*(1+vanilla1)^0.5)-SUM($H286:H286),(Input!$H$227*(1+vanilla1)^0.5)/A17stdlife))</f>
        <v>1.0576489729788325E-2</v>
      </c>
      <c r="J286" s="73">
        <f>IF(A17stdlife="n/a","n/a",IF(J$3&gt;(A17stdlife+$F286),(Input!$H$227*(1+vanilla1)^0.5)-SUM($H286:I286),(Input!$H$227*(1+vanilla1)^0.5)/A17stdlife))</f>
        <v>1.0576489729788325E-2</v>
      </c>
      <c r="K286" s="73">
        <f>IF(A17stdlife="n/a","n/a",IF(K$3&gt;(A17stdlife+$F286),(Input!$H$227*(1+vanilla1)^0.5)-SUM($H286:J286),(Input!$H$227*(1+vanilla1)^0.5)/A17stdlife))</f>
        <v>1.0576489729788325E-2</v>
      </c>
      <c r="L286" s="73">
        <f>IF(A17stdlife="n/a","n/a",IF(L$3&gt;(A17stdlife+$F286),(Input!$H$227*(1+vanilla1)^0.5)-SUM($H286:K286),(Input!$H$227*(1+vanilla1)^0.5)/A17stdlife))</f>
        <v>1.0576489729788325E-2</v>
      </c>
      <c r="M286" s="73">
        <f>IF(A17stdlife="n/a","n/a",IF(M$3&gt;(A17stdlife+$F286),(Input!$H$227*(1+vanilla1)^0.5)-SUM($H286:L286),(Input!$H$227*(1+vanilla1)^0.5)/A17stdlife))</f>
        <v>0</v>
      </c>
      <c r="N286" s="73">
        <f>IF(A17stdlife="n/a","n/a",IF(N$3&gt;(A17stdlife+$F286),(Input!$H$227*(1+vanilla1)^0.5)-SUM($H286:M286),(Input!$H$227*(1+vanilla1)^0.5)/A17stdlife))</f>
        <v>0</v>
      </c>
      <c r="O286" s="73">
        <f>IF(A17stdlife="n/a","n/a",IF(O$3&gt;(A17stdlife+$F286),(Input!$H$227*(1+vanilla1)^0.5)-SUM($H286:N286),(Input!$H$227*(1+vanilla1)^0.5)/A17stdlife))</f>
        <v>0</v>
      </c>
      <c r="P286" s="73">
        <f>IF(A17stdlife="n/a","n/a",IF(P$3&gt;(A17stdlife+$F286),(Input!$H$227*(1+vanilla1)^0.5)-SUM($H286:O286),(Input!$H$227*(1+vanilla1)^0.5)/A17stdlife))</f>
        <v>0</v>
      </c>
      <c r="Q286" s="73">
        <f>IF(A17stdlife="n/a","n/a",IF(Q$3&gt;(A17stdlife+$F286),(Input!$H$227*(1+vanilla1)^0.5)-SUM($H286:P286),(Input!$H$227*(1+vanilla1)^0.5)/A17stdlife))</f>
        <v>0</v>
      </c>
      <c r="R286" s="73"/>
      <c r="S286" s="107"/>
      <c r="T286" s="107"/>
      <c r="U286" s="107"/>
      <c r="V286" s="107"/>
      <c r="W286" s="107"/>
      <c r="X286" s="107"/>
      <c r="Y286" s="107"/>
      <c r="Z286" s="107"/>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107"/>
      <c r="BE286" s="107"/>
      <c r="BF286" s="107"/>
      <c r="BG286" s="107"/>
      <c r="BH286" s="107"/>
      <c r="BI286" s="107"/>
      <c r="BJ286" s="107"/>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outlineLevel="2">
      <c r="A287" s="9"/>
      <c r="B287" s="9"/>
      <c r="C287" s="9"/>
      <c r="D287" s="26"/>
      <c r="E287" s="392"/>
      <c r="F287" s="91">
        <v>2</v>
      </c>
      <c r="G287" s="124"/>
      <c r="H287" s="149"/>
      <c r="I287" s="150"/>
      <c r="J287" s="73">
        <f>IF(A17stdlife="n/a","n/a",IF(J$3&gt;(A17stdlife+$F287),(Input!$I$227*(1+vanilla2)^0.5)-SUM($I287:I287),(Input!$I$227*(1+vanilla2)^0.5)/A17stdlife))</f>
        <v>1.8231991076198134E-2</v>
      </c>
      <c r="K287" s="73">
        <f>IF(A17stdlife="n/a","n/a",IF(K$3&gt;(A17stdlife+$F287),(Input!$I$227*(1+vanilla2)^0.5)-SUM($I287:J287),(Input!$I$227*(1+vanilla2)^0.5)/A17stdlife))</f>
        <v>1.8231991076198134E-2</v>
      </c>
      <c r="L287" s="73">
        <f>IF(A17stdlife="n/a","n/a",IF(L$3&gt;(A17stdlife+$F287),(Input!$I$227*(1+vanilla2)^0.5)-SUM($I287:K287),(Input!$I$227*(1+vanilla2)^0.5)/A17stdlife))</f>
        <v>1.8231991076198134E-2</v>
      </c>
      <c r="M287" s="73">
        <f>IF(A17stdlife="n/a","n/a",IF(M$3&gt;(A17stdlife+$F287),(Input!$I$227*(1+vanilla2)^0.5)-SUM($I287:L287),(Input!$I$227*(1+vanilla2)^0.5)/A17stdlife))</f>
        <v>1.8231991076198134E-2</v>
      </c>
      <c r="N287" s="73">
        <f>IF(A17stdlife="n/a","n/a",IF(N$3&gt;(A17stdlife+$F287),(Input!$I$227*(1+vanilla2)^0.5)-SUM($I287:M287),(Input!$I$227*(1+vanilla2)^0.5)/A17stdlife))</f>
        <v>0</v>
      </c>
      <c r="O287" s="73">
        <f>IF(A17stdlife="n/a","n/a",IF(O$3&gt;(A17stdlife+$F287),(Input!$I$227*(1+vanilla2)^0.5)-SUM($I287:N287),(Input!$I$227*(1+vanilla2)^0.5)/A17stdlife))</f>
        <v>0</v>
      </c>
      <c r="P287" s="73">
        <f>IF(A17stdlife="n/a","n/a",IF(P$3&gt;(A17stdlife+$F287),(Input!$I$227*(1+vanilla2)^0.5)-SUM($I287:O287),(Input!$I$227*(1+vanilla2)^0.5)/A17stdlife))</f>
        <v>0</v>
      </c>
      <c r="Q287" s="73">
        <f>IF(A17stdlife="n/a","n/a",IF(Q$3&gt;(A17stdlife+$F287),(Input!$I$227*(1+vanilla2)^0.5)-SUM($I287:P287),(Input!$I$227*(1+vanilla2)^0.5)/A17stdlife))</f>
        <v>0</v>
      </c>
      <c r="R287" s="73"/>
      <c r="S287" s="107"/>
      <c r="T287" s="107"/>
      <c r="U287" s="107"/>
      <c r="V287" s="107"/>
      <c r="W287" s="107"/>
      <c r="X287" s="107"/>
      <c r="Y287" s="107"/>
      <c r="Z287" s="107"/>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107"/>
      <c r="BE287" s="107"/>
      <c r="BF287" s="107"/>
      <c r="BG287" s="107"/>
      <c r="BH287" s="107"/>
      <c r="BI287" s="107"/>
      <c r="BJ287" s="107"/>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outlineLevel="2">
      <c r="A288" s="9"/>
      <c r="B288" s="9"/>
      <c r="C288" s="9"/>
      <c r="D288" s="26"/>
      <c r="E288" s="392"/>
      <c r="F288" s="91">
        <v>3</v>
      </c>
      <c r="G288" s="124"/>
      <c r="H288" s="149"/>
      <c r="I288" s="151"/>
      <c r="J288" s="150"/>
      <c r="K288" s="73">
        <f>IF(A17stdlife="n/a","n/a",IF(K$3&gt;(A17stdlife+$F288),(Input!$J$227*(1+vanilla3)^0.5)-SUM($J288:J288),(Input!$J$227*(1+vanilla3)^0.5)/A17stdlife))</f>
        <v>0.30290860189970409</v>
      </c>
      <c r="L288" s="73">
        <f>IF(A17stdlife="n/a","n/a",IF(L$3&gt;(A17stdlife+$F288),(Input!$J$227*(1+vanilla3)^0.5)-SUM($J288:K288),(Input!$J$227*(1+vanilla3)^0.5)/A17stdlife))</f>
        <v>0.30290860189970409</v>
      </c>
      <c r="M288" s="73">
        <f>IF(A17stdlife="n/a","n/a",IF(M$3&gt;(A17stdlife+$F288),(Input!$J$227*(1+vanilla3)^0.5)-SUM($J288:L288),(Input!$J$227*(1+vanilla3)^0.5)/A17stdlife))</f>
        <v>0.30290860189970409</v>
      </c>
      <c r="N288" s="73">
        <f>IF(A17stdlife="n/a","n/a",IF(N$3&gt;(A17stdlife+$F288),(Input!$J$227*(1+vanilla3)^0.5)-SUM($J288:M288),(Input!$J$227*(1+vanilla3)^0.5)/A17stdlife))</f>
        <v>0.30290860189970409</v>
      </c>
      <c r="O288" s="73">
        <f>IF(A17stdlife="n/a","n/a",IF(O$3&gt;(A17stdlife+$F288),(Input!$J$227*(1+vanilla3)^0.5)-SUM($J288:N288),(Input!$J$227*(1+vanilla3)^0.5)/A17stdlife))</f>
        <v>0</v>
      </c>
      <c r="P288" s="73">
        <f>IF(A17stdlife="n/a","n/a",IF(P$3&gt;(A17stdlife+$F288),(Input!$J$227*(1+vanilla3)^0.5)-SUM($J288:O288),(Input!$J$227*(1+vanilla3)^0.5)/A17stdlife))</f>
        <v>0</v>
      </c>
      <c r="Q288" s="73">
        <f>IF(A17stdlife="n/a","n/a",IF(Q$3&gt;(A17stdlife+$F288),(Input!$J$227*(1+vanilla3)^0.5)-SUM($J288:P288),(Input!$J$227*(1+vanilla3)^0.5)/A17stdlife))</f>
        <v>0</v>
      </c>
      <c r="R288" s="73"/>
      <c r="S288" s="107"/>
      <c r="T288" s="107"/>
      <c r="U288" s="107"/>
      <c r="V288" s="107"/>
      <c r="W288" s="107"/>
      <c r="X288" s="107"/>
      <c r="Y288" s="107"/>
      <c r="Z288" s="107"/>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107"/>
      <c r="BE288" s="107"/>
      <c r="BF288" s="107"/>
      <c r="BG288" s="107"/>
      <c r="BH288" s="107"/>
      <c r="BI288" s="107"/>
      <c r="BJ288" s="107"/>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outlineLevel="2">
      <c r="A289" s="9"/>
      <c r="B289" s="9"/>
      <c r="C289" s="9"/>
      <c r="D289" s="26"/>
      <c r="E289" s="392"/>
      <c r="F289" s="91">
        <v>4</v>
      </c>
      <c r="G289" s="124"/>
      <c r="H289" s="149"/>
      <c r="I289" s="151"/>
      <c r="J289" s="151"/>
      <c r="K289" s="150"/>
      <c r="L289" s="73">
        <f>IF(A17stdlife="n/a","n/a",IF(L$3&gt;(A17stdlife+$F289),(Input!$K$227*(1+vanilla4)^0.5)-SUM($K289:K289),(Input!$K$227*(1+vanilla4)^0.5)/A17stdlife))</f>
        <v>7.1327402239653892E-2</v>
      </c>
      <c r="M289" s="73">
        <f>IF(A17stdlife="n/a","n/a",IF(M$3&gt;(A17stdlife+$F289),(Input!$K$227*(1+vanilla4)^0.5)-SUM($K289:L289),(Input!$K$227*(1+vanilla4)^0.5)/A17stdlife))</f>
        <v>7.1327402239653892E-2</v>
      </c>
      <c r="N289" s="73">
        <f>IF(A17stdlife="n/a","n/a",IF(N$3&gt;(A17stdlife+$F289),(Input!$K$227*(1+vanilla4)^0.5)-SUM($K289:M289),(Input!$K$227*(1+vanilla4)^0.5)/A17stdlife))</f>
        <v>7.1327402239653892E-2</v>
      </c>
      <c r="O289" s="73">
        <f>IF(A17stdlife="n/a","n/a",IF(O$3&gt;(A17stdlife+$F289),(Input!$K$227*(1+vanilla4)^0.5)-SUM($K289:N289),(Input!$K$227*(1+vanilla4)^0.5)/A17stdlife))</f>
        <v>7.1327402239653892E-2</v>
      </c>
      <c r="P289" s="73">
        <f>IF(A17stdlife="n/a","n/a",IF(P$3&gt;(A17stdlife+$F289),(Input!$K$227*(1+vanilla4)^0.5)-SUM($K289:O289),(Input!$K$227*(1+vanilla4)^0.5)/A17stdlife))</f>
        <v>0</v>
      </c>
      <c r="Q289" s="73">
        <f>IF(A17stdlife="n/a","n/a",IF(Q$3&gt;(A17stdlife+$F289),(Input!$K$227*(1+vanilla4)^0.5)-SUM($K289:P289),(Input!$K$227*(1+vanilla4)^0.5)/A17stdlife))</f>
        <v>0</v>
      </c>
      <c r="R289" s="73"/>
      <c r="S289" s="107"/>
      <c r="T289" s="107"/>
      <c r="U289" s="107"/>
      <c r="V289" s="107"/>
      <c r="W289" s="107"/>
      <c r="X289" s="107"/>
      <c r="Y289" s="107"/>
      <c r="Z289" s="107"/>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107"/>
      <c r="BE289" s="107"/>
      <c r="BF289" s="107"/>
      <c r="BG289" s="107"/>
      <c r="BH289" s="107"/>
      <c r="BI289" s="107"/>
      <c r="BJ289" s="107"/>
      <c r="BK289" s="107"/>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2">
      <c r="A290" s="9"/>
      <c r="B290" s="9"/>
      <c r="C290" s="9"/>
      <c r="D290" s="26"/>
      <c r="E290" s="392"/>
      <c r="F290" s="91">
        <v>5</v>
      </c>
      <c r="G290" s="27"/>
      <c r="H290" s="149"/>
      <c r="I290" s="151"/>
      <c r="J290" s="151"/>
      <c r="K290" s="151"/>
      <c r="L290" s="150"/>
      <c r="M290" s="73">
        <f>IF(A17stdlife="n/a","n/a",IF(M$3&gt;(A17stdlife+$F290),(Input!$L$227*(1+vanilla5)^0.5)-SUM($L290:L290),(Input!$L$227*(1+vanilla5)^0.5)/A17stdlife))</f>
        <v>0</v>
      </c>
      <c r="N290" s="73">
        <f>IF(A17stdlife="n/a","n/a",IF(N$3&gt;(A17stdlife+$F290),(Input!$L$227*(1+vanilla5)^0.5)-SUM($L290:M290),(Input!$L$227*(1+vanilla5)^0.5)/A17stdlife))</f>
        <v>0</v>
      </c>
      <c r="O290" s="73">
        <f>IF(A17stdlife="n/a","n/a",IF(O$3&gt;(A17stdlife+$F290),(Input!$L$227*(1+vanilla5)^0.5)-SUM($L290:N290),(Input!$L$227*(1+vanilla5)^0.5)/A17stdlife))</f>
        <v>0</v>
      </c>
      <c r="P290" s="73">
        <f>IF(A17stdlife="n/a","n/a",IF(P$3&gt;(A17stdlife+$F290),(Input!$L$227*(1+vanilla5)^0.5)-SUM($L290:O290),(Input!$L$227*(1+vanilla5)^0.5)/A17stdlife))</f>
        <v>0</v>
      </c>
      <c r="Q290" s="73">
        <f>IF(A17stdlife="n/a","n/a",IF(Q$3&gt;(A17stdlife+$F290),(Input!$L$227*(1+vanilla5)^0.5)-SUM($L290:P290),(Input!$L$227*(1+vanilla5)^0.5)/A17stdlife))</f>
        <v>0</v>
      </c>
      <c r="R290" s="73"/>
      <c r="S290" s="107"/>
      <c r="T290" s="107"/>
      <c r="U290" s="107"/>
      <c r="V290" s="107"/>
      <c r="W290" s="107"/>
      <c r="X290" s="107"/>
      <c r="Y290" s="107"/>
      <c r="Z290" s="107"/>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outlineLevel="2">
      <c r="A291" s="9"/>
      <c r="B291" s="9"/>
      <c r="C291" s="9"/>
      <c r="D291" s="26"/>
      <c r="E291" s="392"/>
      <c r="F291" s="91">
        <v>6</v>
      </c>
      <c r="G291" s="27"/>
      <c r="H291" s="149"/>
      <c r="I291" s="151"/>
      <c r="J291" s="151"/>
      <c r="K291" s="151"/>
      <c r="L291" s="151"/>
      <c r="M291" s="150"/>
      <c r="N291" s="73">
        <f>IF(A17stdlife="n/a","n/a",IF(N$3&gt;(A17stdlife+$F291),(Input!$M$227*(1+vanilla6)^0.5)-SUM($M291:M291),(Input!$M$227*(1+vanilla6)^0.5)/A17stdlife))</f>
        <v>0</v>
      </c>
      <c r="O291" s="73">
        <f>IF(A17stdlife="n/a","n/a",IF(O$3&gt;(A17stdlife+$F291),(Input!$M$227*(1+vanilla6)^0.5)-SUM($M291:N291),(Input!$M$227*(1+vanilla6)^0.5)/A17stdlife))</f>
        <v>0</v>
      </c>
      <c r="P291" s="73">
        <f>IF(A17stdlife="n/a","n/a",IF(P$3&gt;(A17stdlife+$F291),(Input!$M$227*(1+vanilla6)^0.5)-SUM($M291:O291),(Input!$M$227*(1+vanilla6)^0.5)/A17stdlife))</f>
        <v>0</v>
      </c>
      <c r="Q291" s="73">
        <f>IF(A17stdlife="n/a","n/a",IF(Q$3&gt;(A17stdlife+$F291),(Input!$M$227*(1+vanilla6)^0.5)-SUM($M291:P291),(Input!$M$227*(1+vanilla6)^0.5)/A17stdlife))</f>
        <v>0</v>
      </c>
      <c r="R291" s="73"/>
      <c r="S291" s="107"/>
      <c r="T291" s="107"/>
      <c r="U291" s="107"/>
      <c r="V291" s="107"/>
      <c r="W291" s="107"/>
      <c r="X291" s="107"/>
      <c r="Y291" s="107"/>
      <c r="Z291" s="107"/>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107"/>
      <c r="BE291" s="107"/>
      <c r="BF291" s="107"/>
      <c r="BG291" s="107"/>
      <c r="BH291" s="107"/>
      <c r="BI291" s="107"/>
      <c r="BJ291" s="107"/>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outlineLevel="2">
      <c r="A292" s="9"/>
      <c r="B292" s="9"/>
      <c r="C292" s="9"/>
      <c r="D292" s="26"/>
      <c r="E292" s="392"/>
      <c r="F292" s="91">
        <v>7</v>
      </c>
      <c r="G292" s="27"/>
      <c r="H292" s="149"/>
      <c r="I292" s="151"/>
      <c r="J292" s="151"/>
      <c r="K292" s="151"/>
      <c r="L292" s="151"/>
      <c r="M292" s="151"/>
      <c r="N292" s="150"/>
      <c r="O292" s="73">
        <f>IF(A17stdlife="n/a","n/a",IF(O$3&gt;(A17stdlife+$F292),(Input!$N$227*(1+vanilla7)^0.5)-SUM($N292:N292),(Input!$N$227*(1+vanilla7)^0.5)/A17stdlife))</f>
        <v>0</v>
      </c>
      <c r="P292" s="73">
        <f>IF(A17stdlife="n/a","n/a",IF(P$3&gt;(A17stdlife+$F292),(Input!$N$227*(1+vanilla7)^0.5)-SUM($N292:O292),(Input!$N$227*(1+vanilla7)^0.5)/A17stdlife))</f>
        <v>0</v>
      </c>
      <c r="Q292" s="73">
        <f>IF(A17stdlife="n/a","n/a",IF(Q$3&gt;(A17stdlife+$F292),(Input!$N$227*(1+vanilla7)^0.5)-SUM($N292:P292),(Input!$N$227*(1+vanilla7)^0.5)/A17stdlife))</f>
        <v>0</v>
      </c>
      <c r="R292" s="73"/>
      <c r="S292" s="107"/>
      <c r="T292" s="107"/>
      <c r="U292" s="107"/>
      <c r="V292" s="107"/>
      <c r="W292" s="107"/>
      <c r="X292" s="107"/>
      <c r="Y292" s="107"/>
      <c r="Z292" s="107"/>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107"/>
      <c r="BE292" s="107"/>
      <c r="BF292" s="107"/>
      <c r="BG292" s="107"/>
      <c r="BH292" s="107"/>
      <c r="BI292" s="107"/>
      <c r="BJ292" s="107"/>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outlineLevel="2">
      <c r="A293" s="9"/>
      <c r="B293" s="9"/>
      <c r="C293" s="9"/>
      <c r="D293" s="26"/>
      <c r="E293" s="392"/>
      <c r="F293" s="91">
        <v>8</v>
      </c>
      <c r="G293" s="27"/>
      <c r="H293" s="149"/>
      <c r="I293" s="151"/>
      <c r="J293" s="151"/>
      <c r="K293" s="151"/>
      <c r="L293" s="151"/>
      <c r="M293" s="151"/>
      <c r="N293" s="151"/>
      <c r="O293" s="150"/>
      <c r="P293" s="73">
        <f>IF(A17stdlife="n/a","n/a",IF(P$3&gt;(A17stdlife+$F293),(Input!$O$227*(1+vanilla8)^0.5)-SUM($O293:O293),(Input!$O$227*(1+vanilla8)^0.5)/A17stdlife))</f>
        <v>0</v>
      </c>
      <c r="Q293" s="73">
        <f>IF(A17stdlife="n/a","n/a",IF(Q$3&gt;(A17stdlife+$F293),(Input!$O$227*(1+vanilla8)^0.5)-SUM($O293:P293),(Input!$O$227*(1+vanilla8)^0.5)/A17stdlife))</f>
        <v>0</v>
      </c>
      <c r="R293" s="73"/>
      <c r="S293" s="107"/>
      <c r="T293" s="107"/>
      <c r="U293" s="107"/>
      <c r="V293" s="107"/>
      <c r="W293" s="107"/>
      <c r="X293" s="107"/>
      <c r="Y293" s="107"/>
      <c r="Z293" s="107"/>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107"/>
      <c r="BE293" s="107"/>
      <c r="BF293" s="107"/>
      <c r="BG293" s="107"/>
      <c r="BH293" s="107"/>
      <c r="BI293" s="107"/>
      <c r="BJ293" s="107"/>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outlineLevel="2">
      <c r="A294" s="9"/>
      <c r="B294" s="9"/>
      <c r="C294" s="9"/>
      <c r="D294" s="26"/>
      <c r="E294" s="392"/>
      <c r="F294" s="91">
        <v>9</v>
      </c>
      <c r="G294" s="27"/>
      <c r="H294" s="149"/>
      <c r="I294" s="151"/>
      <c r="J294" s="151"/>
      <c r="K294" s="151"/>
      <c r="L294" s="151"/>
      <c r="M294" s="151"/>
      <c r="N294" s="151"/>
      <c r="O294" s="151"/>
      <c r="P294" s="150"/>
      <c r="Q294" s="73">
        <f>IF(A17stdlife="n/a","n/a",IF(Q$3&gt;(A17stdlife+$F294),(Input!$P$227*(1+vanilla9)^0.5)-SUM($P294:P294),(Input!$P$227*(1+vanilla9)^0.5)/A17stdlife))</f>
        <v>0</v>
      </c>
      <c r="R294" s="73"/>
      <c r="S294" s="107"/>
      <c r="T294" s="107"/>
      <c r="U294" s="107"/>
      <c r="V294" s="107"/>
      <c r="W294" s="107"/>
      <c r="X294" s="107"/>
      <c r="Y294" s="107"/>
      <c r="Z294" s="107"/>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107"/>
      <c r="BE294" s="107"/>
      <c r="BF294" s="107"/>
      <c r="BG294" s="107"/>
      <c r="BH294" s="107"/>
      <c r="BI294" s="107"/>
      <c r="BJ294" s="107"/>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2">
      <c r="A295" s="9"/>
      <c r="B295" s="9"/>
      <c r="C295" s="9"/>
      <c r="D295" s="26"/>
      <c r="E295" s="392"/>
      <c r="F295" s="92">
        <v>10</v>
      </c>
      <c r="G295" s="27"/>
      <c r="H295" s="149"/>
      <c r="I295" s="151"/>
      <c r="J295" s="151"/>
      <c r="K295" s="151"/>
      <c r="L295" s="151"/>
      <c r="M295" s="151"/>
      <c r="N295" s="151"/>
      <c r="O295" s="151"/>
      <c r="P295" s="151"/>
      <c r="Q295" s="150"/>
      <c r="R295" s="73"/>
      <c r="S295" s="107"/>
      <c r="T295" s="107"/>
      <c r="U295" s="107"/>
      <c r="V295" s="107"/>
      <c r="W295" s="107"/>
      <c r="X295" s="107"/>
      <c r="Y295" s="107"/>
      <c r="Z295" s="107"/>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107"/>
      <c r="BE295" s="107"/>
      <c r="BF295" s="107"/>
      <c r="BG295" s="107"/>
      <c r="BH295" s="107"/>
      <c r="BI295" s="107"/>
      <c r="BJ295" s="107"/>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outlineLevel="1">
      <c r="A296" s="9"/>
      <c r="B296" s="9"/>
      <c r="C296" s="9"/>
      <c r="D296" s="279" t="str">
        <f>Asset17</f>
        <v>Protection and control - short life (4)</v>
      </c>
      <c r="E296" s="9"/>
      <c r="F296" s="9"/>
      <c r="G296" s="124"/>
      <c r="H296" s="165">
        <f>-SUM(H284:H295)</f>
        <v>0</v>
      </c>
      <c r="I296" s="165">
        <f>-SUM(I284:I295)</f>
        <v>-1.0576489729788325E-2</v>
      </c>
      <c r="J296" s="165">
        <f>-SUM(J284:J295)</f>
        <v>-2.8808480805986459E-2</v>
      </c>
      <c r="K296" s="165">
        <f>-SUM(K284:K295)</f>
        <v>-0.33171708270569056</v>
      </c>
      <c r="L296" s="165">
        <f>-SUM(L284:L295)</f>
        <v>-0.40304448494534445</v>
      </c>
      <c r="M296" s="73">
        <f>IF(COUNT($H296:L296)&gt;=Input!$W$7,0, -SUM(M284:M295))</f>
        <v>0</v>
      </c>
      <c r="N296" s="73">
        <f>IF(COUNT($H296:M296)&gt;=Input!$W$7,0, -SUM(N284:N295))</f>
        <v>0</v>
      </c>
      <c r="O296" s="73">
        <f>IF(COUNT($H296:N296)&gt;=Input!$W$7,0, -SUM(O284:O295))</f>
        <v>0</v>
      </c>
      <c r="P296" s="73">
        <f>IF(COUNT($H296:O296)&gt;=Input!$W$7,0, -SUM(P284:P295))</f>
        <v>0</v>
      </c>
      <c r="Q296" s="73">
        <f>IF(COUNT($H296:P296)&gt;=Input!$W$7,0, -SUM(Q284:Q295))</f>
        <v>0</v>
      </c>
      <c r="R296" s="71"/>
      <c r="S296" s="109"/>
      <c r="T296" s="109"/>
      <c r="U296" s="109"/>
      <c r="V296" s="109"/>
      <c r="W296" s="109"/>
      <c r="X296" s="109"/>
      <c r="Y296" s="109"/>
      <c r="Z296" s="109"/>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109"/>
      <c r="BE296" s="109"/>
      <c r="BF296" s="109"/>
      <c r="BG296" s="109"/>
      <c r="BH296" s="109"/>
      <c r="BI296" s="109"/>
      <c r="BJ296" s="109"/>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outlineLevel="2">
      <c r="A297" s="9"/>
      <c r="B297" s="9"/>
      <c r="C297" s="280" t="str">
        <f>Asset18</f>
        <v>Transmission operations - short life (10)</v>
      </c>
      <c r="D297" s="161"/>
      <c r="E297" s="32" t="s">
        <v>26</v>
      </c>
      <c r="F297" s="31"/>
      <c r="G297" s="181"/>
      <c r="H297" s="72" t="str">
        <f>IF(H$3&gt;A18remlife,A18value-$G$647-SUM($G297:G297),IF(A18remlife="N/A","n/a",(A18value-$G$647)/A18remlife))</f>
        <v>n/a</v>
      </c>
      <c r="I297" s="72" t="str">
        <f>IF(I$3&gt;A18remlife,A18value-$G$647-SUM($G297:H297),IF(A18remlife="N/A","n/a",(A18value-$G$647)/A18remlife))</f>
        <v>n/a</v>
      </c>
      <c r="J297" s="72" t="str">
        <f>IF(J$3&gt;A18remlife,A18value-$G$647-SUM($G297:I297),IF(A18remlife="N/A","n/a",(A18value-$G$647)/A18remlife))</f>
        <v>n/a</v>
      </c>
      <c r="K297" s="72" t="str">
        <f>IF(K$3&gt;A18remlife,A18value-$G$647-SUM($G297:J297),IF(A18remlife="N/A","n/a",(A18value-$G$647)/A18remlife))</f>
        <v>n/a</v>
      </c>
      <c r="L297" s="72" t="str">
        <f>IF(L$3&gt;A18remlife,A18value-$G$647-SUM($G297:K297),IF(A18remlife="N/A","n/a",(A18value-$G$647)/A18remlife))</f>
        <v>n/a</v>
      </c>
      <c r="M297" s="72" t="str">
        <f>IF(M$3&gt;A18remlife,A18value-$G$647-SUM($G297:L297),IF(A18remlife="N/A","n/a",(A18value-$G$647)/A18remlife))</f>
        <v>n/a</v>
      </c>
      <c r="N297" s="72" t="str">
        <f>IF(N$3&gt;A18remlife,A18value-$G$647-SUM($G297:M297),IF(A18remlife="N/A","n/a",(A18value-$G$647)/A18remlife))</f>
        <v>n/a</v>
      </c>
      <c r="O297" s="72" t="str">
        <f>IF(O$3&gt;A18remlife,A18value-$G$647-SUM($G297:N297),IF(A18remlife="N/A","n/a",(A18value-$G$647)/A18remlife))</f>
        <v>n/a</v>
      </c>
      <c r="P297" s="72" t="str">
        <f>IF(P$3&gt;A18remlife,A18value-$G$647-SUM($G297:O297),IF(A18remlife="N/A","n/a",(A18value-$G$647)/A18remlife))</f>
        <v>n/a</v>
      </c>
      <c r="Q297" s="72" t="str">
        <f>IF(Q$3&gt;A18remlife,A18value-$G$647-SUM($G297:P297),IF(A18remlife="N/A","n/a",(A18value-$G$647)/A18remlife))</f>
        <v>n/a</v>
      </c>
      <c r="R297" s="72"/>
      <c r="S297" s="107"/>
      <c r="T297" s="107"/>
      <c r="U297" s="107"/>
      <c r="V297" s="107"/>
      <c r="W297" s="107"/>
      <c r="X297" s="107"/>
      <c r="Y297" s="107"/>
      <c r="Z297" s="107"/>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107"/>
      <c r="BE297" s="107"/>
      <c r="BF297" s="107"/>
      <c r="BG297" s="107"/>
      <c r="BH297" s="107"/>
      <c r="BI297" s="107"/>
      <c r="BJ297" s="107"/>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6"/>
      <c r="E298" s="391" t="s">
        <v>81</v>
      </c>
      <c r="F298" s="91"/>
      <c r="G298" s="124"/>
      <c r="H298" s="73"/>
      <c r="I298" s="73"/>
      <c r="J298" s="73"/>
      <c r="K298" s="73"/>
      <c r="L298" s="73"/>
      <c r="M298" s="163"/>
      <c r="N298" s="115"/>
      <c r="O298" s="73"/>
      <c r="P298" s="73"/>
      <c r="Q298" s="73"/>
      <c r="R298" s="73"/>
      <c r="S298" s="107"/>
      <c r="T298" s="107"/>
      <c r="U298" s="107"/>
      <c r="V298" s="107"/>
      <c r="W298" s="107"/>
      <c r="X298" s="107"/>
      <c r="Y298" s="107"/>
      <c r="Z298" s="107"/>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107"/>
      <c r="BE298" s="107"/>
      <c r="BF298" s="107"/>
      <c r="BG298" s="107"/>
      <c r="BH298" s="107"/>
      <c r="BI298" s="107"/>
      <c r="BJ298" s="107"/>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outlineLevel="2">
      <c r="A299" s="9"/>
      <c r="B299" s="9"/>
      <c r="C299" s="9"/>
      <c r="D299" s="26"/>
      <c r="E299" s="392"/>
      <c r="F299" s="91">
        <v>1</v>
      </c>
      <c r="G299" s="124"/>
      <c r="H299" s="148"/>
      <c r="I299" s="73">
        <f>IF(A18stdlife="n/a","n/a",IF(I$3&gt;(A18stdlife+$F299),(Input!$H$228*(1+vanilla1)^0.5)-SUM($H299:H299),(Input!$H$228*(1+vanilla1)^0.5)/A18stdlife))</f>
        <v>0.11628066862270617</v>
      </c>
      <c r="J299" s="73">
        <f>IF(A18stdlife="n/a","n/a",IF(J$3&gt;(A18stdlife+$F299),(Input!$H$228*(1+vanilla1)^0.5)-SUM($H299:I299),(Input!$H$228*(1+vanilla1)^0.5)/A18stdlife))</f>
        <v>0.11628066862270617</v>
      </c>
      <c r="K299" s="73">
        <f>IF(A18stdlife="n/a","n/a",IF(K$3&gt;(A18stdlife+$F299),(Input!$H$228*(1+vanilla1)^0.5)-SUM($H299:J299),(Input!$H$228*(1+vanilla1)^0.5)/A18stdlife))</f>
        <v>0.11628066862270617</v>
      </c>
      <c r="L299" s="73">
        <f>IF(A18stdlife="n/a","n/a",IF(L$3&gt;(A18stdlife+$F299),(Input!$H$228*(1+vanilla1)^0.5)-SUM($H299:K299),(Input!$H$228*(1+vanilla1)^0.5)/A18stdlife))</f>
        <v>0.11628066862270617</v>
      </c>
      <c r="M299" s="73">
        <f>IF(A18stdlife="n/a","n/a",IF(M$3&gt;(A18stdlife+$F299),(Input!$H$228*(1+vanilla1)^0.5)-SUM($H299:L299),(Input!$H$228*(1+vanilla1)^0.5)/A18stdlife))</f>
        <v>0.11628066862270617</v>
      </c>
      <c r="N299" s="73">
        <f>IF(A18stdlife="n/a","n/a",IF(N$3&gt;(A18stdlife+$F299),(Input!$H$228*(1+vanilla1)^0.5)-SUM($H299:M299),(Input!$H$228*(1+vanilla1)^0.5)/A18stdlife))</f>
        <v>0.11628066862270617</v>
      </c>
      <c r="O299" s="73">
        <f>IF(A18stdlife="n/a","n/a",IF(O$3&gt;(A18stdlife+$F299),(Input!$H$228*(1+vanilla1)^0.5)-SUM($H299:N299),(Input!$H$228*(1+vanilla1)^0.5)/A18stdlife))</f>
        <v>0.11628066862270617</v>
      </c>
      <c r="P299" s="73">
        <f>IF(A18stdlife="n/a","n/a",IF(P$3&gt;(A18stdlife+$F299),(Input!$H$228*(1+vanilla1)^0.5)-SUM($H299:O299),(Input!$H$228*(1+vanilla1)^0.5)/A18stdlife))</f>
        <v>0.11628066862270617</v>
      </c>
      <c r="Q299" s="73">
        <f>IF(A18stdlife="n/a","n/a",IF(Q$3&gt;(A18stdlife+$F299),(Input!$H$228*(1+vanilla1)^0.5)-SUM($H299:P299),(Input!$H$228*(1+vanilla1)^0.5)/A18stdlife))</f>
        <v>0.11628066862270617</v>
      </c>
      <c r="R299" s="73"/>
      <c r="S299" s="107"/>
      <c r="T299" s="107"/>
      <c r="U299" s="107"/>
      <c r="V299" s="107"/>
      <c r="W299" s="107"/>
      <c r="X299" s="107"/>
      <c r="Y299" s="107"/>
      <c r="Z299" s="107"/>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107"/>
      <c r="BE299" s="107"/>
      <c r="BF299" s="107"/>
      <c r="BG299" s="107"/>
      <c r="BH299" s="107"/>
      <c r="BI299" s="107"/>
      <c r="BJ299" s="107"/>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outlineLevel="2">
      <c r="A300" s="9"/>
      <c r="B300" s="9"/>
      <c r="C300" s="9"/>
      <c r="D300" s="26"/>
      <c r="E300" s="392"/>
      <c r="F300" s="91">
        <v>2</v>
      </c>
      <c r="G300" s="124"/>
      <c r="H300" s="149"/>
      <c r="I300" s="150"/>
      <c r="J300" s="73">
        <f>IF(A18stdlife="n/a","n/a",IF(J$3&gt;(A18stdlife+$F300),(Input!$I$228*(1+vanilla2)^0.5)-SUM($I300:I300),(Input!$I$228*(1+vanilla2)^0.5)/A18stdlife))</f>
        <v>0.1588431003350961</v>
      </c>
      <c r="K300" s="73">
        <f>IF(A18stdlife="n/a","n/a",IF(K$3&gt;(A18stdlife+$F300),(Input!$I$228*(1+vanilla2)^0.5)-SUM($I300:J300),(Input!$I$228*(1+vanilla2)^0.5)/A18stdlife))</f>
        <v>0.1588431003350961</v>
      </c>
      <c r="L300" s="73">
        <f>IF(A18stdlife="n/a","n/a",IF(L$3&gt;(A18stdlife+$F300),(Input!$I$228*(1+vanilla2)^0.5)-SUM($I300:K300),(Input!$I$228*(1+vanilla2)^0.5)/A18stdlife))</f>
        <v>0.1588431003350961</v>
      </c>
      <c r="M300" s="73">
        <f>IF(A18stdlife="n/a","n/a",IF(M$3&gt;(A18stdlife+$F300),(Input!$I$228*(1+vanilla2)^0.5)-SUM($I300:L300),(Input!$I$228*(1+vanilla2)^0.5)/A18stdlife))</f>
        <v>0.1588431003350961</v>
      </c>
      <c r="N300" s="73">
        <f>IF(A18stdlife="n/a","n/a",IF(N$3&gt;(A18stdlife+$F300),(Input!$I$228*(1+vanilla2)^0.5)-SUM($I300:M300),(Input!$I$228*(1+vanilla2)^0.5)/A18stdlife))</f>
        <v>0.1588431003350961</v>
      </c>
      <c r="O300" s="73">
        <f>IF(A18stdlife="n/a","n/a",IF(O$3&gt;(A18stdlife+$F300),(Input!$I$228*(1+vanilla2)^0.5)-SUM($I300:N300),(Input!$I$228*(1+vanilla2)^0.5)/A18stdlife))</f>
        <v>0.1588431003350961</v>
      </c>
      <c r="P300" s="73">
        <f>IF(A18stdlife="n/a","n/a",IF(P$3&gt;(A18stdlife+$F300),(Input!$I$228*(1+vanilla2)^0.5)-SUM($I300:O300),(Input!$I$228*(1+vanilla2)^0.5)/A18stdlife))</f>
        <v>0.1588431003350961</v>
      </c>
      <c r="Q300" s="73">
        <f>IF(A18stdlife="n/a","n/a",IF(Q$3&gt;(A18stdlife+$F300),(Input!$I$228*(1+vanilla2)^0.5)-SUM($I300:P300),(Input!$I$228*(1+vanilla2)^0.5)/A18stdlife))</f>
        <v>0.1588431003350961</v>
      </c>
      <c r="R300" s="73"/>
      <c r="S300" s="107"/>
      <c r="T300" s="107"/>
      <c r="U300" s="107"/>
      <c r="V300" s="107"/>
      <c r="W300" s="107"/>
      <c r="X300" s="107"/>
      <c r="Y300" s="107"/>
      <c r="Z300" s="107"/>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107"/>
      <c r="BE300" s="107"/>
      <c r="BF300" s="107"/>
      <c r="BG300" s="107"/>
      <c r="BH300" s="107"/>
      <c r="BI300" s="107"/>
      <c r="BJ300" s="107"/>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outlineLevel="2">
      <c r="A301" s="9"/>
      <c r="B301" s="9"/>
      <c r="C301" s="9"/>
      <c r="D301" s="26"/>
      <c r="E301" s="392"/>
      <c r="F301" s="91">
        <v>3</v>
      </c>
      <c r="G301" s="124"/>
      <c r="H301" s="149"/>
      <c r="I301" s="151"/>
      <c r="J301" s="150"/>
      <c r="K301" s="73">
        <f>IF(A18stdlife="n/a","n/a",IF(K$3&gt;(A18stdlife+$F301),(Input!$J$228*(1+vanilla3)^0.5)-SUM($J301:J301),(Input!$J$228*(1+vanilla3)^0.5)/A18stdlife))</f>
        <v>0.24481916748476076</v>
      </c>
      <c r="L301" s="73">
        <f>IF(A18stdlife="n/a","n/a",IF(L$3&gt;(A18stdlife+$F301),(Input!$J$228*(1+vanilla3)^0.5)-SUM($J301:K301),(Input!$J$228*(1+vanilla3)^0.5)/A18stdlife))</f>
        <v>0.24481916748476076</v>
      </c>
      <c r="M301" s="73">
        <f>IF(A18stdlife="n/a","n/a",IF(M$3&gt;(A18stdlife+$F301),(Input!$J$228*(1+vanilla3)^0.5)-SUM($J301:L301),(Input!$J$228*(1+vanilla3)^0.5)/A18stdlife))</f>
        <v>0.24481916748476076</v>
      </c>
      <c r="N301" s="73">
        <f>IF(A18stdlife="n/a","n/a",IF(N$3&gt;(A18stdlife+$F301),(Input!$J$228*(1+vanilla3)^0.5)-SUM($J301:M301),(Input!$J$228*(1+vanilla3)^0.5)/A18stdlife))</f>
        <v>0.24481916748476076</v>
      </c>
      <c r="O301" s="73">
        <f>IF(A18stdlife="n/a","n/a",IF(O$3&gt;(A18stdlife+$F301),(Input!$J$228*(1+vanilla3)^0.5)-SUM($J301:N301),(Input!$J$228*(1+vanilla3)^0.5)/A18stdlife))</f>
        <v>0.24481916748476076</v>
      </c>
      <c r="P301" s="73">
        <f>IF(A18stdlife="n/a","n/a",IF(P$3&gt;(A18stdlife+$F301),(Input!$J$228*(1+vanilla3)^0.5)-SUM($J301:O301),(Input!$J$228*(1+vanilla3)^0.5)/A18stdlife))</f>
        <v>0.24481916748476076</v>
      </c>
      <c r="Q301" s="73">
        <f>IF(A18stdlife="n/a","n/a",IF(Q$3&gt;(A18stdlife+$F301),(Input!$J$228*(1+vanilla3)^0.5)-SUM($J301:P301),(Input!$J$228*(1+vanilla3)^0.5)/A18stdlife))</f>
        <v>0.24481916748476076</v>
      </c>
      <c r="R301" s="73"/>
      <c r="S301" s="107"/>
      <c r="T301" s="107"/>
      <c r="U301" s="107"/>
      <c r="V301" s="107"/>
      <c r="W301" s="107"/>
      <c r="X301" s="107"/>
      <c r="Y301" s="107"/>
      <c r="Z301" s="107"/>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107"/>
      <c r="BE301" s="107"/>
      <c r="BF301" s="107"/>
      <c r="BG301" s="107"/>
      <c r="BH301" s="107"/>
      <c r="BI301" s="107"/>
      <c r="BJ301" s="107"/>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outlineLevel="2">
      <c r="A302" s="9"/>
      <c r="B302" s="9"/>
      <c r="C302" s="9"/>
      <c r="D302" s="26"/>
      <c r="E302" s="392"/>
      <c r="F302" s="91">
        <v>4</v>
      </c>
      <c r="G302" s="124"/>
      <c r="H302" s="149"/>
      <c r="I302" s="151"/>
      <c r="J302" s="151"/>
      <c r="K302" s="150"/>
      <c r="L302" s="73">
        <f>IF(A18stdlife="n/a","n/a",IF(L$3&gt;(A18stdlife+$F302),(Input!$K$228*(1+vanilla4)^0.5)-SUM($K302:K302),(Input!$K$228*(1+vanilla4)^0.5)/A18stdlife))</f>
        <v>0.17241799956668494</v>
      </c>
      <c r="M302" s="73">
        <f>IF(A18stdlife="n/a","n/a",IF(M$3&gt;(A18stdlife+$F302),(Input!$K$228*(1+vanilla4)^0.5)-SUM($K302:L302),(Input!$K$228*(1+vanilla4)^0.5)/A18stdlife))</f>
        <v>0.17241799956668494</v>
      </c>
      <c r="N302" s="73">
        <f>IF(A18stdlife="n/a","n/a",IF(N$3&gt;(A18stdlife+$F302),(Input!$K$228*(1+vanilla4)^0.5)-SUM($K302:M302),(Input!$K$228*(1+vanilla4)^0.5)/A18stdlife))</f>
        <v>0.17241799956668494</v>
      </c>
      <c r="O302" s="73">
        <f>IF(A18stdlife="n/a","n/a",IF(O$3&gt;(A18stdlife+$F302),(Input!$K$228*(1+vanilla4)^0.5)-SUM($K302:N302),(Input!$K$228*(1+vanilla4)^0.5)/A18stdlife))</f>
        <v>0.17241799956668494</v>
      </c>
      <c r="P302" s="73">
        <f>IF(A18stdlife="n/a","n/a",IF(P$3&gt;(A18stdlife+$F302),(Input!$K$228*(1+vanilla4)^0.5)-SUM($K302:O302),(Input!$K$228*(1+vanilla4)^0.5)/A18stdlife))</f>
        <v>0.17241799956668494</v>
      </c>
      <c r="Q302" s="73">
        <f>IF(A18stdlife="n/a","n/a",IF(Q$3&gt;(A18stdlife+$F302),(Input!$K$228*(1+vanilla4)^0.5)-SUM($K302:P302),(Input!$K$228*(1+vanilla4)^0.5)/A18stdlife))</f>
        <v>0.17241799956668494</v>
      </c>
      <c r="R302" s="73"/>
      <c r="S302" s="107"/>
      <c r="T302" s="107"/>
      <c r="U302" s="107"/>
      <c r="V302" s="107"/>
      <c r="W302" s="107"/>
      <c r="X302" s="107"/>
      <c r="Y302" s="107"/>
      <c r="Z302" s="107"/>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107"/>
      <c r="BE302" s="107"/>
      <c r="BF302" s="107"/>
      <c r="BG302" s="107"/>
      <c r="BH302" s="107"/>
      <c r="BI302" s="107"/>
      <c r="BJ302" s="107"/>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2">
      <c r="A303" s="9"/>
      <c r="B303" s="9"/>
      <c r="C303" s="9"/>
      <c r="D303" s="26"/>
      <c r="E303" s="392"/>
      <c r="F303" s="91">
        <v>5</v>
      </c>
      <c r="G303" s="27"/>
      <c r="H303" s="149"/>
      <c r="I303" s="151"/>
      <c r="J303" s="151"/>
      <c r="K303" s="151"/>
      <c r="L303" s="150"/>
      <c r="M303" s="73">
        <f>IF(A18stdlife="n/a","n/a",IF(M$3&gt;(A18stdlife+$F303),(Input!$L$228*(1+vanilla5)^0.5)-SUM($L303:L303),(Input!$L$228*(1+vanilla5)^0.5)/A18stdlife))</f>
        <v>0.13865340301462986</v>
      </c>
      <c r="N303" s="73">
        <f>IF(A18stdlife="n/a","n/a",IF(N$3&gt;(A18stdlife+$F303),(Input!$L$228*(1+vanilla5)^0.5)-SUM($L303:M303),(Input!$L$228*(1+vanilla5)^0.5)/A18stdlife))</f>
        <v>0.13865340301462986</v>
      </c>
      <c r="O303" s="73">
        <f>IF(A18stdlife="n/a","n/a",IF(O$3&gt;(A18stdlife+$F303),(Input!$L$228*(1+vanilla5)^0.5)-SUM($L303:N303),(Input!$L$228*(1+vanilla5)^0.5)/A18stdlife))</f>
        <v>0.13865340301462986</v>
      </c>
      <c r="P303" s="73">
        <f>IF(A18stdlife="n/a","n/a",IF(P$3&gt;(A18stdlife+$F303),(Input!$L$228*(1+vanilla5)^0.5)-SUM($L303:O303),(Input!$L$228*(1+vanilla5)^0.5)/A18stdlife))</f>
        <v>0.13865340301462986</v>
      </c>
      <c r="Q303" s="73">
        <f>IF(A18stdlife="n/a","n/a",IF(Q$3&gt;(A18stdlife+$F303),(Input!$L$228*(1+vanilla5)^0.5)-SUM($L303:P303),(Input!$L$228*(1+vanilla5)^0.5)/A18stdlife))</f>
        <v>0.13865340301462986</v>
      </c>
      <c r="R303" s="73"/>
      <c r="S303" s="107"/>
      <c r="T303" s="107"/>
      <c r="U303" s="107"/>
      <c r="V303" s="107"/>
      <c r="W303" s="107"/>
      <c r="X303" s="107"/>
      <c r="Y303" s="107"/>
      <c r="Z303" s="107"/>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outlineLevel="2">
      <c r="A304" s="9"/>
      <c r="B304" s="9"/>
      <c r="C304" s="9"/>
      <c r="D304" s="26"/>
      <c r="E304" s="392"/>
      <c r="F304" s="91">
        <v>6</v>
      </c>
      <c r="G304" s="27"/>
      <c r="H304" s="149"/>
      <c r="I304" s="151"/>
      <c r="J304" s="151"/>
      <c r="K304" s="151"/>
      <c r="L304" s="151"/>
      <c r="M304" s="150"/>
      <c r="N304" s="73">
        <f>IF(A18stdlife="n/a","n/a",IF(N$3&gt;(A18stdlife+$F304),(Input!$M$228*(1+vanilla6)^0.5)-SUM($M304:M304),(Input!$M$228*(1+vanilla6)^0.5)/A18stdlife))</f>
        <v>0</v>
      </c>
      <c r="O304" s="73">
        <f>IF(A18stdlife="n/a","n/a",IF(O$3&gt;(A18stdlife+$F304),(Input!$M$228*(1+vanilla6)^0.5)-SUM($M304:N304),(Input!$M$228*(1+vanilla6)^0.5)/A18stdlife))</f>
        <v>0</v>
      </c>
      <c r="P304" s="73">
        <f>IF(A18stdlife="n/a","n/a",IF(P$3&gt;(A18stdlife+$F304),(Input!$M$228*(1+vanilla6)^0.5)-SUM($M304:O304),(Input!$M$228*(1+vanilla6)^0.5)/A18stdlife))</f>
        <v>0</v>
      </c>
      <c r="Q304" s="73">
        <f>IF(A18stdlife="n/a","n/a",IF(Q$3&gt;(A18stdlife+$F304),(Input!$M$228*(1+vanilla6)^0.5)-SUM($M304:P304),(Input!$M$228*(1+vanilla6)^0.5)/A18stdlife))</f>
        <v>0</v>
      </c>
      <c r="R304" s="73"/>
      <c r="S304" s="107"/>
      <c r="T304" s="107"/>
      <c r="U304" s="107"/>
      <c r="V304" s="107"/>
      <c r="W304" s="107"/>
      <c r="X304" s="107"/>
      <c r="Y304" s="107"/>
      <c r="Z304" s="107"/>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107"/>
      <c r="BE304" s="107"/>
      <c r="BF304" s="107"/>
      <c r="BG304" s="107"/>
      <c r="BH304" s="107"/>
      <c r="BI304" s="107"/>
      <c r="BJ304" s="107"/>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outlineLevel="2">
      <c r="A305" s="9"/>
      <c r="B305" s="9"/>
      <c r="C305" s="9"/>
      <c r="D305" s="26"/>
      <c r="E305" s="392"/>
      <c r="F305" s="91">
        <v>7</v>
      </c>
      <c r="G305" s="27"/>
      <c r="H305" s="149"/>
      <c r="I305" s="151"/>
      <c r="J305" s="151"/>
      <c r="K305" s="151"/>
      <c r="L305" s="151"/>
      <c r="M305" s="151"/>
      <c r="N305" s="150"/>
      <c r="O305" s="73">
        <f>IF(A18stdlife="n/a","n/a",IF(O$3&gt;(A18stdlife+$F305),(Input!$N$228*(1+vanilla7)^0.5)-SUM($N305:N305),(Input!$N$228*(1+vanilla7)^0.5)/A18stdlife))</f>
        <v>0</v>
      </c>
      <c r="P305" s="73">
        <f>IF(A18stdlife="n/a","n/a",IF(P$3&gt;(A18stdlife+$F305),(Input!$N$228*(1+vanilla7)^0.5)-SUM($N305:O305),(Input!$N$228*(1+vanilla7)^0.5)/A18stdlife))</f>
        <v>0</v>
      </c>
      <c r="Q305" s="73">
        <f>IF(A18stdlife="n/a","n/a",IF(Q$3&gt;(A18stdlife+$F305),(Input!$N$228*(1+vanilla7)^0.5)-SUM($N305:P305),(Input!$N$228*(1+vanilla7)^0.5)/A18stdlife))</f>
        <v>0</v>
      </c>
      <c r="R305" s="73"/>
      <c r="S305" s="107"/>
      <c r="T305" s="107"/>
      <c r="U305" s="107"/>
      <c r="V305" s="107"/>
      <c r="W305" s="107"/>
      <c r="X305" s="107"/>
      <c r="Y305" s="107"/>
      <c r="Z305" s="107"/>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107"/>
      <c r="BE305" s="107"/>
      <c r="BF305" s="107"/>
      <c r="BG305" s="107"/>
      <c r="BH305" s="107"/>
      <c r="BI305" s="107"/>
      <c r="BJ305" s="107"/>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outlineLevel="2">
      <c r="A306" s="9"/>
      <c r="B306" s="9"/>
      <c r="C306" s="9"/>
      <c r="D306" s="26"/>
      <c r="E306" s="392"/>
      <c r="F306" s="91">
        <v>8</v>
      </c>
      <c r="G306" s="27"/>
      <c r="H306" s="149"/>
      <c r="I306" s="151"/>
      <c r="J306" s="151"/>
      <c r="K306" s="151"/>
      <c r="L306" s="151"/>
      <c r="M306" s="151"/>
      <c r="N306" s="151"/>
      <c r="O306" s="150"/>
      <c r="P306" s="73">
        <f>IF(A18stdlife="n/a","n/a",IF(P$3&gt;(A18stdlife+$F306),(Input!$O$228*(1+vanilla8)^0.5)-SUM($O306:O306),(Input!$O$228*(1+vanilla8)^0.5)/A18stdlife))</f>
        <v>0</v>
      </c>
      <c r="Q306" s="73">
        <f>IF(A18stdlife="n/a","n/a",IF(Q$3&gt;(A18stdlife+$F306),(Input!$O$228*(1+vanilla8)^0.5)-SUM($O306:P306),(Input!$O$228*(1+vanilla8)^0.5)/A18stdlife))</f>
        <v>0</v>
      </c>
      <c r="R306" s="73"/>
      <c r="S306" s="107"/>
      <c r="T306" s="107"/>
      <c r="U306" s="107"/>
      <c r="V306" s="107"/>
      <c r="W306" s="107"/>
      <c r="X306" s="107"/>
      <c r="Y306" s="107"/>
      <c r="Z306" s="107"/>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107"/>
      <c r="BE306" s="107"/>
      <c r="BF306" s="107"/>
      <c r="BG306" s="107"/>
      <c r="BH306" s="107"/>
      <c r="BI306" s="107"/>
      <c r="BJ306" s="107"/>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outlineLevel="2">
      <c r="A307" s="9"/>
      <c r="B307" s="9"/>
      <c r="C307" s="9"/>
      <c r="D307" s="26"/>
      <c r="E307" s="392"/>
      <c r="F307" s="91">
        <v>9</v>
      </c>
      <c r="G307" s="27"/>
      <c r="H307" s="149"/>
      <c r="I307" s="151"/>
      <c r="J307" s="151"/>
      <c r="K307" s="151"/>
      <c r="L307" s="151"/>
      <c r="M307" s="151"/>
      <c r="N307" s="151"/>
      <c r="O307" s="151"/>
      <c r="P307" s="150"/>
      <c r="Q307" s="73">
        <f>IF(A18stdlife="n/a","n/a",IF(Q$3&gt;(A18stdlife+$F307),(Input!$P$228*(1+vanilla9)^0.5)-SUM($P307:P307),(Input!$P$228*(1+vanilla9)^0.5)/A18stdlife))</f>
        <v>0</v>
      </c>
      <c r="R307" s="73"/>
      <c r="S307" s="107"/>
      <c r="T307" s="107"/>
      <c r="U307" s="107"/>
      <c r="V307" s="107"/>
      <c r="W307" s="107"/>
      <c r="X307" s="107"/>
      <c r="Y307" s="107"/>
      <c r="Z307" s="107"/>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107"/>
      <c r="BE307" s="107"/>
      <c r="BF307" s="107"/>
      <c r="BG307" s="107"/>
      <c r="BH307" s="107"/>
      <c r="BI307" s="107"/>
      <c r="BJ307" s="107"/>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outlineLevel="2">
      <c r="A308" s="9"/>
      <c r="B308" s="9"/>
      <c r="C308" s="9"/>
      <c r="D308" s="26"/>
      <c r="E308" s="392"/>
      <c r="F308" s="92">
        <v>10</v>
      </c>
      <c r="G308" s="27"/>
      <c r="H308" s="149"/>
      <c r="I308" s="151"/>
      <c r="J308" s="151"/>
      <c r="K308" s="151"/>
      <c r="L308" s="151"/>
      <c r="M308" s="151"/>
      <c r="N308" s="151"/>
      <c r="O308" s="151"/>
      <c r="P308" s="151"/>
      <c r="Q308" s="150"/>
      <c r="R308" s="73"/>
      <c r="S308" s="107"/>
      <c r="T308" s="107"/>
      <c r="U308" s="107"/>
      <c r="V308" s="107"/>
      <c r="W308" s="107"/>
      <c r="X308" s="107"/>
      <c r="Y308" s="107"/>
      <c r="Z308" s="107"/>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107"/>
      <c r="BE308" s="107"/>
      <c r="BF308" s="107"/>
      <c r="BG308" s="107"/>
      <c r="BH308" s="107"/>
      <c r="BI308" s="107"/>
      <c r="BJ308" s="107"/>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9"/>
      <c r="D309" s="279" t="str">
        <f>Asset18</f>
        <v>Transmission operations - short life (10)</v>
      </c>
      <c r="E309" s="9"/>
      <c r="F309" s="9"/>
      <c r="G309" s="124"/>
      <c r="H309" s="165">
        <f>-SUM(H297:H308)</f>
        <v>0</v>
      </c>
      <c r="I309" s="165">
        <f>-SUM(I297:I308)</f>
        <v>-0.11628066862270617</v>
      </c>
      <c r="J309" s="165">
        <f>-SUM(J297:J308)</f>
        <v>-0.27512376895780227</v>
      </c>
      <c r="K309" s="165">
        <f>-SUM(K297:K308)</f>
        <v>-0.51994293644256306</v>
      </c>
      <c r="L309" s="165">
        <f>-SUM(L297:L308)</f>
        <v>-0.69236093600924797</v>
      </c>
      <c r="M309" s="73">
        <f>IF(COUNT($H309:L309)&gt;=Input!$W$7,0, -SUM(M297:M308))</f>
        <v>0</v>
      </c>
      <c r="N309" s="73">
        <f>IF(COUNT($H309:M309)&gt;=Input!$W$7,0, -SUM(N297:N308))</f>
        <v>0</v>
      </c>
      <c r="O309" s="73">
        <f>IF(COUNT($H309:N309)&gt;=Input!$W$7,0, -SUM(O297:O308))</f>
        <v>0</v>
      </c>
      <c r="P309" s="73">
        <f>IF(COUNT($H309:O309)&gt;=Input!$W$7,0, -SUM(P297:P308))</f>
        <v>0</v>
      </c>
      <c r="Q309" s="73">
        <f>IF(COUNT($H309:P309)&gt;=Input!$W$7,0, -SUM(Q297:Q308))</f>
        <v>0</v>
      </c>
      <c r="R309" s="165"/>
      <c r="S309" s="109"/>
      <c r="T309" s="109"/>
      <c r="U309" s="109"/>
      <c r="V309" s="109"/>
      <c r="W309" s="109"/>
      <c r="X309" s="109"/>
      <c r="Y309" s="109"/>
      <c r="Z309" s="109"/>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109"/>
      <c r="BE309" s="109"/>
      <c r="BF309" s="109"/>
      <c r="BG309" s="109"/>
      <c r="BH309" s="109"/>
      <c r="BI309" s="109"/>
      <c r="BJ309" s="109"/>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outlineLevel="2">
      <c r="A310" s="9"/>
      <c r="B310" s="9"/>
      <c r="C310" s="280" t="str">
        <f>Asset19</f>
        <v>Transmission operations - short life (4)</v>
      </c>
      <c r="D310" s="161"/>
      <c r="E310" s="32" t="s">
        <v>26</v>
      </c>
      <c r="F310" s="31"/>
      <c r="G310" s="181"/>
      <c r="H310" s="72" t="str">
        <f>IF(H$3&gt;A19remlife,A19value-$G$648-SUM($G310:G310),IF(A19remlife="N/A","n/a",(A19value-$G$648)/A19remlife))</f>
        <v>n/a</v>
      </c>
      <c r="I310" s="72" t="str">
        <f>IF(I$3&gt;A19remlife,A19value-$G$648-SUM($G310:H310),IF(A19remlife="N/A","n/a",(A19value-$G$648)/A19remlife))</f>
        <v>n/a</v>
      </c>
      <c r="J310" s="72" t="str">
        <f>IF(J$3&gt;A19remlife,A19value-$G$648-SUM($G310:I310),IF(A19remlife="N/A","n/a",(A19value-$G$648)/A19remlife))</f>
        <v>n/a</v>
      </c>
      <c r="K310" s="72" t="str">
        <f>IF(K$3&gt;A19remlife,A19value-$G$648-SUM($G310:J310),IF(A19remlife="N/A","n/a",(A19value-$G$648)/A19remlife))</f>
        <v>n/a</v>
      </c>
      <c r="L310" s="72" t="str">
        <f>IF(L$3&gt;A19remlife,A19value-$G$648-SUM($G310:K310),IF(A19remlife="N/A","n/a",(A19value-$G$648)/A19remlife))</f>
        <v>n/a</v>
      </c>
      <c r="M310" s="72" t="str">
        <f>IF(M$3&gt;A19remlife,A19value-$G$648-SUM($G310:L310),IF(A19remlife="N/A","n/a",(A19value-$G$648)/A19remlife))</f>
        <v>n/a</v>
      </c>
      <c r="N310" s="72" t="str">
        <f>IF(N$3&gt;A19remlife,A19value-$G$648-SUM($G310:M310),IF(A19remlife="N/A","n/a",(A19value-$G$648)/A19remlife))</f>
        <v>n/a</v>
      </c>
      <c r="O310" s="72" t="str">
        <f>IF(O$3&gt;A19remlife,A19value-$G$648-SUM($G310:N310),IF(A19remlife="N/A","n/a",(A19value-$G$648)/A19remlife))</f>
        <v>n/a</v>
      </c>
      <c r="P310" s="72" t="str">
        <f>IF(P$3&gt;A19remlife,A19value-$G$648-SUM($G310:O310),IF(A19remlife="N/A","n/a",(A19value-$G$648)/A19remlife))</f>
        <v>n/a</v>
      </c>
      <c r="Q310" s="72" t="str">
        <f>IF(Q$3&gt;A19remlife,A19value-$G$648-SUM($G310:P310),IF(A19remlife="N/A","n/a",(A19value-$G$648)/A19remlife))</f>
        <v>n/a</v>
      </c>
      <c r="R310" s="72"/>
      <c r="S310" s="107"/>
      <c r="T310" s="107"/>
      <c r="U310" s="107"/>
      <c r="V310" s="107"/>
      <c r="W310" s="107"/>
      <c r="X310" s="107"/>
      <c r="Y310" s="107"/>
      <c r="Z310" s="107"/>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107"/>
      <c r="BE310" s="107"/>
      <c r="BF310" s="107"/>
      <c r="BG310" s="107"/>
      <c r="BH310" s="107"/>
      <c r="BI310" s="107"/>
      <c r="BJ310" s="107"/>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9"/>
      <c r="D311" s="26"/>
      <c r="E311" s="391" t="s">
        <v>81</v>
      </c>
      <c r="F311" s="91"/>
      <c r="G311" s="124"/>
      <c r="H311" s="73"/>
      <c r="I311" s="73"/>
      <c r="J311" s="73"/>
      <c r="K311" s="73"/>
      <c r="L311" s="73"/>
      <c r="M311" s="163"/>
      <c r="N311" s="115"/>
      <c r="O311" s="73"/>
      <c r="P311" s="73"/>
      <c r="Q311" s="73"/>
      <c r="R311" s="73"/>
      <c r="S311" s="107"/>
      <c r="T311" s="107"/>
      <c r="U311" s="107"/>
      <c r="V311" s="107"/>
      <c r="W311" s="107"/>
      <c r="X311" s="107"/>
      <c r="Y311" s="107"/>
      <c r="Z311" s="107"/>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107"/>
      <c r="BE311" s="107"/>
      <c r="BF311" s="107"/>
      <c r="BG311" s="107"/>
      <c r="BH311" s="107"/>
      <c r="BI311" s="107"/>
      <c r="BJ311" s="107"/>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outlineLevel="2">
      <c r="A312" s="9"/>
      <c r="B312" s="9"/>
      <c r="C312" s="9"/>
      <c r="D312" s="26"/>
      <c r="E312" s="392"/>
      <c r="F312" s="91">
        <v>1</v>
      </c>
      <c r="G312" s="124"/>
      <c r="H312" s="148"/>
      <c r="I312" s="73">
        <f>IF(A19stdlife="n/a","n/a",IF(I$3&gt;(A19stdlife+$F312),(Input!$H$229*(1+vanilla1)^0.5)-SUM($H312:H312),(Input!$H$229*(1+vanilla1)^0.5)/A19stdlife))</f>
        <v>1.14144447442605E-2</v>
      </c>
      <c r="J312" s="73">
        <f>IF(A19stdlife="n/a","n/a",IF(J$3&gt;(A19stdlife+$F312),(Input!$H$229*(1+vanilla1)^0.5)-SUM($H312:I312),(Input!$H$229*(1+vanilla1)^0.5)/A19stdlife))</f>
        <v>1.14144447442605E-2</v>
      </c>
      <c r="K312" s="73">
        <f>IF(A19stdlife="n/a","n/a",IF(K$3&gt;(A19stdlife+$F312),(Input!$H$229*(1+vanilla1)^0.5)-SUM($H312:J312),(Input!$H$229*(1+vanilla1)^0.5)/A19stdlife))</f>
        <v>1.14144447442605E-2</v>
      </c>
      <c r="L312" s="73">
        <f>IF(A19stdlife="n/a","n/a",IF(L$3&gt;(A19stdlife+$F312),(Input!$H$229*(1+vanilla1)^0.5)-SUM($H312:K312),(Input!$H$229*(1+vanilla1)^0.5)/A19stdlife))</f>
        <v>1.14144447442605E-2</v>
      </c>
      <c r="M312" s="73">
        <f>IF(A19stdlife="n/a","n/a",IF(M$3&gt;(A19stdlife+$F312),(Input!$H$229*(1+vanilla1)^0.5)-SUM($H312:L312),(Input!$H$229*(1+vanilla1)^0.5)/A19stdlife))</f>
        <v>0</v>
      </c>
      <c r="N312" s="73">
        <f>IF(A19stdlife="n/a","n/a",IF(N$3&gt;(A19stdlife+$F312),(Input!$H$229*(1+vanilla1)^0.5)-SUM($H312:M312),(Input!$H$229*(1+vanilla1)^0.5)/A19stdlife))</f>
        <v>0</v>
      </c>
      <c r="O312" s="73">
        <f>IF(A19stdlife="n/a","n/a",IF(O$3&gt;(A19stdlife+$F312),(Input!$H$229*(1+vanilla1)^0.5)-SUM($H312:N312),(Input!$H$229*(1+vanilla1)^0.5)/A19stdlife))</f>
        <v>0</v>
      </c>
      <c r="P312" s="73">
        <f>IF(A19stdlife="n/a","n/a",IF(P$3&gt;(A19stdlife+$F312),(Input!$H$229*(1+vanilla1)^0.5)-SUM($H312:O312),(Input!$H$229*(1+vanilla1)^0.5)/A19stdlife))</f>
        <v>0</v>
      </c>
      <c r="Q312" s="73">
        <f>IF(A19stdlife="n/a","n/a",IF(Q$3&gt;(A19stdlife+$F312),(Input!$H$229*(1+vanilla1)^0.5)-SUM($H312:P312),(Input!$H$229*(1+vanilla1)^0.5)/A19stdlife))</f>
        <v>0</v>
      </c>
      <c r="R312" s="73"/>
      <c r="S312" s="107"/>
      <c r="T312" s="107"/>
      <c r="U312" s="107"/>
      <c r="V312" s="107"/>
      <c r="W312" s="107"/>
      <c r="X312" s="107"/>
      <c r="Y312" s="107"/>
      <c r="Z312" s="107"/>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107"/>
      <c r="BE312" s="107"/>
      <c r="BF312" s="107"/>
      <c r="BG312" s="107"/>
      <c r="BH312" s="107"/>
      <c r="BI312" s="107"/>
      <c r="BJ312" s="107"/>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outlineLevel="2">
      <c r="A313" s="9"/>
      <c r="B313" s="9"/>
      <c r="C313" s="9"/>
      <c r="D313" s="26"/>
      <c r="E313" s="392"/>
      <c r="F313" s="91">
        <v>2</v>
      </c>
      <c r="G313" s="124"/>
      <c r="H313" s="149"/>
      <c r="I313" s="150"/>
      <c r="J313" s="73">
        <f>IF(A19stdlife="n/a","n/a",IF(J$3&gt;(A19stdlife+$F313),(Input!$I$229*(1+vanilla2)^0.5)-SUM($I313:I313),(Input!$I$229*(1+vanilla2)^0.5)/A19stdlife))</f>
        <v>1.5984211354475079E-2</v>
      </c>
      <c r="K313" s="73">
        <f>IF(A19stdlife="n/a","n/a",IF(K$3&gt;(A19stdlife+$F313),(Input!$I$229*(1+vanilla2)^0.5)-SUM($I313:J313),(Input!$I$229*(1+vanilla2)^0.5)/A19stdlife))</f>
        <v>1.5984211354475079E-2</v>
      </c>
      <c r="L313" s="73">
        <f>IF(A19stdlife="n/a","n/a",IF(L$3&gt;(A19stdlife+$F313),(Input!$I$229*(1+vanilla2)^0.5)-SUM($I313:K313),(Input!$I$229*(1+vanilla2)^0.5)/A19stdlife))</f>
        <v>1.5984211354475079E-2</v>
      </c>
      <c r="M313" s="73">
        <f>IF(A19stdlife="n/a","n/a",IF(M$3&gt;(A19stdlife+$F313),(Input!$I$229*(1+vanilla2)^0.5)-SUM($I313:L313),(Input!$I$229*(1+vanilla2)^0.5)/A19stdlife))</f>
        <v>1.5984211354475079E-2</v>
      </c>
      <c r="N313" s="73">
        <f>IF(A19stdlife="n/a","n/a",IF(N$3&gt;(A19stdlife+$F313),(Input!$I$229*(1+vanilla2)^0.5)-SUM($I313:M313),(Input!$I$229*(1+vanilla2)^0.5)/A19stdlife))</f>
        <v>0</v>
      </c>
      <c r="O313" s="73">
        <f>IF(A19stdlife="n/a","n/a",IF(O$3&gt;(A19stdlife+$F313),(Input!$I$229*(1+vanilla2)^0.5)-SUM($I313:N313),(Input!$I$229*(1+vanilla2)^0.5)/A19stdlife))</f>
        <v>0</v>
      </c>
      <c r="P313" s="73">
        <f>IF(A19stdlife="n/a","n/a",IF(P$3&gt;(A19stdlife+$F313),(Input!$I$229*(1+vanilla2)^0.5)-SUM($I313:O313),(Input!$I$229*(1+vanilla2)^0.5)/A19stdlife))</f>
        <v>0</v>
      </c>
      <c r="Q313" s="73">
        <f>IF(A19stdlife="n/a","n/a",IF(Q$3&gt;(A19stdlife+$F313),(Input!$I$229*(1+vanilla2)^0.5)-SUM($I313:P313),(Input!$I$229*(1+vanilla2)^0.5)/A19stdlife))</f>
        <v>0</v>
      </c>
      <c r="R313" s="73"/>
      <c r="S313" s="107"/>
      <c r="T313" s="107"/>
      <c r="U313" s="107"/>
      <c r="V313" s="107"/>
      <c r="W313" s="107"/>
      <c r="X313" s="107"/>
      <c r="Y313" s="107"/>
      <c r="Z313" s="107"/>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107"/>
      <c r="BE313" s="107"/>
      <c r="BF313" s="107"/>
      <c r="BG313" s="107"/>
      <c r="BH313" s="107"/>
      <c r="BI313" s="107"/>
      <c r="BJ313" s="107"/>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outlineLevel="2">
      <c r="A314" s="9"/>
      <c r="B314" s="9"/>
      <c r="C314" s="9"/>
      <c r="D314" s="26"/>
      <c r="E314" s="392"/>
      <c r="F314" s="91">
        <v>3</v>
      </c>
      <c r="G314" s="124"/>
      <c r="H314" s="149"/>
      <c r="I314" s="151"/>
      <c r="J314" s="150"/>
      <c r="K314" s="73">
        <f>IF(A19stdlife="n/a","n/a",IF(K$3&gt;(A19stdlife+$F314),(Input!$J$229*(1+vanilla3)^0.5)-SUM($J314:J314),(Input!$J$229*(1+vanilla3)^0.5)/A19stdlife))</f>
        <v>0</v>
      </c>
      <c r="L314" s="73">
        <f>IF(A19stdlife="n/a","n/a",IF(L$3&gt;(A19stdlife+$F314),(Input!$J$229*(1+vanilla3)^0.5)-SUM($J314:K314),(Input!$J$229*(1+vanilla3)^0.5)/A19stdlife))</f>
        <v>0</v>
      </c>
      <c r="M314" s="73">
        <f>IF(A19stdlife="n/a","n/a",IF(M$3&gt;(A19stdlife+$F314),(Input!$J$229*(1+vanilla3)^0.5)-SUM($J314:L314),(Input!$J$229*(1+vanilla3)^0.5)/A19stdlife))</f>
        <v>0</v>
      </c>
      <c r="N314" s="73">
        <f>IF(A19stdlife="n/a","n/a",IF(N$3&gt;(A19stdlife+$F314),(Input!$J$229*(1+vanilla3)^0.5)-SUM($J314:M314),(Input!$J$229*(1+vanilla3)^0.5)/A19stdlife))</f>
        <v>0</v>
      </c>
      <c r="O314" s="73">
        <f>IF(A19stdlife="n/a","n/a",IF(O$3&gt;(A19stdlife+$F314),(Input!$J$229*(1+vanilla3)^0.5)-SUM($J314:N314),(Input!$J$229*(1+vanilla3)^0.5)/A19stdlife))</f>
        <v>0</v>
      </c>
      <c r="P314" s="73">
        <f>IF(A19stdlife="n/a","n/a",IF(P$3&gt;(A19stdlife+$F314),(Input!$J$229*(1+vanilla3)^0.5)-SUM($J314:O314),(Input!$J$229*(1+vanilla3)^0.5)/A19stdlife))</f>
        <v>0</v>
      </c>
      <c r="Q314" s="73">
        <f>IF(A19stdlife="n/a","n/a",IF(Q$3&gt;(A19stdlife+$F314),(Input!$J$229*(1+vanilla3)^0.5)-SUM($J314:P314),(Input!$J$229*(1+vanilla3)^0.5)/A19stdlife))</f>
        <v>0</v>
      </c>
      <c r="R314" s="73"/>
      <c r="S314" s="107"/>
      <c r="T314" s="107"/>
      <c r="U314" s="107"/>
      <c r="V314" s="107"/>
      <c r="W314" s="107"/>
      <c r="X314" s="107"/>
      <c r="Y314" s="107"/>
      <c r="Z314" s="107"/>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107"/>
      <c r="BE314" s="107"/>
      <c r="BF314" s="107"/>
      <c r="BG314" s="107"/>
      <c r="BH314" s="107"/>
      <c r="BI314" s="107"/>
      <c r="BJ314" s="107"/>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outlineLevel="2">
      <c r="A315" s="9"/>
      <c r="B315" s="9"/>
      <c r="C315" s="9"/>
      <c r="D315" s="26"/>
      <c r="E315" s="392"/>
      <c r="F315" s="91">
        <v>4</v>
      </c>
      <c r="G315" s="124"/>
      <c r="H315" s="149"/>
      <c r="I315" s="151"/>
      <c r="J315" s="151"/>
      <c r="K315" s="150"/>
      <c r="L315" s="73">
        <f>IF(A19stdlife="n/a","n/a",IF(L$3&gt;(A19stdlife+$F315),(Input!$K$229*(1+vanilla4)^0.5)-SUM($K315:K315),(Input!$K$229*(1+vanilla4)^0.5)/A19stdlife))</f>
        <v>3.7677930086727471E-2</v>
      </c>
      <c r="M315" s="73">
        <f>IF(A19stdlife="n/a","n/a",IF(M$3&gt;(A19stdlife+$F315),(Input!$K$229*(1+vanilla4)^0.5)-SUM($K315:L315),(Input!$K$229*(1+vanilla4)^0.5)/A19stdlife))</f>
        <v>3.7677930086727471E-2</v>
      </c>
      <c r="N315" s="73">
        <f>IF(A19stdlife="n/a","n/a",IF(N$3&gt;(A19stdlife+$F315),(Input!$K$229*(1+vanilla4)^0.5)-SUM($K315:M315),(Input!$K$229*(1+vanilla4)^0.5)/A19stdlife))</f>
        <v>3.7677930086727471E-2</v>
      </c>
      <c r="O315" s="73">
        <f>IF(A19stdlife="n/a","n/a",IF(O$3&gt;(A19stdlife+$F315),(Input!$K$229*(1+vanilla4)^0.5)-SUM($K315:N315),(Input!$K$229*(1+vanilla4)^0.5)/A19stdlife))</f>
        <v>3.7677930086727471E-2</v>
      </c>
      <c r="P315" s="73">
        <f>IF(A19stdlife="n/a","n/a",IF(P$3&gt;(A19stdlife+$F315),(Input!$K$229*(1+vanilla4)^0.5)-SUM($K315:O315),(Input!$K$229*(1+vanilla4)^0.5)/A19stdlife))</f>
        <v>0</v>
      </c>
      <c r="Q315" s="73">
        <f>IF(A19stdlife="n/a","n/a",IF(Q$3&gt;(A19stdlife+$F315),(Input!$K$229*(1+vanilla4)^0.5)-SUM($K315:P315),(Input!$K$229*(1+vanilla4)^0.5)/A19stdlife))</f>
        <v>0</v>
      </c>
      <c r="R315" s="73"/>
      <c r="S315" s="107"/>
      <c r="T315" s="107"/>
      <c r="U315" s="107"/>
      <c r="V315" s="107"/>
      <c r="W315" s="107"/>
      <c r="X315" s="107"/>
      <c r="Y315" s="107"/>
      <c r="Z315" s="107"/>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107"/>
      <c r="BE315" s="107"/>
      <c r="BF315" s="107"/>
      <c r="BG315" s="107"/>
      <c r="BH315" s="107"/>
      <c r="BI315" s="107"/>
      <c r="BJ315" s="107"/>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2">
      <c r="A316" s="9"/>
      <c r="B316" s="9"/>
      <c r="C316" s="9"/>
      <c r="D316" s="26"/>
      <c r="E316" s="392"/>
      <c r="F316" s="91">
        <v>5</v>
      </c>
      <c r="G316" s="27"/>
      <c r="H316" s="149"/>
      <c r="I316" s="151"/>
      <c r="J316" s="151"/>
      <c r="K316" s="151"/>
      <c r="L316" s="150"/>
      <c r="M316" s="73">
        <f>IF(A19stdlife="n/a","n/a",IF(M$3&gt;(A19stdlife+$F316),(Input!$L$229*(1+vanilla5)^0.5)-SUM($L316:L316),(Input!$L$229*(1+vanilla5)^0.5)/A19stdlife))</f>
        <v>0</v>
      </c>
      <c r="N316" s="73">
        <f>IF(A19stdlife="n/a","n/a",IF(N$3&gt;(A19stdlife+$F316),(Input!$L$229*(1+vanilla5)^0.5)-SUM($L316:M316),(Input!$L$229*(1+vanilla5)^0.5)/A19stdlife))</f>
        <v>0</v>
      </c>
      <c r="O316" s="73">
        <f>IF(A19stdlife="n/a","n/a",IF(O$3&gt;(A19stdlife+$F316),(Input!$L$229*(1+vanilla5)^0.5)-SUM($L316:N316),(Input!$L$229*(1+vanilla5)^0.5)/A19stdlife))</f>
        <v>0</v>
      </c>
      <c r="P316" s="73">
        <f>IF(A19stdlife="n/a","n/a",IF(P$3&gt;(A19stdlife+$F316),(Input!$L$229*(1+vanilla5)^0.5)-SUM($L316:O316),(Input!$L$229*(1+vanilla5)^0.5)/A19stdlife))</f>
        <v>0</v>
      </c>
      <c r="Q316" s="73">
        <f>IF(A19stdlife="n/a","n/a",IF(Q$3&gt;(A19stdlife+$F316),(Input!$L$229*(1+vanilla5)^0.5)-SUM($L316:P316),(Input!$L$229*(1+vanilla5)^0.5)/A19stdlife))</f>
        <v>0</v>
      </c>
      <c r="R316" s="73"/>
      <c r="S316" s="107"/>
      <c r="T316" s="107"/>
      <c r="U316" s="107"/>
      <c r="V316" s="107"/>
      <c r="W316" s="107"/>
      <c r="X316" s="107"/>
      <c r="Y316" s="107"/>
      <c r="Z316" s="107"/>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outlineLevel="2">
      <c r="A317" s="9"/>
      <c r="B317" s="9"/>
      <c r="C317" s="9"/>
      <c r="D317" s="26"/>
      <c r="E317" s="392"/>
      <c r="F317" s="91">
        <v>6</v>
      </c>
      <c r="G317" s="27"/>
      <c r="H317" s="149"/>
      <c r="I317" s="151"/>
      <c r="J317" s="151"/>
      <c r="K317" s="151"/>
      <c r="L317" s="151"/>
      <c r="M317" s="150"/>
      <c r="N317" s="73">
        <f>IF(A19stdlife="n/a","n/a",IF(N$3&gt;(A19stdlife+$F317),(Input!$M$229*(1+vanilla6)^0.5)-SUM($M317:M317),(Input!$M$229*(1+vanilla6)^0.5)/A19stdlife))</f>
        <v>0</v>
      </c>
      <c r="O317" s="73">
        <f>IF(A19stdlife="n/a","n/a",IF(O$3&gt;(A19stdlife+$F317),(Input!$M$229*(1+vanilla6)^0.5)-SUM($M317:N317),(Input!$M$229*(1+vanilla6)^0.5)/A19stdlife))</f>
        <v>0</v>
      </c>
      <c r="P317" s="73">
        <f>IF(A19stdlife="n/a","n/a",IF(P$3&gt;(A19stdlife+$F317),(Input!$M$229*(1+vanilla6)^0.5)-SUM($M317:O317),(Input!$M$229*(1+vanilla6)^0.5)/A19stdlife))</f>
        <v>0</v>
      </c>
      <c r="Q317" s="73">
        <f>IF(A19stdlife="n/a","n/a",IF(Q$3&gt;(A19stdlife+$F317),(Input!$M$229*(1+vanilla6)^0.5)-SUM($M317:P317),(Input!$M$229*(1+vanilla6)^0.5)/A19stdlife))</f>
        <v>0</v>
      </c>
      <c r="R317" s="73"/>
      <c r="S317" s="107"/>
      <c r="T317" s="107"/>
      <c r="U317" s="107"/>
      <c r="V317" s="107"/>
      <c r="W317" s="107"/>
      <c r="X317" s="107"/>
      <c r="Y317" s="107"/>
      <c r="Z317" s="107"/>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107"/>
      <c r="BE317" s="107"/>
      <c r="BF317" s="107"/>
      <c r="BG317" s="107"/>
      <c r="BH317" s="107"/>
      <c r="BI317" s="107"/>
      <c r="BJ317" s="107"/>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outlineLevel="2">
      <c r="A318" s="9"/>
      <c r="B318" s="9"/>
      <c r="C318" s="9"/>
      <c r="D318" s="26"/>
      <c r="E318" s="392"/>
      <c r="F318" s="91">
        <v>7</v>
      </c>
      <c r="G318" s="27"/>
      <c r="H318" s="149"/>
      <c r="I318" s="151"/>
      <c r="J318" s="151"/>
      <c r="K318" s="151"/>
      <c r="L318" s="151"/>
      <c r="M318" s="151"/>
      <c r="N318" s="150"/>
      <c r="O318" s="73">
        <f>IF(A19stdlife="n/a","n/a",IF(O$3&gt;(A19stdlife+$F318),(Input!$N$229*(1+vanilla7)^0.5)-SUM($N318:N318),(Input!$N$229*(1+vanilla7)^0.5)/A19stdlife))</f>
        <v>0</v>
      </c>
      <c r="P318" s="73">
        <f>IF(A19stdlife="n/a","n/a",IF(P$3&gt;(A19stdlife+$F318),(Input!$N$229*(1+vanilla7)^0.5)-SUM($N318:O318),(Input!$N$229*(1+vanilla7)^0.5)/A19stdlife))</f>
        <v>0</v>
      </c>
      <c r="Q318" s="73">
        <f>IF(A19stdlife="n/a","n/a",IF(Q$3&gt;(A19stdlife+$F318),(Input!$N$229*(1+vanilla7)^0.5)-SUM($N318:P318),(Input!$N$229*(1+vanilla7)^0.5)/A19stdlife))</f>
        <v>0</v>
      </c>
      <c r="R318" s="73"/>
      <c r="S318" s="107"/>
      <c r="T318" s="107"/>
      <c r="U318" s="107"/>
      <c r="V318" s="107"/>
      <c r="W318" s="107"/>
      <c r="X318" s="107"/>
      <c r="Y318" s="107"/>
      <c r="Z318" s="107"/>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107"/>
      <c r="BE318" s="107"/>
      <c r="BF318" s="107"/>
      <c r="BG318" s="107"/>
      <c r="BH318" s="107"/>
      <c r="BI318" s="107"/>
      <c r="BJ318" s="107"/>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outlineLevel="2">
      <c r="A319" s="9"/>
      <c r="B319" s="9"/>
      <c r="C319" s="9"/>
      <c r="D319" s="26"/>
      <c r="E319" s="392"/>
      <c r="F319" s="91">
        <v>8</v>
      </c>
      <c r="G319" s="27"/>
      <c r="H319" s="149"/>
      <c r="I319" s="151"/>
      <c r="J319" s="151"/>
      <c r="K319" s="151"/>
      <c r="L319" s="151"/>
      <c r="M319" s="151"/>
      <c r="N319" s="151"/>
      <c r="O319" s="150"/>
      <c r="P319" s="73">
        <f>IF(A19stdlife="n/a","n/a",IF(P$3&gt;(A19stdlife+$F319),(Input!$O$229*(1+vanilla8)^0.5)-SUM($O319:O319),(Input!$O$229*(1+vanilla8)^0.5)/A19stdlife))</f>
        <v>0</v>
      </c>
      <c r="Q319" s="73">
        <f>IF(A19stdlife="n/a","n/a",IF(Q$3&gt;(A19stdlife+$F319),(Input!$O$229*(1+vanilla8)^0.5)-SUM($O319:P319),(Input!$O$229*(1+vanilla8)^0.5)/A19stdlife))</f>
        <v>0</v>
      </c>
      <c r="R319" s="73"/>
      <c r="S319" s="107"/>
      <c r="T319" s="107"/>
      <c r="U319" s="107"/>
      <c r="V319" s="107"/>
      <c r="W319" s="107"/>
      <c r="X319" s="107"/>
      <c r="Y319" s="107"/>
      <c r="Z319" s="107"/>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107"/>
      <c r="BE319" s="107"/>
      <c r="BF319" s="107"/>
      <c r="BG319" s="107"/>
      <c r="BH319" s="107"/>
      <c r="BI319" s="107"/>
      <c r="BJ319" s="107"/>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outlineLevel="2">
      <c r="A320" s="9"/>
      <c r="B320" s="9"/>
      <c r="C320" s="9"/>
      <c r="D320" s="26"/>
      <c r="E320" s="392"/>
      <c r="F320" s="91">
        <v>9</v>
      </c>
      <c r="G320" s="27"/>
      <c r="H320" s="149"/>
      <c r="I320" s="151"/>
      <c r="J320" s="151"/>
      <c r="K320" s="151"/>
      <c r="L320" s="151"/>
      <c r="M320" s="151"/>
      <c r="N320" s="151"/>
      <c r="O320" s="151"/>
      <c r="P320" s="150"/>
      <c r="Q320" s="73">
        <f>IF(A19stdlife="n/a","n/a",IF(Q$3&gt;(A19stdlife+$F320),(Input!$P$229*(1+vanilla9)^0.5)-SUM($P320:P320),(Input!$P$229*(1+vanilla9)^0.5)/A19stdlife))</f>
        <v>0</v>
      </c>
      <c r="R320" s="73"/>
      <c r="S320" s="107"/>
      <c r="T320" s="107"/>
      <c r="U320" s="107"/>
      <c r="V320" s="107"/>
      <c r="W320" s="107"/>
      <c r="X320" s="107"/>
      <c r="Y320" s="107"/>
      <c r="Z320" s="107"/>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107"/>
      <c r="BE320" s="107"/>
      <c r="BF320" s="107"/>
      <c r="BG320" s="107"/>
      <c r="BH320" s="107"/>
      <c r="BI320" s="107"/>
      <c r="BJ320" s="107"/>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outlineLevel="2">
      <c r="A321" s="9"/>
      <c r="B321" s="9"/>
      <c r="C321" s="9"/>
      <c r="D321" s="26"/>
      <c r="E321" s="392"/>
      <c r="F321" s="92">
        <v>10</v>
      </c>
      <c r="G321" s="27"/>
      <c r="H321" s="149"/>
      <c r="I321" s="151"/>
      <c r="J321" s="151"/>
      <c r="K321" s="151"/>
      <c r="L321" s="151"/>
      <c r="M321" s="151"/>
      <c r="N321" s="151"/>
      <c r="O321" s="151"/>
      <c r="P321" s="151"/>
      <c r="Q321" s="150"/>
      <c r="R321" s="73"/>
      <c r="S321" s="107"/>
      <c r="T321" s="107"/>
      <c r="U321" s="107"/>
      <c r="V321" s="107"/>
      <c r="W321" s="107"/>
      <c r="X321" s="107"/>
      <c r="Y321" s="107"/>
      <c r="Z321" s="107"/>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107"/>
      <c r="BE321" s="107"/>
      <c r="BF321" s="107"/>
      <c r="BG321" s="107"/>
      <c r="BH321" s="107"/>
      <c r="BI321" s="107"/>
      <c r="BJ321" s="107"/>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outlineLevel="1">
      <c r="A322" s="9"/>
      <c r="B322" s="9"/>
      <c r="C322" s="9"/>
      <c r="D322" s="279" t="str">
        <f>Asset19</f>
        <v>Transmission operations - short life (4)</v>
      </c>
      <c r="E322" s="9"/>
      <c r="F322" s="9"/>
      <c r="G322" s="124"/>
      <c r="H322" s="165">
        <f>-SUM(H310:H321)</f>
        <v>0</v>
      </c>
      <c r="I322" s="165">
        <f>-SUM(I310:I321)</f>
        <v>-1.14144447442605E-2</v>
      </c>
      <c r="J322" s="165">
        <f>-SUM(J310:J321)</f>
        <v>-2.7398656098735579E-2</v>
      </c>
      <c r="K322" s="165">
        <f>-SUM(K310:K321)</f>
        <v>-2.7398656098735579E-2</v>
      </c>
      <c r="L322" s="165">
        <f>-SUM(L310:L321)</f>
        <v>-6.5076586185463053E-2</v>
      </c>
      <c r="M322" s="73">
        <f>IF(COUNT($H322:L322)&gt;=Input!$W$7,0, -SUM(M310:M321))</f>
        <v>0</v>
      </c>
      <c r="N322" s="73">
        <f>IF(COUNT($H322:M322)&gt;=Input!$W$7,0, -SUM(N310:N321))</f>
        <v>0</v>
      </c>
      <c r="O322" s="73">
        <f>IF(COUNT($H322:N322)&gt;=Input!$W$7,0, -SUM(O310:O321))</f>
        <v>0</v>
      </c>
      <c r="P322" s="73">
        <f>IF(COUNT($H322:O322)&gt;=Input!$W$7,0, -SUM(P310:P321))</f>
        <v>0</v>
      </c>
      <c r="Q322" s="73">
        <f>IF(COUNT($H322:P322)&gt;=Input!$W$7,0, -SUM(Q310:Q321))</f>
        <v>0</v>
      </c>
      <c r="R322" s="71"/>
      <c r="S322" s="109"/>
      <c r="T322" s="109"/>
      <c r="U322" s="109"/>
      <c r="V322" s="109"/>
      <c r="W322" s="109"/>
      <c r="X322" s="109"/>
      <c r="Y322" s="109"/>
      <c r="Z322" s="109"/>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109"/>
      <c r="BE322" s="109"/>
      <c r="BF322" s="109"/>
      <c r="BG322" s="109"/>
      <c r="BH322" s="109"/>
      <c r="BI322" s="109"/>
      <c r="BJ322" s="109"/>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2">
      <c r="A323" s="9"/>
      <c r="B323" s="9"/>
      <c r="C323" s="280" t="str">
        <f>Asset20</f>
        <v>Other - medium life (40)</v>
      </c>
      <c r="D323" s="161"/>
      <c r="E323" s="32" t="s">
        <v>26</v>
      </c>
      <c r="F323" s="31"/>
      <c r="G323" s="181"/>
      <c r="H323" s="72" t="str">
        <f>IF(H$3&gt;A20remlife,A20value-$G$649-SUM($G323:G323),IF(A20remlife="N/A","n/a",(A20value-$G$649)/A20remlife))</f>
        <v>n/a</v>
      </c>
      <c r="I323" s="72" t="str">
        <f>IF(I$3&gt;A20remlife,A20value-$G$649-SUM($G323:H323),IF(A20remlife="N/A","n/a",(A20value-$G$649)/A20remlife))</f>
        <v>n/a</v>
      </c>
      <c r="J323" s="72" t="str">
        <f>IF(J$3&gt;A20remlife,A20value-$G$649-SUM($G323:I323),IF(A20remlife="N/A","n/a",(A20value-$G$649)/A20remlife))</f>
        <v>n/a</v>
      </c>
      <c r="K323" s="72" t="str">
        <f>IF(K$3&gt;A20remlife,A20value-$G$649-SUM($G323:J323),IF(A20remlife="N/A","n/a",(A20value-$G$649)/A20remlife))</f>
        <v>n/a</v>
      </c>
      <c r="L323" s="72" t="str">
        <f>IF(L$3&gt;A20remlife,A20value-$G$649-SUM($G323:K323),IF(A20remlife="N/A","n/a",(A20value-$G$649)/A20remlife))</f>
        <v>n/a</v>
      </c>
      <c r="M323" s="72" t="str">
        <f>IF(M$3&gt;A20remlife,A20value-$G$649-SUM($G323:L323),IF(A20remlife="N/A","n/a",(A20value-$G$649)/A20remlife))</f>
        <v>n/a</v>
      </c>
      <c r="N323" s="72" t="str">
        <f>IF(N$3&gt;A20remlife,A20value-$G$649-SUM($G323:M323),IF(A20remlife="N/A","n/a",(A20value-$G$649)/A20remlife))</f>
        <v>n/a</v>
      </c>
      <c r="O323" s="72" t="str">
        <f>IF(O$3&gt;A20remlife,A20value-$G$649-SUM($G323:N323),IF(A20remlife="N/A","n/a",(A20value-$G$649)/A20remlife))</f>
        <v>n/a</v>
      </c>
      <c r="P323" s="72" t="str">
        <f>IF(P$3&gt;A20remlife,A20value-$G$649-SUM($G323:O323),IF(A20remlife="N/A","n/a",(A20value-$G$649)/A20remlife))</f>
        <v>n/a</v>
      </c>
      <c r="Q323" s="72" t="str">
        <f>IF(Q$3&gt;A20remlife,A20value-$G$649-SUM($G323:P323),IF(A20remlife="N/A","n/a",(A20value-$G$649)/A20remlife))</f>
        <v>n/a</v>
      </c>
      <c r="R323" s="72"/>
      <c r="S323" s="107"/>
      <c r="T323" s="107"/>
      <c r="U323" s="107"/>
      <c r="V323" s="107"/>
      <c r="W323" s="107"/>
      <c r="X323" s="107"/>
      <c r="Y323" s="107"/>
      <c r="Z323" s="107"/>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107"/>
      <c r="BE323" s="107"/>
      <c r="BF323" s="107"/>
      <c r="BG323" s="107"/>
      <c r="BH323" s="107"/>
      <c r="BI323" s="107"/>
      <c r="BJ323" s="107"/>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9"/>
      <c r="C324" s="9"/>
      <c r="D324" s="26"/>
      <c r="E324" s="391" t="s">
        <v>81</v>
      </c>
      <c r="F324" s="91"/>
      <c r="G324" s="124"/>
      <c r="H324" s="73"/>
      <c r="I324" s="73"/>
      <c r="J324" s="73"/>
      <c r="K324" s="73"/>
      <c r="L324" s="73"/>
      <c r="M324" s="163"/>
      <c r="N324" s="115"/>
      <c r="O324" s="73"/>
      <c r="P324" s="73"/>
      <c r="Q324" s="73"/>
      <c r="R324" s="73"/>
      <c r="S324" s="107"/>
      <c r="T324" s="107"/>
      <c r="U324" s="107"/>
      <c r="V324" s="107"/>
      <c r="W324" s="107"/>
      <c r="X324" s="107"/>
      <c r="Y324" s="107"/>
      <c r="Z324" s="107"/>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107"/>
      <c r="BE324" s="107"/>
      <c r="BF324" s="107"/>
      <c r="BG324" s="107"/>
      <c r="BH324" s="107"/>
      <c r="BI324" s="107"/>
      <c r="BJ324" s="107"/>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outlineLevel="2">
      <c r="A325" s="9"/>
      <c r="B325" s="9"/>
      <c r="C325" s="9"/>
      <c r="D325" s="26"/>
      <c r="E325" s="392"/>
      <c r="F325" s="91">
        <v>1</v>
      </c>
      <c r="G325" s="124"/>
      <c r="H325" s="148"/>
      <c r="I325" s="73">
        <f>IF(A20stdlife="n/a","n/a",IF(I$3&gt;(A20stdlife+$F325),(Input!$H$230*(1+vanilla1)^0.5)-SUM($H325:H325),(Input!$H$230*(1+vanilla1)^0.5)/A20stdlife))</f>
        <v>0.20748832833012862</v>
      </c>
      <c r="J325" s="73">
        <f>IF(A20stdlife="n/a","n/a",IF(J$3&gt;(A20stdlife+$F325),(Input!$H$230*(1+vanilla1)^0.5)-SUM($H325:I325),(Input!$H$230*(1+vanilla1)^0.5)/A20stdlife))</f>
        <v>0.20748832833012862</v>
      </c>
      <c r="K325" s="73">
        <f>IF(A20stdlife="n/a","n/a",IF(K$3&gt;(A20stdlife+$F325),(Input!$H$230*(1+vanilla1)^0.5)-SUM($H325:J325),(Input!$H$230*(1+vanilla1)^0.5)/A20stdlife))</f>
        <v>0.20748832833012862</v>
      </c>
      <c r="L325" s="73">
        <f>IF(A20stdlife="n/a","n/a",IF(L$3&gt;(A20stdlife+$F325),(Input!$H$230*(1+vanilla1)^0.5)-SUM($H325:K325),(Input!$H$230*(1+vanilla1)^0.5)/A20stdlife))</f>
        <v>0.20748832833012862</v>
      </c>
      <c r="M325" s="73">
        <f>IF(A20stdlife="n/a","n/a",IF(M$3&gt;(A20stdlife+$F325),(Input!$H$230*(1+vanilla1)^0.5)-SUM($H325:L325),(Input!$H$230*(1+vanilla1)^0.5)/A20stdlife))</f>
        <v>0.20748832833012862</v>
      </c>
      <c r="N325" s="73">
        <f>IF(A20stdlife="n/a","n/a",IF(N$3&gt;(A20stdlife+$F325),(Input!$H$230*(1+vanilla1)^0.5)-SUM($H325:M325),(Input!$H$230*(1+vanilla1)^0.5)/A20stdlife))</f>
        <v>0.20748832833012862</v>
      </c>
      <c r="O325" s="73">
        <f>IF(A20stdlife="n/a","n/a",IF(O$3&gt;(A20stdlife+$F325),(Input!$H$230*(1+vanilla1)^0.5)-SUM($H325:N325),(Input!$H$230*(1+vanilla1)^0.5)/A20stdlife))</f>
        <v>0.20748832833012862</v>
      </c>
      <c r="P325" s="73">
        <f>IF(A20stdlife="n/a","n/a",IF(P$3&gt;(A20stdlife+$F325),(Input!$H$230*(1+vanilla1)^0.5)-SUM($H325:O325),(Input!$H$230*(1+vanilla1)^0.5)/A20stdlife))</f>
        <v>0.20748832833012862</v>
      </c>
      <c r="Q325" s="73">
        <f>IF(A20stdlife="n/a","n/a",IF(Q$3&gt;(A20stdlife+$F325),(Input!$H$230*(1+vanilla1)^0.5)-SUM($H325:P325),(Input!$H$230*(1+vanilla1)^0.5)/A20stdlife))</f>
        <v>0.20748832833012862</v>
      </c>
      <c r="R325" s="73"/>
      <c r="S325" s="107"/>
      <c r="T325" s="107"/>
      <c r="U325" s="107"/>
      <c r="V325" s="107"/>
      <c r="W325" s="107"/>
      <c r="X325" s="107"/>
      <c r="Y325" s="107"/>
      <c r="Z325" s="107"/>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107"/>
      <c r="BE325" s="107"/>
      <c r="BF325" s="107"/>
      <c r="BG325" s="107"/>
      <c r="BH325" s="107"/>
      <c r="BI325" s="107"/>
      <c r="BJ325" s="107"/>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outlineLevel="2">
      <c r="A326" s="9"/>
      <c r="B326" s="9"/>
      <c r="C326" s="9"/>
      <c r="D326" s="26"/>
      <c r="E326" s="392"/>
      <c r="F326" s="91">
        <v>2</v>
      </c>
      <c r="G326" s="124"/>
      <c r="H326" s="149"/>
      <c r="I326" s="150"/>
      <c r="J326" s="73">
        <f>IF(A20stdlife="n/a","n/a",IF(J$3&gt;(A20stdlife+$F326),(Input!$I$230*(1+vanilla2)^0.5)-SUM($I326:I326),(Input!$I$230*(1+vanilla2)^0.5)/A20stdlife))</f>
        <v>0.35724712377251799</v>
      </c>
      <c r="K326" s="73">
        <f>IF(A20stdlife="n/a","n/a",IF(K$3&gt;(A20stdlife+$F326),(Input!$I$230*(1+vanilla2)^0.5)-SUM($I326:J326),(Input!$I$230*(1+vanilla2)^0.5)/A20stdlife))</f>
        <v>0.35724712377251799</v>
      </c>
      <c r="L326" s="73">
        <f>IF(A20stdlife="n/a","n/a",IF(L$3&gt;(A20stdlife+$F326),(Input!$I$230*(1+vanilla2)^0.5)-SUM($I326:K326),(Input!$I$230*(1+vanilla2)^0.5)/A20stdlife))</f>
        <v>0.35724712377251799</v>
      </c>
      <c r="M326" s="73">
        <f>IF(A20stdlife="n/a","n/a",IF(M$3&gt;(A20stdlife+$F326),(Input!$I$230*(1+vanilla2)^0.5)-SUM($I326:L326),(Input!$I$230*(1+vanilla2)^0.5)/A20stdlife))</f>
        <v>0.35724712377251799</v>
      </c>
      <c r="N326" s="73">
        <f>IF(A20stdlife="n/a","n/a",IF(N$3&gt;(A20stdlife+$F326),(Input!$I$230*(1+vanilla2)^0.5)-SUM($I326:M326),(Input!$I$230*(1+vanilla2)^0.5)/A20stdlife))</f>
        <v>0.35724712377251799</v>
      </c>
      <c r="O326" s="73">
        <f>IF(A20stdlife="n/a","n/a",IF(O$3&gt;(A20stdlife+$F326),(Input!$I$230*(1+vanilla2)^0.5)-SUM($I326:N326),(Input!$I$230*(1+vanilla2)^0.5)/A20stdlife))</f>
        <v>0.35724712377251799</v>
      </c>
      <c r="P326" s="73">
        <f>IF(A20stdlife="n/a","n/a",IF(P$3&gt;(A20stdlife+$F326),(Input!$I$230*(1+vanilla2)^0.5)-SUM($I326:O326),(Input!$I$230*(1+vanilla2)^0.5)/A20stdlife))</f>
        <v>0.35724712377251799</v>
      </c>
      <c r="Q326" s="73">
        <f>IF(A20stdlife="n/a","n/a",IF(Q$3&gt;(A20stdlife+$F326),(Input!$I$230*(1+vanilla2)^0.5)-SUM($I326:P326),(Input!$I$230*(1+vanilla2)^0.5)/A20stdlife))</f>
        <v>0.35724712377251799</v>
      </c>
      <c r="R326" s="73"/>
      <c r="S326" s="107"/>
      <c r="T326" s="107"/>
      <c r="U326" s="107"/>
      <c r="V326" s="107"/>
      <c r="W326" s="107"/>
      <c r="X326" s="107"/>
      <c r="Y326" s="107"/>
      <c r="Z326" s="107"/>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107"/>
      <c r="BE326" s="107"/>
      <c r="BF326" s="107"/>
      <c r="BG326" s="107"/>
      <c r="BH326" s="107"/>
      <c r="BI326" s="107"/>
      <c r="BJ326" s="107"/>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outlineLevel="2">
      <c r="A327" s="9"/>
      <c r="B327" s="9"/>
      <c r="C327" s="9"/>
      <c r="D327" s="26"/>
      <c r="E327" s="392"/>
      <c r="F327" s="91">
        <v>3</v>
      </c>
      <c r="G327" s="124"/>
      <c r="H327" s="149"/>
      <c r="I327" s="151"/>
      <c r="J327" s="150"/>
      <c r="K327" s="73">
        <f>IF(A20stdlife="n/a","n/a",IF(K$3&gt;(A20stdlife+$F327),(Input!$J$230*(1+vanilla3)^0.5)-SUM($J327:J327),(Input!$J$230*(1+vanilla3)^0.5)/A20stdlife))</f>
        <v>3.9133682508086763E-2</v>
      </c>
      <c r="L327" s="73">
        <f>IF(A20stdlife="n/a","n/a",IF(L$3&gt;(A20stdlife+$F327),(Input!$J$230*(1+vanilla3)^0.5)-SUM($J327:K327),(Input!$J$230*(1+vanilla3)^0.5)/A20stdlife))</f>
        <v>3.9133682508086763E-2</v>
      </c>
      <c r="M327" s="73">
        <f>IF(A20stdlife="n/a","n/a",IF(M$3&gt;(A20stdlife+$F327),(Input!$J$230*(1+vanilla3)^0.5)-SUM($J327:L327),(Input!$J$230*(1+vanilla3)^0.5)/A20stdlife))</f>
        <v>3.9133682508086763E-2</v>
      </c>
      <c r="N327" s="73">
        <f>IF(A20stdlife="n/a","n/a",IF(N$3&gt;(A20stdlife+$F327),(Input!$J$230*(1+vanilla3)^0.5)-SUM($J327:M327),(Input!$J$230*(1+vanilla3)^0.5)/A20stdlife))</f>
        <v>3.9133682508086763E-2</v>
      </c>
      <c r="O327" s="73">
        <f>IF(A20stdlife="n/a","n/a",IF(O$3&gt;(A20stdlife+$F327),(Input!$J$230*(1+vanilla3)^0.5)-SUM($J327:N327),(Input!$J$230*(1+vanilla3)^0.5)/A20stdlife))</f>
        <v>3.9133682508086763E-2</v>
      </c>
      <c r="P327" s="73">
        <f>IF(A20stdlife="n/a","n/a",IF(P$3&gt;(A20stdlife+$F327),(Input!$J$230*(1+vanilla3)^0.5)-SUM($J327:O327),(Input!$J$230*(1+vanilla3)^0.5)/A20stdlife))</f>
        <v>3.9133682508086763E-2</v>
      </c>
      <c r="Q327" s="73">
        <f>IF(A20stdlife="n/a","n/a",IF(Q$3&gt;(A20stdlife+$F327),(Input!$J$230*(1+vanilla3)^0.5)-SUM($J327:P327),(Input!$J$230*(1+vanilla3)^0.5)/A20stdlife))</f>
        <v>3.9133682508086763E-2</v>
      </c>
      <c r="R327" s="73"/>
      <c r="S327" s="107"/>
      <c r="T327" s="107"/>
      <c r="U327" s="107"/>
      <c r="V327" s="107"/>
      <c r="W327" s="107"/>
      <c r="X327" s="107"/>
      <c r="Y327" s="107"/>
      <c r="Z327" s="107"/>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107"/>
      <c r="BE327" s="107"/>
      <c r="BF327" s="107"/>
      <c r="BG327" s="107"/>
      <c r="BH327" s="107"/>
      <c r="BI327" s="107"/>
      <c r="BJ327" s="107"/>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outlineLevel="2">
      <c r="A328" s="9"/>
      <c r="B328" s="9"/>
      <c r="C328" s="9"/>
      <c r="D328" s="26"/>
      <c r="E328" s="392"/>
      <c r="F328" s="91">
        <v>4</v>
      </c>
      <c r="G328" s="124"/>
      <c r="H328" s="149"/>
      <c r="I328" s="151"/>
      <c r="J328" s="151"/>
      <c r="K328" s="150"/>
      <c r="L328" s="73">
        <f>IF(A20stdlife="n/a","n/a",IF(L$3&gt;(A20stdlife+$F328),(Input!$K$230*(1+vanilla4)^0.5)-SUM($K328:K328),(Input!$K$230*(1+vanilla4)^0.5)/A20stdlife))</f>
        <v>2.8673141764113358E-3</v>
      </c>
      <c r="M328" s="73">
        <f>IF(A20stdlife="n/a","n/a",IF(M$3&gt;(A20stdlife+$F328),(Input!$K$230*(1+vanilla4)^0.5)-SUM($K328:L328),(Input!$K$230*(1+vanilla4)^0.5)/A20stdlife))</f>
        <v>2.8673141764113358E-3</v>
      </c>
      <c r="N328" s="73">
        <f>IF(A20stdlife="n/a","n/a",IF(N$3&gt;(A20stdlife+$F328),(Input!$K$230*(1+vanilla4)^0.5)-SUM($K328:M328),(Input!$K$230*(1+vanilla4)^0.5)/A20stdlife))</f>
        <v>2.8673141764113358E-3</v>
      </c>
      <c r="O328" s="73">
        <f>IF(A20stdlife="n/a","n/a",IF(O$3&gt;(A20stdlife+$F328),(Input!$K$230*(1+vanilla4)^0.5)-SUM($K328:N328),(Input!$K$230*(1+vanilla4)^0.5)/A20stdlife))</f>
        <v>2.8673141764113358E-3</v>
      </c>
      <c r="P328" s="73">
        <f>IF(A20stdlife="n/a","n/a",IF(P$3&gt;(A20stdlife+$F328),(Input!$K$230*(1+vanilla4)^0.5)-SUM($K328:O328),(Input!$K$230*(1+vanilla4)^0.5)/A20stdlife))</f>
        <v>2.8673141764113358E-3</v>
      </c>
      <c r="Q328" s="73">
        <f>IF(A20stdlife="n/a","n/a",IF(Q$3&gt;(A20stdlife+$F328),(Input!$K$230*(1+vanilla4)^0.5)-SUM($K328:P328),(Input!$K$230*(1+vanilla4)^0.5)/A20stdlife))</f>
        <v>2.8673141764113358E-3</v>
      </c>
      <c r="R328" s="73"/>
      <c r="S328" s="107"/>
      <c r="T328" s="107"/>
      <c r="U328" s="107"/>
      <c r="V328" s="107"/>
      <c r="W328" s="107"/>
      <c r="X328" s="107"/>
      <c r="Y328" s="107"/>
      <c r="Z328" s="107"/>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107"/>
      <c r="BE328" s="107"/>
      <c r="BF328" s="107"/>
      <c r="BG328" s="107"/>
      <c r="BH328" s="107"/>
      <c r="BI328" s="107"/>
      <c r="BJ328" s="107"/>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2">
      <c r="A329" s="9"/>
      <c r="B329" s="9"/>
      <c r="C329" s="9"/>
      <c r="D329" s="26"/>
      <c r="E329" s="392"/>
      <c r="F329" s="91">
        <v>5</v>
      </c>
      <c r="G329" s="27"/>
      <c r="H329" s="149"/>
      <c r="I329" s="151"/>
      <c r="J329" s="151"/>
      <c r="K329" s="151"/>
      <c r="L329" s="150"/>
      <c r="M329" s="73">
        <f>IF(A20stdlife="n/a","n/a",IF(M$3&gt;(A20stdlife+$F329),(Input!$L$230*(1+vanilla5)^0.5)-SUM($L329:L329),(Input!$L$230*(1+vanilla5)^0.5)/A20stdlife))</f>
        <v>8.1040030703820848E-2</v>
      </c>
      <c r="N329" s="73">
        <f>IF(A20stdlife="n/a","n/a",IF(N$3&gt;(A20stdlife+$F329),(Input!$L$230*(1+vanilla5)^0.5)-SUM($L329:M329),(Input!$L$230*(1+vanilla5)^0.5)/A20stdlife))</f>
        <v>8.1040030703820848E-2</v>
      </c>
      <c r="O329" s="73">
        <f>IF(A20stdlife="n/a","n/a",IF(O$3&gt;(A20stdlife+$F329),(Input!$L$230*(1+vanilla5)^0.5)-SUM($L329:N329),(Input!$L$230*(1+vanilla5)^0.5)/A20stdlife))</f>
        <v>8.1040030703820848E-2</v>
      </c>
      <c r="P329" s="73">
        <f>IF(A20stdlife="n/a","n/a",IF(P$3&gt;(A20stdlife+$F329),(Input!$L$230*(1+vanilla5)^0.5)-SUM($L329:O329),(Input!$L$230*(1+vanilla5)^0.5)/A20stdlife))</f>
        <v>8.1040030703820848E-2</v>
      </c>
      <c r="Q329" s="73">
        <f>IF(A20stdlife="n/a","n/a",IF(Q$3&gt;(A20stdlife+$F329),(Input!$L$230*(1+vanilla5)^0.5)-SUM($L329:P329),(Input!$L$230*(1+vanilla5)^0.5)/A20stdlife))</f>
        <v>8.1040030703820848E-2</v>
      </c>
      <c r="R329" s="73"/>
      <c r="S329" s="107"/>
      <c r="T329" s="107"/>
      <c r="U329" s="107"/>
      <c r="V329" s="107"/>
      <c r="W329" s="107"/>
      <c r="X329" s="107"/>
      <c r="Y329" s="107"/>
      <c r="Z329" s="107"/>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outlineLevel="2">
      <c r="A330" s="9"/>
      <c r="B330" s="9"/>
      <c r="C330" s="9"/>
      <c r="D330" s="26"/>
      <c r="E330" s="392"/>
      <c r="F330" s="91">
        <v>6</v>
      </c>
      <c r="G330" s="27"/>
      <c r="H330" s="149"/>
      <c r="I330" s="151"/>
      <c r="J330" s="151"/>
      <c r="K330" s="151"/>
      <c r="L330" s="151"/>
      <c r="M330" s="150"/>
      <c r="N330" s="73">
        <f>IF(A20stdlife="n/a","n/a",IF(N$3&gt;(A20stdlife+$F330),(Input!$M$230*(1+vanilla6)^0.5)-SUM($M330:M330),(Input!$M$230*(1+vanilla6)^0.5)/A20stdlife))</f>
        <v>0</v>
      </c>
      <c r="O330" s="73">
        <f>IF(A20stdlife="n/a","n/a",IF(O$3&gt;(A20stdlife+$F330),(Input!$M$230*(1+vanilla6)^0.5)-SUM($M330:N330),(Input!$M$230*(1+vanilla6)^0.5)/A20stdlife))</f>
        <v>0</v>
      </c>
      <c r="P330" s="73">
        <f>IF(A20stdlife="n/a","n/a",IF(P$3&gt;(A20stdlife+$F330),(Input!$M$230*(1+vanilla6)^0.5)-SUM($M330:O330),(Input!$M$230*(1+vanilla6)^0.5)/A20stdlife))</f>
        <v>0</v>
      </c>
      <c r="Q330" s="73">
        <f>IF(A20stdlife="n/a","n/a",IF(Q$3&gt;(A20stdlife+$F330),(Input!$M$230*(1+vanilla6)^0.5)-SUM($M330:P330),(Input!$M$230*(1+vanilla6)^0.5)/A20stdlife))</f>
        <v>0</v>
      </c>
      <c r="R330" s="73"/>
      <c r="S330" s="107"/>
      <c r="T330" s="107"/>
      <c r="U330" s="107"/>
      <c r="V330" s="107"/>
      <c r="W330" s="107"/>
      <c r="X330" s="107"/>
      <c r="Y330" s="107"/>
      <c r="Z330" s="107"/>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107"/>
      <c r="BE330" s="107"/>
      <c r="BF330" s="107"/>
      <c r="BG330" s="107"/>
      <c r="BH330" s="107"/>
      <c r="BI330" s="107"/>
      <c r="BJ330" s="107"/>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outlineLevel="2">
      <c r="A331" s="9"/>
      <c r="B331" s="9"/>
      <c r="C331" s="9"/>
      <c r="D331" s="26"/>
      <c r="E331" s="392"/>
      <c r="F331" s="91">
        <v>7</v>
      </c>
      <c r="G331" s="27"/>
      <c r="H331" s="149"/>
      <c r="I331" s="151"/>
      <c r="J331" s="151"/>
      <c r="K331" s="151"/>
      <c r="L331" s="151"/>
      <c r="M331" s="151"/>
      <c r="N331" s="150"/>
      <c r="O331" s="73">
        <f>IF(A20stdlife="n/a","n/a",IF(O$3&gt;(A20stdlife+$F331),(Input!N$230*(1+vanilla7)^0.5)-SUM($N331:N331),(Input!$N$230*(1+vanilla7)^0.5)/A20stdlife))</f>
        <v>0</v>
      </c>
      <c r="P331" s="73">
        <f>IF(A20stdlife="n/a","n/a",IF(P$3&gt;(A20stdlife+$F331),(Input!O$230*(1+vanilla7)^0.5)-SUM($N331:O331),(Input!$N$230*(1+vanilla7)^0.5)/A20stdlife))</f>
        <v>0</v>
      </c>
      <c r="Q331" s="73">
        <f>IF(A20stdlife="n/a","n/a",IF(Q$3&gt;(A20stdlife+$F331),(Input!P$230*(1+vanilla7)^0.5)-SUM($N331:P331),(Input!$N$230*(1+vanilla7)^0.5)/A20stdlife))</f>
        <v>0</v>
      </c>
      <c r="R331" s="73"/>
      <c r="S331" s="107"/>
      <c r="T331" s="107"/>
      <c r="U331" s="107"/>
      <c r="V331" s="107"/>
      <c r="W331" s="107"/>
      <c r="X331" s="107"/>
      <c r="Y331" s="107"/>
      <c r="Z331" s="107"/>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107"/>
      <c r="BE331" s="107"/>
      <c r="BF331" s="107"/>
      <c r="BG331" s="107"/>
      <c r="BH331" s="107"/>
      <c r="BI331" s="107"/>
      <c r="BJ331" s="107"/>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outlineLevel="2">
      <c r="A332" s="9"/>
      <c r="B332" s="9"/>
      <c r="C332" s="9"/>
      <c r="D332" s="26"/>
      <c r="E332" s="392"/>
      <c r="F332" s="91">
        <v>8</v>
      </c>
      <c r="G332" s="27"/>
      <c r="H332" s="149"/>
      <c r="I332" s="151"/>
      <c r="J332" s="151"/>
      <c r="K332" s="151"/>
      <c r="L332" s="151"/>
      <c r="M332" s="151"/>
      <c r="N332" s="151"/>
      <c r="O332" s="150"/>
      <c r="P332" s="73">
        <f>IF(A20stdlife="n/a","n/a",IF(P$3&gt;(A20stdlife+$F332),(Input!$O$230*(1+vanilla8)^0.5)-SUM($O332:O332),(Input!$O$230*(1+vanilla8)^0.5)/A20stdlife))</f>
        <v>0</v>
      </c>
      <c r="Q332" s="73">
        <f>IF(A20stdlife="n/a","n/a",IF(Q$3&gt;(A20stdlife+$F332),(Input!$O$230*(1+vanilla8)^0.5)-SUM($O332:P332),(Input!$O$230*(1+vanilla8)^0.5)/A20stdlife))</f>
        <v>0</v>
      </c>
      <c r="R332" s="73"/>
      <c r="S332" s="107"/>
      <c r="T332" s="107"/>
      <c r="U332" s="107"/>
      <c r="V332" s="107"/>
      <c r="W332" s="107"/>
      <c r="X332" s="107"/>
      <c r="Y332" s="107"/>
      <c r="Z332" s="107"/>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107"/>
      <c r="BE332" s="107"/>
      <c r="BF332" s="107"/>
      <c r="BG332" s="107"/>
      <c r="BH332" s="107"/>
      <c r="BI332" s="107"/>
      <c r="BJ332" s="107"/>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outlineLevel="2">
      <c r="A333" s="9"/>
      <c r="B333" s="9"/>
      <c r="C333" s="9"/>
      <c r="D333" s="26"/>
      <c r="E333" s="392"/>
      <c r="F333" s="91">
        <v>9</v>
      </c>
      <c r="G333" s="27"/>
      <c r="H333" s="149"/>
      <c r="I333" s="151"/>
      <c r="J333" s="151"/>
      <c r="K333" s="151"/>
      <c r="L333" s="151"/>
      <c r="M333" s="151"/>
      <c r="N333" s="151"/>
      <c r="O333" s="151"/>
      <c r="P333" s="150"/>
      <c r="Q333" s="73">
        <f>IF(A20stdlife="n/a","n/a",IF(Q$3&gt;(A20stdlife+$F333),(Input!$P$230*(1+vanilla9)^0.5)-SUM($P333:P333),(Input!$P$230*(1+vanilla9)^0.5)/A20stdlife))</f>
        <v>0</v>
      </c>
      <c r="R333" s="73"/>
      <c r="S333" s="107"/>
      <c r="T333" s="107"/>
      <c r="U333" s="107"/>
      <c r="V333" s="107"/>
      <c r="W333" s="107"/>
      <c r="X333" s="107"/>
      <c r="Y333" s="107"/>
      <c r="Z333" s="107"/>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107"/>
      <c r="BE333" s="107"/>
      <c r="BF333" s="107"/>
      <c r="BG333" s="107"/>
      <c r="BH333" s="107"/>
      <c r="BI333" s="107"/>
      <c r="BJ333" s="107"/>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outlineLevel="2">
      <c r="A334" s="9"/>
      <c r="B334" s="9"/>
      <c r="C334" s="9"/>
      <c r="D334" s="26"/>
      <c r="E334" s="392"/>
      <c r="F334" s="92">
        <v>10</v>
      </c>
      <c r="G334" s="27"/>
      <c r="H334" s="149"/>
      <c r="I334" s="151"/>
      <c r="J334" s="151"/>
      <c r="K334" s="151"/>
      <c r="L334" s="151"/>
      <c r="M334" s="151"/>
      <c r="N334" s="151"/>
      <c r="O334" s="151"/>
      <c r="P334" s="151"/>
      <c r="Q334" s="150"/>
      <c r="R334" s="73"/>
      <c r="S334" s="107"/>
      <c r="T334" s="107"/>
      <c r="U334" s="107"/>
      <c r="V334" s="107"/>
      <c r="W334" s="107"/>
      <c r="X334" s="107"/>
      <c r="Y334" s="107"/>
      <c r="Z334" s="107"/>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107"/>
      <c r="BE334" s="107"/>
      <c r="BF334" s="107"/>
      <c r="BG334" s="107"/>
      <c r="BH334" s="107"/>
      <c r="BI334" s="107"/>
      <c r="BJ334" s="107"/>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outlineLevel="1">
      <c r="A335" s="9"/>
      <c r="B335" s="9"/>
      <c r="C335" s="9"/>
      <c r="D335" s="279" t="str">
        <f>Asset20</f>
        <v>Other - medium life (40)</v>
      </c>
      <c r="E335" s="9"/>
      <c r="F335" s="9"/>
      <c r="G335" s="124"/>
      <c r="H335" s="165">
        <f>-SUM(H323:H334)</f>
        <v>0</v>
      </c>
      <c r="I335" s="165">
        <f>-SUM(I323:I334)</f>
        <v>-0.20748832833012862</v>
      </c>
      <c r="J335" s="165">
        <f>-SUM(J323:J334)</f>
        <v>-0.56473545210264664</v>
      </c>
      <c r="K335" s="165">
        <f>-SUM(K323:K334)</f>
        <v>-0.60386913461073344</v>
      </c>
      <c r="L335" s="165">
        <f>-SUM(L323:L334)</f>
        <v>-0.60673644878714472</v>
      </c>
      <c r="M335" s="73">
        <f>IF(COUNT($H335:L335)&gt;=Input!$W$7,0, -SUM(M323:M334))</f>
        <v>0</v>
      </c>
      <c r="N335" s="73">
        <f>IF(COUNT($H335:M335)&gt;=Input!$W$7,0, -SUM(N323:N334))</f>
        <v>0</v>
      </c>
      <c r="O335" s="73">
        <f>IF(COUNT($H335:N335)&gt;=Input!$W$7,0, -SUM(O323:O334))</f>
        <v>0</v>
      </c>
      <c r="P335" s="73">
        <f>IF(COUNT($H335:O335)&gt;=Input!$W$7,0, -SUM(P323:P334))</f>
        <v>0</v>
      </c>
      <c r="Q335" s="73">
        <f>IF(COUNT($H335:P335)&gt;=Input!$W$7,0, -SUM(Q323:Q334))</f>
        <v>0</v>
      </c>
      <c r="R335" s="71"/>
      <c r="S335" s="109"/>
      <c r="T335" s="109"/>
      <c r="U335" s="109"/>
      <c r="V335" s="109"/>
      <c r="W335" s="109"/>
      <c r="X335" s="109"/>
      <c r="Y335" s="109"/>
      <c r="Z335" s="109"/>
      <c r="AA335" s="240"/>
      <c r="AB335" s="240"/>
      <c r="AC335" s="240"/>
      <c r="AD335" s="240"/>
      <c r="AE335" s="240"/>
      <c r="AF335" s="240"/>
      <c r="AG335" s="240"/>
      <c r="AH335" s="240"/>
      <c r="AI335" s="240"/>
      <c r="AJ335" s="240"/>
      <c r="AK335" s="240"/>
      <c r="AL335" s="240"/>
      <c r="AM335" s="240"/>
      <c r="AN335" s="240"/>
      <c r="AO335" s="240"/>
      <c r="AP335" s="240"/>
      <c r="AQ335" s="240"/>
      <c r="AR335" s="240"/>
      <c r="AS335" s="240"/>
      <c r="AT335" s="240"/>
      <c r="AU335" s="240"/>
      <c r="AV335" s="240"/>
      <c r="AW335" s="240"/>
      <c r="AX335" s="240"/>
      <c r="AY335" s="240"/>
      <c r="AZ335" s="240"/>
      <c r="BA335" s="240"/>
      <c r="BB335" s="240"/>
      <c r="BC335" s="240"/>
      <c r="BD335" s="109"/>
      <c r="BE335" s="109"/>
      <c r="BF335" s="109"/>
      <c r="BG335" s="109"/>
      <c r="BH335" s="109"/>
      <c r="BI335" s="109"/>
      <c r="BJ335" s="109"/>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outlineLevel="2">
      <c r="A336" s="9"/>
      <c r="B336" s="9"/>
      <c r="C336" s="280" t="str">
        <f>Asset21</f>
        <v>Other - short life (9)</v>
      </c>
      <c r="D336" s="161"/>
      <c r="E336" s="32" t="s">
        <v>26</v>
      </c>
      <c r="F336" s="31"/>
      <c r="G336" s="181"/>
      <c r="H336" s="72" t="str">
        <f>IF(H$3&gt;A21remlife,A21value-$G$650-SUM($G336:G336),IF(A21remlife="N/A","n/a",(A21value-$G$650)/A21remlife))</f>
        <v>n/a</v>
      </c>
      <c r="I336" s="72" t="str">
        <f>IF(I$3&gt;A21remlife,A21value-$G$650-SUM($G336:H336),IF(A21remlife="N/A","n/a",(A21value-$G$650)/A21remlife))</f>
        <v>n/a</v>
      </c>
      <c r="J336" s="72" t="str">
        <f>IF(J$3&gt;A21remlife,A21value-$G$650-SUM($G336:I336),IF(A21remlife="N/A","n/a",(A21value-$G$650)/A21remlife))</f>
        <v>n/a</v>
      </c>
      <c r="K336" s="72" t="str">
        <f>IF(K$3&gt;A21remlife,A21value-$G$650-SUM($G336:J336),IF(A21remlife="N/A","n/a",(A21value-$G$650)/A21remlife))</f>
        <v>n/a</v>
      </c>
      <c r="L336" s="72" t="str">
        <f>IF(L$3&gt;A21remlife,A21value-$G$650-SUM($G336:K336),IF(A21remlife="N/A","n/a",(A21value-$G$650)/A21remlife))</f>
        <v>n/a</v>
      </c>
      <c r="M336" s="72" t="str">
        <f>IF(M$3&gt;A21remlife,A21value-$G$650-SUM($G336:L336),IF(A21remlife="N/A","n/a",(A21value-$G$650)/A21remlife))</f>
        <v>n/a</v>
      </c>
      <c r="N336" s="72" t="str">
        <f>IF(N$3&gt;A21remlife,A21value-$G$650-SUM($G336:M336),IF(A21remlife="N/A","n/a",(A21value-$G$650)/A21remlife))</f>
        <v>n/a</v>
      </c>
      <c r="O336" s="72" t="str">
        <f>IF(O$3&gt;A21remlife,A21value-$G$650-SUM($G336:N336),IF(A21remlife="N/A","n/a",(A21value-$G$650)/A21remlife))</f>
        <v>n/a</v>
      </c>
      <c r="P336" s="72" t="str">
        <f>IF(P$3&gt;A21remlife,A21value-$G$650-SUM($G336:O336),IF(A21remlife="N/A","n/a",(A21value-$G$650)/A21remlife))</f>
        <v>n/a</v>
      </c>
      <c r="Q336" s="72" t="str">
        <f>IF(Q$3&gt;A21remlife,A21value-$G$650-SUM($G336:P336),IF(A21remlife="N/A","n/a",(A21value-$G$650)/A21remlife))</f>
        <v>n/a</v>
      </c>
      <c r="R336" s="72"/>
      <c r="S336" s="107"/>
      <c r="T336" s="107"/>
      <c r="U336" s="107"/>
      <c r="V336" s="107"/>
      <c r="W336" s="107"/>
      <c r="X336" s="107"/>
      <c r="Y336" s="107"/>
      <c r="Z336" s="107"/>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107"/>
      <c r="BE336" s="107"/>
      <c r="BF336" s="107"/>
      <c r="BG336" s="107"/>
      <c r="BH336" s="107"/>
      <c r="BI336" s="107"/>
      <c r="BJ336" s="107"/>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customHeight="1" outlineLevel="2">
      <c r="A337" s="9"/>
      <c r="B337" s="9"/>
      <c r="C337" s="9"/>
      <c r="D337" s="26"/>
      <c r="E337" s="391" t="s">
        <v>81</v>
      </c>
      <c r="F337" s="91"/>
      <c r="G337" s="124"/>
      <c r="H337" s="73"/>
      <c r="I337" s="73"/>
      <c r="J337" s="73"/>
      <c r="K337" s="73"/>
      <c r="L337" s="73"/>
      <c r="M337" s="163"/>
      <c r="N337" s="115"/>
      <c r="O337" s="73"/>
      <c r="P337" s="73"/>
      <c r="Q337" s="73"/>
      <c r="R337" s="73"/>
      <c r="S337" s="107"/>
      <c r="T337" s="107"/>
      <c r="U337" s="107"/>
      <c r="V337" s="107"/>
      <c r="W337" s="107"/>
      <c r="X337" s="107"/>
      <c r="Y337" s="107"/>
      <c r="Z337" s="107"/>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107"/>
      <c r="BE337" s="107"/>
      <c r="BF337" s="107"/>
      <c r="BG337" s="107"/>
      <c r="BH337" s="107"/>
      <c r="BI337" s="107"/>
      <c r="BJ337" s="107"/>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outlineLevel="2">
      <c r="A338" s="9"/>
      <c r="B338" s="9"/>
      <c r="C338" s="9"/>
      <c r="D338" s="26"/>
      <c r="E338" s="392"/>
      <c r="F338" s="91">
        <v>1</v>
      </c>
      <c r="G338" s="124"/>
      <c r="H338" s="148"/>
      <c r="I338" s="73">
        <f>IF(A21stdlife="n/a","n/a",IF(I$3&gt;(A21stdlife+$F338),(Input!$H$231*(1+vanilla1)^0.5)-SUM($H338:H338),(Input!$H$231*(1+vanilla1)^0.5)/A21stdlife))</f>
        <v>7.8837173591285184E-2</v>
      </c>
      <c r="J338" s="73">
        <f>IF(A21stdlife="n/a","n/a",IF(J$3&gt;(A21stdlife+$F338),(Input!$H$231*(1+vanilla1)^0.5)-SUM($H338:I338),(Input!$H$231*(1+vanilla1)^0.5)/A21stdlife))</f>
        <v>7.8837173591285184E-2</v>
      </c>
      <c r="K338" s="73">
        <f>IF(A21stdlife="n/a","n/a",IF(K$3&gt;(A21stdlife+$F338),(Input!$H$231*(1+vanilla1)^0.5)-SUM($H338:J338),(Input!$H$231*(1+vanilla1)^0.5)/A21stdlife))</f>
        <v>7.8837173591285184E-2</v>
      </c>
      <c r="L338" s="73">
        <f>IF(A21stdlife="n/a","n/a",IF(L$3&gt;(A21stdlife+$F338),(Input!$H$231*(1+vanilla1)^0.5)-SUM($H338:K338),(Input!$H$231*(1+vanilla1)^0.5)/A21stdlife))</f>
        <v>7.8837173591285184E-2</v>
      </c>
      <c r="M338" s="73">
        <f>IF(A21stdlife="n/a","n/a",IF(M$3&gt;(A21stdlife+$F338),(Input!$H$231*(1+vanilla1)^0.5)-SUM($H338:L338),(Input!$H$231*(1+vanilla1)^0.5)/A21stdlife))</f>
        <v>7.8837173591285184E-2</v>
      </c>
      <c r="N338" s="73">
        <f>IF(A21stdlife="n/a","n/a",IF(N$3&gt;(A21stdlife+$F338),(Input!$H$231*(1+vanilla1)^0.5)-SUM($H338:M338),(Input!$H$231*(1+vanilla1)^0.5)/A21stdlife))</f>
        <v>7.8837173591285184E-2</v>
      </c>
      <c r="O338" s="73">
        <f>IF(A21stdlife="n/a","n/a",IF(O$3&gt;(A21stdlife+$F338),(Input!$H$231*(1+vanilla1)^0.5)-SUM($H338:N338),(Input!$H$231*(1+vanilla1)^0.5)/A21stdlife))</f>
        <v>7.8837173591285184E-2</v>
      </c>
      <c r="P338" s="73">
        <f>IF(A21stdlife="n/a","n/a",IF(P$3&gt;(A21stdlife+$F338),(Input!$H$231*(1+vanilla1)^0.5)-SUM($H338:O338),(Input!$H$231*(1+vanilla1)^0.5)/A21stdlife))</f>
        <v>7.8837173591285184E-2</v>
      </c>
      <c r="Q338" s="73">
        <f>IF(A21stdlife="n/a","n/a",IF(Q$3&gt;(A21stdlife+$F338),(Input!$H$231*(1+vanilla1)^0.5)-SUM($H338:P338),(Input!$H$231*(1+vanilla1)^0.5)/A21stdlife))</f>
        <v>7.8837173591285184E-2</v>
      </c>
      <c r="R338" s="73"/>
      <c r="S338" s="107"/>
      <c r="T338" s="107"/>
      <c r="U338" s="107"/>
      <c r="V338" s="107"/>
      <c r="W338" s="107"/>
      <c r="X338" s="107"/>
      <c r="Y338" s="107"/>
      <c r="Z338" s="107"/>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107"/>
      <c r="BE338" s="107"/>
      <c r="BF338" s="107"/>
      <c r="BG338" s="107"/>
      <c r="BH338" s="107"/>
      <c r="BI338" s="107"/>
      <c r="BJ338" s="107"/>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outlineLevel="2">
      <c r="A339" s="9"/>
      <c r="B339" s="9"/>
      <c r="C339" s="9"/>
      <c r="D339" s="26"/>
      <c r="E339" s="392"/>
      <c r="F339" s="91">
        <v>2</v>
      </c>
      <c r="G339" s="124"/>
      <c r="H339" s="149"/>
      <c r="I339" s="150"/>
      <c r="J339" s="73">
        <f>IF(A21stdlife="n/a","n/a",IF(J$3&gt;(A21stdlife+$F339),(Input!$I$231*(1+vanilla2)^0.5)-SUM($I339:I339),(Input!$I$231*(1+vanilla2)^0.5)/A21stdlife))</f>
        <v>0.11100146773941026</v>
      </c>
      <c r="K339" s="73">
        <f>IF(A21stdlife="n/a","n/a",IF(K$3&gt;(A21stdlife+$F339),(Input!$I$231*(1+vanilla2)^0.5)-SUM($I339:J339),(Input!$I$231*(1+vanilla2)^0.5)/A21stdlife))</f>
        <v>0.11100146773941026</v>
      </c>
      <c r="L339" s="73">
        <f>IF(A21stdlife="n/a","n/a",IF(L$3&gt;(A21stdlife+$F339),(Input!$I$231*(1+vanilla2)^0.5)-SUM($I339:K339),(Input!$I$231*(1+vanilla2)^0.5)/A21stdlife))</f>
        <v>0.11100146773941026</v>
      </c>
      <c r="M339" s="73">
        <f>IF(A21stdlife="n/a","n/a",IF(M$3&gt;(A21stdlife+$F339),(Input!$I$231*(1+vanilla2)^0.5)-SUM($I339:L339),(Input!$I$231*(1+vanilla2)^0.5)/A21stdlife))</f>
        <v>0.11100146773941026</v>
      </c>
      <c r="N339" s="73">
        <f>IF(A21stdlife="n/a","n/a",IF(N$3&gt;(A21stdlife+$F339),(Input!$I$231*(1+vanilla2)^0.5)-SUM($I339:M339),(Input!$I$231*(1+vanilla2)^0.5)/A21stdlife))</f>
        <v>0.11100146773941026</v>
      </c>
      <c r="O339" s="73">
        <f>IF(A21stdlife="n/a","n/a",IF(O$3&gt;(A21stdlife+$F339),(Input!$I$231*(1+vanilla2)^0.5)-SUM($I339:N339),(Input!$I$231*(1+vanilla2)^0.5)/A21stdlife))</f>
        <v>0.11100146773941026</v>
      </c>
      <c r="P339" s="73">
        <f>IF(A21stdlife="n/a","n/a",IF(P$3&gt;(A21stdlife+$F339),(Input!$I$231*(1+vanilla2)^0.5)-SUM($I339:O339),(Input!$I$231*(1+vanilla2)^0.5)/A21stdlife))</f>
        <v>0.11100146773941026</v>
      </c>
      <c r="Q339" s="73">
        <f>IF(A21stdlife="n/a","n/a",IF(Q$3&gt;(A21stdlife+$F339),(Input!$I$231*(1+vanilla2)^0.5)-SUM($I339:P339),(Input!$I$231*(1+vanilla2)^0.5)/A21stdlife))</f>
        <v>0.11100146773941026</v>
      </c>
      <c r="R339" s="73"/>
      <c r="S339" s="107"/>
      <c r="T339" s="107"/>
      <c r="U339" s="107"/>
      <c r="V339" s="107"/>
      <c r="W339" s="107"/>
      <c r="X339" s="107"/>
      <c r="Y339" s="107"/>
      <c r="Z339" s="107"/>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107"/>
      <c r="BE339" s="107"/>
      <c r="BF339" s="107"/>
      <c r="BG339" s="107"/>
      <c r="BH339" s="107"/>
      <c r="BI339" s="107"/>
      <c r="BJ339" s="107"/>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outlineLevel="2">
      <c r="A340" s="9"/>
      <c r="B340" s="9"/>
      <c r="C340" s="9"/>
      <c r="D340" s="26"/>
      <c r="E340" s="392"/>
      <c r="F340" s="91">
        <v>3</v>
      </c>
      <c r="G340" s="124"/>
      <c r="H340" s="149"/>
      <c r="I340" s="151"/>
      <c r="J340" s="150"/>
      <c r="K340" s="73">
        <f>IF(A21stdlife="n/a","n/a",IF(K$3&gt;(A21stdlife+$F340),(Input!$J$231*(1+vanilla3)^0.5)-SUM($J340:J340),(Input!$J$231*(1+vanilla3)^0.5)/A21stdlife))</f>
        <v>0.11843683731099541</v>
      </c>
      <c r="L340" s="73">
        <f>IF(A21stdlife="n/a","n/a",IF(L$3&gt;(A21stdlife+$F340),(Input!$J$231*(1+vanilla3)^0.5)-SUM($J340:K340),(Input!$J$231*(1+vanilla3)^0.5)/A21stdlife))</f>
        <v>0.11843683731099541</v>
      </c>
      <c r="M340" s="73">
        <f>IF(A21stdlife="n/a","n/a",IF(M$3&gt;(A21stdlife+$F340),(Input!$J$231*(1+vanilla3)^0.5)-SUM($J340:L340),(Input!$J$231*(1+vanilla3)^0.5)/A21stdlife))</f>
        <v>0.11843683731099541</v>
      </c>
      <c r="N340" s="73">
        <f>IF(A21stdlife="n/a","n/a",IF(N$3&gt;(A21stdlife+$F340),(Input!$J$231*(1+vanilla3)^0.5)-SUM($J340:M340),(Input!$J$231*(1+vanilla3)^0.5)/A21stdlife))</f>
        <v>0.11843683731099541</v>
      </c>
      <c r="O340" s="73">
        <f>IF(A21stdlife="n/a","n/a",IF(O$3&gt;(A21stdlife+$F340),(Input!$J$231*(1+vanilla3)^0.5)-SUM($J340:N340),(Input!$J$231*(1+vanilla3)^0.5)/A21stdlife))</f>
        <v>0.11843683731099541</v>
      </c>
      <c r="P340" s="73">
        <f>IF(A21stdlife="n/a","n/a",IF(P$3&gt;(A21stdlife+$F340),(Input!$J$231*(1+vanilla3)^0.5)-SUM($J340:O340),(Input!$J$231*(1+vanilla3)^0.5)/A21stdlife))</f>
        <v>0.11843683731099541</v>
      </c>
      <c r="Q340" s="73">
        <f>IF(A21stdlife="n/a","n/a",IF(Q$3&gt;(A21stdlife+$F340),(Input!$J$231*(1+vanilla3)^0.5)-SUM($J340:P340),(Input!$J$231*(1+vanilla3)^0.5)/A21stdlife))</f>
        <v>0.11843683731099541</v>
      </c>
      <c r="R340" s="73"/>
      <c r="S340" s="107"/>
      <c r="T340" s="107"/>
      <c r="U340" s="107"/>
      <c r="V340" s="107"/>
      <c r="W340" s="107"/>
      <c r="X340" s="107"/>
      <c r="Y340" s="107"/>
      <c r="Z340" s="107"/>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107"/>
      <c r="BE340" s="107"/>
      <c r="BF340" s="107"/>
      <c r="BG340" s="107"/>
      <c r="BH340" s="107"/>
      <c r="BI340" s="107"/>
      <c r="BJ340" s="107"/>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outlineLevel="2">
      <c r="A341" s="9"/>
      <c r="B341" s="9"/>
      <c r="C341" s="9"/>
      <c r="D341" s="26"/>
      <c r="E341" s="392"/>
      <c r="F341" s="91">
        <v>4</v>
      </c>
      <c r="G341" s="124"/>
      <c r="H341" s="149"/>
      <c r="I341" s="151"/>
      <c r="J341" s="151"/>
      <c r="K341" s="150"/>
      <c r="L341" s="73">
        <f>IF(A21stdlife="n/a","n/a",IF(L$3&gt;(A21stdlife+$F341),(Input!$K$231*(1+vanilla4)^0.5)-SUM($K341:K341),(Input!$K$231*(1+vanilla4)^0.5)/A21stdlife))</f>
        <v>2.4328726345308301E-2</v>
      </c>
      <c r="M341" s="73">
        <f>IF(A21stdlife="n/a","n/a",IF(M$3&gt;(A21stdlife+$F341),(Input!$K$231*(1+vanilla4)^0.5)-SUM($K341:L341),(Input!$K$231*(1+vanilla4)^0.5)/A21stdlife))</f>
        <v>2.4328726345308301E-2</v>
      </c>
      <c r="N341" s="73">
        <f>IF(A21stdlife="n/a","n/a",IF(N$3&gt;(A21stdlife+$F341),(Input!$K$231*(1+vanilla4)^0.5)-SUM($K341:M341),(Input!$K$231*(1+vanilla4)^0.5)/A21stdlife))</f>
        <v>2.4328726345308301E-2</v>
      </c>
      <c r="O341" s="73">
        <f>IF(A21stdlife="n/a","n/a",IF(O$3&gt;(A21stdlife+$F341),(Input!$K$231*(1+vanilla4)^0.5)-SUM($K341:N341),(Input!$K$231*(1+vanilla4)^0.5)/A21stdlife))</f>
        <v>2.4328726345308301E-2</v>
      </c>
      <c r="P341" s="73">
        <f>IF(A21stdlife="n/a","n/a",IF(P$3&gt;(A21stdlife+$F341),(Input!$K$231*(1+vanilla4)^0.5)-SUM($K341:O341),(Input!$K$231*(1+vanilla4)^0.5)/A21stdlife))</f>
        <v>2.4328726345308301E-2</v>
      </c>
      <c r="Q341" s="73">
        <f>IF(A21stdlife="n/a","n/a",IF(Q$3&gt;(A21stdlife+$F341),(Input!$K$231*(1+vanilla4)^0.5)-SUM($K341:P341),(Input!$K$231*(1+vanilla4)^0.5)/A21stdlife))</f>
        <v>2.4328726345308301E-2</v>
      </c>
      <c r="R341" s="73"/>
      <c r="S341" s="107"/>
      <c r="T341" s="107"/>
      <c r="U341" s="107"/>
      <c r="V341" s="107"/>
      <c r="W341" s="107"/>
      <c r="X341" s="107"/>
      <c r="Y341" s="107"/>
      <c r="Z341" s="107"/>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107"/>
      <c r="BE341" s="107"/>
      <c r="BF341" s="107"/>
      <c r="BG341" s="107"/>
      <c r="BH341" s="107"/>
      <c r="BI341" s="107"/>
      <c r="BJ341" s="107"/>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2">
      <c r="A342" s="9"/>
      <c r="B342" s="9"/>
      <c r="C342" s="9"/>
      <c r="D342" s="26"/>
      <c r="E342" s="392"/>
      <c r="F342" s="91">
        <v>5</v>
      </c>
      <c r="G342" s="27"/>
      <c r="H342" s="149"/>
      <c r="I342" s="151"/>
      <c r="J342" s="151"/>
      <c r="K342" s="151"/>
      <c r="L342" s="150"/>
      <c r="M342" s="73">
        <f>IF(A21stdlife="n/a","n/a",IF(M$3&gt;(A21stdlife+$F342),(Input!$L$231*(1+vanilla5)^0.5)-SUM($L342:L342),(Input!$L$231*(1+vanilla5)^0.5)/A21stdlife))</f>
        <v>5.1792936682030562E-2</v>
      </c>
      <c r="N342" s="73">
        <f>IF(A21stdlife="n/a","n/a",IF(N$3&gt;(A21stdlife+$F342),(Input!$L$231*(1+vanilla5)^0.5)-SUM($L342:M342),(Input!$L$231*(1+vanilla5)^0.5)/A21stdlife))</f>
        <v>5.1792936682030562E-2</v>
      </c>
      <c r="O342" s="73">
        <f>IF(A21stdlife="n/a","n/a",IF(O$3&gt;(A21stdlife+$F342),(Input!$L$231*(1+vanilla5)^0.5)-SUM($L342:N342),(Input!$L$231*(1+vanilla5)^0.5)/A21stdlife))</f>
        <v>5.1792936682030562E-2</v>
      </c>
      <c r="P342" s="73">
        <f>IF(A21stdlife="n/a","n/a",IF(P$3&gt;(A21stdlife+$F342),(Input!$L$231*(1+vanilla5)^0.5)-SUM($L342:O342),(Input!$L$231*(1+vanilla5)^0.5)/A21stdlife))</f>
        <v>5.1792936682030562E-2</v>
      </c>
      <c r="Q342" s="73">
        <f>IF(A21stdlife="n/a","n/a",IF(Q$3&gt;(A21stdlife+$F342),(Input!$L$231*(1+vanilla5)^0.5)-SUM($L342:P342),(Input!$L$231*(1+vanilla5)^0.5)/A21stdlife))</f>
        <v>5.1792936682030562E-2</v>
      </c>
      <c r="R342" s="73"/>
      <c r="S342" s="107"/>
      <c r="T342" s="107"/>
      <c r="U342" s="107"/>
      <c r="V342" s="107"/>
      <c r="W342" s="107"/>
      <c r="X342" s="107"/>
      <c r="Y342" s="107"/>
      <c r="Z342" s="107"/>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outlineLevel="2">
      <c r="A343" s="9"/>
      <c r="B343" s="9"/>
      <c r="C343" s="9"/>
      <c r="D343" s="26"/>
      <c r="E343" s="392"/>
      <c r="F343" s="91">
        <v>6</v>
      </c>
      <c r="G343" s="27"/>
      <c r="H343" s="149"/>
      <c r="I343" s="151"/>
      <c r="J343" s="151"/>
      <c r="K343" s="151"/>
      <c r="L343" s="151"/>
      <c r="M343" s="150"/>
      <c r="N343" s="73">
        <f>IF(A21stdlife="n/a","n/a",IF(N$3&gt;(A21stdlife+$F343),(Input!$M$231*(1+vanilla6)^0.5)-SUM($M343:M343),(Input!$M$231*(1+vanilla6)^0.5)/A21stdlife))</f>
        <v>0</v>
      </c>
      <c r="O343" s="73">
        <f>IF(A21stdlife="n/a","n/a",IF(O$3&gt;(A21stdlife+$F343),(Input!$M$231*(1+vanilla6)^0.5)-SUM($M343:N343),(Input!$M$231*(1+vanilla6)^0.5)/A21stdlife))</f>
        <v>0</v>
      </c>
      <c r="P343" s="73">
        <f>IF(A21stdlife="n/a","n/a",IF(P$3&gt;(A21stdlife+$F343),(Input!$M$231*(1+vanilla6)^0.5)-SUM($M343:O343),(Input!$M$231*(1+vanilla6)^0.5)/A21stdlife))</f>
        <v>0</v>
      </c>
      <c r="Q343" s="73">
        <f>IF(A21stdlife="n/a","n/a",IF(Q$3&gt;(A21stdlife+$F343),(Input!$M$231*(1+vanilla6)^0.5)-SUM($M343:P343),(Input!$M$231*(1+vanilla6)^0.5)/A21stdlife))</f>
        <v>0</v>
      </c>
      <c r="R343" s="73"/>
      <c r="S343" s="107"/>
      <c r="T343" s="107"/>
      <c r="U343" s="107"/>
      <c r="V343" s="107"/>
      <c r="W343" s="107"/>
      <c r="X343" s="107"/>
      <c r="Y343" s="107"/>
      <c r="Z343" s="107"/>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107"/>
      <c r="BE343" s="107"/>
      <c r="BF343" s="107"/>
      <c r="BG343" s="107"/>
      <c r="BH343" s="107"/>
      <c r="BI343" s="107"/>
      <c r="BJ343" s="107"/>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outlineLevel="2">
      <c r="A344" s="9"/>
      <c r="B344" s="9"/>
      <c r="C344" s="9"/>
      <c r="D344" s="26"/>
      <c r="E344" s="392"/>
      <c r="F344" s="91">
        <v>7</v>
      </c>
      <c r="G344" s="27"/>
      <c r="H344" s="149"/>
      <c r="I344" s="151"/>
      <c r="J344" s="151"/>
      <c r="K344" s="151"/>
      <c r="L344" s="151"/>
      <c r="M344" s="151"/>
      <c r="N344" s="150"/>
      <c r="O344" s="73">
        <f>IF(A22stdlife="n/a","n/a",IF(O$3&gt;(A22stdlife+$F344),(Input!N$231*(1+vanilla7)^0.5)-SUM($N344:N344),(Input!$N$231*(1+vanilla7)^0.5)/A21stdlife))</f>
        <v>0</v>
      </c>
      <c r="P344" s="73">
        <f>IF(A22stdlife="n/a","n/a",IF(P$3&gt;(A22stdlife+$F344),(Input!O$231*(1+vanilla7)^0.5)-SUM($N344:O344),(Input!$N$231*(1+vanilla7)^0.5)/A21stdlife))</f>
        <v>0</v>
      </c>
      <c r="Q344" s="73">
        <f>IF(A22stdlife="n/a","n/a",IF(Q$3&gt;(A22stdlife+$F344),(Input!P$231*(1+vanilla7)^0.5)-SUM($N344:P344),(Input!$N$231*(1+vanilla7)^0.5)/A21stdlife))</f>
        <v>0</v>
      </c>
      <c r="R344" s="73"/>
      <c r="S344" s="107"/>
      <c r="T344" s="107"/>
      <c r="U344" s="107"/>
      <c r="V344" s="107"/>
      <c r="W344" s="107"/>
      <c r="X344" s="107"/>
      <c r="Y344" s="107"/>
      <c r="Z344" s="107"/>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107"/>
      <c r="BE344" s="107"/>
      <c r="BF344" s="107"/>
      <c r="BG344" s="107"/>
      <c r="BH344" s="107"/>
      <c r="BI344" s="107"/>
      <c r="BJ344" s="107"/>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outlineLevel="2">
      <c r="A345" s="9"/>
      <c r="B345" s="9"/>
      <c r="C345" s="9"/>
      <c r="D345" s="26"/>
      <c r="E345" s="392"/>
      <c r="F345" s="91">
        <v>8</v>
      </c>
      <c r="G345" s="27"/>
      <c r="H345" s="149"/>
      <c r="I345" s="151"/>
      <c r="J345" s="151"/>
      <c r="K345" s="151"/>
      <c r="L345" s="151"/>
      <c r="M345" s="151"/>
      <c r="N345" s="151"/>
      <c r="O345" s="150"/>
      <c r="P345" s="73">
        <f>IF(A21stdlife="n/a","n/a",IF(P$3&gt;(A21stdlife+$F345),(Input!$O$231*(1+vanilla8)^0.5)-SUM($O345:O345),(Input!$O$231*(1+vanilla8)^0.5)/A21stdlife))</f>
        <v>0</v>
      </c>
      <c r="Q345" s="73">
        <f>IF(A21stdlife="n/a","n/a",IF(Q$3&gt;(A21stdlife+$F345),(Input!$O$231*(1+vanilla8)^0.5)-SUM($O345:P345),(Input!$O$231*(1+vanilla8)^0.5)/A21stdlife))</f>
        <v>0</v>
      </c>
      <c r="R345" s="73"/>
      <c r="S345" s="107"/>
      <c r="T345" s="107"/>
      <c r="U345" s="107"/>
      <c r="V345" s="107"/>
      <c r="W345" s="107"/>
      <c r="X345" s="107"/>
      <c r="Y345" s="107"/>
      <c r="Z345" s="107"/>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107"/>
      <c r="BE345" s="107"/>
      <c r="BF345" s="107"/>
      <c r="BG345" s="107"/>
      <c r="BH345" s="107"/>
      <c r="BI345" s="107"/>
      <c r="BJ345" s="107"/>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outlineLevel="2">
      <c r="A346" s="9"/>
      <c r="B346" s="9"/>
      <c r="C346" s="9"/>
      <c r="D346" s="26"/>
      <c r="E346" s="392"/>
      <c r="F346" s="91">
        <v>9</v>
      </c>
      <c r="G346" s="27"/>
      <c r="H346" s="149"/>
      <c r="I346" s="151"/>
      <c r="J346" s="151"/>
      <c r="K346" s="151"/>
      <c r="L346" s="151"/>
      <c r="M346" s="151"/>
      <c r="N346" s="151"/>
      <c r="O346" s="151"/>
      <c r="P346" s="150"/>
      <c r="Q346" s="73">
        <f>IF(A21stdlife="n/a","n/a",IF(Q$3&gt;(A21stdlife+$F346),(Input!$P$231*(1+vanilla9)^0.5)-SUM($P346:P346),(Input!$P$231*(1+vanilla9)^0.5)/A21stdlife))</f>
        <v>0</v>
      </c>
      <c r="R346" s="73"/>
      <c r="S346" s="107"/>
      <c r="T346" s="107"/>
      <c r="U346" s="107"/>
      <c r="V346" s="107"/>
      <c r="W346" s="107"/>
      <c r="X346" s="107"/>
      <c r="Y346" s="107"/>
      <c r="Z346" s="107"/>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107"/>
      <c r="BE346" s="107"/>
      <c r="BF346" s="107"/>
      <c r="BG346" s="107"/>
      <c r="BH346" s="107"/>
      <c r="BI346" s="107"/>
      <c r="BJ346" s="107"/>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outlineLevel="2">
      <c r="A347" s="9"/>
      <c r="B347" s="9"/>
      <c r="C347" s="9"/>
      <c r="D347" s="26"/>
      <c r="E347" s="392"/>
      <c r="F347" s="92">
        <v>10</v>
      </c>
      <c r="G347" s="27"/>
      <c r="H347" s="149"/>
      <c r="I347" s="151"/>
      <c r="J347" s="151"/>
      <c r="K347" s="151"/>
      <c r="L347" s="151"/>
      <c r="M347" s="151"/>
      <c r="N347" s="151"/>
      <c r="O347" s="151"/>
      <c r="P347" s="151"/>
      <c r="Q347" s="150"/>
      <c r="R347" s="73"/>
      <c r="S347" s="107"/>
      <c r="T347" s="107"/>
      <c r="U347" s="107"/>
      <c r="V347" s="107"/>
      <c r="W347" s="107"/>
      <c r="X347" s="107"/>
      <c r="Y347" s="107"/>
      <c r="Z347" s="107"/>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107"/>
      <c r="BE347" s="107"/>
      <c r="BF347" s="107"/>
      <c r="BG347" s="107"/>
      <c r="BH347" s="107"/>
      <c r="BI347" s="107"/>
      <c r="BJ347" s="107"/>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outlineLevel="1">
      <c r="A348" s="9"/>
      <c r="B348" s="9"/>
      <c r="C348" s="9"/>
      <c r="D348" s="279" t="str">
        <f>Asset21</f>
        <v>Other - short life (9)</v>
      </c>
      <c r="E348" s="9"/>
      <c r="F348" s="9"/>
      <c r="G348" s="124"/>
      <c r="H348" s="165">
        <f>-SUM(H336:H347)</f>
        <v>0</v>
      </c>
      <c r="I348" s="165">
        <f>-SUM(I336:I347)</f>
        <v>-7.8837173591285184E-2</v>
      </c>
      <c r="J348" s="165">
        <f>-SUM(J336:J347)</f>
        <v>-0.18983864133069545</v>
      </c>
      <c r="K348" s="165">
        <f>-SUM(K336:K347)</f>
        <v>-0.30827547864169086</v>
      </c>
      <c r="L348" s="165">
        <f>-SUM(L336:L347)</f>
        <v>-0.33260420498699916</v>
      </c>
      <c r="M348" s="73">
        <f>IF(COUNT($H348:L348)&gt;=Input!$W$7,0, -SUM(M336:M347))</f>
        <v>0</v>
      </c>
      <c r="N348" s="73">
        <f>IF(COUNT($H348:M348)&gt;=Input!$W$7,0, -SUM(N336:N347))</f>
        <v>0</v>
      </c>
      <c r="O348" s="73">
        <f>IF(COUNT($H348:N348)&gt;=Input!$W$7,0, -SUM(O336:O347))</f>
        <v>0</v>
      </c>
      <c r="P348" s="73">
        <f>IF(COUNT($H348:O348)&gt;=Input!$W$7,0, -SUM(P336:P347))</f>
        <v>0</v>
      </c>
      <c r="Q348" s="73">
        <f>IF(COUNT($H348:P348)&gt;=Input!$W$7,0, -SUM(Q336:Q347))</f>
        <v>0</v>
      </c>
      <c r="R348" s="71"/>
      <c r="S348" s="109"/>
      <c r="T348" s="109"/>
      <c r="U348" s="109"/>
      <c r="V348" s="109"/>
      <c r="W348" s="109"/>
      <c r="X348" s="109"/>
      <c r="Y348" s="109"/>
      <c r="Z348" s="109"/>
      <c r="AA348" s="240"/>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109"/>
      <c r="BE348" s="109"/>
      <c r="BF348" s="109"/>
      <c r="BG348" s="109"/>
      <c r="BH348" s="109"/>
      <c r="BI348" s="109"/>
      <c r="BJ348" s="109"/>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outlineLevel="2">
      <c r="A349" s="9"/>
      <c r="B349" s="9"/>
      <c r="C349" s="280" t="str">
        <f>Asset22</f>
        <v>Other - short life (4)</v>
      </c>
      <c r="D349" s="161"/>
      <c r="E349" s="32" t="s">
        <v>26</v>
      </c>
      <c r="F349" s="31"/>
      <c r="G349" s="181"/>
      <c r="H349" s="72" t="str">
        <f>IF(H$3&gt;A22remlife,A22value-$G$651-SUM($G349:G349),IF(A22remlife="N/A","n/a",(A22value-$G$651)/A22remlife))</f>
        <v>n/a</v>
      </c>
      <c r="I349" s="72" t="str">
        <f>IF(I$3&gt;A22remlife,A22value-$G$651-SUM($G349:H349),IF(A22remlife="N/A","n/a",(A22value-$G$651)/A22remlife))</f>
        <v>n/a</v>
      </c>
      <c r="J349" s="72" t="str">
        <f>IF(J$3&gt;A22remlife,A22value-$G$651-SUM($G349:I349),IF(A22remlife="N/A","n/a",(A22value-$G$651)/A22remlife))</f>
        <v>n/a</v>
      </c>
      <c r="K349" s="72" t="str">
        <f>IF(K$3&gt;A22remlife,A22value-$G$651-SUM($G349:J349),IF(A22remlife="N/A","n/a",(A22value-$G$651)/A22remlife))</f>
        <v>n/a</v>
      </c>
      <c r="L349" s="72" t="str">
        <f>IF(L$3&gt;A22remlife,A22value-$G$651-SUM($G349:K349),IF(A22remlife="N/A","n/a",(A22value-$G$651)/A22remlife))</f>
        <v>n/a</v>
      </c>
      <c r="M349" s="72" t="str">
        <f>IF(M$3&gt;A22remlife,A22value-$G$651-SUM($G349:L349),IF(A22remlife="N/A","n/a",(A22value-$G$651)/A22remlife))</f>
        <v>n/a</v>
      </c>
      <c r="N349" s="72" t="str">
        <f>IF(N$3&gt;A22remlife,A22value-$G$651-SUM($G349:M349),IF(A22remlife="N/A","n/a",(A22value-$G$651)/A22remlife))</f>
        <v>n/a</v>
      </c>
      <c r="O349" s="72" t="str">
        <f>IF(O$3&gt;A22remlife,A22value-$G$651-SUM($G349:N349),IF(A22remlife="N/A","n/a",(A22value-$G$651)/A22remlife))</f>
        <v>n/a</v>
      </c>
      <c r="P349" s="72" t="str">
        <f>IF(P$3&gt;A22remlife,A22value-$G$651-SUM($G349:O349),IF(A22remlife="N/A","n/a",(A22value-$G$651)/A22remlife))</f>
        <v>n/a</v>
      </c>
      <c r="Q349" s="72" t="str">
        <f>IF(Q$3&gt;A22remlife,A22value-$G$651-SUM($G349:P349),IF(A22remlife="N/A","n/a",(A22value-$G$651)/A22remlife))</f>
        <v>n/a</v>
      </c>
      <c r="R349" s="72"/>
      <c r="S349" s="107"/>
      <c r="T349" s="107"/>
      <c r="U349" s="107"/>
      <c r="V349" s="107"/>
      <c r="W349" s="107"/>
      <c r="X349" s="107"/>
      <c r="Y349" s="107"/>
      <c r="Z349" s="107"/>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107"/>
      <c r="BE349" s="107"/>
      <c r="BF349" s="107"/>
      <c r="BG349" s="107"/>
      <c r="BH349" s="107"/>
      <c r="BI349" s="107"/>
      <c r="BJ349" s="107"/>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9"/>
      <c r="D350" s="26"/>
      <c r="E350" s="391" t="s">
        <v>81</v>
      </c>
      <c r="F350" s="91"/>
      <c r="G350" s="124"/>
      <c r="H350" s="73"/>
      <c r="I350" s="73"/>
      <c r="J350" s="73"/>
      <c r="K350" s="73"/>
      <c r="L350" s="73"/>
      <c r="M350" s="163"/>
      <c r="N350" s="115"/>
      <c r="O350" s="73"/>
      <c r="P350" s="73"/>
      <c r="Q350" s="73"/>
      <c r="R350" s="73"/>
      <c r="S350" s="107"/>
      <c r="T350" s="107"/>
      <c r="U350" s="107"/>
      <c r="V350" s="107"/>
      <c r="W350" s="107"/>
      <c r="X350" s="107"/>
      <c r="Y350" s="107"/>
      <c r="Z350" s="107"/>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107"/>
      <c r="BE350" s="107"/>
      <c r="BF350" s="107"/>
      <c r="BG350" s="107"/>
      <c r="BH350" s="107"/>
      <c r="BI350" s="107"/>
      <c r="BJ350" s="107"/>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2">
      <c r="A351" s="9"/>
      <c r="B351" s="9"/>
      <c r="C351" s="9"/>
      <c r="D351" s="26"/>
      <c r="E351" s="392"/>
      <c r="F351" s="91">
        <v>1</v>
      </c>
      <c r="G351" s="124"/>
      <c r="H351" s="148"/>
      <c r="I351" s="73">
        <f>IF(A22stdlife="n/a","n/a",IF(I$3&gt;(A22stdlife+$F351),(Input!$H$232*(1+vanilla1)^0.5)-SUM($H351:H351),(Input!$H$232*(1+vanilla1)^0.5)/A22stdlife))</f>
        <v>0.63656298836085889</v>
      </c>
      <c r="J351" s="73">
        <f>IF(A22stdlife="n/a","n/a",IF(J$3&gt;(A22stdlife+$F351),(Input!$H$232*(1+vanilla1)^0.5)-SUM($H351:I351),(Input!$H$232*(1+vanilla1)^0.5)/A22stdlife))</f>
        <v>0.63656298836085889</v>
      </c>
      <c r="K351" s="73">
        <f>IF(A22stdlife="n/a","n/a",IF(K$3&gt;(A22stdlife+$F351),(Input!$H$232*(1+vanilla1)^0.5)-SUM($H351:J351),(Input!$H$232*(1+vanilla1)^0.5)/A22stdlife))</f>
        <v>0.63656298836085889</v>
      </c>
      <c r="L351" s="73">
        <f>IF(A22stdlife="n/a","n/a",IF(L$3&gt;(A22stdlife+$F351),(Input!$H$232*(1+vanilla1)^0.5)-SUM($H351:K351),(Input!$H$232*(1+vanilla1)^0.5)/A22stdlife))</f>
        <v>0.63656298836085889</v>
      </c>
      <c r="M351" s="73">
        <f>IF(A22stdlife="n/a","n/a",IF(M$3&gt;(A22stdlife+$F351),(Input!$H$232*(1+vanilla1)^0.5)-SUM($H351:L351),(Input!$H$232*(1+vanilla1)^0.5)/A22stdlife))</f>
        <v>0</v>
      </c>
      <c r="N351" s="73">
        <f>IF(A22stdlife="n/a","n/a",IF(N$3&gt;(A22stdlife+$F351),(Input!$H$232*(1+vanilla1)^0.5)-SUM($H351:M351),(Input!$H$232*(1+vanilla1)^0.5)/A22stdlife))</f>
        <v>0</v>
      </c>
      <c r="O351" s="73">
        <f>IF(A22stdlife="n/a","n/a",IF(O$3&gt;(A22stdlife+$F351),(Input!$H$232*(1+vanilla1)^0.5)-SUM($H351:N351),(Input!$H$232*(1+vanilla1)^0.5)/A22stdlife))</f>
        <v>0</v>
      </c>
      <c r="P351" s="73">
        <f>IF(A22stdlife="n/a","n/a",IF(P$3&gt;(A22stdlife+$F351),(Input!$H$232*(1+vanilla1)^0.5)-SUM($H351:O351),(Input!$H$232*(1+vanilla1)^0.5)/A22stdlife))</f>
        <v>0</v>
      </c>
      <c r="Q351" s="73">
        <f>IF(A22stdlife="n/a","n/a",IF(Q$3&gt;(A22stdlife+$F351),(Input!$H$232*(1+vanilla1)^0.5)-SUM($H351:P351),(Input!$H$232*(1+vanilla1)^0.5)/A22stdlife))</f>
        <v>0</v>
      </c>
      <c r="R351" s="73"/>
      <c r="S351" s="107"/>
      <c r="T351" s="107"/>
      <c r="U351" s="107"/>
      <c r="V351" s="107"/>
      <c r="W351" s="107"/>
      <c r="X351" s="107"/>
      <c r="Y351" s="107"/>
      <c r="Z351" s="107"/>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107"/>
      <c r="BE351" s="107"/>
      <c r="BF351" s="107"/>
      <c r="BG351" s="107"/>
      <c r="BH351" s="107"/>
      <c r="BI351" s="107"/>
      <c r="BJ351" s="107"/>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outlineLevel="2">
      <c r="A352" s="9"/>
      <c r="B352" s="9"/>
      <c r="C352" s="9"/>
      <c r="D352" s="26"/>
      <c r="E352" s="392"/>
      <c r="F352" s="91">
        <v>2</v>
      </c>
      <c r="G352" s="124"/>
      <c r="H352" s="149"/>
      <c r="I352" s="150"/>
      <c r="J352" s="73">
        <f>IF(A22stdlife="n/a","n/a",IF(J$3&gt;(A22stdlife+$F352),(Input!$I$232*(1+vanilla2)^0.5)-SUM($I352:I352),(Input!$I$232*(1+vanilla2)^0.5)/A22stdlife))</f>
        <v>0.49750857840803681</v>
      </c>
      <c r="K352" s="73">
        <f>IF(A22stdlife="n/a","n/a",IF(K$3&gt;(A22stdlife+$F352),(Input!$I$232*(1+vanilla2)^0.5)-SUM($I352:J352),(Input!$I$232*(1+vanilla2)^0.5)/A22stdlife))</f>
        <v>0.49750857840803681</v>
      </c>
      <c r="L352" s="73">
        <f>IF(A22stdlife="n/a","n/a",IF(L$3&gt;(A22stdlife+$F352),(Input!$I$232*(1+vanilla2)^0.5)-SUM($I352:K352),(Input!$I$232*(1+vanilla2)^0.5)/A22stdlife))</f>
        <v>0.49750857840803681</v>
      </c>
      <c r="M352" s="73">
        <f>IF(A22stdlife="n/a","n/a",IF(M$3&gt;(A22stdlife+$F352),(Input!$I$232*(1+vanilla2)^0.5)-SUM($I352:L352),(Input!$I$232*(1+vanilla2)^0.5)/A22stdlife))</f>
        <v>0.49750857840803681</v>
      </c>
      <c r="N352" s="73">
        <f>IF(A22stdlife="n/a","n/a",IF(N$3&gt;(A22stdlife+$F352),(Input!$I$232*(1+vanilla2)^0.5)-SUM($I352:M352),(Input!$I$232*(1+vanilla2)^0.5)/A22stdlife))</f>
        <v>0</v>
      </c>
      <c r="O352" s="73">
        <f>IF(A22stdlife="n/a","n/a",IF(O$3&gt;(A22stdlife+$F352),(Input!$I$232*(1+vanilla2)^0.5)-SUM($I352:N352),(Input!$I$232*(1+vanilla2)^0.5)/A22stdlife))</f>
        <v>0</v>
      </c>
      <c r="P352" s="73">
        <f>IF(A22stdlife="n/a","n/a",IF(P$3&gt;(A22stdlife+$F352),(Input!$I$232*(1+vanilla2)^0.5)-SUM($I352:O352),(Input!$I$232*(1+vanilla2)^0.5)/A22stdlife))</f>
        <v>0</v>
      </c>
      <c r="Q352" s="73">
        <f>IF(A22stdlife="n/a","n/a",IF(Q$3&gt;(A22stdlife+$F352),(Input!$I$232*(1+vanilla2)^0.5)-SUM($I352:P352),(Input!$I$232*(1+vanilla2)^0.5)/A22stdlife))</f>
        <v>0</v>
      </c>
      <c r="R352" s="73"/>
      <c r="S352" s="107"/>
      <c r="T352" s="107"/>
      <c r="U352" s="107"/>
      <c r="V352" s="107"/>
      <c r="W352" s="107"/>
      <c r="X352" s="107"/>
      <c r="Y352" s="107"/>
      <c r="Z352" s="107"/>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107"/>
      <c r="BE352" s="107"/>
      <c r="BF352" s="107"/>
      <c r="BG352" s="107"/>
      <c r="BH352" s="107"/>
      <c r="BI352" s="107"/>
      <c r="BJ352" s="107"/>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outlineLevel="2">
      <c r="A353" s="9"/>
      <c r="B353" s="9"/>
      <c r="C353" s="9"/>
      <c r="D353" s="26"/>
      <c r="E353" s="392"/>
      <c r="F353" s="91">
        <v>3</v>
      </c>
      <c r="G353" s="124"/>
      <c r="H353" s="149"/>
      <c r="I353" s="151"/>
      <c r="J353" s="150"/>
      <c r="K353" s="73">
        <f>IF(A22stdlife="n/a","n/a",IF(K$3&gt;(A22stdlife+$F353),(Input!$J$232*(1+vanilla3)^0.5)-SUM($J353:J353),(Input!$J$232*(1+vanilla3)^0.5)/A22stdlife))</f>
        <v>0.44214111590581801</v>
      </c>
      <c r="L353" s="73">
        <f>IF(A22stdlife="n/a","n/a",IF(L$3&gt;(A22stdlife+$F353),(Input!$J$232*(1+vanilla3)^0.5)-SUM($J353:K353),(Input!$J$232*(1+vanilla3)^0.5)/A22stdlife))</f>
        <v>0.44214111590581801</v>
      </c>
      <c r="M353" s="73">
        <f>IF(A22stdlife="n/a","n/a",IF(M$3&gt;(A22stdlife+$F353),(Input!$J$232*(1+vanilla3)^0.5)-SUM($J353:L353),(Input!$J$232*(1+vanilla3)^0.5)/A22stdlife))</f>
        <v>0.44214111590581801</v>
      </c>
      <c r="N353" s="73">
        <f>IF(A22stdlife="n/a","n/a",IF(N$3&gt;(A22stdlife+$F353),(Input!$J$232*(1+vanilla3)^0.5)-SUM($J353:M353),(Input!$J$232*(1+vanilla3)^0.5)/A22stdlife))</f>
        <v>0.44214111590581801</v>
      </c>
      <c r="O353" s="73">
        <f>IF(A22stdlife="n/a","n/a",IF(O$3&gt;(A22stdlife+$F353),(Input!$J$232*(1+vanilla3)^0.5)-SUM($J353:N353),(Input!$J$232*(1+vanilla3)^0.5)/A22stdlife))</f>
        <v>0</v>
      </c>
      <c r="P353" s="73">
        <f>IF(A22stdlife="n/a","n/a",IF(P$3&gt;(A22stdlife+$F353),(Input!$J$232*(1+vanilla3)^0.5)-SUM($J353:O353),(Input!$J$232*(1+vanilla3)^0.5)/A22stdlife))</f>
        <v>0</v>
      </c>
      <c r="Q353" s="73">
        <f>IF(A22stdlife="n/a","n/a",IF(Q$3&gt;(A22stdlife+$F353),(Input!$J$232*(1+vanilla3)^0.5)-SUM($J353:P353),(Input!$J$232*(1+vanilla3)^0.5)/A22stdlife))</f>
        <v>0</v>
      </c>
      <c r="R353" s="73"/>
      <c r="S353" s="107"/>
      <c r="T353" s="107"/>
      <c r="U353" s="107"/>
      <c r="V353" s="107"/>
      <c r="W353" s="107"/>
      <c r="X353" s="107"/>
      <c r="Y353" s="107"/>
      <c r="Z353" s="107"/>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107"/>
      <c r="BE353" s="107"/>
      <c r="BF353" s="107"/>
      <c r="BG353" s="107"/>
      <c r="BH353" s="107"/>
      <c r="BI353" s="107"/>
      <c r="BJ353" s="107"/>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outlineLevel="2">
      <c r="A354" s="9"/>
      <c r="B354" s="9"/>
      <c r="C354" s="9"/>
      <c r="D354" s="26"/>
      <c r="E354" s="392"/>
      <c r="F354" s="91">
        <v>4</v>
      </c>
      <c r="G354" s="124"/>
      <c r="H354" s="149"/>
      <c r="I354" s="151"/>
      <c r="J354" s="151"/>
      <c r="K354" s="150"/>
      <c r="L354" s="73">
        <f>IF(A22stdlife="n/a","n/a",IF(L$3&gt;(A22stdlife+$F354),(Input!$K$232*(1+vanilla4)^0.5)-SUM($K354:K354),(Input!$K$232*(1+vanilla4)^0.5)/A22stdlife))</f>
        <v>1.2355517451081575</v>
      </c>
      <c r="M354" s="73">
        <f>IF(A22stdlife="n/a","n/a",IF(M$3&gt;(A22stdlife+$F354),(Input!$K$232*(1+vanilla4)^0.5)-SUM($K354:L354),(Input!$K$232*(1+vanilla4)^0.5)/A22stdlife))</f>
        <v>1.2355517451081575</v>
      </c>
      <c r="N354" s="73">
        <f>IF(A22stdlife="n/a","n/a",IF(N$3&gt;(A22stdlife+$F354),(Input!$K$232*(1+vanilla4)^0.5)-SUM($K354:M354),(Input!$K$232*(1+vanilla4)^0.5)/A22stdlife))</f>
        <v>1.2355517451081575</v>
      </c>
      <c r="O354" s="73">
        <f>IF(A22stdlife="n/a","n/a",IF(O$3&gt;(A22stdlife+$F354),(Input!$K$232*(1+vanilla4)^0.5)-SUM($K354:N354),(Input!$K$232*(1+vanilla4)^0.5)/A22stdlife))</f>
        <v>1.2355517451081575</v>
      </c>
      <c r="P354" s="73">
        <f>IF(A22stdlife="n/a","n/a",IF(P$3&gt;(A22stdlife+$F354),(Input!$K$232*(1+vanilla4)^0.5)-SUM($K354:O354),(Input!$K$232*(1+vanilla4)^0.5)/A22stdlife))</f>
        <v>0</v>
      </c>
      <c r="Q354" s="73">
        <f>IF(A22stdlife="n/a","n/a",IF(Q$3&gt;(A22stdlife+$F354),(Input!$K$232*(1+vanilla4)^0.5)-SUM($K354:P354),(Input!$K$232*(1+vanilla4)^0.5)/A22stdlife))</f>
        <v>0</v>
      </c>
      <c r="R354" s="73"/>
      <c r="S354" s="107"/>
      <c r="T354" s="107"/>
      <c r="U354" s="107"/>
      <c r="V354" s="107"/>
      <c r="W354" s="107"/>
      <c r="X354" s="107"/>
      <c r="Y354" s="107"/>
      <c r="Z354" s="107"/>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107"/>
      <c r="BE354" s="107"/>
      <c r="BF354" s="107"/>
      <c r="BG354" s="107"/>
      <c r="BH354" s="107"/>
      <c r="BI354" s="107"/>
      <c r="BJ354" s="107"/>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2">
      <c r="A355" s="9"/>
      <c r="B355" s="9"/>
      <c r="C355" s="9"/>
      <c r="D355" s="26"/>
      <c r="E355" s="392"/>
      <c r="F355" s="91">
        <v>5</v>
      </c>
      <c r="G355" s="27"/>
      <c r="H355" s="149"/>
      <c r="I355" s="151"/>
      <c r="J355" s="151"/>
      <c r="K355" s="151"/>
      <c r="L355" s="150"/>
      <c r="M355" s="73">
        <f>IF(A22stdlife="n/a","n/a",IF(M$3&gt;(A22stdlife+$F355),(Input!$L$232*(1+vanilla5)^0.5)-SUM($L355:L355),(Input!$L$232*(1+vanilla5)^0.5)/A22stdlife))</f>
        <v>0.55337818092505087</v>
      </c>
      <c r="N355" s="73">
        <f>IF(A22stdlife="n/a","n/a",IF(N$3&gt;(A22stdlife+$F355),(Input!$L$232*(1+vanilla5)^0.5)-SUM($L355:M355),(Input!$L$232*(1+vanilla5)^0.5)/A22stdlife))</f>
        <v>0.55337818092505087</v>
      </c>
      <c r="O355" s="73">
        <f>IF(A22stdlife="n/a","n/a",IF(O$3&gt;(A22stdlife+$F355),(Input!$L$232*(1+vanilla5)^0.5)-SUM($L355:N355),(Input!$L$232*(1+vanilla5)^0.5)/A22stdlife))</f>
        <v>0.55337818092505087</v>
      </c>
      <c r="P355" s="73">
        <f>IF(A22stdlife="n/a","n/a",IF(P$3&gt;(A22stdlife+$F355),(Input!$L$232*(1+vanilla5)^0.5)-SUM($L355:O355),(Input!$L$232*(1+vanilla5)^0.5)/A22stdlife))</f>
        <v>0.55337818092505087</v>
      </c>
      <c r="Q355" s="73">
        <f>IF(A22stdlife="n/a","n/a",IF(Q$3&gt;(A22stdlife+$F355),(Input!$L$232*(1+vanilla5)^0.5)-SUM($L355:P355),(Input!$L$232*(1+vanilla5)^0.5)/A22stdlife))</f>
        <v>0</v>
      </c>
      <c r="R355" s="73"/>
      <c r="S355" s="107"/>
      <c r="T355" s="107"/>
      <c r="U355" s="107"/>
      <c r="V355" s="107"/>
      <c r="W355" s="107"/>
      <c r="X355" s="107"/>
      <c r="Y355" s="107"/>
      <c r="Z355" s="107"/>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outlineLevel="2">
      <c r="A356" s="9"/>
      <c r="B356" s="9"/>
      <c r="C356" s="9"/>
      <c r="D356" s="26"/>
      <c r="E356" s="392"/>
      <c r="F356" s="91">
        <v>6</v>
      </c>
      <c r="G356" s="27"/>
      <c r="H356" s="149"/>
      <c r="I356" s="151"/>
      <c r="J356" s="151"/>
      <c r="K356" s="151"/>
      <c r="L356" s="151"/>
      <c r="M356" s="150"/>
      <c r="N356" s="73">
        <f>IF(A22stdlife="n/a","n/a",IF(N$3&gt;(A22stdlife+$F356),(Input!$M$232*(1+vanilla6)^0.5)-SUM($M356:M356),(Input!$M$232*(1+vanilla6)^0.5)/A22stdlife))</f>
        <v>0</v>
      </c>
      <c r="O356" s="73">
        <f>IF(A22stdlife="n/a","n/a",IF(O$3&gt;(A22stdlife+$F356),(Input!$M$232*(1+vanilla6)^0.5)-SUM($M356:N356),(Input!$M$232*(1+vanilla6)^0.5)/A22stdlife))</f>
        <v>0</v>
      </c>
      <c r="P356" s="73">
        <f>IF(A22stdlife="n/a","n/a",IF(P$3&gt;(A22stdlife+$F356),(Input!$M$232*(1+vanilla6)^0.5)-SUM($M356:O356),(Input!$M$232*(1+vanilla6)^0.5)/A22stdlife))</f>
        <v>0</v>
      </c>
      <c r="Q356" s="73">
        <f>IF(A22stdlife="n/a","n/a",IF(Q$3&gt;(A22stdlife+$F356),(Input!$M$232*(1+vanilla6)^0.5)-SUM($M356:P356),(Input!$M$232*(1+vanilla6)^0.5)/A22stdlife))</f>
        <v>0</v>
      </c>
      <c r="R356" s="73"/>
      <c r="S356" s="107"/>
      <c r="T356" s="107"/>
      <c r="U356" s="107"/>
      <c r="V356" s="107"/>
      <c r="W356" s="107"/>
      <c r="X356" s="107"/>
      <c r="Y356" s="107"/>
      <c r="Z356" s="107"/>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107"/>
      <c r="BE356" s="107"/>
      <c r="BF356" s="107"/>
      <c r="BG356" s="107"/>
      <c r="BH356" s="107"/>
      <c r="BI356" s="107"/>
      <c r="BJ356" s="107"/>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outlineLevel="2">
      <c r="A357" s="9"/>
      <c r="B357" s="9"/>
      <c r="C357" s="9"/>
      <c r="D357" s="26"/>
      <c r="E357" s="392"/>
      <c r="F357" s="91">
        <v>7</v>
      </c>
      <c r="G357" s="27"/>
      <c r="H357" s="149"/>
      <c r="I357" s="151"/>
      <c r="J357" s="151"/>
      <c r="K357" s="151"/>
      <c r="L357" s="151"/>
      <c r="M357" s="151"/>
      <c r="N357" s="150"/>
      <c r="O357" s="73">
        <f>IF(A22stdlife="n/a","n/a",IF(O$3&gt;(A22stdlife+$F357),(Input!N$232*(1+vanilla7)^0.5)-SUM($N357:N357),(Input!$N$232*(1+vanilla7)^0.5)/A22stdlife))</f>
        <v>0</v>
      </c>
      <c r="P357" s="73">
        <f>IF(A22stdlife="n/a","n/a",IF(P$3&gt;(A22stdlife+$F357),(Input!O$232*(1+vanilla7)^0.5)-SUM($N357:O357),(Input!$N$232*(1+vanilla7)^0.5)/A22stdlife))</f>
        <v>0</v>
      </c>
      <c r="Q357" s="73">
        <f>IF(A22stdlife="n/a","n/a",IF(Q$3&gt;(A22stdlife+$F357),(Input!P$232*(1+vanilla7)^0.5)-SUM($N357:P357),(Input!$N$232*(1+vanilla7)^0.5)/A22stdlife))</f>
        <v>0</v>
      </c>
      <c r="R357" s="73"/>
      <c r="S357" s="107"/>
      <c r="T357" s="107"/>
      <c r="U357" s="107"/>
      <c r="V357" s="107"/>
      <c r="W357" s="107"/>
      <c r="X357" s="107"/>
      <c r="Y357" s="107"/>
      <c r="Z357" s="107"/>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107"/>
      <c r="BE357" s="107"/>
      <c r="BF357" s="107"/>
      <c r="BG357" s="107"/>
      <c r="BH357" s="107"/>
      <c r="BI357" s="107"/>
      <c r="BJ357" s="107"/>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outlineLevel="2">
      <c r="A358" s="9"/>
      <c r="B358" s="9"/>
      <c r="C358" s="9"/>
      <c r="D358" s="26"/>
      <c r="E358" s="392"/>
      <c r="F358" s="91">
        <v>8</v>
      </c>
      <c r="G358" s="27"/>
      <c r="H358" s="149"/>
      <c r="I358" s="151"/>
      <c r="J358" s="151"/>
      <c r="K358" s="151"/>
      <c r="L358" s="151"/>
      <c r="M358" s="151"/>
      <c r="N358" s="151"/>
      <c r="O358" s="150"/>
      <c r="P358" s="73">
        <f>IF(A22stdlife="n/a","n/a",IF(P$3&gt;(A22stdlife+$F358),(Input!$O$232*(1+vanilla8)^0.5)-SUM($O358:O358),(Input!$O$232*(1+vanilla8)^0.5)/A22stdlife))</f>
        <v>0</v>
      </c>
      <c r="Q358" s="73">
        <f>IF(A22stdlife="n/a","n/a",IF(Q$3&gt;(A22stdlife+$F358),(Input!$O$232*(1+vanilla8)^0.5)-SUM($O358:P358),(Input!$O$232*(1+vanilla8)^0.5)/A22stdlife))</f>
        <v>0</v>
      </c>
      <c r="R358" s="73"/>
      <c r="S358" s="107"/>
      <c r="T358" s="107"/>
      <c r="U358" s="107"/>
      <c r="V358" s="107"/>
      <c r="W358" s="107"/>
      <c r="X358" s="107"/>
      <c r="Y358" s="107"/>
      <c r="Z358" s="107"/>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107"/>
      <c r="BE358" s="107"/>
      <c r="BF358" s="107"/>
      <c r="BG358" s="107"/>
      <c r="BH358" s="107"/>
      <c r="BI358" s="107"/>
      <c r="BJ358" s="107"/>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outlineLevel="2">
      <c r="A359" s="9"/>
      <c r="B359" s="9"/>
      <c r="C359" s="9"/>
      <c r="D359" s="26"/>
      <c r="E359" s="392"/>
      <c r="F359" s="91">
        <v>9</v>
      </c>
      <c r="G359" s="27"/>
      <c r="H359" s="149"/>
      <c r="I359" s="151"/>
      <c r="J359" s="151"/>
      <c r="K359" s="151"/>
      <c r="L359" s="151"/>
      <c r="M359" s="151"/>
      <c r="N359" s="151"/>
      <c r="O359" s="151"/>
      <c r="P359" s="150"/>
      <c r="Q359" s="73">
        <f>IF(A22stdlife="n/a","n/a",IF(Q$3&gt;(A22stdlife+$F359),(Input!$P$232*(1+vanilla9)^0.5)-SUM($P359:P359),(Input!$P$232*(1+vanilla9)^0.5)/A22stdlife))</f>
        <v>0</v>
      </c>
      <c r="R359" s="73"/>
      <c r="S359" s="107"/>
      <c r="T359" s="107"/>
      <c r="U359" s="107"/>
      <c r="V359" s="107"/>
      <c r="W359" s="107"/>
      <c r="X359" s="107"/>
      <c r="Y359" s="107"/>
      <c r="Z359" s="107"/>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107"/>
      <c r="BE359" s="107"/>
      <c r="BF359" s="107"/>
      <c r="BG359" s="107"/>
      <c r="BH359" s="107"/>
      <c r="BI359" s="107"/>
      <c r="BJ359" s="107"/>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outlineLevel="2">
      <c r="A360" s="9"/>
      <c r="B360" s="9"/>
      <c r="C360" s="9"/>
      <c r="D360" s="26"/>
      <c r="E360" s="392"/>
      <c r="F360" s="92">
        <v>10</v>
      </c>
      <c r="G360" s="27"/>
      <c r="H360" s="149"/>
      <c r="I360" s="151"/>
      <c r="J360" s="151"/>
      <c r="K360" s="151"/>
      <c r="L360" s="151"/>
      <c r="M360" s="151"/>
      <c r="N360" s="151"/>
      <c r="O360" s="151"/>
      <c r="P360" s="151"/>
      <c r="Q360" s="150"/>
      <c r="R360" s="73"/>
      <c r="S360" s="107"/>
      <c r="T360" s="107"/>
      <c r="U360" s="107"/>
      <c r="V360" s="107"/>
      <c r="W360" s="107"/>
      <c r="X360" s="107"/>
      <c r="Y360" s="107"/>
      <c r="Z360" s="107"/>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107"/>
      <c r="BE360" s="107"/>
      <c r="BF360" s="107"/>
      <c r="BG360" s="107"/>
      <c r="BH360" s="107"/>
      <c r="BI360" s="107"/>
      <c r="BJ360" s="107"/>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outlineLevel="1">
      <c r="A361" s="9"/>
      <c r="B361" s="9"/>
      <c r="C361" s="9"/>
      <c r="D361" s="279" t="str">
        <f>Asset22</f>
        <v>Other - short life (4)</v>
      </c>
      <c r="E361" s="9"/>
      <c r="F361" s="9"/>
      <c r="G361" s="124"/>
      <c r="H361" s="165">
        <f>-SUM(H349:H360)</f>
        <v>0</v>
      </c>
      <c r="I361" s="165">
        <f>-SUM(I349:I360)</f>
        <v>-0.63656298836085889</v>
      </c>
      <c r="J361" s="165">
        <f>-SUM(J349:J360)</f>
        <v>-1.1340715667688956</v>
      </c>
      <c r="K361" s="165">
        <f>-SUM(K349:K360)</f>
        <v>-1.5762126826747136</v>
      </c>
      <c r="L361" s="165">
        <f>-SUM(L349:L360)</f>
        <v>-2.8117644277828711</v>
      </c>
      <c r="M361" s="73">
        <f>IF(COUNT($H361:L361)&gt;=Input!$W$7,0, -SUM(M349:M360))</f>
        <v>0</v>
      </c>
      <c r="N361" s="73">
        <f>IF(COUNT($H361:M361)&gt;=Input!$W$7,0, -SUM(N349:N360))</f>
        <v>0</v>
      </c>
      <c r="O361" s="73">
        <f>IF(COUNT($H361:N361)&gt;=Input!$W$7,0, -SUM(O349:O360))</f>
        <v>0</v>
      </c>
      <c r="P361" s="73">
        <f>IF(COUNT($H361:O361)&gt;=Input!$W$7,0, -SUM(P349:P360))</f>
        <v>0</v>
      </c>
      <c r="Q361" s="73">
        <f>IF(COUNT($H361:P361)&gt;=Input!$W$7,0, -SUM(Q349:Q360))</f>
        <v>0</v>
      </c>
      <c r="R361" s="71"/>
      <c r="S361" s="109"/>
      <c r="T361" s="109"/>
      <c r="U361" s="109"/>
      <c r="V361" s="109"/>
      <c r="W361" s="109"/>
      <c r="X361" s="109"/>
      <c r="Y361" s="109"/>
      <c r="Z361" s="109"/>
      <c r="AA361" s="240"/>
      <c r="AB361" s="240"/>
      <c r="AC361" s="240"/>
      <c r="AD361" s="240"/>
      <c r="AE361" s="240"/>
      <c r="AF361" s="240"/>
      <c r="AG361" s="240"/>
      <c r="AH361" s="240"/>
      <c r="AI361" s="240"/>
      <c r="AJ361" s="240"/>
      <c r="AK361" s="240"/>
      <c r="AL361" s="240"/>
      <c r="AM361" s="240"/>
      <c r="AN361" s="240"/>
      <c r="AO361" s="240"/>
      <c r="AP361" s="240"/>
      <c r="AQ361" s="240"/>
      <c r="AR361" s="240"/>
      <c r="AS361" s="240"/>
      <c r="AT361" s="240"/>
      <c r="AU361" s="240"/>
      <c r="AV361" s="240"/>
      <c r="AW361" s="240"/>
      <c r="AX361" s="240"/>
      <c r="AY361" s="240"/>
      <c r="AZ361" s="240"/>
      <c r="BA361" s="240"/>
      <c r="BB361" s="240"/>
      <c r="BC361" s="240"/>
      <c r="BD361" s="109"/>
      <c r="BE361" s="109"/>
      <c r="BF361" s="109"/>
      <c r="BG361" s="109"/>
      <c r="BH361" s="109"/>
      <c r="BI361" s="109"/>
      <c r="BJ361" s="109"/>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80" t="str">
        <f>Asset23</f>
        <v>Land and Easements</v>
      </c>
      <c r="D362" s="161"/>
      <c r="E362" s="32" t="s">
        <v>26</v>
      </c>
      <c r="F362" s="31"/>
      <c r="G362" s="181"/>
      <c r="H362" s="72" t="str">
        <f>IF(H$3&gt;A23remlife,A23value-$G$652-SUM($G362:G362),IF(A23remlife="N/A","n/a",(A23value-$G$652)/A23remlife))</f>
        <v>n/a</v>
      </c>
      <c r="I362" s="72" t="str">
        <f>IF(I$3&gt;A23remlife,A23value-$G$652-SUM($G362:H362),IF(A23remlife="N/A","n/a",(A23value-$G$652)/A23remlife))</f>
        <v>n/a</v>
      </c>
      <c r="J362" s="72" t="str">
        <f>IF(J$3&gt;A23remlife,A23value-$G$652-SUM($G362:I362),IF(A23remlife="N/A","n/a",(A23value-$G$652)/A23remlife))</f>
        <v>n/a</v>
      </c>
      <c r="K362" s="72" t="str">
        <f>IF(K$3&gt;A23remlife,A23value-$G$652-SUM($G362:J362),IF(A23remlife="N/A","n/a",(A23value-$G$652)/A23remlife))</f>
        <v>n/a</v>
      </c>
      <c r="L362" s="72" t="str">
        <f>IF(L$3&gt;A23remlife,A23value-$G$652-SUM($G362:K362),IF(A23remlife="N/A","n/a",(A23value-$G$652)/A23remlife))</f>
        <v>n/a</v>
      </c>
      <c r="M362" s="72" t="str">
        <f>IF(M$3&gt;A23remlife,A23value-$G$652-SUM($G362:L362),IF(A23remlife="N/A","n/a",(A23value-$G$652)/A23remlife))</f>
        <v>n/a</v>
      </c>
      <c r="N362" s="72" t="str">
        <f>IF(N$3&gt;A23remlife,A23value-$G$652-SUM($G362:M362),IF(A23remlife="N/A","n/a",(A23value-$G$652)/A23remlife))</f>
        <v>n/a</v>
      </c>
      <c r="O362" s="72" t="str">
        <f>IF(O$3&gt;A23remlife,A23value-$G$652-SUM($G362:N362),IF(A23remlife="N/A","n/a",(A23value-$G$652)/A23remlife))</f>
        <v>n/a</v>
      </c>
      <c r="P362" s="72" t="str">
        <f>IF(P$3&gt;A23remlife,A23value-$G$652-SUM($G362:O362),IF(A23remlife="N/A","n/a",(A23value-$G$652)/A23remlife))</f>
        <v>n/a</v>
      </c>
      <c r="Q362" s="72" t="str">
        <f>IF(Q$3&gt;A23remlife,A23value-$G$652-SUM($G362:P362),IF(A23remlife="N/A","n/a",(A23value-$G$652)/A23remlife))</f>
        <v>n/a</v>
      </c>
      <c r="R362" s="72"/>
      <c r="S362" s="107"/>
      <c r="T362" s="107"/>
      <c r="U362" s="107"/>
      <c r="V362" s="107"/>
      <c r="W362" s="107"/>
      <c r="X362" s="107"/>
      <c r="Y362" s="107"/>
      <c r="Z362" s="107"/>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107"/>
      <c r="BE362" s="107"/>
      <c r="BF362" s="107"/>
      <c r="BG362" s="107"/>
      <c r="BH362" s="107"/>
      <c r="BI362" s="107"/>
      <c r="BJ362" s="107"/>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9"/>
      <c r="D363" s="26"/>
      <c r="E363" s="391" t="s">
        <v>81</v>
      </c>
      <c r="F363" s="91"/>
      <c r="G363" s="124"/>
      <c r="H363" s="73"/>
      <c r="I363" s="73"/>
      <c r="J363" s="73"/>
      <c r="K363" s="73"/>
      <c r="L363" s="73"/>
      <c r="M363" s="163"/>
      <c r="N363" s="115"/>
      <c r="O363" s="73"/>
      <c r="P363" s="73"/>
      <c r="Q363" s="73"/>
      <c r="R363" s="73"/>
      <c r="S363" s="107"/>
      <c r="T363" s="107"/>
      <c r="U363" s="107"/>
      <c r="V363" s="107"/>
      <c r="W363" s="107"/>
      <c r="X363" s="107"/>
      <c r="Y363" s="107"/>
      <c r="Z363" s="107"/>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107"/>
      <c r="BE363" s="107"/>
      <c r="BF363" s="107"/>
      <c r="BG363" s="107"/>
      <c r="BH363" s="107"/>
      <c r="BI363" s="107"/>
      <c r="BJ363" s="107"/>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9"/>
      <c r="D364" s="26"/>
      <c r="E364" s="392"/>
      <c r="F364" s="91">
        <v>1</v>
      </c>
      <c r="G364" s="124"/>
      <c r="H364" s="148"/>
      <c r="I364" s="73" t="str">
        <f>IF(A23stdlife="n/a","n/a",IF(I$3&gt;(A23stdlife+$F364),(Input!$H$233*(1+vanilla1)^0.5)-SUM($H364:H364),(Input!$H$233*(1+vanilla1)^0.5)/A23stdlife))</f>
        <v>n/a</v>
      </c>
      <c r="J364" s="73" t="str">
        <f>IF(A23stdlife="n/a","n/a",IF(J$3&gt;(A23stdlife+$F364),(Input!$H$233*(1+vanilla1)^0.5)-SUM($H364:I364),(Input!$H$233*(1+vanilla1)^0.5)/A23stdlife))</f>
        <v>n/a</v>
      </c>
      <c r="K364" s="73" t="str">
        <f>IF(A23stdlife="n/a","n/a",IF(K$3&gt;(A23stdlife+$F364),(Input!$H$233*(1+vanilla1)^0.5)-SUM($H364:J364),(Input!$H$233*(1+vanilla1)^0.5)/A23stdlife))</f>
        <v>n/a</v>
      </c>
      <c r="L364" s="73" t="str">
        <f>IF(A23stdlife="n/a","n/a",IF(L$3&gt;(A23stdlife+$F364),(Input!$H$233*(1+vanilla1)^0.5)-SUM($H364:K364),(Input!$H$233*(1+vanilla1)^0.5)/A23stdlife))</f>
        <v>n/a</v>
      </c>
      <c r="M364" s="73" t="str">
        <f>IF(A23stdlife="n/a","n/a",IF(M$3&gt;(A23stdlife+$F364),(Input!$H$233*(1+vanilla1)^0.5)-SUM($H364:L364),(Input!$H$233*(1+vanilla1)^0.5)/A23stdlife))</f>
        <v>n/a</v>
      </c>
      <c r="N364" s="73" t="str">
        <f>IF(A23stdlife="n/a","n/a",IF(N$3&gt;(A23stdlife+$F364),(Input!$H$233*(1+vanilla1)^0.5)-SUM($H364:M364),(Input!$H$233*(1+vanilla1)^0.5)/A23stdlife))</f>
        <v>n/a</v>
      </c>
      <c r="O364" s="73" t="str">
        <f>IF(A23stdlife="n/a","n/a",IF(O$3&gt;(A23stdlife+$F364),(Input!$H$233*(1+vanilla1)^0.5)-SUM($H364:N364),(Input!$H$233*(1+vanilla1)^0.5)/A23stdlife))</f>
        <v>n/a</v>
      </c>
      <c r="P364" s="73" t="str">
        <f>IF(A23stdlife="n/a","n/a",IF(P$3&gt;(A23stdlife+$F364),(Input!$H$233*(1+vanilla1)^0.5)-SUM($H364:O364),(Input!$H$233*(1+vanilla1)^0.5)/A23stdlife))</f>
        <v>n/a</v>
      </c>
      <c r="Q364" s="73" t="str">
        <f>IF(A23stdlife="n/a","n/a",IF(Q$3&gt;(A23stdlife+$F364),(Input!$H$233*(1+vanilla1)^0.5)-SUM($H364:P364),(Input!$H$233*(1+vanilla1)^0.5)/A23stdlife))</f>
        <v>n/a</v>
      </c>
      <c r="R364" s="73"/>
      <c r="S364" s="107"/>
      <c r="T364" s="107"/>
      <c r="U364" s="107"/>
      <c r="V364" s="107"/>
      <c r="W364" s="107"/>
      <c r="X364" s="107"/>
      <c r="Y364" s="107"/>
      <c r="Z364" s="107"/>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107"/>
      <c r="BE364" s="107"/>
      <c r="BF364" s="107"/>
      <c r="BG364" s="107"/>
      <c r="BH364" s="107"/>
      <c r="BI364" s="107"/>
      <c r="BJ364" s="107"/>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customHeight="1" outlineLevel="2">
      <c r="A365" s="9"/>
      <c r="B365" s="9"/>
      <c r="C365" s="9"/>
      <c r="D365" s="26"/>
      <c r="E365" s="392"/>
      <c r="F365" s="91">
        <v>2</v>
      </c>
      <c r="G365" s="124"/>
      <c r="H365" s="149"/>
      <c r="I365" s="150"/>
      <c r="J365" s="73" t="str">
        <f>IF(A23stdlife="n/a","n/a",IF(J$3&gt;(A23stdlife+$F365),(Input!$I$233*(1+vanilla2)^0.5)-SUM($I365:I365),(Input!$I$233*(1+vanilla2)^0.5)/A23stdlife))</f>
        <v>n/a</v>
      </c>
      <c r="K365" s="73" t="str">
        <f>IF(A23stdlife="n/a","n/a",IF(K$3&gt;(A23stdlife+$F365),(Input!$I$233*(1+vanilla2)^0.5)-SUM($I365:J365),(Input!$I$233*(1+vanilla2)^0.5)/A23stdlife))</f>
        <v>n/a</v>
      </c>
      <c r="L365" s="73" t="str">
        <f>IF(A23stdlife="n/a","n/a",IF(L$3&gt;(A23stdlife+$F365),(Input!$I$233*(1+vanilla2)^0.5)-SUM($I365:K365),(Input!$I$233*(1+vanilla2)^0.5)/A23stdlife))</f>
        <v>n/a</v>
      </c>
      <c r="M365" s="73" t="str">
        <f>IF(A23stdlife="n/a","n/a",IF(M$3&gt;(A23stdlife+$F365),(Input!$I$233*(1+vanilla2)^0.5)-SUM($I365:L365),(Input!$I$233*(1+vanilla2)^0.5)/A23stdlife))</f>
        <v>n/a</v>
      </c>
      <c r="N365" s="73" t="str">
        <f>IF(A23stdlife="n/a","n/a",IF(N$3&gt;(A23stdlife+$F365),(Input!$I$233*(1+vanilla2)^0.5)-SUM($I365:M365),(Input!$I$233*(1+vanilla2)^0.5)/A23stdlife))</f>
        <v>n/a</v>
      </c>
      <c r="O365" s="73" t="str">
        <f>IF(A23stdlife="n/a","n/a",IF(O$3&gt;(A23stdlife+$F365),(Input!$I$233*(1+vanilla2)^0.5)-SUM($I365:N365),(Input!$I$233*(1+vanilla2)^0.5)/A23stdlife))</f>
        <v>n/a</v>
      </c>
      <c r="P365" s="73" t="str">
        <f>IF(A23stdlife="n/a","n/a",IF(P$3&gt;(A23stdlife+$F365),(Input!$I$233*(1+vanilla2)^0.5)-SUM($I365:O365),(Input!$I$233*(1+vanilla2)^0.5)/A23stdlife))</f>
        <v>n/a</v>
      </c>
      <c r="Q365" s="73" t="str">
        <f>IF(A23stdlife="n/a","n/a",IF(Q$3&gt;(A23stdlife+$F365),(Input!$I$233*(1+vanilla2)^0.5)-SUM($I365:P365),(Input!$I$233*(1+vanilla2)^0.5)/A23stdlife))</f>
        <v>n/a</v>
      </c>
      <c r="R365" s="73"/>
      <c r="S365" s="107"/>
      <c r="T365" s="107"/>
      <c r="U365" s="107"/>
      <c r="V365" s="107"/>
      <c r="W365" s="107"/>
      <c r="X365" s="107"/>
      <c r="Y365" s="107"/>
      <c r="Z365" s="107"/>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107"/>
      <c r="BE365" s="107"/>
      <c r="BF365" s="107"/>
      <c r="BG365" s="107"/>
      <c r="BH365" s="107"/>
      <c r="BI365" s="107"/>
      <c r="BJ365" s="107"/>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9"/>
      <c r="C366" s="9"/>
      <c r="D366" s="26"/>
      <c r="E366" s="392"/>
      <c r="F366" s="91">
        <v>3</v>
      </c>
      <c r="G366" s="124"/>
      <c r="H366" s="149"/>
      <c r="I366" s="151"/>
      <c r="J366" s="150"/>
      <c r="K366" s="73" t="str">
        <f>IF(A23stdlife="n/a","n/a",IF(K$3&gt;(A23stdlife+$F366),(Input!$J$233*(1+vanilla3)^0.5)-SUM($J366:J366),(Input!$J$233*(1+vanilla3)^0.5)/A23stdlife))</f>
        <v>n/a</v>
      </c>
      <c r="L366" s="73" t="str">
        <f>IF(A23stdlife="n/a","n/a",IF(L$3&gt;(A23stdlife+$F366),(Input!$J$233*(1+vanilla3)^0.5)-SUM($J366:K366),(Input!$J$233*(1+vanilla3)^0.5)/A23stdlife))</f>
        <v>n/a</v>
      </c>
      <c r="M366" s="73" t="str">
        <f>IF(A23stdlife="n/a","n/a",IF(M$3&gt;(A23stdlife+$F366),(Input!$J$233*(1+vanilla3)^0.5)-SUM($J366:L366),(Input!$J$233*(1+vanilla3)^0.5)/A23stdlife))</f>
        <v>n/a</v>
      </c>
      <c r="N366" s="73" t="str">
        <f>IF(A23stdlife="n/a","n/a",IF(N$3&gt;(A23stdlife+$F366),(Input!$J$233*(1+vanilla3)^0.5)-SUM($J366:M366),(Input!$J$233*(1+vanilla3)^0.5)/A23stdlife))</f>
        <v>n/a</v>
      </c>
      <c r="O366" s="73" t="str">
        <f>IF(A23stdlife="n/a","n/a",IF(O$3&gt;(A23stdlife+$F366),(Input!$J$233*(1+vanilla3)^0.5)-SUM($J366:N366),(Input!$J$233*(1+vanilla3)^0.5)/A23stdlife))</f>
        <v>n/a</v>
      </c>
      <c r="P366" s="73" t="str">
        <f>IF(A23stdlife="n/a","n/a",IF(P$3&gt;(A23stdlife+$F366),(Input!$J$233*(1+vanilla3)^0.5)-SUM($J366:O366),(Input!$J$233*(1+vanilla3)^0.5)/A23stdlife))</f>
        <v>n/a</v>
      </c>
      <c r="Q366" s="73" t="str">
        <f>IF(A23stdlife="n/a","n/a",IF(Q$3&gt;(A23stdlife+$F366),(Input!$J$233*(1+vanilla3)^0.5)-SUM($J366:P366),(Input!$J$233*(1+vanilla3)^0.5)/A23stdlife))</f>
        <v>n/a</v>
      </c>
      <c r="R366" s="73"/>
      <c r="S366" s="107"/>
      <c r="T366" s="107"/>
      <c r="U366" s="107"/>
      <c r="V366" s="107"/>
      <c r="W366" s="107"/>
      <c r="X366" s="107"/>
      <c r="Y366" s="107"/>
      <c r="Z366" s="107"/>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107"/>
      <c r="BE366" s="107"/>
      <c r="BF366" s="107"/>
      <c r="BG366" s="107"/>
      <c r="BH366" s="107"/>
      <c r="BI366" s="107"/>
      <c r="BJ366" s="107"/>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9"/>
      <c r="D367" s="26"/>
      <c r="E367" s="392"/>
      <c r="F367" s="91">
        <v>4</v>
      </c>
      <c r="G367" s="124"/>
      <c r="H367" s="149"/>
      <c r="I367" s="151"/>
      <c r="J367" s="151"/>
      <c r="K367" s="150"/>
      <c r="L367" s="73" t="str">
        <f>IF(A23stdlife="n/a","n/a",IF(L$3&gt;(A23stdlife+$F367),(Input!$K$233*(1+vanilla4)^0.5)-SUM($K367:K367),(Input!$K$233*(1+vanilla4)^0.5)/A23stdlife))</f>
        <v>n/a</v>
      </c>
      <c r="M367" s="73" t="str">
        <f>IF(A23stdlife="n/a","n/a",IF(M$3&gt;(A23stdlife+$F367),(Input!$K$233*(1+vanilla4)^0.5)-SUM($K367:L367),(Input!$K$233*(1+vanilla4)^0.5)/A23stdlife))</f>
        <v>n/a</v>
      </c>
      <c r="N367" s="73" t="str">
        <f>IF(A23stdlife="n/a","n/a",IF(N$3&gt;(A23stdlife+$F367),(Input!$K$233*(1+vanilla4)^0.5)-SUM($K367:M367),(Input!$K$233*(1+vanilla4)^0.5)/A23stdlife))</f>
        <v>n/a</v>
      </c>
      <c r="O367" s="73" t="str">
        <f>IF(A23stdlife="n/a","n/a",IF(O$3&gt;(A23stdlife+$F367),(Input!$K$233*(1+vanilla4)^0.5)-SUM($K367:N367),(Input!$K$233*(1+vanilla4)^0.5)/A23stdlife))</f>
        <v>n/a</v>
      </c>
      <c r="P367" s="73" t="str">
        <f>IF(A23stdlife="n/a","n/a",IF(P$3&gt;(A23stdlife+$F367),(Input!$K$233*(1+vanilla4)^0.5)-SUM($K367:O367),(Input!$K$233*(1+vanilla4)^0.5)/A23stdlife))</f>
        <v>n/a</v>
      </c>
      <c r="Q367" s="73" t="str">
        <f>IF(A23stdlife="n/a","n/a",IF(Q$3&gt;(A23stdlife+$F367),(Input!$K$233*(1+vanilla4)^0.5)-SUM($K367:P367),(Input!$K$233*(1+vanilla4)^0.5)/A23stdlife))</f>
        <v>n/a</v>
      </c>
      <c r="R367" s="73"/>
      <c r="S367" s="107"/>
      <c r="T367" s="107"/>
      <c r="U367" s="107"/>
      <c r="V367" s="107"/>
      <c r="W367" s="107"/>
      <c r="X367" s="107"/>
      <c r="Y367" s="107"/>
      <c r="Z367" s="107"/>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107"/>
      <c r="BE367" s="107"/>
      <c r="BF367" s="107"/>
      <c r="BG367" s="107"/>
      <c r="BH367" s="107"/>
      <c r="BI367" s="107"/>
      <c r="BJ367" s="107"/>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9"/>
      <c r="D368" s="26"/>
      <c r="E368" s="392"/>
      <c r="F368" s="91">
        <v>5</v>
      </c>
      <c r="G368" s="27"/>
      <c r="H368" s="149"/>
      <c r="I368" s="151"/>
      <c r="J368" s="151"/>
      <c r="K368" s="151"/>
      <c r="L368" s="150"/>
      <c r="M368" s="73" t="str">
        <f>IF(A23stdlife="n/a","n/a",IF(M$3&gt;(A23stdlife+$F368),(Input!$L$233*(1+vanilla5)^0.5)-SUM($L368:L368),(Input!$L$233*(1+vanilla5)^0.5)/A23stdlife))</f>
        <v>n/a</v>
      </c>
      <c r="N368" s="73" t="str">
        <f>IF(A23stdlife="n/a","n/a",IF(N$3&gt;(A23stdlife+$F368),(Input!$L$233*(1+vanilla5)^0.5)-SUM($L368:M368),(Input!$L$233*(1+vanilla5)^0.5)/A23stdlife))</f>
        <v>n/a</v>
      </c>
      <c r="O368" s="73" t="str">
        <f>IF(A23stdlife="n/a","n/a",IF(O$3&gt;(A23stdlife+$F368),(Input!$L$233*(1+vanilla5)^0.5)-SUM($L368:N368),(Input!$L$233*(1+vanilla5)^0.5)/A23stdlife))</f>
        <v>n/a</v>
      </c>
      <c r="P368" s="73" t="str">
        <f>IF(A23stdlife="n/a","n/a",IF(P$3&gt;(A23stdlife+$F368),(Input!$L$233*(1+vanilla5)^0.5)-SUM($L368:O368),(Input!$L$233*(1+vanilla5)^0.5)/A23stdlife))</f>
        <v>n/a</v>
      </c>
      <c r="Q368" s="73" t="str">
        <f>IF(A23stdlife="n/a","n/a",IF(Q$3&gt;(A23stdlife+$F368),(Input!$L$233*(1+vanilla5)^0.5)-SUM($L368:P368),(Input!$L$233*(1+vanilla5)^0.5)/A23stdlife))</f>
        <v>n/a</v>
      </c>
      <c r="R368" s="73"/>
      <c r="S368" s="107"/>
      <c r="T368" s="107"/>
      <c r="U368" s="107"/>
      <c r="V368" s="107"/>
      <c r="W368" s="107"/>
      <c r="X368" s="107"/>
      <c r="Y368" s="107"/>
      <c r="Z368" s="107"/>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9"/>
      <c r="D369" s="26"/>
      <c r="E369" s="392"/>
      <c r="F369" s="91">
        <v>6</v>
      </c>
      <c r="G369" s="27"/>
      <c r="H369" s="149"/>
      <c r="I369" s="151"/>
      <c r="J369" s="151"/>
      <c r="K369" s="151"/>
      <c r="L369" s="151"/>
      <c r="M369" s="150"/>
      <c r="N369" s="73" t="str">
        <f>IF(A23stdlife="n/a","n/a",IF(N$3&gt;(A23stdlife+$F369),(Input!$M$233*(1+vanilla6)^0.5)-SUM($M369:M369),(Input!$M$233*(1+vanilla6)^0.5)/A23stdlife))</f>
        <v>n/a</v>
      </c>
      <c r="O369" s="73" t="str">
        <f>IF(A23stdlife="n/a","n/a",IF(O$3&gt;(A23stdlife+$F369),(Input!$M$233*(1+vanilla6)^0.5)-SUM($M369:N369),(Input!$M$233*(1+vanilla6)^0.5)/A23stdlife))</f>
        <v>n/a</v>
      </c>
      <c r="P369" s="73" t="str">
        <f>IF(A23stdlife="n/a","n/a",IF(P$3&gt;(A23stdlife+$F369),(Input!$M$233*(1+vanilla6)^0.5)-SUM($M369:O369),(Input!$M$233*(1+vanilla6)^0.5)/A23stdlife))</f>
        <v>n/a</v>
      </c>
      <c r="Q369" s="73" t="str">
        <f>IF(A23stdlife="n/a","n/a",IF(Q$3&gt;(A23stdlife+$F369),(Input!$M$233*(1+vanilla6)^0.5)-SUM($M369:P369),(Input!$M$233*(1+vanilla6)^0.5)/A23stdlife))</f>
        <v>n/a</v>
      </c>
      <c r="R369" s="73"/>
      <c r="S369" s="107"/>
      <c r="T369" s="107"/>
      <c r="U369" s="107"/>
      <c r="V369" s="107"/>
      <c r="W369" s="107"/>
      <c r="X369" s="107"/>
      <c r="Y369" s="107"/>
      <c r="Z369" s="107"/>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107"/>
      <c r="BE369" s="107"/>
      <c r="BF369" s="107"/>
      <c r="BG369" s="107"/>
      <c r="BH369" s="107"/>
      <c r="BI369" s="107"/>
      <c r="BJ369" s="107"/>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9"/>
      <c r="D370" s="26"/>
      <c r="E370" s="392"/>
      <c r="F370" s="91">
        <v>7</v>
      </c>
      <c r="G370" s="27"/>
      <c r="H370" s="149"/>
      <c r="I370" s="151"/>
      <c r="J370" s="151"/>
      <c r="K370" s="151"/>
      <c r="L370" s="151"/>
      <c r="M370" s="151"/>
      <c r="N370" s="150"/>
      <c r="O370" s="73" t="str">
        <f>IF(A23stdlife="n/a","n/a",IF(O$3&gt;(A23stdlife+$F370),(Input!N$233*(1+vanilla7)^0.5)-SUM($N370:N370),(Input!$N$233*(1+vanilla7)^0.5)/A23stdlife))</f>
        <v>n/a</v>
      </c>
      <c r="P370" s="73" t="str">
        <f>IF(A23stdlife="n/a","n/a",IF(P$3&gt;(A23stdlife+$F370),(Input!O$233*(1+vanilla7)^0.5)-SUM($N370:O370),(Input!$N$233*(1+vanilla7)^0.5)/A23stdlife))</f>
        <v>n/a</v>
      </c>
      <c r="Q370" s="73" t="str">
        <f>IF(A23stdlife="n/a","n/a",IF(Q$3&gt;(A23stdlife+$F370),(Input!P$233*(1+vanilla7)^0.5)-SUM($N370:P370),(Input!$N$233*(1+vanilla7)^0.5)/A23stdlife))</f>
        <v>n/a</v>
      </c>
      <c r="R370" s="73"/>
      <c r="S370" s="107"/>
      <c r="T370" s="107"/>
      <c r="U370" s="107"/>
      <c r="V370" s="107"/>
      <c r="W370" s="107"/>
      <c r="X370" s="107"/>
      <c r="Y370" s="107"/>
      <c r="Z370" s="107"/>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107"/>
      <c r="BE370" s="107"/>
      <c r="BF370" s="107"/>
      <c r="BG370" s="107"/>
      <c r="BH370" s="107"/>
      <c r="BI370" s="107"/>
      <c r="BJ370" s="107"/>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9"/>
      <c r="D371" s="26"/>
      <c r="E371" s="392"/>
      <c r="F371" s="91">
        <v>8</v>
      </c>
      <c r="G371" s="27"/>
      <c r="H371" s="149"/>
      <c r="I371" s="151"/>
      <c r="J371" s="151"/>
      <c r="K371" s="151"/>
      <c r="L371" s="151"/>
      <c r="M371" s="151"/>
      <c r="N371" s="151"/>
      <c r="O371" s="150"/>
      <c r="P371" s="73" t="str">
        <f>IF(A23stdlife="n/a","n/a",IF(P$3&gt;(A23stdlife+$F371),(Input!$O$233*(1+vanilla8)^0.5)-SUM($O371:O371),(Input!$O$233*(1+vanilla8)^0.5)/A23stdlife))</f>
        <v>n/a</v>
      </c>
      <c r="Q371" s="73" t="str">
        <f>IF(A23stdlife="n/a","n/a",IF(Q$3&gt;(A23stdlife+$F371),(Input!$O$233*(1+vanilla8)^0.5)-SUM($O371:P371),(Input!$O$233*(1+vanilla8)^0.5)/A23stdlife))</f>
        <v>n/a</v>
      </c>
      <c r="R371" s="73"/>
      <c r="S371" s="107"/>
      <c r="T371" s="107"/>
      <c r="U371" s="107"/>
      <c r="V371" s="107"/>
      <c r="W371" s="107"/>
      <c r="X371" s="107"/>
      <c r="Y371" s="107"/>
      <c r="Z371" s="107"/>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107"/>
      <c r="BE371" s="107"/>
      <c r="BF371" s="107"/>
      <c r="BG371" s="107"/>
      <c r="BH371" s="107"/>
      <c r="BI371" s="107"/>
      <c r="BJ371" s="107"/>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9"/>
      <c r="D372" s="26"/>
      <c r="E372" s="392"/>
      <c r="F372" s="91">
        <v>9</v>
      </c>
      <c r="G372" s="27"/>
      <c r="H372" s="149"/>
      <c r="I372" s="151"/>
      <c r="J372" s="151"/>
      <c r="K372" s="151"/>
      <c r="L372" s="151"/>
      <c r="M372" s="151"/>
      <c r="N372" s="151"/>
      <c r="O372" s="151"/>
      <c r="P372" s="150"/>
      <c r="Q372" s="73" t="str">
        <f>IF(A23stdlife="n/a","n/a",IF(Q$3&gt;(A23stdlife+$F372),(Input!$P$233*(1+vanilla9)^0.5)-SUM($P372:P372),(Input!$P$233*(1+vanilla9)^0.5)/A23stdlife))</f>
        <v>n/a</v>
      </c>
      <c r="R372" s="73"/>
      <c r="S372" s="107"/>
      <c r="T372" s="107"/>
      <c r="U372" s="107"/>
      <c r="V372" s="107"/>
      <c r="W372" s="107"/>
      <c r="X372" s="107"/>
      <c r="Y372" s="107"/>
      <c r="Z372" s="107"/>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107"/>
      <c r="BE372" s="107"/>
      <c r="BF372" s="107"/>
      <c r="BG372" s="107"/>
      <c r="BH372" s="107"/>
      <c r="BI372" s="107"/>
      <c r="BJ372" s="107"/>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9"/>
      <c r="D373" s="26"/>
      <c r="E373" s="392"/>
      <c r="F373" s="92">
        <v>10</v>
      </c>
      <c r="G373" s="27"/>
      <c r="H373" s="149"/>
      <c r="I373" s="151"/>
      <c r="J373" s="151"/>
      <c r="K373" s="151"/>
      <c r="L373" s="151"/>
      <c r="M373" s="151"/>
      <c r="N373" s="151"/>
      <c r="O373" s="151"/>
      <c r="P373" s="151"/>
      <c r="Q373" s="150"/>
      <c r="R373" s="73"/>
      <c r="S373" s="107"/>
      <c r="T373" s="107"/>
      <c r="U373" s="107"/>
      <c r="V373" s="107"/>
      <c r="W373" s="107"/>
      <c r="X373" s="107"/>
      <c r="Y373" s="107"/>
      <c r="Z373" s="107"/>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107"/>
      <c r="BE373" s="107"/>
      <c r="BF373" s="107"/>
      <c r="BG373" s="107"/>
      <c r="BH373" s="107"/>
      <c r="BI373" s="107"/>
      <c r="BJ373" s="107"/>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outlineLevel="1">
      <c r="A374" s="9"/>
      <c r="B374" s="9"/>
      <c r="C374" s="9"/>
      <c r="D374" s="279" t="str">
        <f>Asset23</f>
        <v>Land and Easements</v>
      </c>
      <c r="E374" s="9"/>
      <c r="F374" s="9"/>
      <c r="G374" s="124"/>
      <c r="H374" s="165">
        <f>-SUM(H362:H373)</f>
        <v>0</v>
      </c>
      <c r="I374" s="165">
        <f>-SUM(I362:I373)</f>
        <v>0</v>
      </c>
      <c r="J374" s="165">
        <f>-SUM(J362:J373)</f>
        <v>0</v>
      </c>
      <c r="K374" s="165">
        <f>-SUM(K362:K373)</f>
        <v>0</v>
      </c>
      <c r="L374" s="165">
        <f>-SUM(L362:L373)</f>
        <v>0</v>
      </c>
      <c r="M374" s="73">
        <f>IF(COUNT($H374:L374)&gt;=Input!$W$7,0, -SUM(M362:M373))</f>
        <v>0</v>
      </c>
      <c r="N374" s="73">
        <f>IF(COUNT($H374:M374)&gt;=Input!$W$7,0, -SUM(N362:N373))</f>
        <v>0</v>
      </c>
      <c r="O374" s="73">
        <f>IF(COUNT($H374:N374)&gt;=Input!$W$7,0, -SUM(O362:O373))</f>
        <v>0</v>
      </c>
      <c r="P374" s="73">
        <f>IF(COUNT($H374:O374)&gt;=Input!$W$7,0, -SUM(P362:P373))</f>
        <v>0</v>
      </c>
      <c r="Q374" s="73">
        <f>IF(COUNT($H374:P374)&gt;=Input!$W$7,0, -SUM(Q362:Q373))</f>
        <v>0</v>
      </c>
      <c r="R374" s="71"/>
      <c r="S374" s="109"/>
      <c r="T374" s="109"/>
      <c r="U374" s="109"/>
      <c r="V374" s="109"/>
      <c r="W374" s="109"/>
      <c r="X374" s="109"/>
      <c r="Y374" s="109"/>
      <c r="Z374" s="109"/>
      <c r="AA374" s="240"/>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109"/>
      <c r="BE374" s="109"/>
      <c r="BF374" s="109"/>
      <c r="BG374" s="109"/>
      <c r="BH374" s="109"/>
      <c r="BI374" s="109"/>
      <c r="BJ374" s="109"/>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outlineLevel="2">
      <c r="A375" s="9"/>
      <c r="B375" s="9"/>
      <c r="C375" s="280" t="str">
        <f>Asset24</f>
        <v>Equity Raising</v>
      </c>
      <c r="D375" s="161"/>
      <c r="E375" s="32" t="s">
        <v>26</v>
      </c>
      <c r="F375" s="31"/>
      <c r="G375" s="181"/>
      <c r="H375" s="72" t="str">
        <f>IF(H$3&gt;A24remlife,A24value-$G$653-SUM($G375:G375),IF(A24remlife="N/A","n/a",(A24value-$G$653)/A24remlife))</f>
        <v>n/a</v>
      </c>
      <c r="I375" s="72" t="str">
        <f>IF(I$3&gt;A24remlife,A24value-$G$653-SUM($G375:H375),IF(A24remlife="N/A","n/a",(A24value-$G$653)/A24remlife))</f>
        <v>n/a</v>
      </c>
      <c r="J375" s="72" t="str">
        <f>IF(J$3&gt;A24remlife,A24value-$G$653-SUM($G375:I375),IF(A24remlife="N/A","n/a",(A24value-$G$653)/A24remlife))</f>
        <v>n/a</v>
      </c>
      <c r="K375" s="72" t="str">
        <f>IF(K$3&gt;A24remlife,A24value-$G$653-SUM($G375:J375),IF(A24remlife="N/A","n/a",(A24value-$G$653)/A24remlife))</f>
        <v>n/a</v>
      </c>
      <c r="L375" s="72" t="str">
        <f>IF(L$3&gt;A24remlife,A24value-$G$653-SUM($G375:K375),IF(A24remlife="N/A","n/a",(A24value-$G$653)/A24remlife))</f>
        <v>n/a</v>
      </c>
      <c r="M375" s="72" t="str">
        <f>IF(M$3&gt;A24remlife,A24value-$G$653-SUM($G375:L375),IF(A24remlife="N/A","n/a",(A24value-$G$653)/A24remlife))</f>
        <v>n/a</v>
      </c>
      <c r="N375" s="72" t="str">
        <f>IF(N$3&gt;A24remlife,A24value-$G$653-SUM($G375:M375),IF(A24remlife="N/A","n/a",(A24value-$G$653)/A24remlife))</f>
        <v>n/a</v>
      </c>
      <c r="O375" s="72" t="str">
        <f>IF(O$3&gt;A24remlife,A24value-$G$653-SUM($G375:N375),IF(A24remlife="N/A","n/a",(A24value-$G$653)/A24remlife))</f>
        <v>n/a</v>
      </c>
      <c r="P375" s="72" t="str">
        <f>IF(P$3&gt;A24remlife,A24value-$G$653-SUM($G375:O375),IF(A24remlife="N/A","n/a",(A24value-$G$653)/A24remlife))</f>
        <v>n/a</v>
      </c>
      <c r="Q375" s="72" t="str">
        <f>IF(Q$3&gt;A24remlife,A24value-$G$653-SUM($G375:P375),IF(A24remlife="N/A","n/a",(A24value-$G$653)/A24remlife))</f>
        <v>n/a</v>
      </c>
      <c r="R375" s="72"/>
      <c r="S375" s="107"/>
      <c r="T375" s="107"/>
      <c r="U375" s="107"/>
      <c r="V375" s="107"/>
      <c r="W375" s="107"/>
      <c r="X375" s="107"/>
      <c r="Y375" s="107"/>
      <c r="Z375" s="107"/>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107"/>
      <c r="BE375" s="107"/>
      <c r="BF375" s="107"/>
      <c r="BG375" s="107"/>
      <c r="BH375" s="107"/>
      <c r="BI375" s="107"/>
      <c r="BJ375" s="107"/>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9"/>
      <c r="D376" s="26"/>
      <c r="E376" s="391" t="s">
        <v>81</v>
      </c>
      <c r="F376" s="91"/>
      <c r="G376" s="124"/>
      <c r="H376" s="73"/>
      <c r="I376" s="73"/>
      <c r="J376" s="73"/>
      <c r="K376" s="73"/>
      <c r="L376" s="73"/>
      <c r="M376" s="163"/>
      <c r="N376" s="115"/>
      <c r="O376" s="73"/>
      <c r="P376" s="73"/>
      <c r="Q376" s="73"/>
      <c r="R376" s="73"/>
      <c r="S376" s="107"/>
      <c r="T376" s="107"/>
      <c r="U376" s="107"/>
      <c r="V376" s="107"/>
      <c r="W376" s="107"/>
      <c r="X376" s="107"/>
      <c r="Y376" s="107"/>
      <c r="Z376" s="107"/>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107"/>
      <c r="BE376" s="107"/>
      <c r="BF376" s="107"/>
      <c r="BG376" s="107"/>
      <c r="BH376" s="107"/>
      <c r="BI376" s="107"/>
      <c r="BJ376" s="107"/>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outlineLevel="2">
      <c r="A377" s="9"/>
      <c r="B377" s="9"/>
      <c r="C377" s="9"/>
      <c r="D377" s="26"/>
      <c r="E377" s="392"/>
      <c r="F377" s="91">
        <v>1</v>
      </c>
      <c r="G377" s="124"/>
      <c r="H377" s="148"/>
      <c r="I377" s="73">
        <f>IF(A24stdlife="n/a","n/a",IF(I$3&gt;(A24stdlife+$F377),(Input!$H$234*(1+vanilla1)^0.5)-SUM($H377:H377),(Input!$H$234*(1+vanilla1)^0.5)/A24stdlife))</f>
        <v>1.0412174330733793E-2</v>
      </c>
      <c r="J377" s="73">
        <f>IF(A24stdlife="n/a","n/a",IF(J$3&gt;(A24stdlife+$F377),(Input!$H$234*(1+vanilla1)^0.5)-SUM($H377:I377),(Input!$H$234*(1+vanilla1)^0.5)/A24stdlife))</f>
        <v>1.0412174330733793E-2</v>
      </c>
      <c r="K377" s="73">
        <f>IF(A24stdlife="n/a","n/a",IF(K$3&gt;(A24stdlife+$F377),(Input!$H$234*(1+vanilla1)^0.5)-SUM($H377:J377),(Input!$H$234*(1+vanilla1)^0.5)/A24stdlife))</f>
        <v>1.0412174330733793E-2</v>
      </c>
      <c r="L377" s="73">
        <f>IF(A24stdlife="n/a","n/a",IF(L$3&gt;(A24stdlife+$F377),(Input!$H$234*(1+vanilla1)^0.5)-SUM($H377:K377),(Input!$H$234*(1+vanilla1)^0.5)/A24stdlife))</f>
        <v>1.0412174330733793E-2</v>
      </c>
      <c r="M377" s="73">
        <f>IF(A24stdlife="n/a","n/a",IF(M$3&gt;(A24stdlife+$F377),(Input!$H$234*(1+vanilla1)^0.5)-SUM($H377:L377),(Input!$H$234*(1+vanilla1)^0.5)/A24stdlife))</f>
        <v>1.0412174330733793E-2</v>
      </c>
      <c r="N377" s="73">
        <f>IF(A24stdlife="n/a","n/a",IF(N$3&gt;(A24stdlife+$F377),(Input!$H$234*(1+vanilla1)^0.5)-SUM($H377:M377),(Input!$H$234*(1+vanilla1)^0.5)/A24stdlife))</f>
        <v>1.0412174330733793E-2</v>
      </c>
      <c r="O377" s="73">
        <f>IF(A24stdlife="n/a","n/a",IF(O$3&gt;(A24stdlife+$F377),(Input!$H$234*(1+vanilla1)^0.5)-SUM($H377:N377),(Input!$H$234*(1+vanilla1)^0.5)/A24stdlife))</f>
        <v>1.0412174330733793E-2</v>
      </c>
      <c r="P377" s="73">
        <f>IF(A24stdlife="n/a","n/a",IF(P$3&gt;(A24stdlife+$F377),(Input!$H$234*(1+vanilla1)^0.5)-SUM($H377:O377),(Input!$H$234*(1+vanilla1)^0.5)/A24stdlife))</f>
        <v>1.0412174330733793E-2</v>
      </c>
      <c r="Q377" s="73">
        <f>IF(A24stdlife="n/a","n/a",IF(Q$3&gt;(A24stdlife+$F377),(Input!$H$234*(1+vanilla1)^0.5)-SUM($H377:P377),(Input!$H$234*(1+vanilla1)^0.5)/A24stdlife))</f>
        <v>1.0412174330733793E-2</v>
      </c>
      <c r="R377" s="73"/>
      <c r="S377" s="107"/>
      <c r="T377" s="107"/>
      <c r="U377" s="107"/>
      <c r="V377" s="107"/>
      <c r="W377" s="107"/>
      <c r="X377" s="107"/>
      <c r="Y377" s="107"/>
      <c r="Z377" s="107"/>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107"/>
      <c r="BE377" s="107"/>
      <c r="BF377" s="107"/>
      <c r="BG377" s="107"/>
      <c r="BH377" s="107"/>
      <c r="BI377" s="107"/>
      <c r="BJ377" s="107"/>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outlineLevel="2">
      <c r="A378" s="9"/>
      <c r="B378" s="9"/>
      <c r="C378" s="9"/>
      <c r="D378" s="26"/>
      <c r="E378" s="392"/>
      <c r="F378" s="91">
        <v>2</v>
      </c>
      <c r="G378" s="124"/>
      <c r="H378" s="149"/>
      <c r="I378" s="150"/>
      <c r="J378" s="73">
        <f>IF(A24stdlife="n/a","n/a",IF(J$3&gt;(A24stdlife+$F378),(Input!$I$234*(1+vanilla2)^0.5)-SUM($I378:I378),(Input!$I$234*(1+vanilla2)^0.5)/A24stdlife))</f>
        <v>0</v>
      </c>
      <c r="K378" s="73">
        <f>IF(A24stdlife="n/a","n/a",IF(K$3&gt;(A24stdlife+$F378),(Input!$I$234*(1+vanilla2)^0.5)-SUM($I378:J378),(Input!$I$234*(1+vanilla2)^0.5)/A24stdlife))</f>
        <v>0</v>
      </c>
      <c r="L378" s="73">
        <f>IF(A24stdlife="n/a","n/a",IF(L$3&gt;(A24stdlife+$F378),(Input!$I$234*(1+vanilla2)^0.5)-SUM($I378:K378),(Input!$I$234*(1+vanilla2)^0.5)/A24stdlife))</f>
        <v>0</v>
      </c>
      <c r="M378" s="73">
        <f>IF(A24stdlife="n/a","n/a",IF(M$3&gt;(A24stdlife+$F378),(Input!$I$234*(1+vanilla2)^0.5)-SUM($I378:L378),(Input!$I$234*(1+vanilla2)^0.5)/A24stdlife))</f>
        <v>0</v>
      </c>
      <c r="N378" s="73">
        <f>IF(A24stdlife="n/a","n/a",IF(N$3&gt;(A24stdlife+$F378),(Input!$I$234*(1+vanilla2)^0.5)-SUM($I378:M378),(Input!$I$234*(1+vanilla2)^0.5)/A24stdlife))</f>
        <v>0</v>
      </c>
      <c r="O378" s="73">
        <f>IF(A24stdlife="n/a","n/a",IF(O$3&gt;(A24stdlife+$F378),(Input!$I$234*(1+vanilla2)^0.5)-SUM($I378:N378),(Input!$I$234*(1+vanilla2)^0.5)/A24stdlife))</f>
        <v>0</v>
      </c>
      <c r="P378" s="73">
        <f>IF(A24stdlife="n/a","n/a",IF(P$3&gt;(A24stdlife+$F378),(Input!$I$234*(1+vanilla2)^0.5)-SUM($I378:O378),(Input!$I$234*(1+vanilla2)^0.5)/A24stdlife))</f>
        <v>0</v>
      </c>
      <c r="Q378" s="73">
        <f>IF(A24stdlife="n/a","n/a",IF(Q$3&gt;(A24stdlife+$F378),(Input!$I$234*(1+vanilla2)^0.5)-SUM($I378:P378),(Input!$I$234*(1+vanilla2)^0.5)/A24stdlife))</f>
        <v>0</v>
      </c>
      <c r="R378" s="73"/>
      <c r="S378" s="107"/>
      <c r="T378" s="107"/>
      <c r="U378" s="107"/>
      <c r="V378" s="107"/>
      <c r="W378" s="107"/>
      <c r="X378" s="107"/>
      <c r="Y378" s="107"/>
      <c r="Z378" s="107"/>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107"/>
      <c r="BE378" s="107"/>
      <c r="BF378" s="107"/>
      <c r="BG378" s="107"/>
      <c r="BH378" s="107"/>
      <c r="BI378" s="107"/>
      <c r="BJ378" s="107"/>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2">
      <c r="A379" s="9"/>
      <c r="B379" s="9"/>
      <c r="C379" s="9"/>
      <c r="D379" s="26"/>
      <c r="E379" s="392"/>
      <c r="F379" s="91">
        <v>3</v>
      </c>
      <c r="G379" s="124"/>
      <c r="H379" s="149"/>
      <c r="I379" s="151"/>
      <c r="J379" s="150"/>
      <c r="K379" s="73">
        <f>IF(A24stdlife="n/a","n/a",IF(K$3&gt;(A24stdlife+$F379),(Input!$J$234*(1+vanilla3)^0.5)-SUM($J379:J379),(Input!$J$234*(1+vanilla3)^0.5)/A24stdlife))</f>
        <v>0</v>
      </c>
      <c r="L379" s="73">
        <f>IF(A24stdlife="n/a","n/a",IF(L$3&gt;(A24stdlife+$F379),(Input!$J$234*(1+vanilla3)^0.5)-SUM($J379:K379),(Input!$J$234*(1+vanilla3)^0.5)/A24stdlife))</f>
        <v>0</v>
      </c>
      <c r="M379" s="73">
        <f>IF(A24stdlife="n/a","n/a",IF(M$3&gt;(A24stdlife+$F379),(Input!$J$234*(1+vanilla3)^0.5)-SUM($J379:L379),(Input!$J$234*(1+vanilla3)^0.5)/A24stdlife))</f>
        <v>0</v>
      </c>
      <c r="N379" s="73">
        <f>IF(A24stdlife="n/a","n/a",IF(N$3&gt;(A24stdlife+$F379),(Input!$J$234*(1+vanilla3)^0.5)-SUM($J379:M379),(Input!$J$234*(1+vanilla3)^0.5)/A24stdlife))</f>
        <v>0</v>
      </c>
      <c r="O379" s="73">
        <f>IF(A24stdlife="n/a","n/a",IF(O$3&gt;(A24stdlife+$F379),(Input!$J$234*(1+vanilla3)^0.5)-SUM($J379:N379),(Input!$J$234*(1+vanilla3)^0.5)/A24stdlife))</f>
        <v>0</v>
      </c>
      <c r="P379" s="73">
        <f>IF(A24stdlife="n/a","n/a",IF(P$3&gt;(A24stdlife+$F379),(Input!$J$234*(1+vanilla3)^0.5)-SUM($J379:O379),(Input!$J$234*(1+vanilla3)^0.5)/A24stdlife))</f>
        <v>0</v>
      </c>
      <c r="Q379" s="73">
        <f>IF(A24stdlife="n/a","n/a",IF(Q$3&gt;(A24stdlife+$F379),(Input!$J$234*(1+vanilla3)^0.5)-SUM($J379:P379),(Input!$J$234*(1+vanilla3)^0.5)/A24stdlife))</f>
        <v>0</v>
      </c>
      <c r="R379" s="73"/>
      <c r="S379" s="107"/>
      <c r="T379" s="107"/>
      <c r="U379" s="107"/>
      <c r="V379" s="107"/>
      <c r="W379" s="107"/>
      <c r="X379" s="107"/>
      <c r="Y379" s="107"/>
      <c r="Z379" s="107"/>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107"/>
      <c r="BE379" s="107"/>
      <c r="BF379" s="107"/>
      <c r="BG379" s="107"/>
      <c r="BH379" s="107"/>
      <c r="BI379" s="107"/>
      <c r="BJ379" s="107"/>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outlineLevel="2">
      <c r="A380" s="9"/>
      <c r="B380" s="9"/>
      <c r="C380" s="9"/>
      <c r="D380" s="26"/>
      <c r="E380" s="392"/>
      <c r="F380" s="91">
        <v>4</v>
      </c>
      <c r="G380" s="124"/>
      <c r="H380" s="149"/>
      <c r="I380" s="151"/>
      <c r="J380" s="151"/>
      <c r="K380" s="150"/>
      <c r="L380" s="73">
        <f>IF(A24stdlife="n/a","n/a",IF(L$3&gt;(A24stdlife+$F380),(Input!$K$234*(1+vanilla4)^0.5)-SUM($K380:K380),(Input!$K$234*(1+vanilla4)^0.5)/A24stdlife))</f>
        <v>0</v>
      </c>
      <c r="M380" s="73">
        <f>IF(A24stdlife="n/a","n/a",IF(M$3&gt;(A24stdlife+$F380),(Input!$K$234*(1+vanilla4)^0.5)-SUM($K380:L380),(Input!$K$234*(1+vanilla4)^0.5)/A24stdlife))</f>
        <v>0</v>
      </c>
      <c r="N380" s="73">
        <f>IF(A24stdlife="n/a","n/a",IF(N$3&gt;(A24stdlife+$F380),(Input!$K$234*(1+vanilla4)^0.5)-SUM($K380:M380),(Input!$K$234*(1+vanilla4)^0.5)/A24stdlife))</f>
        <v>0</v>
      </c>
      <c r="O380" s="73">
        <f>IF(A24stdlife="n/a","n/a",IF(O$3&gt;(A24stdlife+$F380),(Input!$K$234*(1+vanilla4)^0.5)-SUM($K380:N380),(Input!$K$234*(1+vanilla4)^0.5)/A24stdlife))</f>
        <v>0</v>
      </c>
      <c r="P380" s="73">
        <f>IF(A24stdlife="n/a","n/a",IF(P$3&gt;(A24stdlife+$F380),(Input!$K$234*(1+vanilla4)^0.5)-SUM($K380:O380),(Input!$K$234*(1+vanilla4)^0.5)/A24stdlife))</f>
        <v>0</v>
      </c>
      <c r="Q380" s="73">
        <f>IF(A24stdlife="n/a","n/a",IF(Q$3&gt;(A24stdlife+$F380),(Input!$K$234*(1+vanilla4)^0.5)-SUM($K380:P380),(Input!$K$234*(1+vanilla4)^0.5)/A24stdlife))</f>
        <v>0</v>
      </c>
      <c r="R380" s="73"/>
      <c r="S380" s="107"/>
      <c r="T380" s="107"/>
      <c r="U380" s="107"/>
      <c r="V380" s="107"/>
      <c r="W380" s="107"/>
      <c r="X380" s="107"/>
      <c r="Y380" s="107"/>
      <c r="Z380" s="107"/>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107"/>
      <c r="BE380" s="107"/>
      <c r="BF380" s="107"/>
      <c r="BG380" s="107"/>
      <c r="BH380" s="107"/>
      <c r="BI380" s="107"/>
      <c r="BJ380" s="107"/>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2">
      <c r="A381" s="9"/>
      <c r="B381" s="9"/>
      <c r="C381" s="9"/>
      <c r="D381" s="26"/>
      <c r="E381" s="392"/>
      <c r="F381" s="91">
        <v>5</v>
      </c>
      <c r="G381" s="27"/>
      <c r="H381" s="149"/>
      <c r="I381" s="151"/>
      <c r="J381" s="151"/>
      <c r="K381" s="151"/>
      <c r="L381" s="150"/>
      <c r="M381" s="73">
        <f>IF(A24stdlife="n/a","n/a",IF(M$3&gt;(A24stdlife+$F381),(Input!$L$234*(1+vanilla5)^0.5)-SUM($L381:L381),(Input!$L$234*(1+vanilla5)^0.5)/A24stdlife))</f>
        <v>0</v>
      </c>
      <c r="N381" s="73">
        <f>IF(A24stdlife="n/a","n/a",IF(N$3&gt;(A24stdlife+$F381),(Input!$L$234*(1+vanilla5)^0.5)-SUM($L381:M381),(Input!$L$234*(1+vanilla5)^0.5)/A24stdlife))</f>
        <v>0</v>
      </c>
      <c r="O381" s="73">
        <f>IF(A24stdlife="n/a","n/a",IF(O$3&gt;(A24stdlife+$F381),(Input!$L$234*(1+vanilla5)^0.5)-SUM($L381:N381),(Input!$L$234*(1+vanilla5)^0.5)/A24stdlife))</f>
        <v>0</v>
      </c>
      <c r="P381" s="73">
        <f>IF(A24stdlife="n/a","n/a",IF(P$3&gt;(A24stdlife+$F381),(Input!$L$234*(1+vanilla5)^0.5)-SUM($L381:O381),(Input!$L$234*(1+vanilla5)^0.5)/A24stdlife))</f>
        <v>0</v>
      </c>
      <c r="Q381" s="73">
        <f>IF(A24stdlife="n/a","n/a",IF(Q$3&gt;(A24stdlife+$F381),(Input!$L$234*(1+vanilla5)^0.5)-SUM($L381:P381),(Input!$L$234*(1+vanilla5)^0.5)/A24stdlife))</f>
        <v>0</v>
      </c>
      <c r="R381" s="73"/>
      <c r="S381" s="107"/>
      <c r="T381" s="107"/>
      <c r="U381" s="107"/>
      <c r="V381" s="107"/>
      <c r="W381" s="107"/>
      <c r="X381" s="107"/>
      <c r="Y381" s="107"/>
      <c r="Z381" s="107"/>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outlineLevel="2">
      <c r="A382" s="9"/>
      <c r="B382" s="9"/>
      <c r="C382" s="9"/>
      <c r="D382" s="26"/>
      <c r="E382" s="392"/>
      <c r="F382" s="91">
        <v>6</v>
      </c>
      <c r="G382" s="27"/>
      <c r="H382" s="149"/>
      <c r="I382" s="151"/>
      <c r="J382" s="151"/>
      <c r="K382" s="151"/>
      <c r="L382" s="151"/>
      <c r="M382" s="150"/>
      <c r="N382" s="73">
        <f>IF(A24stdlife="n/a","n/a",IF(N$3&gt;(A24stdlife+$F382),(Input!$M$234*(1+vanilla6)^0.5)-SUM($M382:M382),(Input!$M$234*(1+vanilla6)^0.5)/A24stdlife))</f>
        <v>0</v>
      </c>
      <c r="O382" s="73">
        <f>IF(A24stdlife="n/a","n/a",IF(O$3&gt;(A24stdlife+$F382),(Input!$M$234*(1+vanilla6)^0.5)-SUM($M382:N382),(Input!$M$234*(1+vanilla6)^0.5)/A24stdlife))</f>
        <v>0</v>
      </c>
      <c r="P382" s="73">
        <f>IF(A24stdlife="n/a","n/a",IF(P$3&gt;(A24stdlife+$F382),(Input!$M$234*(1+vanilla6)^0.5)-SUM($M382:O382),(Input!$M$234*(1+vanilla6)^0.5)/A24stdlife))</f>
        <v>0</v>
      </c>
      <c r="Q382" s="73">
        <f>IF(A24stdlife="n/a","n/a",IF(Q$3&gt;(A24stdlife+$F382),(Input!$M$234*(1+vanilla6)^0.5)-SUM($M382:P382),(Input!$M$234*(1+vanilla6)^0.5)/A24stdlife))</f>
        <v>0</v>
      </c>
      <c r="R382" s="73"/>
      <c r="S382" s="107"/>
      <c r="T382" s="107"/>
      <c r="U382" s="107"/>
      <c r="V382" s="107"/>
      <c r="W382" s="107"/>
      <c r="X382" s="107"/>
      <c r="Y382" s="107"/>
      <c r="Z382" s="107"/>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107"/>
      <c r="BE382" s="107"/>
      <c r="BF382" s="107"/>
      <c r="BG382" s="107"/>
      <c r="BH382" s="107"/>
      <c r="BI382" s="107"/>
      <c r="BJ382" s="107"/>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outlineLevel="2">
      <c r="A383" s="9"/>
      <c r="B383" s="9"/>
      <c r="C383" s="9"/>
      <c r="D383" s="26"/>
      <c r="E383" s="392"/>
      <c r="F383" s="91">
        <v>7</v>
      </c>
      <c r="G383" s="27"/>
      <c r="H383" s="149"/>
      <c r="I383" s="151"/>
      <c r="J383" s="151"/>
      <c r="K383" s="151"/>
      <c r="L383" s="151"/>
      <c r="M383" s="151"/>
      <c r="N383" s="150"/>
      <c r="O383" s="73">
        <f>IF(A24stdlife="n/a","n/a",IF(O$3&gt;(A24stdlife+$F383),(Input!N$234*(1+vanilla7)^0.5)-SUM($N383:N383),(Input!$N$234*(1+vanilla7)^0.5)/A24stdlife))</f>
        <v>0</v>
      </c>
      <c r="P383" s="73">
        <f>IF(A24stdlife="n/a","n/a",IF(P$3&gt;(A24stdlife+$F383),(Input!O$234*(1+vanilla7)^0.5)-SUM($N383:O383),(Input!$N$234*(1+vanilla7)^0.5)/A24stdlife))</f>
        <v>0</v>
      </c>
      <c r="Q383" s="73">
        <f>IF(A24stdlife="n/a","n/a",IF(Q$3&gt;(A24stdlife+$F383),(Input!P$234*(1+vanilla7)^0.5)-SUM($N383:P383),(Input!$N$234*(1+vanilla7)^0.5)/A24stdlife))</f>
        <v>0</v>
      </c>
      <c r="R383" s="73"/>
      <c r="S383" s="107"/>
      <c r="T383" s="107"/>
      <c r="U383" s="107"/>
      <c r="V383" s="107"/>
      <c r="W383" s="107"/>
      <c r="X383" s="107"/>
      <c r="Y383" s="107"/>
      <c r="Z383" s="107"/>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107"/>
      <c r="BE383" s="107"/>
      <c r="BF383" s="107"/>
      <c r="BG383" s="107"/>
      <c r="BH383" s="107"/>
      <c r="BI383" s="107"/>
      <c r="BJ383" s="107"/>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outlineLevel="2">
      <c r="A384" s="9"/>
      <c r="B384" s="9"/>
      <c r="C384" s="9"/>
      <c r="D384" s="26"/>
      <c r="E384" s="392"/>
      <c r="F384" s="91">
        <v>8</v>
      </c>
      <c r="G384" s="27"/>
      <c r="H384" s="149"/>
      <c r="I384" s="151"/>
      <c r="J384" s="151"/>
      <c r="K384" s="151"/>
      <c r="L384" s="151"/>
      <c r="M384" s="151"/>
      <c r="N384" s="151"/>
      <c r="O384" s="150"/>
      <c r="P384" s="73">
        <f>IF(A24stdlife="n/a","n/a",IF(P$3&gt;(A24stdlife+$F384),(Input!$O$234*(1+vanilla8)^0.5)-SUM($O384:O384),(Input!$O$234*(1+vanilla8)^0.5)/A24stdlife))</f>
        <v>0</v>
      </c>
      <c r="Q384" s="73">
        <f>IF(A24stdlife="n/a","n/a",IF(Q$3&gt;(A24stdlife+$F384),(Input!$O$234*(1+vanilla8)^0.5)-SUM($O384:P384),(Input!$O$234*(1+vanilla8)^0.5)/A24stdlife))</f>
        <v>0</v>
      </c>
      <c r="R384" s="73"/>
      <c r="S384" s="107"/>
      <c r="T384" s="107"/>
      <c r="U384" s="107"/>
      <c r="V384" s="107"/>
      <c r="W384" s="107"/>
      <c r="X384" s="107"/>
      <c r="Y384" s="107"/>
      <c r="Z384" s="107"/>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107"/>
      <c r="BE384" s="107"/>
      <c r="BF384" s="107"/>
      <c r="BG384" s="107"/>
      <c r="BH384" s="107"/>
      <c r="BI384" s="107"/>
      <c r="BJ384" s="107"/>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outlineLevel="2">
      <c r="A385" s="9"/>
      <c r="B385" s="9"/>
      <c r="C385" s="9"/>
      <c r="D385" s="26"/>
      <c r="E385" s="392"/>
      <c r="F385" s="91">
        <v>9</v>
      </c>
      <c r="G385" s="27"/>
      <c r="H385" s="149"/>
      <c r="I385" s="151"/>
      <c r="J385" s="151"/>
      <c r="K385" s="151"/>
      <c r="L385" s="151"/>
      <c r="M385" s="151"/>
      <c r="N385" s="151"/>
      <c r="O385" s="151"/>
      <c r="P385" s="150"/>
      <c r="Q385" s="73">
        <f>IF(A24stdlife="n/a","n/a",IF(Q$3&gt;(A24stdlife+$F385),(Input!$P$234*(1+vanilla9)^0.5)-SUM($P385:P385),(Input!$P$234*(1+vanilla9)^0.5)/A24stdlife))</f>
        <v>0</v>
      </c>
      <c r="R385" s="73"/>
      <c r="S385" s="107"/>
      <c r="T385" s="107"/>
      <c r="U385" s="107"/>
      <c r="V385" s="107"/>
      <c r="W385" s="107"/>
      <c r="X385" s="107"/>
      <c r="Y385" s="107"/>
      <c r="Z385" s="107"/>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107"/>
      <c r="BE385" s="107"/>
      <c r="BF385" s="107"/>
      <c r="BG385" s="107"/>
      <c r="BH385" s="107"/>
      <c r="BI385" s="107"/>
      <c r="BJ385" s="107"/>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outlineLevel="2">
      <c r="A386" s="9"/>
      <c r="B386" s="9"/>
      <c r="C386" s="9"/>
      <c r="D386" s="26"/>
      <c r="E386" s="392"/>
      <c r="F386" s="92">
        <v>10</v>
      </c>
      <c r="G386" s="27"/>
      <c r="H386" s="149"/>
      <c r="I386" s="151"/>
      <c r="J386" s="151"/>
      <c r="K386" s="151"/>
      <c r="L386" s="151"/>
      <c r="M386" s="151"/>
      <c r="N386" s="151"/>
      <c r="O386" s="151"/>
      <c r="P386" s="151"/>
      <c r="Q386" s="150"/>
      <c r="R386" s="73"/>
      <c r="S386" s="107"/>
      <c r="T386" s="107"/>
      <c r="U386" s="107"/>
      <c r="V386" s="107"/>
      <c r="W386" s="107"/>
      <c r="X386" s="107"/>
      <c r="Y386" s="107"/>
      <c r="Z386" s="107"/>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107"/>
      <c r="BE386" s="107"/>
      <c r="BF386" s="107"/>
      <c r="BG386" s="107"/>
      <c r="BH386" s="107"/>
      <c r="BI386" s="107"/>
      <c r="BJ386" s="107"/>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outlineLevel="1">
      <c r="A387" s="9"/>
      <c r="B387" s="9"/>
      <c r="C387" s="9"/>
      <c r="D387" s="279" t="str">
        <f>Asset24</f>
        <v>Equity Raising</v>
      </c>
      <c r="E387" s="9"/>
      <c r="F387" s="9"/>
      <c r="G387" s="124"/>
      <c r="H387" s="165">
        <f>-SUM(H375:H386)</f>
        <v>0</v>
      </c>
      <c r="I387" s="165">
        <f>-SUM(I375:I386)</f>
        <v>-1.0412174330733793E-2</v>
      </c>
      <c r="J387" s="165">
        <f>-SUM(J375:J386)</f>
        <v>-1.0412174330733793E-2</v>
      </c>
      <c r="K387" s="165">
        <f>-SUM(K375:K386)</f>
        <v>-1.0412174330733793E-2</v>
      </c>
      <c r="L387" s="165">
        <f>-SUM(L375:L386)</f>
        <v>-1.0412174330733793E-2</v>
      </c>
      <c r="M387" s="73">
        <f>IF(COUNT($H387:L387)&gt;=Input!$W$7,0, -SUM(M375:M386))</f>
        <v>0</v>
      </c>
      <c r="N387" s="73">
        <f>IF(COUNT($H387:M387)&gt;=Input!$W$7,0, -SUM(N375:N386))</f>
        <v>0</v>
      </c>
      <c r="O387" s="73">
        <f>IF(COUNT($H387:N387)&gt;=Input!$W$7,0, -SUM(O375:O386))</f>
        <v>0</v>
      </c>
      <c r="P387" s="73">
        <f>IF(COUNT($H387:O387)&gt;=Input!$W$7,0, -SUM(P375:P386))</f>
        <v>0</v>
      </c>
      <c r="Q387" s="73">
        <f>IF(COUNT($H387:P387)&gt;=Input!$W$7,0, -SUM(Q375:Q386))</f>
        <v>0</v>
      </c>
      <c r="R387" s="71"/>
      <c r="S387" s="109"/>
      <c r="T387" s="109"/>
      <c r="U387" s="109"/>
      <c r="V387" s="109"/>
      <c r="W387" s="109"/>
      <c r="X387" s="109"/>
      <c r="Y387" s="109"/>
      <c r="Z387" s="109"/>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109"/>
      <c r="BE387" s="109"/>
      <c r="BF387" s="109"/>
      <c r="BG387" s="109"/>
      <c r="BH387" s="109"/>
      <c r="BI387" s="109"/>
      <c r="BJ387" s="109"/>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outlineLevel="2">
      <c r="A388" s="9"/>
      <c r="B388" s="9"/>
      <c r="C388" s="280">
        <f>Asset25</f>
        <v>0</v>
      </c>
      <c r="D388" s="161"/>
      <c r="E388" s="32" t="s">
        <v>26</v>
      </c>
      <c r="F388" s="31"/>
      <c r="G388" s="181"/>
      <c r="H388" s="72" t="str">
        <f>IF(H$3&gt;A25remlife,A25value-$G$654-SUM($G388:G388),IF(A25remlife="N/A","n/a",(A25value-$G$654)/A25remlife))</f>
        <v>n/a</v>
      </c>
      <c r="I388" s="72" t="str">
        <f>IF(I$3&gt;A25remlife,A25value-$G$654-SUM($G388:H388),IF(A25remlife="N/A","n/a",(A25value-$G$654)/A25remlife))</f>
        <v>n/a</v>
      </c>
      <c r="J388" s="72" t="str">
        <f>IF(J$3&gt;A25remlife,A25value-$G$654-SUM($G388:I388),IF(A25remlife="N/A","n/a",(A25value-$G$654)/A25remlife))</f>
        <v>n/a</v>
      </c>
      <c r="K388" s="72" t="str">
        <f>IF(K$3&gt;A25remlife,A25value-$G$654-SUM($G388:J388),IF(A25remlife="N/A","n/a",(A25value-$G$654)/A25remlife))</f>
        <v>n/a</v>
      </c>
      <c r="L388" s="72" t="str">
        <f>IF(L$3&gt;A25remlife,A25value-$G$654-SUM($G388:K388),IF(A25remlife="N/A","n/a",(A25value-$G$654)/A25remlife))</f>
        <v>n/a</v>
      </c>
      <c r="M388" s="72" t="str">
        <f>IF(M$3&gt;A25remlife,A25value-$G$654-SUM($G388:L388),IF(A25remlife="N/A","n/a",(A25value-$G$654)/A25remlife))</f>
        <v>n/a</v>
      </c>
      <c r="N388" s="72" t="str">
        <f>IF(N$3&gt;A25remlife,A25value-$G$654-SUM($G388:M388),IF(A25remlife="N/A","n/a",(A25value-$G$654)/A25remlife))</f>
        <v>n/a</v>
      </c>
      <c r="O388" s="72" t="str">
        <f>IF(O$3&gt;A25remlife,A25value-$G$654-SUM($G388:N388),IF(A25remlife="N/A","n/a",(A25value-$G$654)/A25remlife))</f>
        <v>n/a</v>
      </c>
      <c r="P388" s="72" t="str">
        <f>IF(P$3&gt;A25remlife,A25value-$G$654-SUM($G388:O388),IF(A25remlife="N/A","n/a",(A25value-$G$654)/A25remlife))</f>
        <v>n/a</v>
      </c>
      <c r="Q388" s="72" t="str">
        <f>IF(Q$3&gt;A25remlife,A25value-$G$654-SUM($G388:P388),IF(A25remlife="N/A","n/a",(A25value-$G$654)/A25remlife))</f>
        <v>n/a</v>
      </c>
      <c r="R388" s="72"/>
      <c r="S388" s="107"/>
      <c r="T388" s="107"/>
      <c r="U388" s="107"/>
      <c r="V388" s="107"/>
      <c r="W388" s="107"/>
      <c r="X388" s="107"/>
      <c r="Y388" s="107"/>
      <c r="Z388" s="107"/>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107"/>
      <c r="BE388" s="107"/>
      <c r="BF388" s="107"/>
      <c r="BG388" s="107"/>
      <c r="BH388" s="107"/>
      <c r="BI388" s="107"/>
      <c r="BJ388" s="107"/>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9"/>
      <c r="D389" s="26"/>
      <c r="E389" s="391" t="s">
        <v>81</v>
      </c>
      <c r="F389" s="91"/>
      <c r="G389" s="124"/>
      <c r="H389" s="73"/>
      <c r="I389" s="73"/>
      <c r="J389" s="73"/>
      <c r="K389" s="73"/>
      <c r="L389" s="73"/>
      <c r="M389" s="163"/>
      <c r="N389" s="115"/>
      <c r="O389" s="73"/>
      <c r="P389" s="73"/>
      <c r="Q389" s="73"/>
      <c r="R389" s="73"/>
      <c r="S389" s="107"/>
      <c r="T389" s="107"/>
      <c r="U389" s="107"/>
      <c r="V389" s="107"/>
      <c r="W389" s="107"/>
      <c r="X389" s="107"/>
      <c r="Y389" s="107"/>
      <c r="Z389" s="107"/>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107"/>
      <c r="BE389" s="107"/>
      <c r="BF389" s="107"/>
      <c r="BG389" s="107"/>
      <c r="BH389" s="107"/>
      <c r="BI389" s="107"/>
      <c r="BJ389" s="107"/>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outlineLevel="2">
      <c r="A390" s="9"/>
      <c r="B390" s="9"/>
      <c r="C390" s="9"/>
      <c r="D390" s="26"/>
      <c r="E390" s="392"/>
      <c r="F390" s="91">
        <v>1</v>
      </c>
      <c r="G390" s="124"/>
      <c r="H390" s="148"/>
      <c r="I390" s="73" t="str">
        <f>IF(A25stdlife="n/a","n/a",IF(I$3&gt;(A25stdlife+$F390),(Input!$H$235*(1+vanilla1)^0.5)-SUM($H390:H390),(Input!$H$235*(1+vanilla1)^0.5)/A25stdlife))</f>
        <v>n/a</v>
      </c>
      <c r="J390" s="73" t="str">
        <f>IF(A25stdlife="n/a","n/a",IF(J$3&gt;(A25stdlife+$F390),(Input!$H$235*(1+vanilla1)^0.5)-SUM($H390:I390),(Input!$H$235*(1+vanilla1)^0.5)/A25stdlife))</f>
        <v>n/a</v>
      </c>
      <c r="K390" s="73" t="str">
        <f>IF(A25stdlife="n/a","n/a",IF(K$3&gt;(A25stdlife+$F390),(Input!$H$235*(1+vanilla1)^0.5)-SUM($H390:J390),(Input!$H$235*(1+vanilla1)^0.5)/A25stdlife))</f>
        <v>n/a</v>
      </c>
      <c r="L390" s="73" t="str">
        <f>IF(A25stdlife="n/a","n/a",IF(L$3&gt;(A25stdlife+$F390),(Input!$H$235*(1+vanilla1)^0.5)-SUM($H390:K390),(Input!$H$235*(1+vanilla1)^0.5)/A25stdlife))</f>
        <v>n/a</v>
      </c>
      <c r="M390" s="73" t="str">
        <f>IF(A25stdlife="n/a","n/a",IF(M$3&gt;(A25stdlife+$F390),(Input!$H$235*(1+vanilla1)^0.5)-SUM($H390:L390),(Input!$H$235*(1+vanilla1)^0.5)/A25stdlife))</f>
        <v>n/a</v>
      </c>
      <c r="N390" s="73" t="str">
        <f>IF(A25stdlife="n/a","n/a",IF(N$3&gt;(A25stdlife+$F390),(Input!$H$235*(1+vanilla1)^0.5)-SUM($H390:M390),(Input!$H$235*(1+vanilla1)^0.5)/A25stdlife))</f>
        <v>n/a</v>
      </c>
      <c r="O390" s="73" t="str">
        <f>IF(A25stdlife="n/a","n/a",IF(O$3&gt;(A25stdlife+$F390),(Input!$H$235*(1+vanilla1)^0.5)-SUM($H390:N390),(Input!$H$235*(1+vanilla1)^0.5)/A25stdlife))</f>
        <v>n/a</v>
      </c>
      <c r="P390" s="73" t="str">
        <f>IF(A25stdlife="n/a","n/a",IF(P$3&gt;(A25stdlife+$F390),(Input!$H$235*(1+vanilla1)^0.5)-SUM($H390:O390),(Input!$H$235*(1+vanilla1)^0.5)/A25stdlife))</f>
        <v>n/a</v>
      </c>
      <c r="Q390" s="73" t="str">
        <f>IF(A25stdlife="n/a","n/a",IF(Q$3&gt;(A25stdlife+$F390),(Input!$H$235*(1+vanilla1)^0.5)-SUM($H390:P390),(Input!$H$235*(1+vanilla1)^0.5)/A25stdlife))</f>
        <v>n/a</v>
      </c>
      <c r="R390" s="73"/>
      <c r="S390" s="107"/>
      <c r="T390" s="107"/>
      <c r="U390" s="107"/>
      <c r="V390" s="107"/>
      <c r="W390" s="107"/>
      <c r="X390" s="107"/>
      <c r="Y390" s="107"/>
      <c r="Z390" s="107"/>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107"/>
      <c r="BE390" s="107"/>
      <c r="BF390" s="107"/>
      <c r="BG390" s="107"/>
      <c r="BH390" s="107"/>
      <c r="BI390" s="107"/>
      <c r="BJ390" s="107"/>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outlineLevel="2">
      <c r="A391" s="9"/>
      <c r="B391" s="9"/>
      <c r="C391" s="9"/>
      <c r="D391" s="26"/>
      <c r="E391" s="392"/>
      <c r="F391" s="91">
        <v>2</v>
      </c>
      <c r="G391" s="124"/>
      <c r="H391" s="149"/>
      <c r="I391" s="150"/>
      <c r="J391" s="73" t="str">
        <f>IF(A25stdlife="n/a","n/a",IF(J$3&gt;(A25stdlife+$F391),(Input!$I$235*(1+vanilla2)^0.5)-SUM($I391:I391),(Input!$I$235*(1+vanilla2)^0.5)/A25stdlife))</f>
        <v>n/a</v>
      </c>
      <c r="K391" s="73" t="str">
        <f>IF(A25stdlife="n/a","n/a",IF(K$3&gt;(A25stdlife+$F391),(Input!$I$235*(1+vanilla2)^0.5)-SUM($I391:J391),(Input!$I$235*(1+vanilla2)^0.5)/A25stdlife))</f>
        <v>n/a</v>
      </c>
      <c r="L391" s="73" t="str">
        <f>IF(A25stdlife="n/a","n/a",IF(L$3&gt;(A25stdlife+$F391),(Input!$I$235*(1+vanilla2)^0.5)-SUM($I391:K391),(Input!$I$235*(1+vanilla2)^0.5)/A25stdlife))</f>
        <v>n/a</v>
      </c>
      <c r="M391" s="73" t="str">
        <f>IF(A25stdlife="n/a","n/a",IF(M$3&gt;(A25stdlife+$F391),(Input!$I$235*(1+vanilla2)^0.5)-SUM($I391:L391),(Input!$I$235*(1+vanilla2)^0.5)/A25stdlife))</f>
        <v>n/a</v>
      </c>
      <c r="N391" s="73" t="str">
        <f>IF(A25stdlife="n/a","n/a",IF(N$3&gt;(A25stdlife+$F391),(Input!$I$235*(1+vanilla2)^0.5)-SUM($I391:M391),(Input!$I$235*(1+vanilla2)^0.5)/A25stdlife))</f>
        <v>n/a</v>
      </c>
      <c r="O391" s="73" t="str">
        <f>IF(A25stdlife="n/a","n/a",IF(O$3&gt;(A25stdlife+$F391),(Input!$I$235*(1+vanilla2)^0.5)-SUM($I391:N391),(Input!$I$235*(1+vanilla2)^0.5)/A25stdlife))</f>
        <v>n/a</v>
      </c>
      <c r="P391" s="73" t="str">
        <f>IF(A25stdlife="n/a","n/a",IF(P$3&gt;(A25stdlife+$F391),(Input!$I$235*(1+vanilla2)^0.5)-SUM($I391:O391),(Input!$I$235*(1+vanilla2)^0.5)/A25stdlife))</f>
        <v>n/a</v>
      </c>
      <c r="Q391" s="73" t="str">
        <f>IF(A25stdlife="n/a","n/a",IF(Q$3&gt;(A25stdlife+$F391),(Input!$I$235*(1+vanilla2)^0.5)-SUM($I391:P391),(Input!$I$235*(1+vanilla2)^0.5)/A25stdlife))</f>
        <v>n/a</v>
      </c>
      <c r="R391" s="73"/>
      <c r="S391" s="107"/>
      <c r="T391" s="107"/>
      <c r="U391" s="107"/>
      <c r="V391" s="107"/>
      <c r="W391" s="107"/>
      <c r="X391" s="107"/>
      <c r="Y391" s="107"/>
      <c r="Z391" s="107"/>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107"/>
      <c r="BE391" s="107"/>
      <c r="BF391" s="107"/>
      <c r="BG391" s="107"/>
      <c r="BH391" s="107"/>
      <c r="BI391" s="107"/>
      <c r="BJ391" s="107"/>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outlineLevel="2">
      <c r="A392" s="9"/>
      <c r="B392" s="9"/>
      <c r="C392" s="9"/>
      <c r="D392" s="26"/>
      <c r="E392" s="392"/>
      <c r="F392" s="91">
        <v>3</v>
      </c>
      <c r="G392" s="124"/>
      <c r="H392" s="149"/>
      <c r="I392" s="151"/>
      <c r="J392" s="150"/>
      <c r="K392" s="73" t="str">
        <f>IF(A25stdlife="n/a","n/a",IF(K$3&gt;(A25stdlife+$F392),(Input!$J$235*(1+vanilla3)^0.5)-SUM($J392:J392),(Input!$J$235*(1+vanilla3)^0.5)/A25stdlife))</f>
        <v>n/a</v>
      </c>
      <c r="L392" s="73" t="str">
        <f>IF(A25stdlife="n/a","n/a",IF(L$3&gt;(A25stdlife+$F392),(Input!$J$235*(1+vanilla3)^0.5)-SUM($J392:K392),(Input!$J$235*(1+vanilla3)^0.5)/A25stdlife))</f>
        <v>n/a</v>
      </c>
      <c r="M392" s="73" t="str">
        <f>IF(A25stdlife="n/a","n/a",IF(M$3&gt;(A25stdlife+$F392),(Input!$J$235*(1+vanilla3)^0.5)-SUM($J392:L392),(Input!$J$235*(1+vanilla3)^0.5)/A25stdlife))</f>
        <v>n/a</v>
      </c>
      <c r="N392" s="73" t="str">
        <f>IF(A25stdlife="n/a","n/a",IF(N$3&gt;(A25stdlife+$F392),(Input!$J$235*(1+vanilla3)^0.5)-SUM($J392:M392),(Input!$J$235*(1+vanilla3)^0.5)/A25stdlife))</f>
        <v>n/a</v>
      </c>
      <c r="O392" s="73" t="str">
        <f>IF(A25stdlife="n/a","n/a",IF(O$3&gt;(A25stdlife+$F392),(Input!$J$235*(1+vanilla3)^0.5)-SUM($J392:N392),(Input!$J$235*(1+vanilla3)^0.5)/A25stdlife))</f>
        <v>n/a</v>
      </c>
      <c r="P392" s="73" t="str">
        <f>IF(A25stdlife="n/a","n/a",IF(P$3&gt;(A25stdlife+$F392),(Input!$J$235*(1+vanilla3)^0.5)-SUM($J392:O392),(Input!$J$235*(1+vanilla3)^0.5)/A25stdlife))</f>
        <v>n/a</v>
      </c>
      <c r="Q392" s="73" t="str">
        <f>IF(A25stdlife="n/a","n/a",IF(Q$3&gt;(A25stdlife+$F392),(Input!$J$235*(1+vanilla3)^0.5)-SUM($J392:P392),(Input!$J$235*(1+vanilla3)^0.5)/A25stdlife))</f>
        <v>n/a</v>
      </c>
      <c r="R392" s="73"/>
      <c r="S392" s="107"/>
      <c r="T392" s="107"/>
      <c r="U392" s="107"/>
      <c r="V392" s="107"/>
      <c r="W392" s="107"/>
      <c r="X392" s="107"/>
      <c r="Y392" s="107"/>
      <c r="Z392" s="107"/>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107"/>
      <c r="BE392" s="107"/>
      <c r="BF392" s="107"/>
      <c r="BG392" s="107"/>
      <c r="BH392" s="107"/>
      <c r="BI392" s="107"/>
      <c r="BJ392" s="107"/>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2">
      <c r="A393" s="9"/>
      <c r="B393" s="9"/>
      <c r="C393" s="9"/>
      <c r="D393" s="26"/>
      <c r="E393" s="392"/>
      <c r="F393" s="91">
        <v>4</v>
      </c>
      <c r="G393" s="124"/>
      <c r="H393" s="149"/>
      <c r="I393" s="151"/>
      <c r="J393" s="151"/>
      <c r="K393" s="150"/>
      <c r="L393" s="73" t="str">
        <f>IF(A25stdlife="n/a","n/a",IF(L$3&gt;(A25stdlife+$F393),(Input!$K$235*(1+vanilla4)^0.5)-SUM($K393:K393),(Input!$K$235*(1+vanilla4)^0.5)/A25stdlife))</f>
        <v>n/a</v>
      </c>
      <c r="M393" s="73" t="str">
        <f>IF(A25stdlife="n/a","n/a",IF(M$3&gt;(A25stdlife+$F393),(Input!$K$235*(1+vanilla4)^0.5)-SUM($K393:L393),(Input!$K$235*(1+vanilla4)^0.5)/A25stdlife))</f>
        <v>n/a</v>
      </c>
      <c r="N393" s="73" t="str">
        <f>IF(A25stdlife="n/a","n/a",IF(N$3&gt;(A25stdlife+$F393),(Input!$K$235*(1+vanilla4)^0.5)-SUM($K393:M393),(Input!$K$235*(1+vanilla4)^0.5)/A25stdlife))</f>
        <v>n/a</v>
      </c>
      <c r="O393" s="73" t="str">
        <f>IF(A25stdlife="n/a","n/a",IF(O$3&gt;(A25stdlife+$F393),(Input!$K$235*(1+vanilla4)^0.5)-SUM($K393:N393),(Input!$K$235*(1+vanilla4)^0.5)/A25stdlife))</f>
        <v>n/a</v>
      </c>
      <c r="P393" s="73" t="str">
        <f>IF(A25stdlife="n/a","n/a",IF(P$3&gt;(A25stdlife+$F393),(Input!$K$235*(1+vanilla4)^0.5)-SUM($K393:O393),(Input!$K$235*(1+vanilla4)^0.5)/A25stdlife))</f>
        <v>n/a</v>
      </c>
      <c r="Q393" s="73" t="str">
        <f>IF(A25stdlife="n/a","n/a",IF(Q$3&gt;(A25stdlife+$F393),(Input!$K$235*(1+vanilla4)^0.5)-SUM($K393:P393),(Input!$K$235*(1+vanilla4)^0.5)/A25stdlife))</f>
        <v>n/a</v>
      </c>
      <c r="R393" s="73"/>
      <c r="S393" s="107"/>
      <c r="T393" s="107"/>
      <c r="U393" s="107"/>
      <c r="V393" s="107"/>
      <c r="W393" s="107"/>
      <c r="X393" s="107"/>
      <c r="Y393" s="107"/>
      <c r="Z393" s="107"/>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107"/>
      <c r="BE393" s="107"/>
      <c r="BF393" s="107"/>
      <c r="BG393" s="107"/>
      <c r="BH393" s="107"/>
      <c r="BI393" s="107"/>
      <c r="BJ393" s="107"/>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2">
      <c r="A394" s="9"/>
      <c r="B394" s="9"/>
      <c r="C394" s="9"/>
      <c r="D394" s="26"/>
      <c r="E394" s="392"/>
      <c r="F394" s="91">
        <v>5</v>
      </c>
      <c r="G394" s="27"/>
      <c r="H394" s="149"/>
      <c r="I394" s="151"/>
      <c r="J394" s="151"/>
      <c r="K394" s="151"/>
      <c r="L394" s="150"/>
      <c r="M394" s="73" t="str">
        <f>IF(A25stdlife="n/a","n/a",IF(M$3&gt;(A25stdlife+$F394),(Input!$L$235*(1+vanilla5)^0.5)-SUM($L394:L394),(Input!$L$235*(1+vanilla5)^0.5)/A25stdlife))</f>
        <v>n/a</v>
      </c>
      <c r="N394" s="73" t="str">
        <f>IF(A25stdlife="n/a","n/a",IF(N$3&gt;(A25stdlife+$F394),(Input!$L$235*(1+vanilla5)^0.5)-SUM($L394:M394),(Input!$L$235*(1+vanilla5)^0.5)/A25stdlife))</f>
        <v>n/a</v>
      </c>
      <c r="O394" s="73" t="str">
        <f>IF(A25stdlife="n/a","n/a",IF(O$3&gt;(A25stdlife+$F394),(Input!$L$235*(1+vanilla5)^0.5)-SUM($L394:N394),(Input!$L$235*(1+vanilla5)^0.5)/A25stdlife))</f>
        <v>n/a</v>
      </c>
      <c r="P394" s="73" t="str">
        <f>IF(A25stdlife="n/a","n/a",IF(P$3&gt;(A25stdlife+$F394),(Input!$L$235*(1+vanilla5)^0.5)-SUM($L394:O394),(Input!$L$235*(1+vanilla5)^0.5)/A25stdlife))</f>
        <v>n/a</v>
      </c>
      <c r="Q394" s="73" t="str">
        <f>IF(A25stdlife="n/a","n/a",IF(Q$3&gt;(A25stdlife+$F394),(Input!$L$235*(1+vanilla5)^0.5)-SUM($L394:P394),(Input!$L$235*(1+vanilla5)^0.5)/A25stdlife))</f>
        <v>n/a</v>
      </c>
      <c r="R394" s="73"/>
      <c r="S394" s="107"/>
      <c r="T394" s="107"/>
      <c r="U394" s="107"/>
      <c r="V394" s="107"/>
      <c r="W394" s="107"/>
      <c r="X394" s="107"/>
      <c r="Y394" s="107"/>
      <c r="Z394" s="107"/>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outlineLevel="2">
      <c r="A395" s="9"/>
      <c r="B395" s="9"/>
      <c r="C395" s="9"/>
      <c r="D395" s="26"/>
      <c r="E395" s="392"/>
      <c r="F395" s="91">
        <v>6</v>
      </c>
      <c r="G395" s="27"/>
      <c r="H395" s="149"/>
      <c r="I395" s="151"/>
      <c r="J395" s="151"/>
      <c r="K395" s="151"/>
      <c r="L395" s="151"/>
      <c r="M395" s="150"/>
      <c r="N395" s="73" t="str">
        <f>IF(A25stdlife="n/a","n/a",IF(N$3&gt;(A25stdlife+$F395),(Input!$M$235*(1+vanilla6)^0.5)-SUM($M395:M395),(Input!$M$235*(1+vanilla6)^0.5)/A25stdlife))</f>
        <v>n/a</v>
      </c>
      <c r="O395" s="73" t="str">
        <f>IF(A25stdlife="n/a","n/a",IF(O$3&gt;(A25stdlife+$F395),(Input!$M$235*(1+vanilla6)^0.5)-SUM($M395:N395),(Input!$M$235*(1+vanilla6)^0.5)/A25stdlife))</f>
        <v>n/a</v>
      </c>
      <c r="P395" s="73" t="str">
        <f>IF(A25stdlife="n/a","n/a",IF(P$3&gt;(A25stdlife+$F395),(Input!$M$235*(1+vanilla6)^0.5)-SUM($M395:O395),(Input!$M$235*(1+vanilla6)^0.5)/A25stdlife))</f>
        <v>n/a</v>
      </c>
      <c r="Q395" s="73" t="str">
        <f>IF(A25stdlife="n/a","n/a",IF(Q$3&gt;(A25stdlife+$F395),(Input!$M$235*(1+vanilla6)^0.5)-SUM($M395:P395),(Input!$M$235*(1+vanilla6)^0.5)/A25stdlife))</f>
        <v>n/a</v>
      </c>
      <c r="R395" s="73"/>
      <c r="S395" s="107"/>
      <c r="T395" s="107"/>
      <c r="U395" s="107"/>
      <c r="V395" s="107"/>
      <c r="W395" s="107"/>
      <c r="X395" s="107"/>
      <c r="Y395" s="107"/>
      <c r="Z395" s="107"/>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107"/>
      <c r="BE395" s="107"/>
      <c r="BF395" s="107"/>
      <c r="BG395" s="107"/>
      <c r="BH395" s="107"/>
      <c r="BI395" s="107"/>
      <c r="BJ395" s="107"/>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outlineLevel="2">
      <c r="A396" s="9"/>
      <c r="B396" s="9"/>
      <c r="C396" s="9"/>
      <c r="D396" s="26"/>
      <c r="E396" s="392"/>
      <c r="F396" s="91">
        <v>7</v>
      </c>
      <c r="G396" s="27"/>
      <c r="H396" s="149"/>
      <c r="I396" s="151"/>
      <c r="J396" s="151"/>
      <c r="K396" s="151"/>
      <c r="L396" s="151"/>
      <c r="M396" s="151"/>
      <c r="N396" s="150"/>
      <c r="O396" s="73" t="str">
        <f>IF(A25stdlife="n/a","n/a",IF(O$3&gt;(A25stdlife+$F396),(Input!N$235*(1+vanilla7)^0.5)-SUM($N396:N396),(Input!$N$235*(1+vanilla7)^0.5)/A25stdlife))</f>
        <v>n/a</v>
      </c>
      <c r="P396" s="73" t="str">
        <f>IF(A25stdlife="n/a","n/a",IF(P$3&gt;(A25stdlife+$F396),(Input!O$235*(1+vanilla7)^0.5)-SUM($N396:O396),(Input!$N$235*(1+vanilla7)^0.5)/A25stdlife))</f>
        <v>n/a</v>
      </c>
      <c r="Q396" s="73" t="str">
        <f>IF(A25stdlife="n/a","n/a",IF(Q$3&gt;(A25stdlife+$F396),(Input!P$235*(1+vanilla7)^0.5)-SUM($N396:P396),(Input!$N$235*(1+vanilla7)^0.5)/A25stdlife))</f>
        <v>n/a</v>
      </c>
      <c r="R396" s="73"/>
      <c r="S396" s="107"/>
      <c r="T396" s="107"/>
      <c r="U396" s="107"/>
      <c r="V396" s="107"/>
      <c r="W396" s="107"/>
      <c r="X396" s="107"/>
      <c r="Y396" s="107"/>
      <c r="Z396" s="107"/>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107"/>
      <c r="BE396" s="107"/>
      <c r="BF396" s="107"/>
      <c r="BG396" s="107"/>
      <c r="BH396" s="107"/>
      <c r="BI396" s="107"/>
      <c r="BJ396" s="107"/>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outlineLevel="2">
      <c r="A397" s="9"/>
      <c r="B397" s="9"/>
      <c r="C397" s="9"/>
      <c r="D397" s="26"/>
      <c r="E397" s="392"/>
      <c r="F397" s="91">
        <v>8</v>
      </c>
      <c r="G397" s="27"/>
      <c r="H397" s="149"/>
      <c r="I397" s="151"/>
      <c r="J397" s="151"/>
      <c r="K397" s="151"/>
      <c r="L397" s="151"/>
      <c r="M397" s="151"/>
      <c r="N397" s="151"/>
      <c r="O397" s="150"/>
      <c r="P397" s="73" t="str">
        <f>IF(A25stdlife="n/a","n/a",IF(P$3&gt;(A25stdlife+$F397),(Input!$O$235*(1+vanilla8)^0.5)-SUM($O397:O397),(Input!$O$235*(1+vanilla8)^0.5)/A25stdlife))</f>
        <v>n/a</v>
      </c>
      <c r="Q397" s="73" t="str">
        <f>IF(A25stdlife="n/a","n/a",IF(Q$3&gt;(A25stdlife+$F397),(Input!$O$235*(1+vanilla8)^0.5)-SUM($O397:P397),(Input!$O$235*(1+vanilla8)^0.5)/A25stdlife))</f>
        <v>n/a</v>
      </c>
      <c r="R397" s="73"/>
      <c r="S397" s="107"/>
      <c r="T397" s="107"/>
      <c r="U397" s="107"/>
      <c r="V397" s="107"/>
      <c r="W397" s="107"/>
      <c r="X397" s="107"/>
      <c r="Y397" s="107"/>
      <c r="Z397" s="107"/>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107"/>
      <c r="BE397" s="107"/>
      <c r="BF397" s="107"/>
      <c r="BG397" s="107"/>
      <c r="BH397" s="107"/>
      <c r="BI397" s="107"/>
      <c r="BJ397" s="107"/>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outlineLevel="2">
      <c r="A398" s="9"/>
      <c r="B398" s="9"/>
      <c r="C398" s="9"/>
      <c r="D398" s="26"/>
      <c r="E398" s="392"/>
      <c r="F398" s="91">
        <v>9</v>
      </c>
      <c r="G398" s="27"/>
      <c r="H398" s="149"/>
      <c r="I398" s="151"/>
      <c r="J398" s="151"/>
      <c r="K398" s="151"/>
      <c r="L398" s="151"/>
      <c r="M398" s="151"/>
      <c r="N398" s="151"/>
      <c r="O398" s="151"/>
      <c r="P398" s="150"/>
      <c r="Q398" s="73" t="str">
        <f>IF(A25stdlife="n/a","n/a",IF(Q$3&gt;(A25stdlife+$F398),(Input!$P$235*(1+vanilla9)^0.5)-SUM($P398:P398),(Input!$P$235*(1+vanilla9)^0.5)/A25stdlife))</f>
        <v>n/a</v>
      </c>
      <c r="R398" s="73"/>
      <c r="S398" s="107"/>
      <c r="T398" s="107"/>
      <c r="U398" s="107"/>
      <c r="V398" s="107"/>
      <c r="W398" s="107"/>
      <c r="X398" s="107"/>
      <c r="Y398" s="107"/>
      <c r="Z398" s="107"/>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107"/>
      <c r="BE398" s="107"/>
      <c r="BF398" s="107"/>
      <c r="BG398" s="107"/>
      <c r="BH398" s="107"/>
      <c r="BI398" s="107"/>
      <c r="BJ398" s="107"/>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outlineLevel="2">
      <c r="A399" s="9"/>
      <c r="B399" s="9"/>
      <c r="C399" s="9"/>
      <c r="D399" s="26"/>
      <c r="E399" s="392"/>
      <c r="F399" s="92">
        <v>10</v>
      </c>
      <c r="G399" s="27"/>
      <c r="H399" s="149"/>
      <c r="I399" s="151"/>
      <c r="J399" s="151"/>
      <c r="K399" s="151"/>
      <c r="L399" s="151"/>
      <c r="M399" s="151"/>
      <c r="N399" s="151"/>
      <c r="O399" s="151"/>
      <c r="P399" s="151"/>
      <c r="Q399" s="150"/>
      <c r="R399" s="73"/>
      <c r="S399" s="107"/>
      <c r="T399" s="107"/>
      <c r="U399" s="107"/>
      <c r="V399" s="107"/>
      <c r="W399" s="107"/>
      <c r="X399" s="107"/>
      <c r="Y399" s="107"/>
      <c r="Z399" s="107"/>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107"/>
      <c r="BE399" s="107"/>
      <c r="BF399" s="107"/>
      <c r="BG399" s="107"/>
      <c r="BH399" s="107"/>
      <c r="BI399" s="107"/>
      <c r="BJ399" s="107"/>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outlineLevel="1">
      <c r="A400" s="9"/>
      <c r="B400" s="9"/>
      <c r="C400" s="9"/>
      <c r="D400" s="279">
        <f>Asset25</f>
        <v>0</v>
      </c>
      <c r="E400" s="9"/>
      <c r="F400" s="9"/>
      <c r="G400" s="124"/>
      <c r="H400" s="165">
        <f>-SUM(H388:H399)</f>
        <v>0</v>
      </c>
      <c r="I400" s="165">
        <f>-SUM(I388:I399)</f>
        <v>0</v>
      </c>
      <c r="J400" s="165">
        <f>-SUM(J388:J399)</f>
        <v>0</v>
      </c>
      <c r="K400" s="165">
        <f>-SUM(K388:K399)</f>
        <v>0</v>
      </c>
      <c r="L400" s="165">
        <f>-SUM(L388:L399)</f>
        <v>0</v>
      </c>
      <c r="M400" s="73">
        <f>IF(COUNT($H400:L400)&gt;=Input!$W$7,0, -SUM(M388:M399))</f>
        <v>0</v>
      </c>
      <c r="N400" s="73">
        <f>IF(COUNT($H400:M400)&gt;=Input!$W$7,0, -SUM(N388:N399))</f>
        <v>0</v>
      </c>
      <c r="O400" s="73">
        <f>IF(COUNT($H400:N400)&gt;=Input!$W$7,0, -SUM(O388:O399))</f>
        <v>0</v>
      </c>
      <c r="P400" s="73">
        <f>IF(COUNT($H400:O400)&gt;=Input!$W$7,0, -SUM(P388:P399))</f>
        <v>0</v>
      </c>
      <c r="Q400" s="73">
        <f>IF(COUNT($H400:P400)&gt;=Input!$W$7,0, -SUM(Q388:Q399))</f>
        <v>0</v>
      </c>
      <c r="R400" s="71"/>
      <c r="S400" s="109"/>
      <c r="T400" s="109"/>
      <c r="U400" s="109"/>
      <c r="V400" s="109"/>
      <c r="W400" s="109"/>
      <c r="X400" s="109"/>
      <c r="Y400" s="109"/>
      <c r="Z400" s="109"/>
      <c r="AA400" s="240"/>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c r="BA400" s="240"/>
      <c r="BB400" s="240"/>
      <c r="BC400" s="240"/>
      <c r="BD400" s="109"/>
      <c r="BE400" s="109"/>
      <c r="BF400" s="109"/>
      <c r="BG400" s="109"/>
      <c r="BH400" s="109"/>
      <c r="BI400" s="109"/>
      <c r="BJ400" s="109"/>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outlineLevel="2">
      <c r="A401" s="9"/>
      <c r="B401" s="9"/>
      <c r="C401" s="280">
        <f>Asset26</f>
        <v>0</v>
      </c>
      <c r="D401" s="161"/>
      <c r="E401" s="32" t="s">
        <v>26</v>
      </c>
      <c r="F401" s="31"/>
      <c r="G401" s="181"/>
      <c r="H401" s="72" t="str">
        <f>IF(H$3&gt;A26remlife,A26value-$G$655-SUM($G401:G401),IF(A26remlife="N/A","n/a",(A26value-$G$655)/A26remlife))</f>
        <v>n/a</v>
      </c>
      <c r="I401" s="72" t="str">
        <f>IF(I$3&gt;A26remlife,A26value-$G$655-SUM($G401:H401),IF(A26remlife="N/A","n/a",(A26value-$G$655)/A26remlife))</f>
        <v>n/a</v>
      </c>
      <c r="J401" s="72" t="str">
        <f>IF(J$3&gt;A26remlife,A26value-$G$655-SUM($G401:I401),IF(A26remlife="N/A","n/a",(A26value-$G$655)/A26remlife))</f>
        <v>n/a</v>
      </c>
      <c r="K401" s="72" t="str">
        <f>IF(K$3&gt;A26remlife,A26value-$G$655-SUM($G401:J401),IF(A26remlife="N/A","n/a",(A26value-$G$655)/A26remlife))</f>
        <v>n/a</v>
      </c>
      <c r="L401" s="72" t="str">
        <f>IF(L$3&gt;A26remlife,A26value-$G$655-SUM($G401:K401),IF(A26remlife="N/A","n/a",(A26value-$G$655)/A26remlife))</f>
        <v>n/a</v>
      </c>
      <c r="M401" s="72" t="str">
        <f>IF(M$3&gt;A26remlife,A26value-$G$655-SUM($G401:L401),IF(A26remlife="N/A","n/a",(A26value-$G$655)/A26remlife))</f>
        <v>n/a</v>
      </c>
      <c r="N401" s="72" t="str">
        <f>IF(N$3&gt;A26remlife,A26value-$G$655-SUM($G401:M401),IF(A26remlife="N/A","n/a",(A26value-$G$655)/A26remlife))</f>
        <v>n/a</v>
      </c>
      <c r="O401" s="72" t="str">
        <f>IF(O$3&gt;A26remlife,A26value-$G$655-SUM($G401:N401),IF(A26remlife="N/A","n/a",(A26value-$G$655)/A26remlife))</f>
        <v>n/a</v>
      </c>
      <c r="P401" s="72" t="str">
        <f>IF(P$3&gt;A26remlife,A26value-$G$655-SUM($G401:O401),IF(A26remlife="N/A","n/a",(A26value-$G$655)/A26remlife))</f>
        <v>n/a</v>
      </c>
      <c r="Q401" s="72" t="str">
        <f>IF(Q$3&gt;A26remlife,A26value-$G$655-SUM($G401:P401),IF(A26remlife="N/A","n/a",(A26value-$G$655)/A26remlife))</f>
        <v>n/a</v>
      </c>
      <c r="R401" s="72"/>
      <c r="S401" s="107"/>
      <c r="T401" s="107"/>
      <c r="U401" s="107"/>
      <c r="V401" s="107"/>
      <c r="W401" s="107"/>
      <c r="X401" s="107"/>
      <c r="Y401" s="107"/>
      <c r="Z401" s="107"/>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107"/>
      <c r="BE401" s="107"/>
      <c r="BF401" s="107"/>
      <c r="BG401" s="107"/>
      <c r="BH401" s="107"/>
      <c r="BI401" s="107"/>
      <c r="BJ401" s="107"/>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9"/>
      <c r="D402" s="26"/>
      <c r="E402" s="391" t="s">
        <v>81</v>
      </c>
      <c r="F402" s="91"/>
      <c r="G402" s="124"/>
      <c r="H402" s="73"/>
      <c r="I402" s="73"/>
      <c r="J402" s="73"/>
      <c r="K402" s="73"/>
      <c r="L402" s="73"/>
      <c r="M402" s="163"/>
      <c r="N402" s="115"/>
      <c r="O402" s="73"/>
      <c r="P402" s="73"/>
      <c r="Q402" s="73"/>
      <c r="R402" s="73"/>
      <c r="S402" s="107"/>
      <c r="T402" s="107"/>
      <c r="U402" s="107"/>
      <c r="V402" s="107"/>
      <c r="W402" s="107"/>
      <c r="X402" s="107"/>
      <c r="Y402" s="107"/>
      <c r="Z402" s="107"/>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107"/>
      <c r="BE402" s="107"/>
      <c r="BF402" s="107"/>
      <c r="BG402" s="107"/>
      <c r="BH402" s="107"/>
      <c r="BI402" s="107"/>
      <c r="BJ402" s="107"/>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outlineLevel="2">
      <c r="A403" s="9"/>
      <c r="B403" s="9"/>
      <c r="C403" s="9"/>
      <c r="D403" s="26"/>
      <c r="E403" s="392"/>
      <c r="F403" s="91">
        <v>1</v>
      </c>
      <c r="G403" s="124"/>
      <c r="H403" s="148"/>
      <c r="I403" s="73" t="str">
        <f>IF(A26stdlife="n/a","n/a",IF(I$3&gt;(A26stdlife+$F403),(Input!$H$236*(1+vanilla1)^0.5)-SUM($H403:H403),(Input!$H$236*(1+vanilla1)^0.5)/A26stdlife))</f>
        <v>n/a</v>
      </c>
      <c r="J403" s="73" t="str">
        <f>IF(A26stdlife="n/a","n/a",IF(J$3&gt;(A26stdlife+$F403),(Input!$H$236*(1+vanilla1)^0.5)-SUM($H403:I403),(Input!$H$236*(1+vanilla1)^0.5)/A26stdlife))</f>
        <v>n/a</v>
      </c>
      <c r="K403" s="73" t="str">
        <f>IF(A26stdlife="n/a","n/a",IF(K$3&gt;(A26stdlife+$F403),(Input!$H$236*(1+vanilla1)^0.5)-SUM($H403:J403),(Input!$H$236*(1+vanilla1)^0.5)/A26stdlife))</f>
        <v>n/a</v>
      </c>
      <c r="L403" s="73" t="str">
        <f>IF(A26stdlife="n/a","n/a",IF(L$3&gt;(A26stdlife+$F403),(Input!$H$236*(1+vanilla1)^0.5)-SUM($H403:K403),(Input!$H$236*(1+vanilla1)^0.5)/A26stdlife))</f>
        <v>n/a</v>
      </c>
      <c r="M403" s="73" t="str">
        <f>IF(A26stdlife="n/a","n/a",IF(M$3&gt;(A26stdlife+$F403),(Input!$H$236*(1+vanilla1)^0.5)-SUM($H403:L403),(Input!$H$236*(1+vanilla1)^0.5)/A26stdlife))</f>
        <v>n/a</v>
      </c>
      <c r="N403" s="73" t="str">
        <f>IF(A26stdlife="n/a","n/a",IF(N$3&gt;(A26stdlife+$F403),(Input!$H$236*(1+vanilla1)^0.5)-SUM($H403:M403),(Input!$H$236*(1+vanilla1)^0.5)/A26stdlife))</f>
        <v>n/a</v>
      </c>
      <c r="O403" s="73" t="str">
        <f>IF(A26stdlife="n/a","n/a",IF(O$3&gt;(A26stdlife+$F403),(Input!$H$236*(1+vanilla1)^0.5)-SUM($H403:N403),(Input!$H$236*(1+vanilla1)^0.5)/A26stdlife))</f>
        <v>n/a</v>
      </c>
      <c r="P403" s="73" t="str">
        <f>IF(A26stdlife="n/a","n/a",IF(P$3&gt;(A26stdlife+$F403),(Input!$H$236*(1+vanilla1)^0.5)-SUM($H403:O403),(Input!$H$236*(1+vanilla1)^0.5)/A26stdlife))</f>
        <v>n/a</v>
      </c>
      <c r="Q403" s="73" t="str">
        <f>IF(A26stdlife="n/a","n/a",IF(Q$3&gt;(A26stdlife+$F403),(Input!$H$236*(1+vanilla1)^0.5)-SUM($H403:P403),(Input!$H$236*(1+vanilla1)^0.5)/A26stdlife))</f>
        <v>n/a</v>
      </c>
      <c r="R403" s="73"/>
      <c r="S403" s="107"/>
      <c r="T403" s="107"/>
      <c r="U403" s="107"/>
      <c r="V403" s="107"/>
      <c r="W403" s="107"/>
      <c r="X403" s="107"/>
      <c r="Y403" s="107"/>
      <c r="Z403" s="107"/>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107"/>
      <c r="BE403" s="107"/>
      <c r="BF403" s="107"/>
      <c r="BG403" s="107"/>
      <c r="BH403" s="107"/>
      <c r="BI403" s="107"/>
      <c r="BJ403" s="107"/>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outlineLevel="2">
      <c r="A404" s="9"/>
      <c r="B404" s="9"/>
      <c r="C404" s="9"/>
      <c r="D404" s="26"/>
      <c r="E404" s="392"/>
      <c r="F404" s="91">
        <v>2</v>
      </c>
      <c r="G404" s="124"/>
      <c r="H404" s="149"/>
      <c r="I404" s="150"/>
      <c r="J404" s="73" t="str">
        <f>IF(A26stdlife="n/a","n/a",IF(J$3&gt;(A26stdlife+$F404),(Input!$I$236*(1+vanilla2)^0.5)-SUM($I404:I404),(Input!$I$236*(1+vanilla2)^0.5)/A26stdlife))</f>
        <v>n/a</v>
      </c>
      <c r="K404" s="73" t="str">
        <f>IF(A26stdlife="n/a","n/a",IF(K$3&gt;(A26stdlife+$F404),(Input!$I$236*(1+vanilla2)^0.5)-SUM($I404:J404),(Input!$I$236*(1+vanilla2)^0.5)/A26stdlife))</f>
        <v>n/a</v>
      </c>
      <c r="L404" s="73" t="str">
        <f>IF(A26stdlife="n/a","n/a",IF(L$3&gt;(A26stdlife+$F404),(Input!$I$236*(1+vanilla2)^0.5)-SUM($I404:K404),(Input!$I$236*(1+vanilla2)^0.5)/A26stdlife))</f>
        <v>n/a</v>
      </c>
      <c r="M404" s="73" t="str">
        <f>IF(A26stdlife="n/a","n/a",IF(M$3&gt;(A26stdlife+$F404),(Input!$I$236*(1+vanilla2)^0.5)-SUM($I404:L404),(Input!$I$236*(1+vanilla2)^0.5)/A26stdlife))</f>
        <v>n/a</v>
      </c>
      <c r="N404" s="73" t="str">
        <f>IF(A26stdlife="n/a","n/a",IF(N$3&gt;(A26stdlife+$F404),(Input!$I$236*(1+vanilla2)^0.5)-SUM($I404:M404),(Input!$I$236*(1+vanilla2)^0.5)/A26stdlife))</f>
        <v>n/a</v>
      </c>
      <c r="O404" s="73" t="str">
        <f>IF(A26stdlife="n/a","n/a",IF(O$3&gt;(A26stdlife+$F404),(Input!$I$236*(1+vanilla2)^0.5)-SUM($I404:N404),(Input!$I$236*(1+vanilla2)^0.5)/A26stdlife))</f>
        <v>n/a</v>
      </c>
      <c r="P404" s="73" t="str">
        <f>IF(A26stdlife="n/a","n/a",IF(P$3&gt;(A26stdlife+$F404),(Input!$I$236*(1+vanilla2)^0.5)-SUM($I404:O404),(Input!$I$236*(1+vanilla2)^0.5)/A26stdlife))</f>
        <v>n/a</v>
      </c>
      <c r="Q404" s="73" t="str">
        <f>IF(A26stdlife="n/a","n/a",IF(Q$3&gt;(A26stdlife+$F404),(Input!$I$236*(1+vanilla2)^0.5)-SUM($I404:P404),(Input!$I$236*(1+vanilla2)^0.5)/A26stdlife))</f>
        <v>n/a</v>
      </c>
      <c r="R404" s="73"/>
      <c r="S404" s="107"/>
      <c r="T404" s="107"/>
      <c r="U404" s="107"/>
      <c r="V404" s="107"/>
      <c r="W404" s="107"/>
      <c r="X404" s="107"/>
      <c r="Y404" s="107"/>
      <c r="Z404" s="107"/>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107"/>
      <c r="BE404" s="107"/>
      <c r="BF404" s="107"/>
      <c r="BG404" s="107"/>
      <c r="BH404" s="107"/>
      <c r="BI404" s="107"/>
      <c r="BJ404" s="107"/>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outlineLevel="2">
      <c r="A405" s="9"/>
      <c r="B405" s="9"/>
      <c r="C405" s="9"/>
      <c r="D405" s="26"/>
      <c r="E405" s="392"/>
      <c r="F405" s="91">
        <v>3</v>
      </c>
      <c r="G405" s="124"/>
      <c r="H405" s="149"/>
      <c r="I405" s="151"/>
      <c r="J405" s="150"/>
      <c r="K405" s="73" t="str">
        <f>IF(A26stdlife="n/a","n/a",IF(K$3&gt;(A26stdlife+$F405),(Input!$J$236*(1+vanilla3)^0.5)-SUM($J405:J405),(Input!$J$236*(1+vanilla3)^0.5)/A26stdlife))</f>
        <v>n/a</v>
      </c>
      <c r="L405" s="73" t="str">
        <f>IF(A26stdlife="n/a","n/a",IF(L$3&gt;(A26stdlife+$F405),(Input!$J$236*(1+vanilla3)^0.5)-SUM($J405:K405),(Input!$J$236*(1+vanilla3)^0.5)/A26stdlife))</f>
        <v>n/a</v>
      </c>
      <c r="M405" s="73" t="str">
        <f>IF(A26stdlife="n/a","n/a",IF(M$3&gt;(A26stdlife+$F405),(Input!$J$236*(1+vanilla3)^0.5)-SUM($J405:L405),(Input!$J$236*(1+vanilla3)^0.5)/A26stdlife))</f>
        <v>n/a</v>
      </c>
      <c r="N405" s="73" t="str">
        <f>IF(A26stdlife="n/a","n/a",IF(N$3&gt;(A26stdlife+$F405),(Input!$J$236*(1+vanilla3)^0.5)-SUM($J405:M405),(Input!$J$236*(1+vanilla3)^0.5)/A26stdlife))</f>
        <v>n/a</v>
      </c>
      <c r="O405" s="73" t="str">
        <f>IF(A26stdlife="n/a","n/a",IF(O$3&gt;(A26stdlife+$F405),(Input!$J$236*(1+vanilla3)^0.5)-SUM($J405:N405),(Input!$J$236*(1+vanilla3)^0.5)/A26stdlife))</f>
        <v>n/a</v>
      </c>
      <c r="P405" s="73" t="str">
        <f>IF(A26stdlife="n/a","n/a",IF(P$3&gt;(A26stdlife+$F405),(Input!$J$236*(1+vanilla3)^0.5)-SUM($J405:O405),(Input!$J$236*(1+vanilla3)^0.5)/A26stdlife))</f>
        <v>n/a</v>
      </c>
      <c r="Q405" s="73" t="str">
        <f>IF(A26stdlife="n/a","n/a",IF(Q$3&gt;(A26stdlife+$F405),(Input!$J$236*(1+vanilla3)^0.5)-SUM($J405:P405),(Input!$J$236*(1+vanilla3)^0.5)/A26stdlife))</f>
        <v>n/a</v>
      </c>
      <c r="R405" s="73"/>
      <c r="S405" s="107"/>
      <c r="T405" s="107"/>
      <c r="U405" s="107"/>
      <c r="V405" s="107"/>
      <c r="W405" s="107"/>
      <c r="X405" s="107"/>
      <c r="Y405" s="107"/>
      <c r="Z405" s="107"/>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107"/>
      <c r="BE405" s="107"/>
      <c r="BF405" s="107"/>
      <c r="BG405" s="107"/>
      <c r="BH405" s="107"/>
      <c r="BI405" s="107"/>
      <c r="BJ405" s="107"/>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outlineLevel="2">
      <c r="A406" s="9"/>
      <c r="B406" s="9"/>
      <c r="C406" s="9"/>
      <c r="D406" s="26"/>
      <c r="E406" s="392"/>
      <c r="F406" s="91">
        <v>4</v>
      </c>
      <c r="G406" s="124"/>
      <c r="H406" s="149"/>
      <c r="I406" s="151"/>
      <c r="J406" s="151"/>
      <c r="K406" s="150"/>
      <c r="L406" s="73" t="str">
        <f>IF(A26stdlife="n/a","n/a",IF(L$3&gt;(A26stdlife+$F406),(Input!$K$236*(1+vanilla4)^0.5)-SUM($K406:K406),(Input!$K$236*(1+vanilla4)^0.5)/A26stdlife))</f>
        <v>n/a</v>
      </c>
      <c r="M406" s="73" t="str">
        <f>IF(A26stdlife="n/a","n/a",IF(M$3&gt;(A26stdlife+$F406),(Input!$K$236*(1+vanilla4)^0.5)-SUM($K406:L406),(Input!$K$236*(1+vanilla4)^0.5)/A26stdlife))</f>
        <v>n/a</v>
      </c>
      <c r="N406" s="73" t="str">
        <f>IF(A26stdlife="n/a","n/a",IF(N$3&gt;(A26stdlife+$F406),(Input!$K$236*(1+vanilla4)^0.5)-SUM($K406:M406),(Input!$K$236*(1+vanilla4)^0.5)/A26stdlife))</f>
        <v>n/a</v>
      </c>
      <c r="O406" s="73" t="str">
        <f>IF(A26stdlife="n/a","n/a",IF(O$3&gt;(A26stdlife+$F406),(Input!$K$236*(1+vanilla4)^0.5)-SUM($K406:N406),(Input!$K$236*(1+vanilla4)^0.5)/A26stdlife))</f>
        <v>n/a</v>
      </c>
      <c r="P406" s="73" t="str">
        <f>IF(A26stdlife="n/a","n/a",IF(P$3&gt;(A26stdlife+$F406),(Input!$K$236*(1+vanilla4)^0.5)-SUM($K406:O406),(Input!$K$236*(1+vanilla4)^0.5)/A26stdlife))</f>
        <v>n/a</v>
      </c>
      <c r="Q406" s="73" t="str">
        <f>IF(A26stdlife="n/a","n/a",IF(Q$3&gt;(A26stdlife+$F406),(Input!$K$236*(1+vanilla4)^0.5)-SUM($K406:P406),(Input!$K$236*(1+vanilla4)^0.5)/A26stdlife))</f>
        <v>n/a</v>
      </c>
      <c r="R406" s="73"/>
      <c r="S406" s="107"/>
      <c r="T406" s="107"/>
      <c r="U406" s="107"/>
      <c r="V406" s="107"/>
      <c r="W406" s="107"/>
      <c r="X406" s="107"/>
      <c r="Y406" s="107"/>
      <c r="Z406" s="107"/>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107"/>
      <c r="BE406" s="107"/>
      <c r="BF406" s="107"/>
      <c r="BG406" s="107"/>
      <c r="BH406" s="107"/>
      <c r="BI406" s="107"/>
      <c r="BJ406" s="107"/>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2">
      <c r="A407" s="9"/>
      <c r="B407" s="9"/>
      <c r="C407" s="9"/>
      <c r="D407" s="26"/>
      <c r="E407" s="392"/>
      <c r="F407" s="91">
        <v>5</v>
      </c>
      <c r="G407" s="27"/>
      <c r="H407" s="149"/>
      <c r="I407" s="151"/>
      <c r="J407" s="151"/>
      <c r="K407" s="151"/>
      <c r="L407" s="150"/>
      <c r="M407" s="73" t="str">
        <f>IF(A26stdlife="n/a","n/a",IF(M$3&gt;(A26stdlife+$F407),(Input!$L$236*(1+vanilla5)^0.5)-SUM($L407:L407),(Input!$L$236*(1+vanilla5)^0.5)/A26stdlife))</f>
        <v>n/a</v>
      </c>
      <c r="N407" s="73" t="str">
        <f>IF(A26stdlife="n/a","n/a",IF(N$3&gt;(A26stdlife+$F407),(Input!$L$236*(1+vanilla5)^0.5)-SUM($L407:M407),(Input!$L$236*(1+vanilla5)^0.5)/A26stdlife))</f>
        <v>n/a</v>
      </c>
      <c r="O407" s="73" t="str">
        <f>IF(A26stdlife="n/a","n/a",IF(O$3&gt;(A26stdlife+$F407),(Input!$L$236*(1+vanilla5)^0.5)-SUM($L407:N407),(Input!$L$236*(1+vanilla5)^0.5)/A26stdlife))</f>
        <v>n/a</v>
      </c>
      <c r="P407" s="73" t="str">
        <f>IF(A26stdlife="n/a","n/a",IF(P$3&gt;(A26stdlife+$F407),(Input!$L$236*(1+vanilla5)^0.5)-SUM($L407:O407),(Input!$L$236*(1+vanilla5)^0.5)/A26stdlife))</f>
        <v>n/a</v>
      </c>
      <c r="Q407" s="73" t="str">
        <f>IF(A26stdlife="n/a","n/a",IF(Q$3&gt;(A26stdlife+$F407),(Input!$L$236*(1+vanilla5)^0.5)-SUM($L407:P407),(Input!$L$236*(1+vanilla5)^0.5)/A26stdlife))</f>
        <v>n/a</v>
      </c>
      <c r="R407" s="73"/>
      <c r="S407" s="107"/>
      <c r="T407" s="107"/>
      <c r="U407" s="107"/>
      <c r="V407" s="107"/>
      <c r="W407" s="107"/>
      <c r="X407" s="107"/>
      <c r="Y407" s="107"/>
      <c r="Z407" s="107"/>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outlineLevel="2">
      <c r="A408" s="9"/>
      <c r="B408" s="9"/>
      <c r="C408" s="9"/>
      <c r="D408" s="26"/>
      <c r="E408" s="392"/>
      <c r="F408" s="91">
        <v>6</v>
      </c>
      <c r="G408" s="27"/>
      <c r="H408" s="149"/>
      <c r="I408" s="151"/>
      <c r="J408" s="151"/>
      <c r="K408" s="151"/>
      <c r="L408" s="151"/>
      <c r="M408" s="150"/>
      <c r="N408" s="73" t="str">
        <f>IF(A26stdlife="n/a","n/a",IF(N$3&gt;(A26stdlife+$F408),(Input!$M$236*(1+vanilla6)^0.5)-SUM($M408:M408),(Input!$M$236*(1+vanilla6)^0.5)/A26stdlife))</f>
        <v>n/a</v>
      </c>
      <c r="O408" s="73" t="str">
        <f>IF(A26stdlife="n/a","n/a",IF(O$3&gt;(A26stdlife+$F408),(Input!$M$236*(1+vanilla6)^0.5)-SUM($M408:N408),(Input!$M$236*(1+vanilla6)^0.5)/A26stdlife))</f>
        <v>n/a</v>
      </c>
      <c r="P408" s="73" t="str">
        <f>IF(A26stdlife="n/a","n/a",IF(P$3&gt;(A26stdlife+$F408),(Input!$M$236*(1+vanilla6)^0.5)-SUM($M408:O408),(Input!$M$236*(1+vanilla6)^0.5)/A26stdlife))</f>
        <v>n/a</v>
      </c>
      <c r="Q408" s="73" t="str">
        <f>IF(A26stdlife="n/a","n/a",IF(Q$3&gt;(A26stdlife+$F408),(Input!$M$236*(1+vanilla6)^0.5)-SUM($M408:P408),(Input!$M$236*(1+vanilla6)^0.5)/A26stdlife))</f>
        <v>n/a</v>
      </c>
      <c r="R408" s="73"/>
      <c r="S408" s="107"/>
      <c r="T408" s="107"/>
      <c r="U408" s="107"/>
      <c r="V408" s="107"/>
      <c r="W408" s="107"/>
      <c r="X408" s="107"/>
      <c r="Y408" s="107"/>
      <c r="Z408" s="107"/>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107"/>
      <c r="BE408" s="107"/>
      <c r="BF408" s="107"/>
      <c r="BG408" s="107"/>
      <c r="BH408" s="107"/>
      <c r="BI408" s="107"/>
      <c r="BJ408" s="107"/>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outlineLevel="2">
      <c r="A409" s="9"/>
      <c r="B409" s="9"/>
      <c r="C409" s="9"/>
      <c r="D409" s="26"/>
      <c r="E409" s="392"/>
      <c r="F409" s="91">
        <v>7</v>
      </c>
      <c r="G409" s="27"/>
      <c r="H409" s="149"/>
      <c r="I409" s="151"/>
      <c r="J409" s="151"/>
      <c r="K409" s="151"/>
      <c r="L409" s="151"/>
      <c r="M409" s="151"/>
      <c r="N409" s="150"/>
      <c r="O409" s="73" t="str">
        <f>IF(A26stdlife="n/a","n/a",IF(O$3&gt;(A26stdlife+$F409),(Input!N$236*(1+vanilla7)^0.5)-SUM($N409:N409),(Input!$N$236*(1+vanilla7)^0.5)/A26stdlife))</f>
        <v>n/a</v>
      </c>
      <c r="P409" s="73" t="str">
        <f>IF(A26stdlife="n/a","n/a",IF(P$3&gt;(A26stdlife+$F409),(Input!O$236*(1+vanilla7)^0.5)-SUM($N409:O409),(Input!$N$236*(1+vanilla7)^0.5)/A26stdlife))</f>
        <v>n/a</v>
      </c>
      <c r="Q409" s="73" t="str">
        <f>IF(A26stdlife="n/a","n/a",IF(Q$3&gt;(A26stdlife+$F409),(Input!P$236*(1+vanilla7)^0.5)-SUM($N409:P409),(Input!$N$236*(1+vanilla7)^0.5)/A26stdlife))</f>
        <v>n/a</v>
      </c>
      <c r="R409" s="73"/>
      <c r="S409" s="107"/>
      <c r="T409" s="107"/>
      <c r="U409" s="107"/>
      <c r="V409" s="107"/>
      <c r="W409" s="107"/>
      <c r="X409" s="107"/>
      <c r="Y409" s="107"/>
      <c r="Z409" s="107"/>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107"/>
      <c r="BE409" s="107"/>
      <c r="BF409" s="107"/>
      <c r="BG409" s="107"/>
      <c r="BH409" s="107"/>
      <c r="BI409" s="107"/>
      <c r="BJ409" s="107"/>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outlineLevel="2">
      <c r="A410" s="9"/>
      <c r="B410" s="9"/>
      <c r="C410" s="9"/>
      <c r="D410" s="26"/>
      <c r="E410" s="392"/>
      <c r="F410" s="91">
        <v>8</v>
      </c>
      <c r="G410" s="27"/>
      <c r="H410" s="149"/>
      <c r="I410" s="151"/>
      <c r="J410" s="151"/>
      <c r="K410" s="151"/>
      <c r="L410" s="151"/>
      <c r="M410" s="151"/>
      <c r="N410" s="151"/>
      <c r="O410" s="150"/>
      <c r="P410" s="73" t="str">
        <f>IF(A26stdlife="n/a","n/a",IF(P$3&gt;(A26stdlife+$F410),(Input!$O$236*(1+vanilla8)^0.5)-SUM($O410:O410),(Input!$O$236*(1+vanilla8)^0.5)/A26stdlife))</f>
        <v>n/a</v>
      </c>
      <c r="Q410" s="73" t="str">
        <f>IF(A26stdlife="n/a","n/a",IF(Q$3&gt;(A26stdlife+$F410),(Input!$O$236*(1+vanilla8)^0.5)-SUM($O410:P410),(Input!$O$236*(1+vanilla8)^0.5)/A26stdlife))</f>
        <v>n/a</v>
      </c>
      <c r="R410" s="73"/>
      <c r="S410" s="107"/>
      <c r="T410" s="107"/>
      <c r="U410" s="107"/>
      <c r="V410" s="107"/>
      <c r="W410" s="107"/>
      <c r="X410" s="107"/>
      <c r="Y410" s="107"/>
      <c r="Z410" s="107"/>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107"/>
      <c r="BE410" s="107"/>
      <c r="BF410" s="107"/>
      <c r="BG410" s="107"/>
      <c r="BH410" s="107"/>
      <c r="BI410" s="107"/>
      <c r="BJ410" s="107"/>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outlineLevel="2">
      <c r="A411" s="9"/>
      <c r="B411" s="9"/>
      <c r="C411" s="9"/>
      <c r="D411" s="26"/>
      <c r="E411" s="392"/>
      <c r="F411" s="91">
        <v>9</v>
      </c>
      <c r="G411" s="27"/>
      <c r="H411" s="149"/>
      <c r="I411" s="151"/>
      <c r="J411" s="151"/>
      <c r="K411" s="151"/>
      <c r="L411" s="151"/>
      <c r="M411" s="151"/>
      <c r="N411" s="151"/>
      <c r="O411" s="151"/>
      <c r="P411" s="150"/>
      <c r="Q411" s="73" t="str">
        <f>IF(A26stdlife="n/a","n/a",IF(Q$3&gt;(A26stdlife+$F411),(Input!$P$236*(1+vanilla9)^0.5)-SUM($P411:P411),(Input!$P$236*(1+vanilla9)^0.5)/A26stdlife))</f>
        <v>n/a</v>
      </c>
      <c r="R411" s="73"/>
      <c r="S411" s="107"/>
      <c r="T411" s="107"/>
      <c r="U411" s="107"/>
      <c r="V411" s="107"/>
      <c r="W411" s="107"/>
      <c r="X411" s="107"/>
      <c r="Y411" s="107"/>
      <c r="Z411" s="107"/>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107"/>
      <c r="BE411" s="107"/>
      <c r="BF411" s="107"/>
      <c r="BG411" s="107"/>
      <c r="BH411" s="107"/>
      <c r="BI411" s="107"/>
      <c r="BJ411" s="107"/>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outlineLevel="2">
      <c r="A412" s="9"/>
      <c r="B412" s="9"/>
      <c r="C412" s="9"/>
      <c r="D412" s="26"/>
      <c r="E412" s="392"/>
      <c r="F412" s="92">
        <v>10</v>
      </c>
      <c r="G412" s="27"/>
      <c r="H412" s="149"/>
      <c r="I412" s="151"/>
      <c r="J412" s="151"/>
      <c r="K412" s="151"/>
      <c r="L412" s="151"/>
      <c r="M412" s="151"/>
      <c r="N412" s="151"/>
      <c r="O412" s="151"/>
      <c r="P412" s="151"/>
      <c r="Q412" s="150"/>
      <c r="R412" s="73"/>
      <c r="S412" s="107"/>
      <c r="T412" s="107"/>
      <c r="U412" s="107"/>
      <c r="V412" s="107"/>
      <c r="W412" s="107"/>
      <c r="X412" s="107"/>
      <c r="Y412" s="107"/>
      <c r="Z412" s="107"/>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107"/>
      <c r="BE412" s="107"/>
      <c r="BF412" s="107"/>
      <c r="BG412" s="107"/>
      <c r="BH412" s="107"/>
      <c r="BI412" s="107"/>
      <c r="BJ412" s="107"/>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outlineLevel="1">
      <c r="A413" s="9"/>
      <c r="B413" s="9"/>
      <c r="C413" s="9"/>
      <c r="D413" s="279">
        <f>Asset26</f>
        <v>0</v>
      </c>
      <c r="E413" s="9"/>
      <c r="F413" s="9"/>
      <c r="G413" s="124"/>
      <c r="H413" s="165">
        <f>-SUM(H401:H412)</f>
        <v>0</v>
      </c>
      <c r="I413" s="165">
        <f>-SUM(I401:I412)</f>
        <v>0</v>
      </c>
      <c r="J413" s="165">
        <f>-SUM(J401:J412)</f>
        <v>0</v>
      </c>
      <c r="K413" s="165">
        <f>-SUM(K401:K412)</f>
        <v>0</v>
      </c>
      <c r="L413" s="165">
        <f>-SUM(L401:L412)</f>
        <v>0</v>
      </c>
      <c r="M413" s="73">
        <f>IF(COUNT($H413:L413)&gt;=Input!$W$7,0, -SUM(M401:M412))</f>
        <v>0</v>
      </c>
      <c r="N413" s="73">
        <f>IF(COUNT($H413:M413)&gt;=Input!$W$7,0, -SUM(N401:N412))</f>
        <v>0</v>
      </c>
      <c r="O413" s="73">
        <f>IF(COUNT($H413:N413)&gt;=Input!$W$7,0, -SUM(O401:O412))</f>
        <v>0</v>
      </c>
      <c r="P413" s="73">
        <f>IF(COUNT($H413:O413)&gt;=Input!$W$7,0, -SUM(P401:P412))</f>
        <v>0</v>
      </c>
      <c r="Q413" s="73">
        <f>IF(COUNT($H413:P413)&gt;=Input!$W$7,0, -SUM(Q401:Q412))</f>
        <v>0</v>
      </c>
      <c r="R413" s="71"/>
      <c r="S413" s="109"/>
      <c r="T413" s="109"/>
      <c r="U413" s="109"/>
      <c r="V413" s="109"/>
      <c r="W413" s="109"/>
      <c r="X413" s="109"/>
      <c r="Y413" s="109"/>
      <c r="Z413" s="109"/>
      <c r="AA413" s="240"/>
      <c r="AB413" s="240"/>
      <c r="AC413" s="240"/>
      <c r="AD413" s="240"/>
      <c r="AE413" s="240"/>
      <c r="AF413" s="240"/>
      <c r="AG413" s="240"/>
      <c r="AH413" s="240"/>
      <c r="AI413" s="240"/>
      <c r="AJ413" s="240"/>
      <c r="AK413" s="240"/>
      <c r="AL413" s="240"/>
      <c r="AM413" s="240"/>
      <c r="AN413" s="240"/>
      <c r="AO413" s="240"/>
      <c r="AP413" s="240"/>
      <c r="AQ413" s="240"/>
      <c r="AR413" s="240"/>
      <c r="AS413" s="240"/>
      <c r="AT413" s="240"/>
      <c r="AU413" s="240"/>
      <c r="AV413" s="240"/>
      <c r="AW413" s="240"/>
      <c r="AX413" s="240"/>
      <c r="AY413" s="240"/>
      <c r="AZ413" s="240"/>
      <c r="BA413" s="240"/>
      <c r="BB413" s="240"/>
      <c r="BC413" s="240"/>
      <c r="BD413" s="109"/>
      <c r="BE413" s="109"/>
      <c r="BF413" s="109"/>
      <c r="BG413" s="109"/>
      <c r="BH413" s="109"/>
      <c r="BI413" s="109"/>
      <c r="BJ413" s="109"/>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outlineLevel="2">
      <c r="A414" s="9"/>
      <c r="B414" s="9"/>
      <c r="C414" s="280">
        <f>Asset27</f>
        <v>0</v>
      </c>
      <c r="D414" s="161"/>
      <c r="E414" s="32" t="s">
        <v>26</v>
      </c>
      <c r="F414" s="31"/>
      <c r="G414" s="181"/>
      <c r="H414" s="72" t="str">
        <f>IF(H$3&gt;A27remlife,A27value-$G$656-SUM($G414:G414),IF(A27remlife="N/A","n/a",(A27value-$G$656)/A27remlife))</f>
        <v>n/a</v>
      </c>
      <c r="I414" s="72" t="str">
        <f>IF(I$3&gt;A27remlife,A27value-$G$656-SUM($G414:H414),IF(A27remlife="N/A","n/a",(A27value-$G$656)/A27remlife))</f>
        <v>n/a</v>
      </c>
      <c r="J414" s="72" t="str">
        <f>IF(J$3&gt;A27remlife,A27value-$G$656-SUM($G414:I414),IF(A27remlife="N/A","n/a",(A27value-$G$656)/A27remlife))</f>
        <v>n/a</v>
      </c>
      <c r="K414" s="72" t="str">
        <f>IF(K$3&gt;A27remlife,A27value-$G$656-SUM($G414:J414),IF(A27remlife="N/A","n/a",(A27value-$G$656)/A27remlife))</f>
        <v>n/a</v>
      </c>
      <c r="L414" s="72" t="str">
        <f>IF(L$3&gt;A27remlife,A27value-$G$656-SUM($G414:K414),IF(A27remlife="N/A","n/a",(A27value-$G$656)/A27remlife))</f>
        <v>n/a</v>
      </c>
      <c r="M414" s="72" t="str">
        <f>IF(M$3&gt;A27remlife,A27value-$G$656-SUM($G414:L414),IF(A27remlife="N/A","n/a",(A27value-$G$656)/A27remlife))</f>
        <v>n/a</v>
      </c>
      <c r="N414" s="72" t="str">
        <f>IF(N$3&gt;A27remlife,A27value-$G$656-SUM($G414:M414),IF(A27remlife="N/A","n/a",(A27value-$G$656)/A27remlife))</f>
        <v>n/a</v>
      </c>
      <c r="O414" s="72" t="str">
        <f>IF(O$3&gt;A27remlife,A27value-$G$656-SUM($G414:N414),IF(A27remlife="N/A","n/a",(A27value-$G$656)/A27remlife))</f>
        <v>n/a</v>
      </c>
      <c r="P414" s="72" t="str">
        <f>IF(P$3&gt;A27remlife,A27value-$G$656-SUM($G414:O414),IF(A27remlife="N/A","n/a",(A27value-$G$656)/A27remlife))</f>
        <v>n/a</v>
      </c>
      <c r="Q414" s="72" t="str">
        <f>IF(Q$3&gt;A27remlife,A27value-$G$656-SUM($G414:P414),IF(A27remlife="N/A","n/a",(A27value-$G$656)/A27remlife))</f>
        <v>n/a</v>
      </c>
      <c r="R414" s="72"/>
      <c r="S414" s="107"/>
      <c r="T414" s="107"/>
      <c r="U414" s="107"/>
      <c r="V414" s="107"/>
      <c r="W414" s="107"/>
      <c r="X414" s="107"/>
      <c r="Y414" s="107"/>
      <c r="Z414" s="107"/>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107"/>
      <c r="BE414" s="107"/>
      <c r="BF414" s="107"/>
      <c r="BG414" s="107"/>
      <c r="BH414" s="107"/>
      <c r="BI414" s="107"/>
      <c r="BJ414" s="107"/>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9"/>
      <c r="D415" s="26"/>
      <c r="E415" s="391" t="s">
        <v>81</v>
      </c>
      <c r="F415" s="91"/>
      <c r="G415" s="124"/>
      <c r="H415" s="73"/>
      <c r="I415" s="73"/>
      <c r="J415" s="73"/>
      <c r="K415" s="73"/>
      <c r="L415" s="73"/>
      <c r="M415" s="163"/>
      <c r="N415" s="115"/>
      <c r="O415" s="73"/>
      <c r="P415" s="73"/>
      <c r="Q415" s="73"/>
      <c r="R415" s="73"/>
      <c r="S415" s="107"/>
      <c r="T415" s="107"/>
      <c r="U415" s="107"/>
      <c r="V415" s="107"/>
      <c r="W415" s="107"/>
      <c r="X415" s="107"/>
      <c r="Y415" s="107"/>
      <c r="Z415" s="107"/>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107"/>
      <c r="BE415" s="107"/>
      <c r="BF415" s="107"/>
      <c r="BG415" s="107"/>
      <c r="BH415" s="107"/>
      <c r="BI415" s="107"/>
      <c r="BJ415" s="107"/>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outlineLevel="2">
      <c r="A416" s="9"/>
      <c r="B416" s="9"/>
      <c r="C416" s="9"/>
      <c r="D416" s="26"/>
      <c r="E416" s="392"/>
      <c r="F416" s="91">
        <v>1</v>
      </c>
      <c r="G416" s="124"/>
      <c r="H416" s="148"/>
      <c r="I416" s="73" t="str">
        <f>IF(A27stdlife="n/a","n/a",IF(I$3&gt;(A27stdlife+$F416),(Input!$H$237*(1+vanilla1)^0.5)-SUM($H416:H416),(Input!$H$237*(1+vanilla1)^0.5)/A27stdlife))</f>
        <v>n/a</v>
      </c>
      <c r="J416" s="73" t="str">
        <f>IF(A27stdlife="n/a","n/a",IF(J$3&gt;(A27stdlife+$F416),(Input!$H$237*(1+vanilla1)^0.5)-SUM($H416:I416),(Input!$H$237*(1+vanilla1)^0.5)/A27stdlife))</f>
        <v>n/a</v>
      </c>
      <c r="K416" s="73" t="str">
        <f>IF(A27stdlife="n/a","n/a",IF(K$3&gt;(A27stdlife+$F416),(Input!$H$237*(1+vanilla1)^0.5)-SUM($H416:J416),(Input!$H$237*(1+vanilla1)^0.5)/A27stdlife))</f>
        <v>n/a</v>
      </c>
      <c r="L416" s="73" t="str">
        <f>IF(A27stdlife="n/a","n/a",IF(L$3&gt;(A27stdlife+$F416),(Input!$H$237*(1+vanilla1)^0.5)-SUM($H416:K416),(Input!$H$237*(1+vanilla1)^0.5)/A27stdlife))</f>
        <v>n/a</v>
      </c>
      <c r="M416" s="73" t="str">
        <f>IF(A27stdlife="n/a","n/a",IF(M$3&gt;(A27stdlife+$F416),(Input!$H$237*(1+vanilla1)^0.5)-SUM($H416:L416),(Input!$H$237*(1+vanilla1)^0.5)/A27stdlife))</f>
        <v>n/a</v>
      </c>
      <c r="N416" s="73" t="str">
        <f>IF(A27stdlife="n/a","n/a",IF(N$3&gt;(A27stdlife+$F416),(Input!$H$237*(1+vanilla1)^0.5)-SUM($H416:M416),(Input!$H$237*(1+vanilla1)^0.5)/A27stdlife))</f>
        <v>n/a</v>
      </c>
      <c r="O416" s="73" t="str">
        <f>IF(A27stdlife="n/a","n/a",IF(O$3&gt;(A27stdlife+$F416),(Input!$H$237*(1+vanilla1)^0.5)-SUM($H416:N416),(Input!$H$237*(1+vanilla1)^0.5)/A27stdlife))</f>
        <v>n/a</v>
      </c>
      <c r="P416" s="73" t="str">
        <f>IF(A27stdlife="n/a","n/a",IF(P$3&gt;(A27stdlife+$F416),(Input!$H$237*(1+vanilla1)^0.5)-SUM($H416:O416),(Input!$H$237*(1+vanilla1)^0.5)/A27stdlife))</f>
        <v>n/a</v>
      </c>
      <c r="Q416" s="73" t="str">
        <f>IF(A27stdlife="n/a","n/a",IF(Q$3&gt;(A27stdlife+$F416),(Input!$H$237*(1+vanilla1)^0.5)-SUM($H416:P416),(Input!$H$237*(1+vanilla1)^0.5)/A27stdlife))</f>
        <v>n/a</v>
      </c>
      <c r="R416" s="73"/>
      <c r="S416" s="107"/>
      <c r="T416" s="107"/>
      <c r="U416" s="107"/>
      <c r="V416" s="107"/>
      <c r="W416" s="107"/>
      <c r="X416" s="107"/>
      <c r="Y416" s="107"/>
      <c r="Z416" s="107"/>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107"/>
      <c r="BE416" s="107"/>
      <c r="BF416" s="107"/>
      <c r="BG416" s="107"/>
      <c r="BH416" s="107"/>
      <c r="BI416" s="107"/>
      <c r="BJ416" s="107"/>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outlineLevel="2">
      <c r="A417" s="9"/>
      <c r="B417" s="9"/>
      <c r="C417" s="9"/>
      <c r="D417" s="26"/>
      <c r="E417" s="392"/>
      <c r="F417" s="91">
        <v>2</v>
      </c>
      <c r="G417" s="124"/>
      <c r="H417" s="149"/>
      <c r="I417" s="150"/>
      <c r="J417" s="73" t="str">
        <f>IF(A27stdlife="n/a","n/a",IF(J$3&gt;(A27stdlife+$F417),(Input!$I$237*(1+vanilla2)^0.5)-SUM($I417:I417),(Input!$I$237*(1+vanilla2)^0.5)/A27stdlife))</f>
        <v>n/a</v>
      </c>
      <c r="K417" s="73" t="str">
        <f>IF(A27stdlife="n/a","n/a",IF(K$3&gt;(A27stdlife+$F417),(Input!$I$237*(1+vanilla2)^0.5)-SUM($I417:J417),(Input!$I$237*(1+vanilla2)^0.5)/A27stdlife))</f>
        <v>n/a</v>
      </c>
      <c r="L417" s="73" t="str">
        <f>IF(A27stdlife="n/a","n/a",IF(L$3&gt;(A27stdlife+$F417),(Input!$I$237*(1+vanilla2)^0.5)-SUM($I417:K417),(Input!$I$237*(1+vanilla2)^0.5)/A27stdlife))</f>
        <v>n/a</v>
      </c>
      <c r="M417" s="73" t="str">
        <f>IF(A27stdlife="n/a","n/a",IF(M$3&gt;(A27stdlife+$F417),(Input!$I$237*(1+vanilla2)^0.5)-SUM($I417:L417),(Input!$I$237*(1+vanilla2)^0.5)/A27stdlife))</f>
        <v>n/a</v>
      </c>
      <c r="N417" s="73" t="str">
        <f>IF(A27stdlife="n/a","n/a",IF(N$3&gt;(A27stdlife+$F417),(Input!$I$237*(1+vanilla2)^0.5)-SUM($I417:M417),(Input!$I$237*(1+vanilla2)^0.5)/A27stdlife))</f>
        <v>n/a</v>
      </c>
      <c r="O417" s="73" t="str">
        <f>IF(A27stdlife="n/a","n/a",IF(O$3&gt;(A27stdlife+$F417),(Input!$I$237*(1+vanilla2)^0.5)-SUM($I417:N417),(Input!$I$237*(1+vanilla2)^0.5)/A27stdlife))</f>
        <v>n/a</v>
      </c>
      <c r="P417" s="73" t="str">
        <f>IF(A27stdlife="n/a","n/a",IF(P$3&gt;(A27stdlife+$F417),(Input!$I$237*(1+vanilla2)^0.5)-SUM($I417:O417),(Input!$I$237*(1+vanilla2)^0.5)/A27stdlife))</f>
        <v>n/a</v>
      </c>
      <c r="Q417" s="73" t="str">
        <f>IF(A27stdlife="n/a","n/a",IF(Q$3&gt;(A27stdlife+$F417),(Input!$I$237*(1+vanilla2)^0.5)-SUM($I417:P417),(Input!$I$237*(1+vanilla2)^0.5)/A27stdlife))</f>
        <v>n/a</v>
      </c>
      <c r="R417" s="73"/>
      <c r="S417" s="107"/>
      <c r="T417" s="107"/>
      <c r="U417" s="107"/>
      <c r="V417" s="107"/>
      <c r="W417" s="107"/>
      <c r="X417" s="107"/>
      <c r="Y417" s="107"/>
      <c r="Z417" s="107"/>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107"/>
      <c r="BE417" s="107"/>
      <c r="BF417" s="107"/>
      <c r="BG417" s="107"/>
      <c r="BH417" s="107"/>
      <c r="BI417" s="107"/>
      <c r="BJ417" s="107"/>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outlineLevel="2">
      <c r="A418" s="9"/>
      <c r="B418" s="9"/>
      <c r="C418" s="9"/>
      <c r="D418" s="26"/>
      <c r="E418" s="392"/>
      <c r="F418" s="91">
        <v>3</v>
      </c>
      <c r="G418" s="124"/>
      <c r="H418" s="149"/>
      <c r="I418" s="151"/>
      <c r="J418" s="150"/>
      <c r="K418" s="73" t="str">
        <f>IF(A27stdlife="n/a","n/a",IF(K$3&gt;(A27stdlife+$F418),(Input!$J$237*(1+vanilla3)^0.5)-SUM($J418:J418),(Input!$J$237*(1+vanilla3)^0.5)/A27stdlife))</f>
        <v>n/a</v>
      </c>
      <c r="L418" s="73" t="str">
        <f>IF(A27stdlife="n/a","n/a",IF(L$3&gt;(A27stdlife+$F418),(Input!$J$237*(1+vanilla3)^0.5)-SUM($J418:K418),(Input!$J$237*(1+vanilla3)^0.5)/A27stdlife))</f>
        <v>n/a</v>
      </c>
      <c r="M418" s="73" t="str">
        <f>IF(A27stdlife="n/a","n/a",IF(M$3&gt;(A27stdlife+$F418),(Input!$J$237*(1+vanilla3)^0.5)-SUM($J418:L418),(Input!$J$237*(1+vanilla3)^0.5)/A27stdlife))</f>
        <v>n/a</v>
      </c>
      <c r="N418" s="73" t="str">
        <f>IF(A27stdlife="n/a","n/a",IF(N$3&gt;(A27stdlife+$F418),(Input!$J$237*(1+vanilla3)^0.5)-SUM($J418:M418),(Input!$J$237*(1+vanilla3)^0.5)/A27stdlife))</f>
        <v>n/a</v>
      </c>
      <c r="O418" s="73" t="str">
        <f>IF(A27stdlife="n/a","n/a",IF(O$3&gt;(A27stdlife+$F418),(Input!$J$237*(1+vanilla3)^0.5)-SUM($J418:N418),(Input!$J$237*(1+vanilla3)^0.5)/A27stdlife))</f>
        <v>n/a</v>
      </c>
      <c r="P418" s="73" t="str">
        <f>IF(A27stdlife="n/a","n/a",IF(P$3&gt;(A27stdlife+$F418),(Input!$J$237*(1+vanilla3)^0.5)-SUM($J418:O418),(Input!$J$237*(1+vanilla3)^0.5)/A27stdlife))</f>
        <v>n/a</v>
      </c>
      <c r="Q418" s="73" t="str">
        <f>IF(A27stdlife="n/a","n/a",IF(Q$3&gt;(A27stdlife+$F418),(Input!$J$237*(1+vanilla3)^0.5)-SUM($J418:P418),(Input!$J$237*(1+vanilla3)^0.5)/A27stdlife))</f>
        <v>n/a</v>
      </c>
      <c r="R418" s="73"/>
      <c r="S418" s="107"/>
      <c r="T418" s="107"/>
      <c r="U418" s="107"/>
      <c r="V418" s="107"/>
      <c r="W418" s="107"/>
      <c r="X418" s="107"/>
      <c r="Y418" s="107"/>
      <c r="Z418" s="107"/>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107"/>
      <c r="BE418" s="107"/>
      <c r="BF418" s="107"/>
      <c r="BG418" s="107"/>
      <c r="BH418" s="107"/>
      <c r="BI418" s="107"/>
      <c r="BJ418" s="107"/>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outlineLevel="2">
      <c r="A419" s="9"/>
      <c r="B419" s="9"/>
      <c r="C419" s="9"/>
      <c r="D419" s="26"/>
      <c r="E419" s="392"/>
      <c r="F419" s="91">
        <v>4</v>
      </c>
      <c r="G419" s="124"/>
      <c r="H419" s="149"/>
      <c r="I419" s="151"/>
      <c r="J419" s="151"/>
      <c r="K419" s="150"/>
      <c r="L419" s="73" t="str">
        <f>IF(A27stdlife="n/a","n/a",IF(L$3&gt;(A27stdlife+$F419),(Input!$K$237*(1+vanilla4)^0.5)-SUM($K419:K419),(Input!$K$237*(1+vanilla4)^0.5)/A27stdlife))</f>
        <v>n/a</v>
      </c>
      <c r="M419" s="73" t="str">
        <f>IF(A27stdlife="n/a","n/a",IF(M$3&gt;(A27stdlife+$F419),(Input!$K$237*(1+vanilla4)^0.5)-SUM($K419:L419),(Input!$K$237*(1+vanilla4)^0.5)/A27stdlife))</f>
        <v>n/a</v>
      </c>
      <c r="N419" s="73" t="str">
        <f>IF(A27stdlife="n/a","n/a",IF(N$3&gt;(A27stdlife+$F419),(Input!$K$237*(1+vanilla4)^0.5)-SUM($K419:M419),(Input!$K$237*(1+vanilla4)^0.5)/A27stdlife))</f>
        <v>n/a</v>
      </c>
      <c r="O419" s="73" t="str">
        <f>IF(A27stdlife="n/a","n/a",IF(O$3&gt;(A27stdlife+$F419),(Input!$K$237*(1+vanilla4)^0.5)-SUM($K419:N419),(Input!$K$237*(1+vanilla4)^0.5)/A27stdlife))</f>
        <v>n/a</v>
      </c>
      <c r="P419" s="73" t="str">
        <f>IF(A27stdlife="n/a","n/a",IF(P$3&gt;(A27stdlife+$F419),(Input!$K$237*(1+vanilla4)^0.5)-SUM($K419:O419),(Input!$K$237*(1+vanilla4)^0.5)/A27stdlife))</f>
        <v>n/a</v>
      </c>
      <c r="Q419" s="73" t="str">
        <f>IF(A27stdlife="n/a","n/a",IF(Q$3&gt;(A27stdlife+$F419),(Input!$K$237*(1+vanilla4)^0.5)-SUM($K419:P419),(Input!$K$237*(1+vanilla4)^0.5)/A27stdlife))</f>
        <v>n/a</v>
      </c>
      <c r="R419" s="73"/>
      <c r="S419" s="107"/>
      <c r="T419" s="107"/>
      <c r="U419" s="107"/>
      <c r="V419" s="107"/>
      <c r="W419" s="107"/>
      <c r="X419" s="107"/>
      <c r="Y419" s="107"/>
      <c r="Z419" s="107"/>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107"/>
      <c r="BE419" s="107"/>
      <c r="BF419" s="107"/>
      <c r="BG419" s="107"/>
      <c r="BH419" s="107"/>
      <c r="BI419" s="107"/>
      <c r="BJ419" s="107"/>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2">
      <c r="A420" s="9"/>
      <c r="B420" s="9"/>
      <c r="C420" s="9"/>
      <c r="D420" s="26"/>
      <c r="E420" s="392"/>
      <c r="F420" s="91">
        <v>5</v>
      </c>
      <c r="G420" s="27"/>
      <c r="H420" s="149"/>
      <c r="I420" s="151"/>
      <c r="J420" s="151"/>
      <c r="K420" s="151"/>
      <c r="L420" s="150"/>
      <c r="M420" s="73" t="str">
        <f>IF(A27stdlife="n/a","n/a",IF(M$3&gt;(A27stdlife+$F420),(Input!$L$237*(1+vanilla5)^0.5)-SUM($L420:L420),(Input!$L$237*(1+vanilla5)^0.5)/A27stdlife))</f>
        <v>n/a</v>
      </c>
      <c r="N420" s="73" t="str">
        <f>IF(A27stdlife="n/a","n/a",IF(N$3&gt;(A27stdlife+$F420),(Input!$L$237*(1+vanilla5)^0.5)-SUM($L420:M420),(Input!$L$237*(1+vanilla5)^0.5)/A27stdlife))</f>
        <v>n/a</v>
      </c>
      <c r="O420" s="73" t="str">
        <f>IF(A27stdlife="n/a","n/a",IF(O$3&gt;(A27stdlife+$F420),(Input!$L$237*(1+vanilla5)^0.5)-SUM($L420:N420),(Input!$L$237*(1+vanilla5)^0.5)/A27stdlife))</f>
        <v>n/a</v>
      </c>
      <c r="P420" s="73" t="str">
        <f>IF(A27stdlife="n/a","n/a",IF(P$3&gt;(A27stdlife+$F420),(Input!$L$237*(1+vanilla5)^0.5)-SUM($L420:O420),(Input!$L$237*(1+vanilla5)^0.5)/A27stdlife))</f>
        <v>n/a</v>
      </c>
      <c r="Q420" s="73" t="str">
        <f>IF(A27stdlife="n/a","n/a",IF(Q$3&gt;(A27stdlife+$F420),(Input!$L$237*(1+vanilla5)^0.5)-SUM($L420:P420),(Input!$L$237*(1+vanilla5)^0.5)/A27stdlife))</f>
        <v>n/a</v>
      </c>
      <c r="R420" s="73"/>
      <c r="S420" s="107"/>
      <c r="T420" s="107"/>
      <c r="U420" s="107"/>
      <c r="V420" s="107"/>
      <c r="W420" s="107"/>
      <c r="X420" s="107"/>
      <c r="Y420" s="107"/>
      <c r="Z420" s="107"/>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2">
      <c r="A421" s="9"/>
      <c r="B421" s="9"/>
      <c r="C421" s="9"/>
      <c r="D421" s="26"/>
      <c r="E421" s="392"/>
      <c r="F421" s="91">
        <v>6</v>
      </c>
      <c r="G421" s="27"/>
      <c r="H421" s="149"/>
      <c r="I421" s="151"/>
      <c r="J421" s="151"/>
      <c r="K421" s="151"/>
      <c r="L421" s="151"/>
      <c r="M421" s="150"/>
      <c r="N421" s="73" t="str">
        <f>IF(A27stdlife="n/a","n/a",IF(N$3&gt;(A27stdlife+$F421),(Input!$M$237*(1+vanilla6)^0.5)-SUM($M421:M421),(Input!$M$237*(1+vanilla6)^0.5)/A27stdlife))</f>
        <v>n/a</v>
      </c>
      <c r="O421" s="73" t="str">
        <f>IF(A27stdlife="n/a","n/a",IF(O$3&gt;(A27stdlife+$F421),(Input!$M$237*(1+vanilla6)^0.5)-SUM($M421:N421),(Input!$M$237*(1+vanilla6)^0.5)/A27stdlife))</f>
        <v>n/a</v>
      </c>
      <c r="P421" s="73" t="str">
        <f>IF(A27stdlife="n/a","n/a",IF(P$3&gt;(A27stdlife+$F421),(Input!$M$237*(1+vanilla6)^0.5)-SUM($M421:O421),(Input!$M$237*(1+vanilla6)^0.5)/A27stdlife))</f>
        <v>n/a</v>
      </c>
      <c r="Q421" s="73" t="str">
        <f>IF(A27stdlife="n/a","n/a",IF(Q$3&gt;(A27stdlife+$F421),(Input!$M$237*(1+vanilla6)^0.5)-SUM($M421:P421),(Input!$M$237*(1+vanilla6)^0.5)/A27stdlife))</f>
        <v>n/a</v>
      </c>
      <c r="R421" s="73"/>
      <c r="S421" s="107"/>
      <c r="T421" s="107"/>
      <c r="U421" s="107"/>
      <c r="V421" s="107"/>
      <c r="W421" s="107"/>
      <c r="X421" s="107"/>
      <c r="Y421" s="107"/>
      <c r="Z421" s="107"/>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107"/>
      <c r="BE421" s="107"/>
      <c r="BF421" s="107"/>
      <c r="BG421" s="107"/>
      <c r="BH421" s="107"/>
      <c r="BI421" s="107"/>
      <c r="BJ421" s="107"/>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outlineLevel="2">
      <c r="A422" s="9"/>
      <c r="B422" s="9"/>
      <c r="C422" s="9"/>
      <c r="D422" s="26"/>
      <c r="E422" s="392"/>
      <c r="F422" s="91">
        <v>7</v>
      </c>
      <c r="G422" s="27"/>
      <c r="H422" s="149"/>
      <c r="I422" s="151"/>
      <c r="J422" s="151"/>
      <c r="K422" s="151"/>
      <c r="L422" s="151"/>
      <c r="M422" s="151"/>
      <c r="N422" s="150"/>
      <c r="O422" s="73" t="str">
        <f>IF(A27stdlife="n/a","n/a",IF(O$3&gt;(A27stdlife+$F422),(Input!N$237*(1+vanilla7)^0.5)-SUM($N422:N422),(Input!$N$237*(1+vanilla7)^0.5)/A27stdlife))</f>
        <v>n/a</v>
      </c>
      <c r="P422" s="73" t="str">
        <f>IF(A27stdlife="n/a","n/a",IF(P$3&gt;(A27stdlife+$F422),(Input!O$237*(1+vanilla7)^0.5)-SUM($N422:O422),(Input!$N$237*(1+vanilla7)^0.5)/A27stdlife))</f>
        <v>n/a</v>
      </c>
      <c r="Q422" s="73" t="str">
        <f>IF(A27stdlife="n/a","n/a",IF(Q$3&gt;(A27stdlife+$F422),(Input!P$237*(1+vanilla7)^0.5)-SUM($N422:P422),(Input!$N$237*(1+vanilla7)^0.5)/A27stdlife))</f>
        <v>n/a</v>
      </c>
      <c r="R422" s="73"/>
      <c r="S422" s="107"/>
      <c r="T422" s="107"/>
      <c r="U422" s="107"/>
      <c r="V422" s="107"/>
      <c r="W422" s="107"/>
      <c r="X422" s="107"/>
      <c r="Y422" s="107"/>
      <c r="Z422" s="107"/>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107"/>
      <c r="BE422" s="107"/>
      <c r="BF422" s="107"/>
      <c r="BG422" s="107"/>
      <c r="BH422" s="107"/>
      <c r="BI422" s="107"/>
      <c r="BJ422" s="107"/>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outlineLevel="2">
      <c r="A423" s="9"/>
      <c r="B423" s="9"/>
      <c r="C423" s="9"/>
      <c r="D423" s="26"/>
      <c r="E423" s="392"/>
      <c r="F423" s="91">
        <v>8</v>
      </c>
      <c r="G423" s="27"/>
      <c r="H423" s="149"/>
      <c r="I423" s="151"/>
      <c r="J423" s="151"/>
      <c r="K423" s="151"/>
      <c r="L423" s="151"/>
      <c r="M423" s="151"/>
      <c r="N423" s="151"/>
      <c r="O423" s="150"/>
      <c r="P423" s="73" t="str">
        <f>IF(A27stdlife="n/a","n/a",IF(P$3&gt;(A27stdlife+$F423),(Input!$O$237*(1+vanilla8)^0.5)-SUM($O423:O423),(Input!$O$237*(1+vanilla8)^0.5)/A27stdlife))</f>
        <v>n/a</v>
      </c>
      <c r="Q423" s="73" t="str">
        <f>IF(A27stdlife="n/a","n/a",IF(Q$3&gt;(A27stdlife+$F423),(Input!$O$237*(1+vanilla8)^0.5)-SUM($O423:P423),(Input!$O$237*(1+vanilla8)^0.5)/A27stdlife))</f>
        <v>n/a</v>
      </c>
      <c r="R423" s="73"/>
      <c r="S423" s="107"/>
      <c r="T423" s="107"/>
      <c r="U423" s="107"/>
      <c r="V423" s="107"/>
      <c r="W423" s="107"/>
      <c r="X423" s="107"/>
      <c r="Y423" s="107"/>
      <c r="Z423" s="107"/>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107"/>
      <c r="BE423" s="107"/>
      <c r="BF423" s="107"/>
      <c r="BG423" s="107"/>
      <c r="BH423" s="107"/>
      <c r="BI423" s="107"/>
      <c r="BJ423" s="107"/>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outlineLevel="2">
      <c r="A424" s="9"/>
      <c r="B424" s="9"/>
      <c r="C424" s="9"/>
      <c r="D424" s="26"/>
      <c r="E424" s="392"/>
      <c r="F424" s="91">
        <v>9</v>
      </c>
      <c r="G424" s="27"/>
      <c r="H424" s="149"/>
      <c r="I424" s="151"/>
      <c r="J424" s="151"/>
      <c r="K424" s="151"/>
      <c r="L424" s="151"/>
      <c r="M424" s="151"/>
      <c r="N424" s="151"/>
      <c r="O424" s="151"/>
      <c r="P424" s="150"/>
      <c r="Q424" s="73" t="str">
        <f>IF(A27stdlife="n/a","n/a",IF(Q$3&gt;(A27stdlife+$F424),(Input!$P$237*(1+vanilla9)^0.5)-SUM($P424:P424),(Input!$P$237*(1+vanilla9)^0.5)/A27stdlife))</f>
        <v>n/a</v>
      </c>
      <c r="R424" s="73"/>
      <c r="S424" s="107"/>
      <c r="T424" s="107"/>
      <c r="U424" s="107"/>
      <c r="V424" s="107"/>
      <c r="W424" s="107"/>
      <c r="X424" s="107"/>
      <c r="Y424" s="107"/>
      <c r="Z424" s="107"/>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107"/>
      <c r="BE424" s="107"/>
      <c r="BF424" s="107"/>
      <c r="BG424" s="107"/>
      <c r="BH424" s="107"/>
      <c r="BI424" s="107"/>
      <c r="BJ424" s="107"/>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outlineLevel="2">
      <c r="A425" s="9"/>
      <c r="B425" s="9"/>
      <c r="C425" s="9"/>
      <c r="D425" s="26"/>
      <c r="E425" s="392"/>
      <c r="F425" s="92">
        <v>10</v>
      </c>
      <c r="G425" s="27"/>
      <c r="H425" s="149"/>
      <c r="I425" s="151"/>
      <c r="J425" s="151"/>
      <c r="K425" s="151"/>
      <c r="L425" s="151"/>
      <c r="M425" s="151"/>
      <c r="N425" s="151"/>
      <c r="O425" s="151"/>
      <c r="P425" s="151"/>
      <c r="Q425" s="150"/>
      <c r="R425" s="73"/>
      <c r="S425" s="107"/>
      <c r="T425" s="107"/>
      <c r="U425" s="107"/>
      <c r="V425" s="107"/>
      <c r="W425" s="107"/>
      <c r="X425" s="107"/>
      <c r="Y425" s="107"/>
      <c r="Z425" s="107"/>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107"/>
      <c r="BE425" s="107"/>
      <c r="BF425" s="107"/>
      <c r="BG425" s="107"/>
      <c r="BH425" s="107"/>
      <c r="BI425" s="107"/>
      <c r="BJ425" s="107"/>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outlineLevel="1">
      <c r="A426" s="9"/>
      <c r="B426" s="9"/>
      <c r="C426" s="9"/>
      <c r="D426" s="279">
        <f>Asset27</f>
        <v>0</v>
      </c>
      <c r="E426" s="9"/>
      <c r="F426" s="9"/>
      <c r="G426" s="124"/>
      <c r="H426" s="165">
        <f>-SUM(H414:H425)</f>
        <v>0</v>
      </c>
      <c r="I426" s="165">
        <f>-SUM(I414:I425)</f>
        <v>0</v>
      </c>
      <c r="J426" s="165">
        <f>-SUM(J414:J425)</f>
        <v>0</v>
      </c>
      <c r="K426" s="165">
        <f>-SUM(K414:K425)</f>
        <v>0</v>
      </c>
      <c r="L426" s="165">
        <f>-SUM(L414:L425)</f>
        <v>0</v>
      </c>
      <c r="M426" s="73">
        <f>IF(COUNT($H426:L426)&gt;=Input!$W$7,0, -SUM(M414:M425))</f>
        <v>0</v>
      </c>
      <c r="N426" s="73">
        <f>IF(COUNT($H426:M426)&gt;=Input!$W$7,0, -SUM(N414:N425))</f>
        <v>0</v>
      </c>
      <c r="O426" s="73">
        <f>IF(COUNT($H426:N426)&gt;=Input!$W$7,0, -SUM(O414:O425))</f>
        <v>0</v>
      </c>
      <c r="P426" s="73">
        <f>IF(COUNT($H426:O426)&gt;=Input!$W$7,0, -SUM(P414:P425))</f>
        <v>0</v>
      </c>
      <c r="Q426" s="73">
        <f>IF(COUNT($H426:P426)&gt;=Input!$W$7,0, -SUM(Q414:Q425))</f>
        <v>0</v>
      </c>
      <c r="R426" s="71"/>
      <c r="S426" s="109"/>
      <c r="T426" s="109"/>
      <c r="U426" s="109"/>
      <c r="V426" s="109"/>
      <c r="W426" s="109"/>
      <c r="X426" s="109"/>
      <c r="Y426" s="109"/>
      <c r="Z426" s="109"/>
      <c r="AA426" s="240"/>
      <c r="AB426" s="240"/>
      <c r="AC426" s="240"/>
      <c r="AD426" s="240"/>
      <c r="AE426" s="240"/>
      <c r="AF426" s="240"/>
      <c r="AG426" s="240"/>
      <c r="AH426" s="240"/>
      <c r="AI426" s="240"/>
      <c r="AJ426" s="240"/>
      <c r="AK426" s="240"/>
      <c r="AL426" s="240"/>
      <c r="AM426" s="240"/>
      <c r="AN426" s="240"/>
      <c r="AO426" s="240"/>
      <c r="AP426" s="240"/>
      <c r="AQ426" s="240"/>
      <c r="AR426" s="240"/>
      <c r="AS426" s="240"/>
      <c r="AT426" s="240"/>
      <c r="AU426" s="240"/>
      <c r="AV426" s="240"/>
      <c r="AW426" s="240"/>
      <c r="AX426" s="240"/>
      <c r="AY426" s="240"/>
      <c r="AZ426" s="240"/>
      <c r="BA426" s="240"/>
      <c r="BB426" s="240"/>
      <c r="BC426" s="240"/>
      <c r="BD426" s="109"/>
      <c r="BE426" s="109"/>
      <c r="BF426" s="109"/>
      <c r="BG426" s="109"/>
      <c r="BH426" s="109"/>
      <c r="BI426" s="109"/>
      <c r="BJ426" s="109"/>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outlineLevel="2">
      <c r="A427" s="9"/>
      <c r="B427" s="9"/>
      <c r="C427" s="280">
        <f>Asset28</f>
        <v>0</v>
      </c>
      <c r="D427" s="161"/>
      <c r="E427" s="32" t="s">
        <v>26</v>
      </c>
      <c r="F427" s="31"/>
      <c r="G427" s="181"/>
      <c r="H427" s="72" t="str">
        <f>IF(H$3&gt;A28remlife,A28value-$G$657-SUM($G427:G427),IF(A28remlife="N/A","n/a",(A28value-$G$657)/A28remlife))</f>
        <v>n/a</v>
      </c>
      <c r="I427" s="72" t="str">
        <f>IF(I$3&gt;A28remlife,A28value-$G$657-SUM($G427:H427),IF(A28remlife="N/A","n/a",(A28value-$G$657)/A28remlife))</f>
        <v>n/a</v>
      </c>
      <c r="J427" s="72" t="str">
        <f>IF(J$3&gt;A28remlife,A28value-$G$657-SUM($G427:I427),IF(A28remlife="N/A","n/a",(A28value-$G$657)/A28remlife))</f>
        <v>n/a</v>
      </c>
      <c r="K427" s="72" t="str">
        <f>IF(K$3&gt;A28remlife,A28value-$G$657-SUM($G427:J427),IF(A28remlife="N/A","n/a",(A28value-$G$657)/A28remlife))</f>
        <v>n/a</v>
      </c>
      <c r="L427" s="72" t="str">
        <f>IF(L$3&gt;A28remlife,A28value-$G$657-SUM($G427:K427),IF(A28remlife="N/A","n/a",(A28value-$G$657)/A28remlife))</f>
        <v>n/a</v>
      </c>
      <c r="M427" s="72" t="str">
        <f>IF(M$3&gt;A28remlife,A28value-$G$657-SUM($G427:L427),IF(A28remlife="N/A","n/a",(A28value-$G$657)/A28remlife))</f>
        <v>n/a</v>
      </c>
      <c r="N427" s="72" t="str">
        <f>IF(N$3&gt;A28remlife,A28value-$G$657-SUM($G427:M427),IF(A28remlife="N/A","n/a",(A28value-$G$657)/A28remlife))</f>
        <v>n/a</v>
      </c>
      <c r="O427" s="72" t="str">
        <f>IF(O$3&gt;A28remlife,A28value-$G$657-SUM($G427:N427),IF(A28remlife="N/A","n/a",(A28value-$G$657)/A28remlife))</f>
        <v>n/a</v>
      </c>
      <c r="P427" s="72" t="str">
        <f>IF(P$3&gt;A28remlife,A28value-$G$657-SUM($G427:O427),IF(A28remlife="N/A","n/a",(A28value-$G$657)/A28remlife))</f>
        <v>n/a</v>
      </c>
      <c r="Q427" s="72" t="str">
        <f>IF(Q$3&gt;A28remlife,A28value-$G$657-SUM($G427:P427),IF(A28remlife="N/A","n/a",(A28value-$G$657)/A28remlife))</f>
        <v>n/a</v>
      </c>
      <c r="R427" s="72"/>
      <c r="S427" s="107"/>
      <c r="T427" s="107"/>
      <c r="U427" s="107"/>
      <c r="V427" s="107"/>
      <c r="W427" s="107"/>
      <c r="X427" s="107"/>
      <c r="Y427" s="107"/>
      <c r="Z427" s="107"/>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107"/>
      <c r="BE427" s="107"/>
      <c r="BF427" s="107"/>
      <c r="BG427" s="107"/>
      <c r="BH427" s="107"/>
      <c r="BI427" s="107"/>
      <c r="BJ427" s="107"/>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9"/>
      <c r="D428" s="26"/>
      <c r="E428" s="391" t="s">
        <v>81</v>
      </c>
      <c r="F428" s="91"/>
      <c r="G428" s="124"/>
      <c r="H428" s="73"/>
      <c r="I428" s="73"/>
      <c r="J428" s="73"/>
      <c r="K428" s="73"/>
      <c r="L428" s="73"/>
      <c r="M428" s="163"/>
      <c r="N428" s="115"/>
      <c r="O428" s="73"/>
      <c r="P428" s="73"/>
      <c r="Q428" s="73"/>
      <c r="R428" s="73"/>
      <c r="S428" s="107"/>
      <c r="T428" s="107"/>
      <c r="U428" s="107"/>
      <c r="V428" s="107"/>
      <c r="W428" s="107"/>
      <c r="X428" s="107"/>
      <c r="Y428" s="107"/>
      <c r="Z428" s="107"/>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107"/>
      <c r="BE428" s="107"/>
      <c r="BF428" s="107"/>
      <c r="BG428" s="107"/>
      <c r="BH428" s="107"/>
      <c r="BI428" s="107"/>
      <c r="BJ428" s="107"/>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outlineLevel="2">
      <c r="A429" s="9"/>
      <c r="B429" s="9"/>
      <c r="C429" s="9"/>
      <c r="D429" s="26"/>
      <c r="E429" s="392"/>
      <c r="F429" s="91">
        <v>1</v>
      </c>
      <c r="G429" s="124"/>
      <c r="H429" s="148"/>
      <c r="I429" s="73" t="str">
        <f>IF(A28stdlife="n/a","n/a",IF(I$3&gt;(A28stdlife+$F429),(Input!$H$238*(1+vanilla1)^0.5)-SUM($H429:H429),(Input!$H$238*(1+vanilla1)^0.5)/A28stdlife))</f>
        <v>n/a</v>
      </c>
      <c r="J429" s="73" t="str">
        <f>IF(A28stdlife="n/a","n/a",IF(J$3&gt;(A28stdlife+$F429),(Input!$H$238*(1+vanilla1)^0.5)-SUM($H429:I429),(Input!$H$238*(1+vanilla1)^0.5)/A28stdlife))</f>
        <v>n/a</v>
      </c>
      <c r="K429" s="73" t="str">
        <f>IF(A28stdlife="n/a","n/a",IF(K$3&gt;(A28stdlife+$F429),(Input!$H$238*(1+vanilla1)^0.5)-SUM($H429:J429),(Input!$H$238*(1+vanilla1)^0.5)/A28stdlife))</f>
        <v>n/a</v>
      </c>
      <c r="L429" s="73" t="str">
        <f>IF(A28stdlife="n/a","n/a",IF(L$3&gt;(A28stdlife+$F429),(Input!$H$238*(1+vanilla1)^0.5)-SUM($H429:K429),(Input!$H$238*(1+vanilla1)^0.5)/A28stdlife))</f>
        <v>n/a</v>
      </c>
      <c r="M429" s="73" t="str">
        <f>IF(A28stdlife="n/a","n/a",IF(M$3&gt;(A28stdlife+$F429),(Input!$H$238*(1+vanilla1)^0.5)-SUM($H429:L429),(Input!$H$238*(1+vanilla1)^0.5)/A28stdlife))</f>
        <v>n/a</v>
      </c>
      <c r="N429" s="73" t="str">
        <f>IF(A28stdlife="n/a","n/a",IF(N$3&gt;(A28stdlife+$F429),(Input!$H$238*(1+vanilla1)^0.5)-SUM($H429:M429),(Input!$H$238*(1+vanilla1)^0.5)/A28stdlife))</f>
        <v>n/a</v>
      </c>
      <c r="O429" s="73" t="str">
        <f>IF(A28stdlife="n/a","n/a",IF(O$3&gt;(A28stdlife+$F429),(Input!$H$238*(1+vanilla1)^0.5)-SUM($H429:N429),(Input!$H$238*(1+vanilla1)^0.5)/A28stdlife))</f>
        <v>n/a</v>
      </c>
      <c r="P429" s="73" t="str">
        <f>IF(A28stdlife="n/a","n/a",IF(P$3&gt;(A28stdlife+$F429),(Input!$H$238*(1+vanilla1)^0.5)-SUM($H429:O429),(Input!$H$238*(1+vanilla1)^0.5)/A28stdlife))</f>
        <v>n/a</v>
      </c>
      <c r="Q429" s="73" t="str">
        <f>IF(A28stdlife="n/a","n/a",IF(Q$3&gt;(A28stdlife+$F429),(Input!$H$238*(1+vanilla1)^0.5)-SUM($H429:P429),(Input!$H$238*(1+vanilla1)^0.5)/A28stdlife))</f>
        <v>n/a</v>
      </c>
      <c r="R429" s="73"/>
      <c r="S429" s="107"/>
      <c r="T429" s="107"/>
      <c r="U429" s="107"/>
      <c r="V429" s="107"/>
      <c r="W429" s="107"/>
      <c r="X429" s="107"/>
      <c r="Y429" s="107"/>
      <c r="Z429" s="107"/>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107"/>
      <c r="BE429" s="107"/>
      <c r="BF429" s="107"/>
      <c r="BG429" s="107"/>
      <c r="BH429" s="107"/>
      <c r="BI429" s="107"/>
      <c r="BJ429" s="107"/>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outlineLevel="2">
      <c r="A430" s="9"/>
      <c r="B430" s="9"/>
      <c r="C430" s="9"/>
      <c r="D430" s="26"/>
      <c r="E430" s="392"/>
      <c r="F430" s="91">
        <v>2</v>
      </c>
      <c r="G430" s="124"/>
      <c r="H430" s="149"/>
      <c r="I430" s="150"/>
      <c r="J430" s="73" t="str">
        <f>IF(A28stdlife="n/a","n/a",IF(J$3&gt;(A28stdlife+$F430),(Input!$I$238*(1+vanilla2)^0.5)-SUM($I430:I430),(Input!$I$238*(1+vanilla2)^0.5)/A28stdlife))</f>
        <v>n/a</v>
      </c>
      <c r="K430" s="73" t="str">
        <f>IF(A28stdlife="n/a","n/a",IF(K$3&gt;(A28stdlife+$F430),(Input!$I$238*(1+vanilla2)^0.5)-SUM($I430:J430),(Input!$I$238*(1+vanilla2)^0.5)/A28stdlife))</f>
        <v>n/a</v>
      </c>
      <c r="L430" s="73" t="str">
        <f>IF(A28stdlife="n/a","n/a",IF(L$3&gt;(A28stdlife+$F430),(Input!$I$238*(1+vanilla2)^0.5)-SUM($I430:K430),(Input!$I$238*(1+vanilla2)^0.5)/A28stdlife))</f>
        <v>n/a</v>
      </c>
      <c r="M430" s="73" t="str">
        <f>IF(A28stdlife="n/a","n/a",IF(M$3&gt;(A28stdlife+$F430),(Input!$I$238*(1+vanilla2)^0.5)-SUM($I430:L430),(Input!$I$238*(1+vanilla2)^0.5)/A28stdlife))</f>
        <v>n/a</v>
      </c>
      <c r="N430" s="73" t="str">
        <f>IF(A28stdlife="n/a","n/a",IF(N$3&gt;(A28stdlife+$F430),(Input!$I$238*(1+vanilla2)^0.5)-SUM($I430:M430),(Input!$I$238*(1+vanilla2)^0.5)/A28stdlife))</f>
        <v>n/a</v>
      </c>
      <c r="O430" s="73" t="str">
        <f>IF(A28stdlife="n/a","n/a",IF(O$3&gt;(A28stdlife+$F430),(Input!$I$238*(1+vanilla2)^0.5)-SUM($I430:N430),(Input!$I$238*(1+vanilla2)^0.5)/A28stdlife))</f>
        <v>n/a</v>
      </c>
      <c r="P430" s="73" t="str">
        <f>IF(A28stdlife="n/a","n/a",IF(P$3&gt;(A28stdlife+$F430),(Input!$I$238*(1+vanilla2)^0.5)-SUM($I430:O430),(Input!$I$238*(1+vanilla2)^0.5)/A28stdlife))</f>
        <v>n/a</v>
      </c>
      <c r="Q430" s="73" t="str">
        <f>IF(A28stdlife="n/a","n/a",IF(Q$3&gt;(A28stdlife+$F430),(Input!$I$238*(1+vanilla2)^0.5)-SUM($I430:P430),(Input!$I$238*(1+vanilla2)^0.5)/A28stdlife))</f>
        <v>n/a</v>
      </c>
      <c r="R430" s="73"/>
      <c r="S430" s="107"/>
      <c r="T430" s="107"/>
      <c r="U430" s="107"/>
      <c r="V430" s="107"/>
      <c r="W430" s="107"/>
      <c r="X430" s="107"/>
      <c r="Y430" s="107"/>
      <c r="Z430" s="107"/>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107"/>
      <c r="BE430" s="107"/>
      <c r="BF430" s="107"/>
      <c r="BG430" s="107"/>
      <c r="BH430" s="107"/>
      <c r="BI430" s="107"/>
      <c r="BJ430" s="107"/>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outlineLevel="2">
      <c r="A431" s="9"/>
      <c r="B431" s="9"/>
      <c r="C431" s="9"/>
      <c r="D431" s="26"/>
      <c r="E431" s="392"/>
      <c r="F431" s="91">
        <v>3</v>
      </c>
      <c r="G431" s="124"/>
      <c r="H431" s="149"/>
      <c r="I431" s="151"/>
      <c r="J431" s="150"/>
      <c r="K431" s="73" t="str">
        <f>IF(A28stdlife="n/a","n/a",IF(K$3&gt;(A28stdlife+$F431),(Input!$J$238*(1+vanilla3)^0.5)-SUM($J431:J431),(Input!$J$238*(1+vanilla3)^0.5)/A28stdlife))</f>
        <v>n/a</v>
      </c>
      <c r="L431" s="73" t="str">
        <f>IF(A28stdlife="n/a","n/a",IF(L$3&gt;(A28stdlife+$F431),(Input!$J$238*(1+vanilla3)^0.5)-SUM($J431:K431),(Input!$J$238*(1+vanilla3)^0.5)/A28stdlife))</f>
        <v>n/a</v>
      </c>
      <c r="M431" s="73" t="str">
        <f>IF(A28stdlife="n/a","n/a",IF(M$3&gt;(A28stdlife+$F431),(Input!$J$238*(1+vanilla3)^0.5)-SUM($J431:L431),(Input!$J$238*(1+vanilla3)^0.5)/A28stdlife))</f>
        <v>n/a</v>
      </c>
      <c r="N431" s="73" t="str">
        <f>IF(A28stdlife="n/a","n/a",IF(N$3&gt;(A28stdlife+$F431),(Input!$J$238*(1+vanilla3)^0.5)-SUM($J431:M431),(Input!$J$238*(1+vanilla3)^0.5)/A28stdlife))</f>
        <v>n/a</v>
      </c>
      <c r="O431" s="73" t="str">
        <f>IF(A28stdlife="n/a","n/a",IF(O$3&gt;(A28stdlife+$F431),(Input!$J$238*(1+vanilla3)^0.5)-SUM($J431:N431),(Input!$J$238*(1+vanilla3)^0.5)/A28stdlife))</f>
        <v>n/a</v>
      </c>
      <c r="P431" s="73" t="str">
        <f>IF(A28stdlife="n/a","n/a",IF(P$3&gt;(A28stdlife+$F431),(Input!$J$238*(1+vanilla3)^0.5)-SUM($J431:O431),(Input!$J$238*(1+vanilla3)^0.5)/A28stdlife))</f>
        <v>n/a</v>
      </c>
      <c r="Q431" s="73" t="str">
        <f>IF(A28stdlife="n/a","n/a",IF(Q$3&gt;(A28stdlife+$F431),(Input!$J$238*(1+vanilla3)^0.5)-SUM($J431:P431),(Input!$J$238*(1+vanilla3)^0.5)/A28stdlife))</f>
        <v>n/a</v>
      </c>
      <c r="R431" s="73"/>
      <c r="S431" s="107"/>
      <c r="T431" s="107"/>
      <c r="U431" s="107"/>
      <c r="V431" s="107"/>
      <c r="W431" s="107"/>
      <c r="X431" s="107"/>
      <c r="Y431" s="107"/>
      <c r="Z431" s="107"/>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107"/>
      <c r="BE431" s="107"/>
      <c r="BF431" s="107"/>
      <c r="BG431" s="107"/>
      <c r="BH431" s="107"/>
      <c r="BI431" s="107"/>
      <c r="BJ431" s="107"/>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outlineLevel="2">
      <c r="A432" s="9"/>
      <c r="B432" s="9"/>
      <c r="C432" s="9"/>
      <c r="D432" s="26"/>
      <c r="E432" s="392"/>
      <c r="F432" s="91">
        <v>4</v>
      </c>
      <c r="G432" s="124"/>
      <c r="H432" s="149"/>
      <c r="I432" s="151"/>
      <c r="J432" s="151"/>
      <c r="K432" s="150"/>
      <c r="L432" s="73" t="str">
        <f>IF(A28stdlife="n/a","n/a",IF(L$3&gt;(A28stdlife+$F432),(Input!$K$238*(1+vanilla4)^0.5)-SUM($K432:K432),(Input!$K$238*(1+vanilla4)^0.5)/A28stdlife))</f>
        <v>n/a</v>
      </c>
      <c r="M432" s="73" t="str">
        <f>IF(A28stdlife="n/a","n/a",IF(M$3&gt;(A28stdlife+$F432),(Input!$K$238*(1+vanilla4)^0.5)-SUM($K432:L432),(Input!$K$238*(1+vanilla4)^0.5)/A28stdlife))</f>
        <v>n/a</v>
      </c>
      <c r="N432" s="73" t="str">
        <f>IF(A28stdlife="n/a","n/a",IF(N$3&gt;(A28stdlife+$F432),(Input!$K$238*(1+vanilla4)^0.5)-SUM($K432:M432),(Input!$K$238*(1+vanilla4)^0.5)/A28stdlife))</f>
        <v>n/a</v>
      </c>
      <c r="O432" s="73" t="str">
        <f>IF(A28stdlife="n/a","n/a",IF(O$3&gt;(A28stdlife+$F432),(Input!$K$238*(1+vanilla4)^0.5)-SUM($K432:N432),(Input!$K$238*(1+vanilla4)^0.5)/A28stdlife))</f>
        <v>n/a</v>
      </c>
      <c r="P432" s="73" t="str">
        <f>IF(A28stdlife="n/a","n/a",IF(P$3&gt;(A28stdlife+$F432),(Input!$K$238*(1+vanilla4)^0.5)-SUM($K432:O432),(Input!$K$238*(1+vanilla4)^0.5)/A28stdlife))</f>
        <v>n/a</v>
      </c>
      <c r="Q432" s="73" t="str">
        <f>IF(A28stdlife="n/a","n/a",IF(Q$3&gt;(A28stdlife+$F432),(Input!$K$238*(1+vanilla4)^0.5)-SUM($K432:P432),(Input!$K$238*(1+vanilla4)^0.5)/A28stdlife))</f>
        <v>n/a</v>
      </c>
      <c r="R432" s="73"/>
      <c r="S432" s="107"/>
      <c r="T432" s="107"/>
      <c r="U432" s="107"/>
      <c r="V432" s="107"/>
      <c r="W432" s="107"/>
      <c r="X432" s="107"/>
      <c r="Y432" s="107"/>
      <c r="Z432" s="107"/>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107"/>
      <c r="BE432" s="107"/>
      <c r="BF432" s="107"/>
      <c r="BG432" s="107"/>
      <c r="BH432" s="107"/>
      <c r="BI432" s="107"/>
      <c r="BJ432" s="107"/>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2">
      <c r="A433" s="9"/>
      <c r="B433" s="9"/>
      <c r="C433" s="9"/>
      <c r="D433" s="26"/>
      <c r="E433" s="392"/>
      <c r="F433" s="91">
        <v>5</v>
      </c>
      <c r="G433" s="27"/>
      <c r="H433" s="149"/>
      <c r="I433" s="151"/>
      <c r="J433" s="151"/>
      <c r="K433" s="151"/>
      <c r="L433" s="150"/>
      <c r="M433" s="73" t="str">
        <f>IF(A28stdlife="n/a","n/a",IF(M$3&gt;(A28stdlife+$F433),(Input!$L$238*(1+vanilla5)^0.5)-SUM($L433:L433),(Input!$L$238*(1+vanilla5)^0.5)/A28stdlife))</f>
        <v>n/a</v>
      </c>
      <c r="N433" s="73" t="str">
        <f>IF(A28stdlife="n/a","n/a",IF(N$3&gt;(A28stdlife+$F433),(Input!$L$238*(1+vanilla5)^0.5)-SUM($L433:M433),(Input!$L$238*(1+vanilla5)^0.5)/A28stdlife))</f>
        <v>n/a</v>
      </c>
      <c r="O433" s="73" t="str">
        <f>IF(A28stdlife="n/a","n/a",IF(O$3&gt;(A28stdlife+$F433),(Input!$L$238*(1+vanilla5)^0.5)-SUM($L433:N433),(Input!$L$238*(1+vanilla5)^0.5)/A28stdlife))</f>
        <v>n/a</v>
      </c>
      <c r="P433" s="73" t="str">
        <f>IF(A28stdlife="n/a","n/a",IF(P$3&gt;(A28stdlife+$F433),(Input!$L$238*(1+vanilla5)^0.5)-SUM($L433:O433),(Input!$L$238*(1+vanilla5)^0.5)/A28stdlife))</f>
        <v>n/a</v>
      </c>
      <c r="Q433" s="73" t="str">
        <f>IF(A28stdlife="n/a","n/a",IF(Q$3&gt;(A28stdlife+$F433),(Input!$L$238*(1+vanilla5)^0.5)-SUM($L433:P433),(Input!$L$238*(1+vanilla5)^0.5)/A28stdlife))</f>
        <v>n/a</v>
      </c>
      <c r="R433" s="73"/>
      <c r="S433" s="107"/>
      <c r="T433" s="107"/>
      <c r="U433" s="107"/>
      <c r="V433" s="107"/>
      <c r="W433" s="107"/>
      <c r="X433" s="107"/>
      <c r="Y433" s="107"/>
      <c r="Z433" s="107"/>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outlineLevel="2">
      <c r="A434" s="9"/>
      <c r="B434" s="9"/>
      <c r="C434" s="9"/>
      <c r="D434" s="26"/>
      <c r="E434" s="392"/>
      <c r="F434" s="91">
        <v>6</v>
      </c>
      <c r="G434" s="27"/>
      <c r="H434" s="149"/>
      <c r="I434" s="151"/>
      <c r="J434" s="151"/>
      <c r="K434" s="151"/>
      <c r="L434" s="151"/>
      <c r="M434" s="150"/>
      <c r="N434" s="73" t="str">
        <f>IF(A28stdlife="n/a","n/a",IF(N$3&gt;(A28stdlife+$F434),(Input!$M$238*(1+vanilla6)^0.5)-SUM($M434:M434),(Input!$M$238*(1+vanilla6)^0.5)/A28stdlife))</f>
        <v>n/a</v>
      </c>
      <c r="O434" s="73" t="str">
        <f>IF(A28stdlife="n/a","n/a",IF(O$3&gt;(A28stdlife+$F434),(Input!$M$238*(1+vanilla6)^0.5)-SUM($M434:N434),(Input!$M$238*(1+vanilla6)^0.5)/A28stdlife))</f>
        <v>n/a</v>
      </c>
      <c r="P434" s="73" t="str">
        <f>IF(A28stdlife="n/a","n/a",IF(P$3&gt;(A28stdlife+$F434),(Input!$M$238*(1+vanilla6)^0.5)-SUM($M434:O434),(Input!$M$238*(1+vanilla6)^0.5)/A28stdlife))</f>
        <v>n/a</v>
      </c>
      <c r="Q434" s="73" t="str">
        <f>IF(A28stdlife="n/a","n/a",IF(Q$3&gt;(A28stdlife+$F434),(Input!$M$238*(1+vanilla6)^0.5)-SUM($M434:P434),(Input!$M$238*(1+vanilla6)^0.5)/A28stdlife))</f>
        <v>n/a</v>
      </c>
      <c r="R434" s="73"/>
      <c r="S434" s="107"/>
      <c r="T434" s="107"/>
      <c r="U434" s="107"/>
      <c r="V434" s="107"/>
      <c r="W434" s="107"/>
      <c r="X434" s="107"/>
      <c r="Y434" s="107"/>
      <c r="Z434" s="107"/>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107"/>
      <c r="BE434" s="107"/>
      <c r="BF434" s="107"/>
      <c r="BG434" s="107"/>
      <c r="BH434" s="107"/>
      <c r="BI434" s="107"/>
      <c r="BJ434" s="107"/>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2">
      <c r="A435" s="9"/>
      <c r="B435" s="9"/>
      <c r="C435" s="9"/>
      <c r="D435" s="26"/>
      <c r="E435" s="392"/>
      <c r="F435" s="91">
        <v>7</v>
      </c>
      <c r="G435" s="27"/>
      <c r="H435" s="149"/>
      <c r="I435" s="151"/>
      <c r="J435" s="151"/>
      <c r="K435" s="151"/>
      <c r="L435" s="151"/>
      <c r="M435" s="151"/>
      <c r="N435" s="150"/>
      <c r="O435" s="73" t="str">
        <f>IF(A28stdlife="n/a","n/a",IF(O$3&gt;(A28stdlife+$F435),(Input!N$238*(1+vanilla7)^0.5)-SUM($N435:N435),(Input!$N$238*(1+vanilla7)^0.5)/A28stdlife))</f>
        <v>n/a</v>
      </c>
      <c r="P435" s="73" t="str">
        <f>IF(A28stdlife="n/a","n/a",IF(P$3&gt;(A28stdlife+$F435),(Input!O$238*(1+vanilla7)^0.5)-SUM($N435:O435),(Input!$N$238*(1+vanilla7)^0.5)/A28stdlife))</f>
        <v>n/a</v>
      </c>
      <c r="Q435" s="73" t="str">
        <f>IF(A28stdlife="n/a","n/a",IF(Q$3&gt;(A28stdlife+$F435),(Input!P$238*(1+vanilla7)^0.5)-SUM($N435:P435),(Input!$N$238*(1+vanilla7)^0.5)/A28stdlife))</f>
        <v>n/a</v>
      </c>
      <c r="R435" s="73"/>
      <c r="S435" s="107"/>
      <c r="T435" s="107"/>
      <c r="U435" s="107"/>
      <c r="V435" s="107"/>
      <c r="W435" s="107"/>
      <c r="X435" s="107"/>
      <c r="Y435" s="107"/>
      <c r="Z435" s="107"/>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107"/>
      <c r="BE435" s="107"/>
      <c r="BF435" s="107"/>
      <c r="BG435" s="107"/>
      <c r="BH435" s="107"/>
      <c r="BI435" s="107"/>
      <c r="BJ435" s="107"/>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outlineLevel="2">
      <c r="A436" s="9"/>
      <c r="B436" s="9"/>
      <c r="C436" s="9"/>
      <c r="D436" s="26"/>
      <c r="E436" s="392"/>
      <c r="F436" s="91">
        <v>8</v>
      </c>
      <c r="G436" s="27"/>
      <c r="H436" s="149"/>
      <c r="I436" s="151"/>
      <c r="J436" s="151"/>
      <c r="K436" s="151"/>
      <c r="L436" s="151"/>
      <c r="M436" s="151"/>
      <c r="N436" s="151"/>
      <c r="O436" s="150"/>
      <c r="P436" s="73" t="str">
        <f>IF(A28stdlife="n/a","n/a",IF(P$3&gt;(A28stdlife+$F436),(Input!$O$238*(1+vanilla8)^0.5)-SUM($O436:O436),(Input!$O$238*(1+vanilla8)^0.5)/A28stdlife))</f>
        <v>n/a</v>
      </c>
      <c r="Q436" s="73" t="str">
        <f>IF(A28stdlife="n/a","n/a",IF(Q$3&gt;(A28stdlife+$F436),(Input!$O$238*(1+vanilla8)^0.5)-SUM($O436:P436),(Input!$O$238*(1+vanilla8)^0.5)/A28stdlife))</f>
        <v>n/a</v>
      </c>
      <c r="R436" s="73"/>
      <c r="S436" s="107"/>
      <c r="T436" s="107"/>
      <c r="U436" s="107"/>
      <c r="V436" s="107"/>
      <c r="W436" s="107"/>
      <c r="X436" s="107"/>
      <c r="Y436" s="107"/>
      <c r="Z436" s="107"/>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107"/>
      <c r="BE436" s="107"/>
      <c r="BF436" s="107"/>
      <c r="BG436" s="107"/>
      <c r="BH436" s="107"/>
      <c r="BI436" s="107"/>
      <c r="BJ436" s="107"/>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outlineLevel="2">
      <c r="A437" s="9"/>
      <c r="B437" s="9"/>
      <c r="C437" s="9"/>
      <c r="D437" s="26"/>
      <c r="E437" s="392"/>
      <c r="F437" s="91">
        <v>9</v>
      </c>
      <c r="G437" s="27"/>
      <c r="H437" s="149"/>
      <c r="I437" s="151"/>
      <c r="J437" s="151"/>
      <c r="K437" s="151"/>
      <c r="L437" s="151"/>
      <c r="M437" s="151"/>
      <c r="N437" s="151"/>
      <c r="O437" s="151"/>
      <c r="P437" s="150"/>
      <c r="Q437" s="73" t="str">
        <f>IF(A28stdlife="n/a","n/a",IF(Q$3&gt;(A28stdlife+$F437),(Input!$P$238*(1+vanilla9)^0.5)-SUM($P437:P437),(Input!$P$238*(1+vanilla9)^0.5)/A28stdlife))</f>
        <v>n/a</v>
      </c>
      <c r="R437" s="73"/>
      <c r="S437" s="107"/>
      <c r="T437" s="107"/>
      <c r="U437" s="107"/>
      <c r="V437" s="107"/>
      <c r="W437" s="107"/>
      <c r="X437" s="107"/>
      <c r="Y437" s="107"/>
      <c r="Z437" s="107"/>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107"/>
      <c r="BE437" s="107"/>
      <c r="BF437" s="107"/>
      <c r="BG437" s="107"/>
      <c r="BH437" s="107"/>
      <c r="BI437" s="107"/>
      <c r="BJ437" s="107"/>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outlineLevel="2">
      <c r="A438" s="9"/>
      <c r="B438" s="9"/>
      <c r="C438" s="9"/>
      <c r="D438" s="26"/>
      <c r="E438" s="392"/>
      <c r="F438" s="92">
        <v>10</v>
      </c>
      <c r="G438" s="27"/>
      <c r="H438" s="149"/>
      <c r="I438" s="151"/>
      <c r="J438" s="151"/>
      <c r="K438" s="151"/>
      <c r="L438" s="151"/>
      <c r="M438" s="151"/>
      <c r="N438" s="151"/>
      <c r="O438" s="151"/>
      <c r="P438" s="151"/>
      <c r="Q438" s="150"/>
      <c r="R438" s="73"/>
      <c r="S438" s="107"/>
      <c r="T438" s="107"/>
      <c r="U438" s="107"/>
      <c r="V438" s="107"/>
      <c r="W438" s="107"/>
      <c r="X438" s="107"/>
      <c r="Y438" s="107"/>
      <c r="Z438" s="107"/>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107"/>
      <c r="BE438" s="107"/>
      <c r="BF438" s="107"/>
      <c r="BG438" s="107"/>
      <c r="BH438" s="107"/>
      <c r="BI438" s="107"/>
      <c r="BJ438" s="107"/>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outlineLevel="1">
      <c r="A439" s="9"/>
      <c r="B439" s="9"/>
      <c r="C439" s="9"/>
      <c r="D439" s="279">
        <f>Asset28</f>
        <v>0</v>
      </c>
      <c r="E439" s="9"/>
      <c r="F439" s="9"/>
      <c r="G439" s="124"/>
      <c r="H439" s="165">
        <f>-SUM(H427:H438)</f>
        <v>0</v>
      </c>
      <c r="I439" s="165">
        <f>-SUM(I427:I438)</f>
        <v>0</v>
      </c>
      <c r="J439" s="165">
        <f>-SUM(J427:J438)</f>
        <v>0</v>
      </c>
      <c r="K439" s="165">
        <f>-SUM(K427:K438)</f>
        <v>0</v>
      </c>
      <c r="L439" s="165">
        <f>-SUM(L427:L438)</f>
        <v>0</v>
      </c>
      <c r="M439" s="73">
        <f>IF(COUNT($H439:L439)&gt;=Input!$W$7,0, -SUM(M427:M438))</f>
        <v>0</v>
      </c>
      <c r="N439" s="73">
        <f>IF(COUNT($H439:M439)&gt;=Input!$W$7,0, -SUM(N427:N438))</f>
        <v>0</v>
      </c>
      <c r="O439" s="73">
        <f>IF(COUNT($H439:N439)&gt;=Input!$W$7,0, -SUM(O427:O438))</f>
        <v>0</v>
      </c>
      <c r="P439" s="73">
        <f>IF(COUNT($H439:O439)&gt;=Input!$W$7,0, -SUM(P427:P438))</f>
        <v>0</v>
      </c>
      <c r="Q439" s="73">
        <f>IF(COUNT($H439:P439)&gt;=Input!$W$7,0, -SUM(Q427:Q438))</f>
        <v>0</v>
      </c>
      <c r="R439" s="71"/>
      <c r="S439" s="109"/>
      <c r="T439" s="109"/>
      <c r="U439" s="109"/>
      <c r="V439" s="109"/>
      <c r="W439" s="109"/>
      <c r="X439" s="109"/>
      <c r="Y439" s="109"/>
      <c r="Z439" s="109"/>
      <c r="AA439" s="240"/>
      <c r="AB439" s="240"/>
      <c r="AC439" s="240"/>
      <c r="AD439" s="240"/>
      <c r="AE439" s="240"/>
      <c r="AF439" s="240"/>
      <c r="AG439" s="240"/>
      <c r="AH439" s="240"/>
      <c r="AI439" s="240"/>
      <c r="AJ439" s="240"/>
      <c r="AK439" s="240"/>
      <c r="AL439" s="240"/>
      <c r="AM439" s="240"/>
      <c r="AN439" s="240"/>
      <c r="AO439" s="240"/>
      <c r="AP439" s="240"/>
      <c r="AQ439" s="240"/>
      <c r="AR439" s="240"/>
      <c r="AS439" s="240"/>
      <c r="AT439" s="240"/>
      <c r="AU439" s="240"/>
      <c r="AV439" s="240"/>
      <c r="AW439" s="240"/>
      <c r="AX439" s="240"/>
      <c r="AY439" s="240"/>
      <c r="AZ439" s="240"/>
      <c r="BA439" s="240"/>
      <c r="BB439" s="240"/>
      <c r="BC439" s="240"/>
      <c r="BD439" s="109"/>
      <c r="BE439" s="109"/>
      <c r="BF439" s="109"/>
      <c r="BG439" s="109"/>
      <c r="BH439" s="109"/>
      <c r="BI439" s="109"/>
      <c r="BJ439" s="109"/>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80">
        <f>Asset29</f>
        <v>0</v>
      </c>
      <c r="D440" s="161"/>
      <c r="E440" s="32" t="s">
        <v>26</v>
      </c>
      <c r="F440" s="31"/>
      <c r="G440" s="181"/>
      <c r="H440" s="72" t="str">
        <f>IF(H$3&gt;A29remlife,A29value-$G$658-SUM($G440:G440),IF(A29remlife="N/A","n/a",(A29value-$G$658)/A29remlife))</f>
        <v>n/a</v>
      </c>
      <c r="I440" s="72" t="str">
        <f>IF(I$3&gt;A29remlife,A29value-$G$658-SUM($G440:H440),IF(A29remlife="N/A","n/a",(A29value-$G$658)/A29remlife))</f>
        <v>n/a</v>
      </c>
      <c r="J440" s="72" t="str">
        <f>IF(J$3&gt;A29remlife,A29value-$G$658-SUM($G440:I440),IF(A29remlife="N/A","n/a",(A29value-$G$658)/A29remlife))</f>
        <v>n/a</v>
      </c>
      <c r="K440" s="72" t="str">
        <f>IF(K$3&gt;A29remlife,A29value-$G$658-SUM($G440:J440),IF(A29remlife="N/A","n/a",(A29value-$G$658)/A29remlife))</f>
        <v>n/a</v>
      </c>
      <c r="L440" s="72" t="str">
        <f>IF(L$3&gt;A29remlife,A29value-$G$658-SUM($G440:K440),IF(A29remlife="N/A","n/a",(A29value-$G$658)/A29remlife))</f>
        <v>n/a</v>
      </c>
      <c r="M440" s="72" t="str">
        <f>IF(M$3&gt;A29remlife,A29value-$G$658-SUM($G440:L440),IF(A29remlife="N/A","n/a",(A29value-$G$658)/A29remlife))</f>
        <v>n/a</v>
      </c>
      <c r="N440" s="72" t="str">
        <f>IF(N$3&gt;A29remlife,A29value-$G$658-SUM($G440:M440),IF(A29remlife="N/A","n/a",(A29value-$G$658)/A29remlife))</f>
        <v>n/a</v>
      </c>
      <c r="O440" s="72" t="str">
        <f>IF(O$3&gt;A29remlife,A29value-$G$658-SUM($G440:N440),IF(A29remlife="N/A","n/a",(A29value-$G$658)/A29remlife))</f>
        <v>n/a</v>
      </c>
      <c r="P440" s="72" t="str">
        <f>IF(P$3&gt;A29remlife,A29value-$G$658-SUM($G440:O440),IF(A29remlife="N/A","n/a",(A29value-$G$658)/A29remlife))</f>
        <v>n/a</v>
      </c>
      <c r="Q440" s="72" t="str">
        <f>IF(Q$3&gt;A29remlife,A29value-$G$658-SUM($G440:P440),IF(A29remlife="N/A","n/a",(A29value-$G$658)/A29remlife))</f>
        <v>n/a</v>
      </c>
      <c r="R440" s="72"/>
      <c r="S440" s="107"/>
      <c r="T440" s="107"/>
      <c r="U440" s="107"/>
      <c r="V440" s="107"/>
      <c r="W440" s="107"/>
      <c r="X440" s="107"/>
      <c r="Y440" s="107"/>
      <c r="Z440" s="107"/>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107"/>
      <c r="BE440" s="107"/>
      <c r="BF440" s="107"/>
      <c r="BG440" s="107"/>
      <c r="BH440" s="107"/>
      <c r="BI440" s="107"/>
      <c r="BJ440" s="107"/>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9"/>
      <c r="D441" s="26"/>
      <c r="E441" s="391" t="s">
        <v>81</v>
      </c>
      <c r="F441" s="91"/>
      <c r="G441" s="124"/>
      <c r="H441" s="73"/>
      <c r="I441" s="73"/>
      <c r="J441" s="73"/>
      <c r="K441" s="73"/>
      <c r="L441" s="73"/>
      <c r="M441" s="163"/>
      <c r="N441" s="115"/>
      <c r="O441" s="73"/>
      <c r="P441" s="73"/>
      <c r="Q441" s="73"/>
      <c r="R441" s="73"/>
      <c r="S441" s="107"/>
      <c r="T441" s="107"/>
      <c r="U441" s="107"/>
      <c r="V441" s="107"/>
      <c r="W441" s="107"/>
      <c r="X441" s="107"/>
      <c r="Y441" s="107"/>
      <c r="Z441" s="107"/>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107"/>
      <c r="BE441" s="107"/>
      <c r="BF441" s="107"/>
      <c r="BG441" s="107"/>
      <c r="BH441" s="107"/>
      <c r="BI441" s="107"/>
      <c r="BJ441" s="107"/>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9"/>
      <c r="D442" s="26"/>
      <c r="E442" s="392"/>
      <c r="F442" s="91">
        <v>1</v>
      </c>
      <c r="G442" s="124"/>
      <c r="H442" s="148"/>
      <c r="I442" s="73" t="str">
        <f>IF(A29stdlife="n/a","n/a",IF(I$3&gt;(A29stdlife+$F442),(Input!$H$239*(1+vanilla1)^0.5)-SUM($H442:H442),(Input!$H$239*(1+vanilla1)^0.5)/A29stdlife))</f>
        <v>n/a</v>
      </c>
      <c r="J442" s="73" t="str">
        <f>IF(A29stdlife="n/a","n/a",IF(J$3&gt;(A29stdlife+$F442),(Input!$H$239*(1+vanilla1)^0.5)-SUM($H442:I442),(Input!$H$239*(1+vanilla1)^0.5)/A29stdlife))</f>
        <v>n/a</v>
      </c>
      <c r="K442" s="73" t="str">
        <f>IF(A29stdlife="n/a","n/a",IF(K$3&gt;(A29stdlife+$F442),(Input!$H$239*(1+vanilla1)^0.5)-SUM($H442:J442),(Input!$H$239*(1+vanilla1)^0.5)/A29stdlife))</f>
        <v>n/a</v>
      </c>
      <c r="L442" s="73" t="str">
        <f>IF(A29stdlife="n/a","n/a",IF(L$3&gt;(A29stdlife+$F442),(Input!$H$239*(1+vanilla1)^0.5)-SUM($H442:K442),(Input!$H$239*(1+vanilla1)^0.5)/A29stdlife))</f>
        <v>n/a</v>
      </c>
      <c r="M442" s="73" t="str">
        <f>IF(A29stdlife="n/a","n/a",IF(M$3&gt;(A29stdlife+$F442),(Input!$H$239*(1+vanilla1)^0.5)-SUM($H442:L442),(Input!$H$239*(1+vanilla1)^0.5)/A29stdlife))</f>
        <v>n/a</v>
      </c>
      <c r="N442" s="73" t="str">
        <f>IF(A29stdlife="n/a","n/a",IF(N$3&gt;(A29stdlife+$F442),(Input!$H$239*(1+vanilla1)^0.5)-SUM($H442:M442),(Input!$H$239*(1+vanilla1)^0.5)/A29stdlife))</f>
        <v>n/a</v>
      </c>
      <c r="O442" s="73" t="str">
        <f>IF(A29stdlife="n/a","n/a",IF(O$3&gt;(A29stdlife+$F442),(Input!$H$239*(1+vanilla1)^0.5)-SUM($H442:N442),(Input!$H$239*(1+vanilla1)^0.5)/A29stdlife))</f>
        <v>n/a</v>
      </c>
      <c r="P442" s="73" t="str">
        <f>IF(A29stdlife="n/a","n/a",IF(P$3&gt;(A29stdlife+$F442),(Input!$H$239*(1+vanilla1)^0.5)-SUM($H442:O442),(Input!$H$239*(1+vanilla1)^0.5)/A29stdlife))</f>
        <v>n/a</v>
      </c>
      <c r="Q442" s="73" t="str">
        <f>IF(A29stdlife="n/a","n/a",IF(Q$3&gt;(A29stdlife+$F442),(Input!$H$239*(1+vanilla1)^0.5)-SUM($H442:P442),(Input!$H$239*(1+vanilla1)^0.5)/A29stdlife))</f>
        <v>n/a</v>
      </c>
      <c r="R442" s="73"/>
      <c r="S442" s="107"/>
      <c r="T442" s="107"/>
      <c r="U442" s="107"/>
      <c r="V442" s="107"/>
      <c r="W442" s="107"/>
      <c r="X442" s="107"/>
      <c r="Y442" s="107"/>
      <c r="Z442" s="107"/>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107"/>
      <c r="BE442" s="107"/>
      <c r="BF442" s="107"/>
      <c r="BG442" s="107"/>
      <c r="BH442" s="107"/>
      <c r="BI442" s="107"/>
      <c r="BJ442" s="107"/>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9"/>
      <c r="D443" s="26"/>
      <c r="E443" s="392"/>
      <c r="F443" s="91">
        <v>2</v>
      </c>
      <c r="G443" s="124"/>
      <c r="H443" s="149"/>
      <c r="I443" s="150"/>
      <c r="J443" s="73" t="str">
        <f>IF(A29stdlife="n/a","n/a",IF(J$3&gt;(A29stdlife+$F443),(Input!$I$239*(1+vanilla2)^0.5)-SUM($I443:I443),(Input!$I$239*(1+vanilla2)^0.5)/A29stdlife))</f>
        <v>n/a</v>
      </c>
      <c r="K443" s="73" t="str">
        <f>IF(A29stdlife="n/a","n/a",IF(K$3&gt;(A29stdlife+$F443),(Input!$I$239*(1+vanilla2)^0.5)-SUM($I443:J443),(Input!$I$239*(1+vanilla2)^0.5)/A29stdlife))</f>
        <v>n/a</v>
      </c>
      <c r="L443" s="73" t="str">
        <f>IF(A29stdlife="n/a","n/a",IF(L$3&gt;(A29stdlife+$F443),(Input!$I$239*(1+vanilla2)^0.5)-SUM($I443:K443),(Input!$I$239*(1+vanilla2)^0.5)/A29stdlife))</f>
        <v>n/a</v>
      </c>
      <c r="M443" s="73" t="str">
        <f>IF(A29stdlife="n/a","n/a",IF(M$3&gt;(A29stdlife+$F443),(Input!$I$239*(1+vanilla2)^0.5)-SUM($I443:L443),(Input!$I$239*(1+vanilla2)^0.5)/A29stdlife))</f>
        <v>n/a</v>
      </c>
      <c r="N443" s="73" t="str">
        <f>IF(A29stdlife="n/a","n/a",IF(N$3&gt;(A29stdlife+$F443),(Input!$I$239*(1+vanilla2)^0.5)-SUM($I443:M443),(Input!$I$239*(1+vanilla2)^0.5)/A29stdlife))</f>
        <v>n/a</v>
      </c>
      <c r="O443" s="73" t="str">
        <f>IF(A29stdlife="n/a","n/a",IF(O$3&gt;(A29stdlife+$F443),(Input!$I$239*(1+vanilla2)^0.5)-SUM($I443:N443),(Input!$I$239*(1+vanilla2)^0.5)/A29stdlife))</f>
        <v>n/a</v>
      </c>
      <c r="P443" s="73" t="str">
        <f>IF(A29stdlife="n/a","n/a",IF(P$3&gt;(A29stdlife+$F443),(Input!$I$239*(1+vanilla2)^0.5)-SUM($I443:O443),(Input!$I$239*(1+vanilla2)^0.5)/A29stdlife))</f>
        <v>n/a</v>
      </c>
      <c r="Q443" s="73" t="str">
        <f>IF(A29stdlife="n/a","n/a",IF(Q$3&gt;(A29stdlife+$F443),(Input!$I$239*(1+vanilla2)^0.5)-SUM($I443:P443),(Input!$I$239*(1+vanilla2)^0.5)/A29stdlife))</f>
        <v>n/a</v>
      </c>
      <c r="R443" s="73"/>
      <c r="S443" s="107"/>
      <c r="T443" s="107"/>
      <c r="U443" s="107"/>
      <c r="V443" s="107"/>
      <c r="W443" s="107"/>
      <c r="X443" s="107"/>
      <c r="Y443" s="107"/>
      <c r="Z443" s="107"/>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107"/>
      <c r="BE443" s="107"/>
      <c r="BF443" s="107"/>
      <c r="BG443" s="107"/>
      <c r="BH443" s="107"/>
      <c r="BI443" s="107"/>
      <c r="BJ443" s="107"/>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9"/>
      <c r="D444" s="26"/>
      <c r="E444" s="392"/>
      <c r="F444" s="91">
        <v>3</v>
      </c>
      <c r="G444" s="124"/>
      <c r="H444" s="149"/>
      <c r="I444" s="151"/>
      <c r="J444" s="150"/>
      <c r="K444" s="73" t="str">
        <f>IF(A29stdlife="n/a","n/a",IF(K$3&gt;(A29stdlife+$F444),(Input!$J$239*(1+vanilla3)^0.5)-SUM($J444:J444),(Input!$J$239*(1+vanilla3)^0.5)/A29stdlife))</f>
        <v>n/a</v>
      </c>
      <c r="L444" s="73" t="str">
        <f>IF(A29stdlife="n/a","n/a",IF(L$3&gt;(A29stdlife+$F444),(Input!$J$239*(1+vanilla3)^0.5)-SUM($J444:K444),(Input!$J$239*(1+vanilla3)^0.5)/A29stdlife))</f>
        <v>n/a</v>
      </c>
      <c r="M444" s="73" t="str">
        <f>IF(A29stdlife="n/a","n/a",IF(M$3&gt;(A29stdlife+$F444),(Input!$J$239*(1+vanilla3)^0.5)-SUM($J444:L444),(Input!$J$239*(1+vanilla3)^0.5)/A29stdlife))</f>
        <v>n/a</v>
      </c>
      <c r="N444" s="73" t="str">
        <f>IF(A29stdlife="n/a","n/a",IF(N$3&gt;(A29stdlife+$F444),(Input!$J$239*(1+vanilla3)^0.5)-SUM($J444:M444),(Input!$J$239*(1+vanilla3)^0.5)/A29stdlife))</f>
        <v>n/a</v>
      </c>
      <c r="O444" s="73" t="str">
        <f>IF(A29stdlife="n/a","n/a",IF(O$3&gt;(A29stdlife+$F444),(Input!$J$239*(1+vanilla3)^0.5)-SUM($J444:N444),(Input!$J$239*(1+vanilla3)^0.5)/A29stdlife))</f>
        <v>n/a</v>
      </c>
      <c r="P444" s="73" t="str">
        <f>IF(A29stdlife="n/a","n/a",IF(P$3&gt;(A29stdlife+$F444),(Input!$J$239*(1+vanilla3)^0.5)-SUM($J444:O444),(Input!$J$239*(1+vanilla3)^0.5)/A29stdlife))</f>
        <v>n/a</v>
      </c>
      <c r="Q444" s="73" t="str">
        <f>IF(A29stdlife="n/a","n/a",IF(Q$3&gt;(A29stdlife+$F444),(Input!$J$239*(1+vanilla3)^0.5)-SUM($J444:P444),(Input!$J$239*(1+vanilla3)^0.5)/A29stdlife))</f>
        <v>n/a</v>
      </c>
      <c r="R444" s="73"/>
      <c r="S444" s="107"/>
      <c r="T444" s="107"/>
      <c r="U444" s="107"/>
      <c r="V444" s="107"/>
      <c r="W444" s="107"/>
      <c r="X444" s="107"/>
      <c r="Y444" s="107"/>
      <c r="Z444" s="107"/>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107"/>
      <c r="BE444" s="107"/>
      <c r="BF444" s="107"/>
      <c r="BG444" s="107"/>
      <c r="BH444" s="107"/>
      <c r="BI444" s="107"/>
      <c r="BJ444" s="107"/>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9"/>
      <c r="D445" s="26"/>
      <c r="E445" s="392"/>
      <c r="F445" s="91">
        <v>4</v>
      </c>
      <c r="G445" s="124"/>
      <c r="H445" s="149"/>
      <c r="I445" s="151"/>
      <c r="J445" s="151"/>
      <c r="K445" s="150"/>
      <c r="L445" s="73" t="str">
        <f>IF(A29stdlife="n/a","n/a",IF(L$3&gt;(A29stdlife+$F445),(Input!$K$239*(1+vanilla4)^0.5)-SUM($K445:K445),(Input!$K$239*(1+vanilla4)^0.5)/A29stdlife))</f>
        <v>n/a</v>
      </c>
      <c r="M445" s="73" t="str">
        <f>IF(A29stdlife="n/a","n/a",IF(M$3&gt;(A29stdlife+$F445),(Input!$K$239*(1+vanilla4)^0.5)-SUM($K445:L445),(Input!$K$239*(1+vanilla4)^0.5)/A29stdlife))</f>
        <v>n/a</v>
      </c>
      <c r="N445" s="73" t="str">
        <f>IF(A29stdlife="n/a","n/a",IF(N$3&gt;(A29stdlife+$F445),(Input!$K$239*(1+vanilla4)^0.5)-SUM($K445:M445),(Input!$K$239*(1+vanilla4)^0.5)/A29stdlife))</f>
        <v>n/a</v>
      </c>
      <c r="O445" s="73" t="str">
        <f>IF(A29stdlife="n/a","n/a",IF(O$3&gt;(A29stdlife+$F445),(Input!$K$239*(1+vanilla4)^0.5)-SUM($K445:N445),(Input!$K$239*(1+vanilla4)^0.5)/A29stdlife))</f>
        <v>n/a</v>
      </c>
      <c r="P445" s="73" t="str">
        <f>IF(A29stdlife="n/a","n/a",IF(P$3&gt;(A29stdlife+$F445),(Input!$K$239*(1+vanilla4)^0.5)-SUM($K445:O445),(Input!$K$239*(1+vanilla4)^0.5)/A29stdlife))</f>
        <v>n/a</v>
      </c>
      <c r="Q445" s="73" t="str">
        <f>IF(A29stdlife="n/a","n/a",IF(Q$3&gt;(A29stdlife+$F445),(Input!$K$239*(1+vanilla4)^0.5)-SUM($K445:P445),(Input!$K$239*(1+vanilla4)^0.5)/A29stdlife))</f>
        <v>n/a</v>
      </c>
      <c r="R445" s="73"/>
      <c r="S445" s="107"/>
      <c r="T445" s="107"/>
      <c r="U445" s="107"/>
      <c r="V445" s="107"/>
      <c r="W445" s="107"/>
      <c r="X445" s="107"/>
      <c r="Y445" s="107"/>
      <c r="Z445" s="107"/>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107"/>
      <c r="BE445" s="107"/>
      <c r="BF445" s="107"/>
      <c r="BG445" s="107"/>
      <c r="BH445" s="107"/>
      <c r="BI445" s="107"/>
      <c r="BJ445" s="107"/>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9"/>
      <c r="D446" s="26"/>
      <c r="E446" s="392"/>
      <c r="F446" s="91">
        <v>5</v>
      </c>
      <c r="G446" s="27"/>
      <c r="H446" s="149"/>
      <c r="I446" s="151"/>
      <c r="J446" s="151"/>
      <c r="K446" s="151"/>
      <c r="L446" s="150"/>
      <c r="M446" s="73" t="str">
        <f>IF(A29stdlife="n/a","n/a",IF(M$3&gt;(A29stdlife+$F446),(Input!$L$239*(1+vanilla5)^0.5)-SUM($L446:L446),(Input!$L$239*(1+vanilla5)^0.5)/A29stdlife))</f>
        <v>n/a</v>
      </c>
      <c r="N446" s="73" t="str">
        <f>IF(A29stdlife="n/a","n/a",IF(N$3&gt;(A29stdlife+$F446),(Input!$L$239*(1+vanilla5)^0.5)-SUM($L446:M446),(Input!$L$239*(1+vanilla5)^0.5)/A29stdlife))</f>
        <v>n/a</v>
      </c>
      <c r="O446" s="73" t="str">
        <f>IF(A29stdlife="n/a","n/a",IF(O$3&gt;(A29stdlife+$F446),(Input!$L$239*(1+vanilla5)^0.5)-SUM($L446:N446),(Input!$L$239*(1+vanilla5)^0.5)/A29stdlife))</f>
        <v>n/a</v>
      </c>
      <c r="P446" s="73" t="str">
        <f>IF(A29stdlife="n/a","n/a",IF(P$3&gt;(A29stdlife+$F446),(Input!$L$239*(1+vanilla5)^0.5)-SUM($L446:O446),(Input!$L$239*(1+vanilla5)^0.5)/A29stdlife))</f>
        <v>n/a</v>
      </c>
      <c r="Q446" s="73" t="str">
        <f>IF(A29stdlife="n/a","n/a",IF(Q$3&gt;(A29stdlife+$F446),(Input!$L$239*(1+vanilla5)^0.5)-SUM($L446:P446),(Input!$L$239*(1+vanilla5)^0.5)/A29stdlife))</f>
        <v>n/a</v>
      </c>
      <c r="R446" s="73"/>
      <c r="S446" s="107"/>
      <c r="T446" s="107"/>
      <c r="U446" s="107"/>
      <c r="V446" s="107"/>
      <c r="W446" s="107"/>
      <c r="X446" s="107"/>
      <c r="Y446" s="107"/>
      <c r="Z446" s="107"/>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107"/>
      <c r="BE446" s="107"/>
      <c r="BF446" s="107"/>
      <c r="BG446" s="107"/>
      <c r="BH446" s="107"/>
      <c r="BI446" s="107"/>
      <c r="BJ446" s="107"/>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9"/>
      <c r="D447" s="26"/>
      <c r="E447" s="392"/>
      <c r="F447" s="91">
        <v>6</v>
      </c>
      <c r="G447" s="27"/>
      <c r="H447" s="149"/>
      <c r="I447" s="151"/>
      <c r="J447" s="151"/>
      <c r="K447" s="151"/>
      <c r="L447" s="151"/>
      <c r="M447" s="150"/>
      <c r="N447" s="73" t="str">
        <f>IF(A29stdlife="n/a","n/a",IF(N$3&gt;(A29stdlife+$F447),(Input!$M$239*(1+vanilla6)^0.5)-SUM($M447:M447),(Input!$M$239*(1+vanilla6)^0.5)/A29stdlife))</f>
        <v>n/a</v>
      </c>
      <c r="O447" s="73" t="str">
        <f>IF(A29stdlife="n/a","n/a",IF(O$3&gt;(A29stdlife+$F447),(Input!$M$239*(1+vanilla6)^0.5)-SUM($M447:N447),(Input!$M$239*(1+vanilla6)^0.5)/A29stdlife))</f>
        <v>n/a</v>
      </c>
      <c r="P447" s="73" t="str">
        <f>IF(A29stdlife="n/a","n/a",IF(P$3&gt;(A29stdlife+$F447),(Input!$M$239*(1+vanilla6)^0.5)-SUM($M447:O447),(Input!$M$239*(1+vanilla6)^0.5)/A29stdlife))</f>
        <v>n/a</v>
      </c>
      <c r="Q447" s="73" t="str">
        <f>IF(A29stdlife="n/a","n/a",IF(Q$3&gt;(A29stdlife+$F447),(Input!$M$239*(1+vanilla6)^0.5)-SUM($M447:P447),(Input!$M$239*(1+vanilla6)^0.5)/A29stdlife))</f>
        <v>n/a</v>
      </c>
      <c r="R447" s="73"/>
      <c r="S447" s="107"/>
      <c r="T447" s="107"/>
      <c r="U447" s="107"/>
      <c r="V447" s="107"/>
      <c r="W447" s="107"/>
      <c r="X447" s="107"/>
      <c r="Y447" s="107"/>
      <c r="Z447" s="107"/>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107"/>
      <c r="BE447" s="107"/>
      <c r="BF447" s="107"/>
      <c r="BG447" s="107"/>
      <c r="BH447" s="107"/>
      <c r="BI447" s="107"/>
      <c r="BJ447" s="107"/>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9"/>
      <c r="D448" s="26"/>
      <c r="E448" s="392"/>
      <c r="F448" s="91">
        <v>7</v>
      </c>
      <c r="G448" s="27"/>
      <c r="H448" s="149"/>
      <c r="I448" s="151"/>
      <c r="J448" s="151"/>
      <c r="K448" s="151"/>
      <c r="L448" s="151"/>
      <c r="M448" s="151"/>
      <c r="N448" s="150"/>
      <c r="O448" s="73" t="str">
        <f>IF(A29stdlife="n/a","n/a",IF(O$3&gt;(A29stdlife+$F448),(Input!N$239*(1+vanilla7)^0.5)-SUM($N448:N448),(Input!$N$239*(1+vanilla7)^0.5)/A29stdlife))</f>
        <v>n/a</v>
      </c>
      <c r="P448" s="73" t="str">
        <f>IF(A29stdlife="n/a","n/a",IF(P$3&gt;(A29stdlife+$F448),(Input!O$239*(1+vanilla7)^0.5)-SUM($N448:O448),(Input!$N$239*(1+vanilla7)^0.5)/A29stdlife))</f>
        <v>n/a</v>
      </c>
      <c r="Q448" s="73" t="str">
        <f>IF(A29stdlife="n/a","n/a",IF(Q$3&gt;(A29stdlife+$F448),(Input!P$239*(1+vanilla7)^0.5)-SUM($N448:P448),(Input!$N$239*(1+vanilla7)^0.5)/A29stdlife))</f>
        <v>n/a</v>
      </c>
      <c r="R448" s="73"/>
      <c r="S448" s="107"/>
      <c r="T448" s="107"/>
      <c r="U448" s="107"/>
      <c r="V448" s="107"/>
      <c r="W448" s="107"/>
      <c r="X448" s="107"/>
      <c r="Y448" s="107"/>
      <c r="Z448" s="107"/>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107"/>
      <c r="BE448" s="107"/>
      <c r="BF448" s="107"/>
      <c r="BG448" s="107"/>
      <c r="BH448" s="107"/>
      <c r="BI448" s="107"/>
      <c r="BJ448" s="107"/>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customHeight="1" outlineLevel="2">
      <c r="A449" s="9"/>
      <c r="B449" s="9"/>
      <c r="C449" s="9"/>
      <c r="D449" s="26"/>
      <c r="E449" s="392"/>
      <c r="F449" s="91">
        <v>8</v>
      </c>
      <c r="G449" s="27"/>
      <c r="H449" s="149"/>
      <c r="I449" s="151"/>
      <c r="J449" s="151"/>
      <c r="K449" s="151"/>
      <c r="L449" s="151"/>
      <c r="M449" s="151"/>
      <c r="N449" s="151"/>
      <c r="O449" s="150"/>
      <c r="P449" s="73" t="str">
        <f>IF(A29stdlife="n/a","n/a",IF(P$3&gt;(A29stdlife+$F449),(Input!$O$239*(1+vanilla8)^0.5)-SUM($O449:O449),(Input!$O$239*(1+vanilla8)^0.5)/A29stdlife))</f>
        <v>n/a</v>
      </c>
      <c r="Q449" s="73" t="str">
        <f>IF(A29stdlife="n/a","n/a",IF(Q$3&gt;(A29stdlife+$F449),(Input!$O$239*(1+vanilla8)^0.5)-SUM($O449:P449),(Input!$O$239*(1+vanilla8)^0.5)/A29stdlife))</f>
        <v>n/a</v>
      </c>
      <c r="R449" s="73"/>
      <c r="S449" s="107"/>
      <c r="T449" s="107"/>
      <c r="U449" s="107"/>
      <c r="V449" s="107"/>
      <c r="W449" s="107"/>
      <c r="X449" s="107"/>
      <c r="Y449" s="107"/>
      <c r="Z449" s="107"/>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107"/>
      <c r="BE449" s="107"/>
      <c r="BF449" s="107"/>
      <c r="BG449" s="107"/>
      <c r="BH449" s="107"/>
      <c r="BI449" s="107"/>
      <c r="BJ449" s="107"/>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9"/>
      <c r="C450" s="9"/>
      <c r="D450" s="26"/>
      <c r="E450" s="392"/>
      <c r="F450" s="91">
        <v>9</v>
      </c>
      <c r="G450" s="27"/>
      <c r="H450" s="149"/>
      <c r="I450" s="151"/>
      <c r="J450" s="151"/>
      <c r="K450" s="151"/>
      <c r="L450" s="151"/>
      <c r="M450" s="151"/>
      <c r="N450" s="151"/>
      <c r="O450" s="151"/>
      <c r="P450" s="150"/>
      <c r="Q450" s="73" t="str">
        <f>IF(A29stdlife="n/a","n/a",IF(Q$3&gt;(A29stdlife+$F450),(Input!$P$239*(1+vanilla9)^0.5)-SUM($P450:P450),(Input!$P$239*(1+vanilla9)^0.5)/A29stdlife))</f>
        <v>n/a</v>
      </c>
      <c r="R450" s="73"/>
      <c r="S450" s="107"/>
      <c r="T450" s="107"/>
      <c r="U450" s="107"/>
      <c r="V450" s="107"/>
      <c r="W450" s="107"/>
      <c r="X450" s="107"/>
      <c r="Y450" s="107"/>
      <c r="Z450" s="107"/>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107"/>
      <c r="BE450" s="107"/>
      <c r="BF450" s="107"/>
      <c r="BG450" s="107"/>
      <c r="BH450" s="107"/>
      <c r="BI450" s="107"/>
      <c r="BJ450" s="107"/>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9"/>
      <c r="D451" s="26"/>
      <c r="E451" s="392"/>
      <c r="F451" s="92">
        <v>10</v>
      </c>
      <c r="G451" s="27"/>
      <c r="H451" s="149"/>
      <c r="I451" s="151"/>
      <c r="J451" s="151"/>
      <c r="K451" s="151"/>
      <c r="L451" s="151"/>
      <c r="M451" s="151"/>
      <c r="N451" s="151"/>
      <c r="O451" s="151"/>
      <c r="P451" s="151"/>
      <c r="Q451" s="150"/>
      <c r="R451" s="73"/>
      <c r="S451" s="107"/>
      <c r="T451" s="107"/>
      <c r="U451" s="107"/>
      <c r="V451" s="107"/>
      <c r="W451" s="107"/>
      <c r="X451" s="107"/>
      <c r="Y451" s="107"/>
      <c r="Z451" s="107"/>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107"/>
      <c r="BE451" s="107"/>
      <c r="BF451" s="107"/>
      <c r="BG451" s="107"/>
      <c r="BH451" s="107"/>
      <c r="BI451" s="107"/>
      <c r="BJ451" s="107"/>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outlineLevel="1">
      <c r="A452" s="9"/>
      <c r="B452" s="9"/>
      <c r="C452" s="9"/>
      <c r="D452" s="279">
        <f>Asset29</f>
        <v>0</v>
      </c>
      <c r="E452" s="9"/>
      <c r="F452" s="9"/>
      <c r="G452" s="124"/>
      <c r="H452" s="165">
        <f>-SUM(H440:H451)</f>
        <v>0</v>
      </c>
      <c r="I452" s="165">
        <f>-SUM(I440:I451)</f>
        <v>0</v>
      </c>
      <c r="J452" s="165">
        <f>-SUM(J440:J451)</f>
        <v>0</v>
      </c>
      <c r="K452" s="165">
        <f>-SUM(K440:K451)</f>
        <v>0</v>
      </c>
      <c r="L452" s="165">
        <f>-SUM(L440:L451)</f>
        <v>0</v>
      </c>
      <c r="M452" s="73">
        <f>IF(COUNT($H452:L452)&gt;=Input!$W$7,0, -SUM(M440:M451))</f>
        <v>0</v>
      </c>
      <c r="N452" s="73">
        <f>IF(COUNT($H452:M452)&gt;=Input!$W$7,0, -SUM(N440:N451))</f>
        <v>0</v>
      </c>
      <c r="O452" s="73">
        <f>IF(COUNT($H452:N452)&gt;=Input!$W$7,0, -SUM(O440:O451))</f>
        <v>0</v>
      </c>
      <c r="P452" s="73">
        <f>IF(COUNT($H452:O452)&gt;=Input!$W$7,0, -SUM(P440:P451))</f>
        <v>0</v>
      </c>
      <c r="Q452" s="73">
        <f>IF(COUNT($H452:P452)&gt;=Input!$W$7,0, -SUM(Q440:Q451))</f>
        <v>0</v>
      </c>
      <c r="R452" s="71"/>
      <c r="S452" s="109"/>
      <c r="T452" s="109"/>
      <c r="U452" s="109"/>
      <c r="V452" s="109"/>
      <c r="W452" s="109"/>
      <c r="X452" s="109"/>
      <c r="Y452" s="109"/>
      <c r="Z452" s="109"/>
      <c r="AA452" s="240"/>
      <c r="AB452" s="240"/>
      <c r="AC452" s="240"/>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240"/>
      <c r="AZ452" s="240"/>
      <c r="BA452" s="240"/>
      <c r="BB452" s="240"/>
      <c r="BC452" s="240"/>
      <c r="BD452" s="109"/>
      <c r="BE452" s="109"/>
      <c r="BF452" s="109"/>
      <c r="BG452" s="109"/>
      <c r="BH452" s="109"/>
      <c r="BI452" s="109"/>
      <c r="BJ452" s="109"/>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80">
        <f>Asset30</f>
        <v>0</v>
      </c>
      <c r="D453" s="161"/>
      <c r="E453" s="32" t="s">
        <v>26</v>
      </c>
      <c r="F453" s="31"/>
      <c r="G453" s="181"/>
      <c r="H453" s="72" t="str">
        <f>IF(H$3&gt;A30remlife,A30value-$G$659-SUM($G453:G453),IF(A30remlife="N/A","n/a",(A30value-$G$659)/A30remlife))</f>
        <v>n/a</v>
      </c>
      <c r="I453" s="72" t="str">
        <f>IF(I$3&gt;A30remlife,A30value-$G$659-SUM($G453:H453),IF(A30remlife="N/A","n/a",(A30value-$G$659)/A30remlife))</f>
        <v>n/a</v>
      </c>
      <c r="J453" s="72" t="str">
        <f>IF(J$3&gt;A30remlife,A30value-$G$659-SUM($G453:I453),IF(A30remlife="N/A","n/a",(A30value-$G$659)/A30remlife))</f>
        <v>n/a</v>
      </c>
      <c r="K453" s="72" t="str">
        <f>IF(K$3&gt;A30remlife,A30value-$G$659-SUM($G453:J453),IF(A30remlife="N/A","n/a",(A30value-$G$659)/A30remlife))</f>
        <v>n/a</v>
      </c>
      <c r="L453" s="72" t="str">
        <f>IF(L$3&gt;A30remlife,A30value-$G$659-SUM($G453:K453),IF(A30remlife="N/A","n/a",(A30value-$G$659)/A30remlife))</f>
        <v>n/a</v>
      </c>
      <c r="M453" s="72" t="str">
        <f>IF(M$3&gt;A30remlife,A30value-$G$659-SUM($G453:L453),IF(A30remlife="N/A","n/a",(A30value-$G$659)/A30remlife))</f>
        <v>n/a</v>
      </c>
      <c r="N453" s="72" t="str">
        <f>IF(N$3&gt;A30remlife,A30value-$G$659-SUM($G453:M453),IF(A30remlife="N/A","n/a",(A30value-$G$659)/A30remlife))</f>
        <v>n/a</v>
      </c>
      <c r="O453" s="72" t="str">
        <f>IF(O$3&gt;A30remlife,A30value-$G$659-SUM($G453:N453),IF(A30remlife="N/A","n/a",(A30value-$G$659)/A30remlife))</f>
        <v>n/a</v>
      </c>
      <c r="P453" s="72" t="str">
        <f>IF(P$3&gt;A30remlife,A30value-$G$659-SUM($G453:O453),IF(A30remlife="N/A","n/a",(A30value-$G$659)/A30remlife))</f>
        <v>n/a</v>
      </c>
      <c r="Q453" s="72" t="str">
        <f>IF(Q$3&gt;A30remlife,A30value-$G$659-SUM($G453:P453),IF(A30remlife="N/A","n/a",(A30value-$G$659)/A30remlife))</f>
        <v>n/a</v>
      </c>
      <c r="R453" s="72"/>
      <c r="S453" s="107"/>
      <c r="T453" s="107"/>
      <c r="U453" s="107"/>
      <c r="V453" s="107"/>
      <c r="W453" s="107"/>
      <c r="X453" s="107"/>
      <c r="Y453" s="107"/>
      <c r="Z453" s="107"/>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107"/>
      <c r="BE453" s="107"/>
      <c r="BF453" s="107"/>
      <c r="BG453" s="107"/>
      <c r="BH453" s="107"/>
      <c r="BI453" s="107"/>
      <c r="BJ453" s="107"/>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9"/>
      <c r="D454" s="26"/>
      <c r="E454" s="391" t="s">
        <v>81</v>
      </c>
      <c r="F454" s="91"/>
      <c r="G454" s="124"/>
      <c r="H454" s="73"/>
      <c r="I454" s="73"/>
      <c r="J454" s="73"/>
      <c r="K454" s="73"/>
      <c r="L454" s="73"/>
      <c r="M454" s="163"/>
      <c r="N454" s="115"/>
      <c r="O454" s="73"/>
      <c r="P454" s="73"/>
      <c r="Q454" s="73"/>
      <c r="R454" s="73"/>
      <c r="S454" s="107"/>
      <c r="T454" s="107"/>
      <c r="U454" s="107"/>
      <c r="V454" s="107"/>
      <c r="W454" s="107"/>
      <c r="X454" s="107"/>
      <c r="Y454" s="107"/>
      <c r="Z454" s="107"/>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107"/>
      <c r="BE454" s="107"/>
      <c r="BF454" s="107"/>
      <c r="BG454" s="107"/>
      <c r="BH454" s="107"/>
      <c r="BI454" s="107"/>
      <c r="BJ454" s="107"/>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9"/>
      <c r="D455" s="26"/>
      <c r="E455" s="392"/>
      <c r="F455" s="91">
        <v>1</v>
      </c>
      <c r="G455" s="124"/>
      <c r="H455" s="148"/>
      <c r="I455" s="73" t="str">
        <f>IF(A30stdlife="n/a","n/a",IF(I$3&gt;(A30stdlife+$F455),(Input!$H$240*(1+vanilla1)^0.5)-SUM($H455:H455),(Input!$H$240*(1+vanilla1)^0.5)/A30stdlife))</f>
        <v>n/a</v>
      </c>
      <c r="J455" s="73" t="str">
        <f>IF(A30stdlife="n/a","n/a",IF(J$3&gt;(A30stdlife+$F455),(Input!$H$240*(1+vanilla1)^0.5)-SUM($H455:I455),(Input!$H$240*(1+vanilla1)^0.5)/A30stdlife))</f>
        <v>n/a</v>
      </c>
      <c r="K455" s="73" t="str">
        <f>IF(A30stdlife="n/a","n/a",IF(K$3&gt;(A30stdlife+$F455),(Input!$H$240*(1+vanilla1)^0.5)-SUM($H455:J455),(Input!$H$240*(1+vanilla1)^0.5)/A30stdlife))</f>
        <v>n/a</v>
      </c>
      <c r="L455" s="73" t="str">
        <f>IF(A30stdlife="n/a","n/a",IF(L$3&gt;(A30stdlife+$F455),(Input!$H$240*(1+vanilla1)^0.5)-SUM($H455:K455),(Input!$H$240*(1+vanilla1)^0.5)/A30stdlife))</f>
        <v>n/a</v>
      </c>
      <c r="M455" s="73" t="str">
        <f>IF(A30stdlife="n/a","n/a",IF(M$3&gt;(A30stdlife+$F455),(Input!$H$240*(1+vanilla1)^0.5)-SUM($H455:L455),(Input!$H$240*(1+vanilla1)^0.5)/A30stdlife))</f>
        <v>n/a</v>
      </c>
      <c r="N455" s="73" t="str">
        <f>IF(A30stdlife="n/a","n/a",IF(N$3&gt;(A30stdlife+$F455),(Input!$H$240*(1+vanilla1)^0.5)-SUM($H455:M455),(Input!$H$240*(1+vanilla1)^0.5)/A30stdlife))</f>
        <v>n/a</v>
      </c>
      <c r="O455" s="73" t="str">
        <f>IF(A30stdlife="n/a","n/a",IF(O$3&gt;(A30stdlife+$F455),(Input!$H$240*(1+vanilla1)^0.5)-SUM($H455:N455),(Input!$H$240*(1+vanilla1)^0.5)/A30stdlife))</f>
        <v>n/a</v>
      </c>
      <c r="P455" s="73" t="str">
        <f>IF(A30stdlife="n/a","n/a",IF(P$3&gt;(A30stdlife+$F455),(Input!$H$240*(1+vanilla1)^0.5)-SUM($H455:O455),(Input!$H$240*(1+vanilla1)^0.5)/A30stdlife))</f>
        <v>n/a</v>
      </c>
      <c r="Q455" s="73" t="str">
        <f>IF(A30stdlife="n/a","n/a",IF(Q$3&gt;(A30stdlife+$F455),(Input!$H$240*(1+vanilla1)^0.5)-SUM($H455:P455),(Input!$H$240*(1+vanilla1)^0.5)/A30stdlife))</f>
        <v>n/a</v>
      </c>
      <c r="R455" s="73"/>
      <c r="S455" s="107"/>
      <c r="T455" s="107"/>
      <c r="U455" s="107"/>
      <c r="V455" s="107"/>
      <c r="W455" s="107"/>
      <c r="X455" s="107"/>
      <c r="Y455" s="107"/>
      <c r="Z455" s="107"/>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107"/>
      <c r="BE455" s="107"/>
      <c r="BF455" s="107"/>
      <c r="BG455" s="107"/>
      <c r="BH455" s="107"/>
      <c r="BI455" s="107"/>
      <c r="BJ455" s="107"/>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9"/>
      <c r="D456" s="26"/>
      <c r="E456" s="392"/>
      <c r="F456" s="91">
        <v>2</v>
      </c>
      <c r="G456" s="124"/>
      <c r="H456" s="149"/>
      <c r="I456" s="150"/>
      <c r="J456" s="73" t="str">
        <f>IF(A30stdlife="n/a","n/a",IF(J$3&gt;(A30stdlife+$F456),(Input!$I$240*(1+vanilla2)^0.5)-SUM($I456:I456),(Input!$I$240*(1+vanilla2)^0.5)/A30stdlife))</f>
        <v>n/a</v>
      </c>
      <c r="K456" s="73" t="str">
        <f>IF(A30stdlife="n/a","n/a",IF(K$3&gt;(A30stdlife+$F456),(Input!$I$240*(1+vanilla2)^0.5)-SUM($I456:J456),(Input!$I$240*(1+vanilla2)^0.5)/A30stdlife))</f>
        <v>n/a</v>
      </c>
      <c r="L456" s="73" t="str">
        <f>IF(A30stdlife="n/a","n/a",IF(L$3&gt;(A30stdlife+$F456),(Input!$I$240*(1+vanilla2)^0.5)-SUM($I456:K456),(Input!$I$240*(1+vanilla2)^0.5)/A30stdlife))</f>
        <v>n/a</v>
      </c>
      <c r="M456" s="73" t="str">
        <f>IF(A30stdlife="n/a","n/a",IF(M$3&gt;(A30stdlife+$F456),(Input!$I$240*(1+vanilla2)^0.5)-SUM($I456:L456),(Input!$I$240*(1+vanilla2)^0.5)/A30stdlife))</f>
        <v>n/a</v>
      </c>
      <c r="N456" s="73" t="str">
        <f>IF(A30stdlife="n/a","n/a",IF(N$3&gt;(A30stdlife+$F456),(Input!$I$240*(1+vanilla2)^0.5)-SUM($I456:M456),(Input!$I$240*(1+vanilla2)^0.5)/A30stdlife))</f>
        <v>n/a</v>
      </c>
      <c r="O456" s="73" t="str">
        <f>IF(A30stdlife="n/a","n/a",IF(O$3&gt;(A30stdlife+$F456),(Input!$I$240*(1+vanilla2)^0.5)-SUM($I456:N456),(Input!$I$240*(1+vanilla2)^0.5)/A30stdlife))</f>
        <v>n/a</v>
      </c>
      <c r="P456" s="73" t="str">
        <f>IF(A30stdlife="n/a","n/a",IF(P$3&gt;(A30stdlife+$F456),(Input!$I$240*(1+vanilla2)^0.5)-SUM($I456:O456),(Input!$I$240*(1+vanilla2)^0.5)/A30stdlife))</f>
        <v>n/a</v>
      </c>
      <c r="Q456" s="73" t="str">
        <f>IF(A30stdlife="n/a","n/a",IF(Q$3&gt;(A30stdlife+$F456),(Input!$I$240*(1+vanilla2)^0.5)-SUM($I456:P456),(Input!$I$240*(1+vanilla2)^0.5)/A30stdlife))</f>
        <v>n/a</v>
      </c>
      <c r="R456" s="73"/>
      <c r="S456" s="107"/>
      <c r="T456" s="107"/>
      <c r="U456" s="107"/>
      <c r="V456" s="107"/>
      <c r="W456" s="107"/>
      <c r="X456" s="107"/>
      <c r="Y456" s="107"/>
      <c r="Z456" s="107"/>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107"/>
      <c r="BE456" s="107"/>
      <c r="BF456" s="107"/>
      <c r="BG456" s="107"/>
      <c r="BH456" s="107"/>
      <c r="BI456" s="107"/>
      <c r="BJ456" s="107"/>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9"/>
      <c r="D457" s="26"/>
      <c r="E457" s="392"/>
      <c r="F457" s="91">
        <v>3</v>
      </c>
      <c r="G457" s="124"/>
      <c r="H457" s="149"/>
      <c r="I457" s="151"/>
      <c r="J457" s="150"/>
      <c r="K457" s="73" t="str">
        <f>IF(A30stdlife="n/a","n/a",IF(K$3&gt;(A30stdlife+$F457),(Input!$J$240*(1+vanilla3)^0.5)-SUM($J457:J457),(Input!$J$240*(1+vanilla3)^0.5)/A30stdlife))</f>
        <v>n/a</v>
      </c>
      <c r="L457" s="73" t="str">
        <f>IF(A30stdlife="n/a","n/a",IF(L$3&gt;(A30stdlife+$F457),(Input!$J$240*(1+vanilla3)^0.5)-SUM($J457:K457),(Input!$J$240*(1+vanilla3)^0.5)/A30stdlife))</f>
        <v>n/a</v>
      </c>
      <c r="M457" s="73" t="str">
        <f>IF(A30stdlife="n/a","n/a",IF(M$3&gt;(A30stdlife+$F457),(Input!$J$240*(1+vanilla3)^0.5)-SUM($J457:L457),(Input!$J$240*(1+vanilla3)^0.5)/A30stdlife))</f>
        <v>n/a</v>
      </c>
      <c r="N457" s="73" t="str">
        <f>IF(A30stdlife="n/a","n/a",IF(N$3&gt;(A30stdlife+$F457),(Input!$J$240*(1+vanilla3)^0.5)-SUM($J457:M457),(Input!$J$240*(1+vanilla3)^0.5)/A30stdlife))</f>
        <v>n/a</v>
      </c>
      <c r="O457" s="73" t="str">
        <f>IF(A30stdlife="n/a","n/a",IF(O$3&gt;(A30stdlife+$F457),(Input!$J$240*(1+vanilla3)^0.5)-SUM($J457:N457),(Input!$J$240*(1+vanilla3)^0.5)/A30stdlife))</f>
        <v>n/a</v>
      </c>
      <c r="P457" s="73" t="str">
        <f>IF(A30stdlife="n/a","n/a",IF(P$3&gt;(A30stdlife+$F457),(Input!$J$240*(1+vanilla3)^0.5)-SUM($J457:O457),(Input!$J$240*(1+vanilla3)^0.5)/A30stdlife))</f>
        <v>n/a</v>
      </c>
      <c r="Q457" s="73" t="str">
        <f>IF(A30stdlife="n/a","n/a",IF(Q$3&gt;(A30stdlife+$F457),(Input!$J$240*(1+vanilla3)^0.5)-SUM($J457:P457),(Input!$J$240*(1+vanilla3)^0.5)/A30stdlife))</f>
        <v>n/a</v>
      </c>
      <c r="R457" s="73"/>
      <c r="S457" s="107"/>
      <c r="T457" s="107"/>
      <c r="U457" s="107"/>
      <c r="V457" s="107"/>
      <c r="W457" s="107"/>
      <c r="X457" s="107"/>
      <c r="Y457" s="107"/>
      <c r="Z457" s="107"/>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107"/>
      <c r="BE457" s="107"/>
      <c r="BF457" s="107"/>
      <c r="BG457" s="107"/>
      <c r="BH457" s="107"/>
      <c r="BI457" s="107"/>
      <c r="BJ457" s="107"/>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9"/>
      <c r="D458" s="26"/>
      <c r="E458" s="392"/>
      <c r="F458" s="91">
        <v>4</v>
      </c>
      <c r="G458" s="124"/>
      <c r="H458" s="149"/>
      <c r="I458" s="151"/>
      <c r="J458" s="151"/>
      <c r="K458" s="150"/>
      <c r="L458" s="73" t="str">
        <f>IF(A30stdlife="n/a","n/a",IF(L$3&gt;(A30stdlife+$F458),(Input!$K$240*(1+vanilla4)^0.5)-SUM($K458:K458),(Input!$K$240*(1+vanilla4)^0.5)/A30stdlife))</f>
        <v>n/a</v>
      </c>
      <c r="M458" s="73" t="str">
        <f>IF(A30stdlife="n/a","n/a",IF(M$3&gt;(A30stdlife+$F458),(Input!$K$240*(1+vanilla4)^0.5)-SUM($K458:L458),(Input!$K$240*(1+vanilla4)^0.5)/A30stdlife))</f>
        <v>n/a</v>
      </c>
      <c r="N458" s="73" t="str">
        <f>IF(A30stdlife="n/a","n/a",IF(N$3&gt;(A30stdlife+$F458),(Input!$K$240*(1+vanilla4)^0.5)-SUM($K458:M458),(Input!$K$240*(1+vanilla4)^0.5)/A30stdlife))</f>
        <v>n/a</v>
      </c>
      <c r="O458" s="73" t="str">
        <f>IF(A30stdlife="n/a","n/a",IF(O$3&gt;(A30stdlife+$F458),(Input!$K$240*(1+vanilla4)^0.5)-SUM($K458:N458),(Input!$K$240*(1+vanilla4)^0.5)/A30stdlife))</f>
        <v>n/a</v>
      </c>
      <c r="P458" s="73" t="str">
        <f>IF(A30stdlife="n/a","n/a",IF(P$3&gt;(A30stdlife+$F458),(Input!$K$240*(1+vanilla4)^0.5)-SUM($K458:O458),(Input!$K$240*(1+vanilla4)^0.5)/A30stdlife))</f>
        <v>n/a</v>
      </c>
      <c r="Q458" s="73" t="str">
        <f>IF(A30stdlife="n/a","n/a",IF(Q$3&gt;(A30stdlife+$F458),(Input!$K$240*(1+vanilla4)^0.5)-SUM($K458:P458),(Input!$K$240*(1+vanilla4)^0.5)/A30stdlife))</f>
        <v>n/a</v>
      </c>
      <c r="R458" s="73"/>
      <c r="S458" s="107"/>
      <c r="T458" s="107"/>
      <c r="U458" s="107"/>
      <c r="V458" s="107"/>
      <c r="W458" s="107"/>
      <c r="X458" s="107"/>
      <c r="Y458" s="107"/>
      <c r="Z458" s="107"/>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107"/>
      <c r="BE458" s="107"/>
      <c r="BF458" s="107"/>
      <c r="BG458" s="107"/>
      <c r="BH458" s="107"/>
      <c r="BI458" s="107"/>
      <c r="BJ458" s="107"/>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9"/>
      <c r="D459" s="26"/>
      <c r="E459" s="392"/>
      <c r="F459" s="91">
        <v>5</v>
      </c>
      <c r="G459" s="27"/>
      <c r="H459" s="149"/>
      <c r="I459" s="151"/>
      <c r="J459" s="151"/>
      <c r="K459" s="151"/>
      <c r="L459" s="150"/>
      <c r="M459" s="73" t="str">
        <f>IF(A30stdlife="n/a","n/a",IF(M$3&gt;(A30stdlife+$F459),(Input!$L$240*(1+vanilla5)^0.5)-SUM($L459:L459),(Input!$L$240*(1+vanilla5)^0.5)/A30stdlife))</f>
        <v>n/a</v>
      </c>
      <c r="N459" s="73" t="str">
        <f>IF(A30stdlife="n/a","n/a",IF(N$3&gt;(A30stdlife+$F459),(Input!$L$240*(1+vanilla5)^0.5)-SUM($L459:M459),(Input!$L$240*(1+vanilla5)^0.5)/A30stdlife))</f>
        <v>n/a</v>
      </c>
      <c r="O459" s="73" t="str">
        <f>IF(A30stdlife="n/a","n/a",IF(O$3&gt;(A30stdlife+$F459),(Input!$L$240*(1+vanilla5)^0.5)-SUM($L459:N459),(Input!$L$240*(1+vanilla5)^0.5)/A30stdlife))</f>
        <v>n/a</v>
      </c>
      <c r="P459" s="73" t="str">
        <f>IF(A30stdlife="n/a","n/a",IF(P$3&gt;(A30stdlife+$F459),(Input!$L$240*(1+vanilla5)^0.5)-SUM($L459:O459),(Input!$L$240*(1+vanilla5)^0.5)/A30stdlife))</f>
        <v>n/a</v>
      </c>
      <c r="Q459" s="73" t="str">
        <f>IF(A30stdlife="n/a","n/a",IF(Q$3&gt;(A30stdlife+$F459),(Input!$L$240*(1+vanilla5)^0.5)-SUM($L459:P459),(Input!$L$240*(1+vanilla5)^0.5)/A30stdlife))</f>
        <v>n/a</v>
      </c>
      <c r="R459" s="73"/>
      <c r="S459" s="107"/>
      <c r="T459" s="107"/>
      <c r="U459" s="107"/>
      <c r="V459" s="107"/>
      <c r="W459" s="107"/>
      <c r="X459" s="107"/>
      <c r="Y459" s="107"/>
      <c r="Z459" s="107"/>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107"/>
      <c r="BE459" s="107"/>
      <c r="BF459" s="107"/>
      <c r="BG459" s="107"/>
      <c r="BH459" s="107"/>
      <c r="BI459" s="107"/>
      <c r="BJ459" s="107"/>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9"/>
      <c r="D460" s="26"/>
      <c r="E460" s="392"/>
      <c r="F460" s="91">
        <v>6</v>
      </c>
      <c r="G460" s="27"/>
      <c r="H460" s="149"/>
      <c r="I460" s="151"/>
      <c r="J460" s="151"/>
      <c r="K460" s="151"/>
      <c r="L460" s="151"/>
      <c r="M460" s="150"/>
      <c r="N460" s="73" t="str">
        <f>IF(A30stdlife="n/a","n/a",IF(N$3&gt;(A30stdlife+$F460),(Input!$M$240*(1+vanilla6)^0.5)-SUM($M460:M460),(Input!$M$240*(1+vanilla6)^0.5)/A30stdlife))</f>
        <v>n/a</v>
      </c>
      <c r="O460" s="73" t="str">
        <f>IF(A30stdlife="n/a","n/a",IF(O$3&gt;(A30stdlife+$F460),(Input!$M$240*(1+vanilla6)^0.5)-SUM($M460:N460),(Input!$M$240*(1+vanilla6)^0.5)/A30stdlife))</f>
        <v>n/a</v>
      </c>
      <c r="P460" s="73" t="str">
        <f>IF(A30stdlife="n/a","n/a",IF(P$3&gt;(A30stdlife+$F460),(Input!$M$240*(1+vanilla6)^0.5)-SUM($M460:O460),(Input!$M$240*(1+vanilla6)^0.5)/A30stdlife))</f>
        <v>n/a</v>
      </c>
      <c r="Q460" s="73" t="str">
        <f>IF(A30stdlife="n/a","n/a",IF(Q$3&gt;(A30stdlife+$F460),(Input!$M$240*(1+vanilla6)^0.5)-SUM($M460:P460),(Input!$M$240*(1+vanilla6)^0.5)/A30stdlife))</f>
        <v>n/a</v>
      </c>
      <c r="R460" s="73"/>
      <c r="S460" s="107"/>
      <c r="T460" s="107"/>
      <c r="U460" s="107"/>
      <c r="V460" s="107"/>
      <c r="W460" s="107"/>
      <c r="X460" s="107"/>
      <c r="Y460" s="107"/>
      <c r="Z460" s="107"/>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107"/>
      <c r="BE460" s="107"/>
      <c r="BF460" s="107"/>
      <c r="BG460" s="107"/>
      <c r="BH460" s="107"/>
      <c r="BI460" s="107"/>
      <c r="BJ460" s="107"/>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9"/>
      <c r="D461" s="26"/>
      <c r="E461" s="392"/>
      <c r="F461" s="91">
        <v>7</v>
      </c>
      <c r="G461" s="27"/>
      <c r="H461" s="149"/>
      <c r="I461" s="151"/>
      <c r="J461" s="151"/>
      <c r="K461" s="151"/>
      <c r="L461" s="151"/>
      <c r="M461" s="151"/>
      <c r="N461" s="150"/>
      <c r="O461" s="73" t="str">
        <f>IF(A30stdlife="n/a","n/a",IF(O$3&gt;(A30stdlife+$F461),(Input!N$240*(1+vanilla7)^0.5)-SUM($N461:N461),(Input!$N$240*(1+vanilla7)^0.5)/A30stdlife))</f>
        <v>n/a</v>
      </c>
      <c r="P461" s="73" t="str">
        <f>IF(A30stdlife="n/a","n/a",IF(P$3&gt;(A30stdlife+$F461),(Input!O$240*(1+vanilla7)^0.5)-SUM($N461:O461),(Input!$N$240*(1+vanilla7)^0.5)/A30stdlife))</f>
        <v>n/a</v>
      </c>
      <c r="Q461" s="73" t="str">
        <f>IF(A30stdlife="n/a","n/a",IF(Q$3&gt;(A30stdlife+$F461),(Input!P$240*(1+vanilla7)^0.5)-SUM($N461:P461),(Input!$N$240*(1+vanilla7)^0.5)/A30stdlife))</f>
        <v>n/a</v>
      </c>
      <c r="R461" s="73"/>
      <c r="S461" s="107"/>
      <c r="T461" s="107"/>
      <c r="U461" s="107"/>
      <c r="V461" s="107"/>
      <c r="W461" s="107"/>
      <c r="X461" s="107"/>
      <c r="Y461" s="107"/>
      <c r="Z461" s="107"/>
      <c r="AA461" s="223"/>
      <c r="AB461" s="223"/>
      <c r="AC461" s="223"/>
      <c r="AD461" s="223"/>
      <c r="AE461" s="223"/>
      <c r="AF461" s="223"/>
      <c r="AG461" s="223"/>
      <c r="AH461" s="223"/>
      <c r="AI461" s="223"/>
      <c r="AJ461" s="223"/>
      <c r="AK461" s="223"/>
      <c r="AL461" s="223"/>
      <c r="AM461" s="223"/>
      <c r="AN461" s="223"/>
      <c r="AO461" s="223"/>
      <c r="AP461" s="223"/>
      <c r="AQ461" s="223"/>
      <c r="AR461" s="223"/>
      <c r="AS461" s="223"/>
      <c r="AT461" s="223"/>
      <c r="AU461" s="223"/>
      <c r="AV461" s="223"/>
      <c r="AW461" s="223"/>
      <c r="AX461" s="223"/>
      <c r="AY461" s="223"/>
      <c r="AZ461" s="223"/>
      <c r="BA461" s="223"/>
      <c r="BB461" s="223"/>
      <c r="BC461" s="223"/>
      <c r="BD461" s="107"/>
      <c r="BE461" s="107"/>
      <c r="BF461" s="107"/>
      <c r="BG461" s="107"/>
      <c r="BH461" s="107"/>
      <c r="BI461" s="107"/>
      <c r="BJ461" s="107"/>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9"/>
      <c r="D462" s="26"/>
      <c r="E462" s="392"/>
      <c r="F462" s="91">
        <v>8</v>
      </c>
      <c r="G462" s="27"/>
      <c r="H462" s="149"/>
      <c r="I462" s="151"/>
      <c r="J462" s="151"/>
      <c r="K462" s="151"/>
      <c r="L462" s="151"/>
      <c r="M462" s="151"/>
      <c r="N462" s="151"/>
      <c r="O462" s="150"/>
      <c r="P462" s="73" t="str">
        <f>IF(A30stdlife="n/a","n/a",IF(P$3&gt;(A30stdlife+$F462),(Input!$O$240*(1+vanilla8)^0.5)-SUM($O462:O462),(Input!$O$240*(1+vanilla8)^0.5)/A30stdlife))</f>
        <v>n/a</v>
      </c>
      <c r="Q462" s="73" t="str">
        <f>IF(A30stdlife="n/a","n/a",IF(Q$3&gt;(A30stdlife+$F462),(Input!$O$240*(1+vanilla8)^0.5)-SUM($O462:P462),(Input!$O$240*(1+vanilla8)^0.5)/A30stdlife))</f>
        <v>n/a</v>
      </c>
      <c r="R462" s="73"/>
      <c r="S462" s="107"/>
      <c r="T462" s="107"/>
      <c r="U462" s="107"/>
      <c r="V462" s="107"/>
      <c r="W462" s="107"/>
      <c r="X462" s="107"/>
      <c r="Y462" s="107"/>
      <c r="Z462" s="107"/>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107"/>
      <c r="BE462" s="107"/>
      <c r="BF462" s="107"/>
      <c r="BG462" s="107"/>
      <c r="BH462" s="107"/>
      <c r="BI462" s="107"/>
      <c r="BJ462" s="107"/>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customHeight="1" outlineLevel="2">
      <c r="A463" s="9"/>
      <c r="B463" s="9"/>
      <c r="C463" s="9"/>
      <c r="D463" s="26"/>
      <c r="E463" s="392"/>
      <c r="F463" s="91">
        <v>9</v>
      </c>
      <c r="G463" s="27"/>
      <c r="H463" s="149"/>
      <c r="I463" s="151"/>
      <c r="J463" s="151"/>
      <c r="K463" s="151"/>
      <c r="L463" s="151"/>
      <c r="M463" s="151"/>
      <c r="N463" s="151"/>
      <c r="O463" s="151"/>
      <c r="P463" s="150"/>
      <c r="Q463" s="73" t="str">
        <f>IF(A30stdlife="n/a","n/a",IF(Q$3&gt;(A30stdlife+$F463),(Input!$P$240*(1+vanilla9)^0.5)-SUM($P463:P463),(Input!$P$240*(1+vanilla9)^0.5)/A30stdlife))</f>
        <v>n/a</v>
      </c>
      <c r="R463" s="73"/>
      <c r="S463" s="107"/>
      <c r="T463" s="107"/>
      <c r="U463" s="107"/>
      <c r="V463" s="107"/>
      <c r="W463" s="107"/>
      <c r="X463" s="107"/>
      <c r="Y463" s="107"/>
      <c r="Z463" s="107"/>
      <c r="AA463" s="223"/>
      <c r="AB463" s="223"/>
      <c r="AC463" s="223"/>
      <c r="AD463" s="223"/>
      <c r="AE463" s="223"/>
      <c r="AF463" s="223"/>
      <c r="AG463" s="223"/>
      <c r="AH463" s="223"/>
      <c r="AI463" s="223"/>
      <c r="AJ463" s="223"/>
      <c r="AK463" s="223"/>
      <c r="AL463" s="223"/>
      <c r="AM463" s="223"/>
      <c r="AN463" s="223"/>
      <c r="AO463" s="223"/>
      <c r="AP463" s="223"/>
      <c r="AQ463" s="223"/>
      <c r="AR463" s="223"/>
      <c r="AS463" s="223"/>
      <c r="AT463" s="223"/>
      <c r="AU463" s="223"/>
      <c r="AV463" s="223"/>
      <c r="AW463" s="223"/>
      <c r="AX463" s="223"/>
      <c r="AY463" s="223"/>
      <c r="AZ463" s="223"/>
      <c r="BA463" s="223"/>
      <c r="BB463" s="223"/>
      <c r="BC463" s="223"/>
      <c r="BD463" s="107"/>
      <c r="BE463" s="107"/>
      <c r="BF463" s="107"/>
      <c r="BG463" s="107"/>
      <c r="BH463" s="107"/>
      <c r="BI463" s="107"/>
      <c r="BJ463" s="107"/>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9"/>
      <c r="C464" s="9"/>
      <c r="D464" s="26"/>
      <c r="E464" s="392"/>
      <c r="F464" s="92">
        <v>10</v>
      </c>
      <c r="G464" s="27"/>
      <c r="H464" s="149"/>
      <c r="I464" s="151"/>
      <c r="J464" s="151"/>
      <c r="K464" s="151"/>
      <c r="L464" s="151"/>
      <c r="M464" s="151"/>
      <c r="N464" s="151"/>
      <c r="O464" s="151"/>
      <c r="P464" s="151"/>
      <c r="Q464" s="150"/>
      <c r="R464" s="73"/>
      <c r="S464" s="107"/>
      <c r="T464" s="107"/>
      <c r="U464" s="107"/>
      <c r="V464" s="107"/>
      <c r="W464" s="107"/>
      <c r="X464" s="107"/>
      <c r="Y464" s="107"/>
      <c r="Z464" s="107"/>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107"/>
      <c r="BE464" s="107"/>
      <c r="BF464" s="107"/>
      <c r="BG464" s="107"/>
      <c r="BH464" s="107"/>
      <c r="BI464" s="107"/>
      <c r="BJ464" s="107"/>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outlineLevel="1">
      <c r="A465" s="9"/>
      <c r="B465" s="9"/>
      <c r="C465" s="9"/>
      <c r="D465" s="279">
        <f>Asset30</f>
        <v>0</v>
      </c>
      <c r="E465" s="9"/>
      <c r="F465" s="9"/>
      <c r="G465" s="124"/>
      <c r="H465" s="165">
        <f>-SUM(H453:H464)</f>
        <v>0</v>
      </c>
      <c r="I465" s="165">
        <f>-SUM(I453:I464)</f>
        <v>0</v>
      </c>
      <c r="J465" s="165">
        <f>-SUM(J453:J464)</f>
        <v>0</v>
      </c>
      <c r="K465" s="165">
        <f>-SUM(K453:K464)</f>
        <v>0</v>
      </c>
      <c r="L465" s="165">
        <f>-SUM(L453:L464)</f>
        <v>0</v>
      </c>
      <c r="M465" s="73">
        <f>IF(COUNT($H465:L465)&gt;=Input!$W$7,0, -SUM(M453:M464))</f>
        <v>0</v>
      </c>
      <c r="N465" s="73">
        <f>IF(COUNT($H465:M465)&gt;=Input!$W$7,0, -SUM(N453:N464))</f>
        <v>0</v>
      </c>
      <c r="O465" s="73">
        <f>IF(COUNT($H465:N465)&gt;=Input!$W$7,0, -SUM(O453:O464))</f>
        <v>0</v>
      </c>
      <c r="P465" s="73">
        <f>IF(COUNT($H465:O465)&gt;=Input!$W$7,0, -SUM(P453:P464))</f>
        <v>0</v>
      </c>
      <c r="Q465" s="73">
        <f>IF(COUNT($H465:P465)&gt;=Input!$W$7,0, -SUM(Q453:Q464))</f>
        <v>0</v>
      </c>
      <c r="R465" s="71"/>
      <c r="S465" s="109"/>
      <c r="T465" s="109"/>
      <c r="U465" s="109"/>
      <c r="V465" s="109"/>
      <c r="W465" s="109"/>
      <c r="X465" s="109"/>
      <c r="Y465" s="109"/>
      <c r="Z465" s="109"/>
      <c r="AA465" s="240"/>
      <c r="AB465" s="240"/>
      <c r="AC465" s="240"/>
      <c r="AD465" s="240"/>
      <c r="AE465" s="240"/>
      <c r="AF465" s="240"/>
      <c r="AG465" s="240"/>
      <c r="AH465" s="240"/>
      <c r="AI465" s="240"/>
      <c r="AJ465" s="240"/>
      <c r="AK465" s="240"/>
      <c r="AL465" s="240"/>
      <c r="AM465" s="240"/>
      <c r="AN465" s="240"/>
      <c r="AO465" s="240"/>
      <c r="AP465" s="240"/>
      <c r="AQ465" s="240"/>
      <c r="AR465" s="240"/>
      <c r="AS465" s="240"/>
      <c r="AT465" s="240"/>
      <c r="AU465" s="240"/>
      <c r="AV465" s="240"/>
      <c r="AW465" s="240"/>
      <c r="AX465" s="240"/>
      <c r="AY465" s="240"/>
      <c r="AZ465" s="240"/>
      <c r="BA465" s="240"/>
      <c r="BB465" s="240"/>
      <c r="BC465" s="240"/>
      <c r="BD465" s="109"/>
      <c r="BE465" s="109"/>
      <c r="BF465" s="109"/>
      <c r="BG465" s="109"/>
      <c r="BH465" s="109"/>
      <c r="BI465" s="109"/>
      <c r="BJ465" s="109"/>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 r="AA466" s="204"/>
    </row>
    <row r="467" spans="1:256">
      <c r="A467" s="78"/>
      <c r="B467" s="78"/>
      <c r="C467" s="85" t="s">
        <v>95</v>
      </c>
      <c r="D467" s="78"/>
      <c r="E467" s="78"/>
      <c r="F467" s="78"/>
      <c r="G467" s="88"/>
      <c r="H467" s="120"/>
      <c r="I467" s="120"/>
      <c r="J467" s="120"/>
      <c r="K467" s="120"/>
      <c r="L467" s="120"/>
      <c r="M467" s="120"/>
      <c r="N467" s="89"/>
      <c r="O467" s="89"/>
      <c r="P467" s="89"/>
      <c r="Q467" s="89"/>
      <c r="R467" s="89"/>
      <c r="S467" s="89"/>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110"/>
      <c r="BE467" s="110"/>
      <c r="BF467" s="110"/>
      <c r="BG467" s="110"/>
      <c r="BH467" s="110"/>
      <c r="BI467" s="110"/>
      <c r="BJ467" s="110"/>
      <c r="BK467" s="12"/>
      <c r="BL467" s="12"/>
    </row>
    <row r="468" spans="1:256">
      <c r="A468" s="9"/>
      <c r="B468" s="12"/>
      <c r="C468" s="17"/>
      <c r="D468" s="12"/>
      <c r="E468" s="12"/>
      <c r="F468" s="12"/>
      <c r="G468" s="117"/>
      <c r="H468" s="121"/>
      <c r="I468" s="121"/>
      <c r="J468" s="121"/>
      <c r="K468" s="121"/>
      <c r="L468" s="121"/>
      <c r="M468" s="121"/>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110"/>
      <c r="BE468" s="110"/>
      <c r="BF468" s="110"/>
      <c r="BG468" s="110"/>
      <c r="BH468" s="110"/>
      <c r="BI468" s="110"/>
      <c r="BJ468" s="110"/>
      <c r="BK468" s="12"/>
      <c r="BL468" s="12"/>
    </row>
    <row r="469" spans="1:256">
      <c r="A469" s="9"/>
      <c r="B469" s="9"/>
      <c r="C469" s="44" t="s">
        <v>85</v>
      </c>
      <c r="D469" s="9"/>
      <c r="E469" s="9"/>
      <c r="F469" s="9"/>
      <c r="G469" s="318">
        <f>SUM(G470:G499)</f>
        <v>850.48215020415546</v>
      </c>
      <c r="H469" s="319">
        <f>SUM(H470:H499)</f>
        <v>951.44464304669577</v>
      </c>
      <c r="I469" s="319">
        <f t="shared" ref="I469:Q469" si="4">SUM(I470:I499)</f>
        <v>1068.6084014067494</v>
      </c>
      <c r="J469" s="319">
        <f t="shared" si="4"/>
        <v>1170.92621750375</v>
      </c>
      <c r="K469" s="319">
        <f t="shared" si="4"/>
        <v>1270.9804875868954</v>
      </c>
      <c r="L469" s="319">
        <f t="shared" si="4"/>
        <v>1335.4954732894739</v>
      </c>
      <c r="M469" s="319">
        <f t="shared" si="4"/>
        <v>1397.9032811376292</v>
      </c>
      <c r="N469" s="319">
        <f t="shared" si="4"/>
        <v>0</v>
      </c>
      <c r="O469" s="319">
        <f t="shared" si="4"/>
        <v>0</v>
      </c>
      <c r="P469" s="319">
        <f t="shared" si="4"/>
        <v>0</v>
      </c>
      <c r="Q469" s="319">
        <f t="shared" si="4"/>
        <v>0</v>
      </c>
      <c r="R469" s="319">
        <f>SUM(R470:R499)</f>
        <v>0</v>
      </c>
      <c r="S469" s="103"/>
      <c r="T469" s="103"/>
      <c r="U469" s="103"/>
      <c r="V469" s="103"/>
      <c r="W469" s="103"/>
      <c r="X469" s="103"/>
      <c r="Y469" s="103"/>
      <c r="Z469" s="103"/>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103"/>
      <c r="BE469" s="103"/>
      <c r="BF469" s="103"/>
      <c r="BG469" s="103"/>
      <c r="BH469" s="103"/>
      <c r="BI469" s="103"/>
      <c r="BJ469" s="103"/>
      <c r="BK469" s="12"/>
      <c r="BL469" s="12"/>
    </row>
    <row r="470" spans="1:256" ht="12.75" hidden="1" customHeight="1" outlineLevel="1">
      <c r="A470" s="9"/>
      <c r="B470" s="9"/>
      <c r="C470" s="9"/>
      <c r="D470" s="278" t="str">
        <f>Asset1</f>
        <v>Transmission Lines and Cables</v>
      </c>
      <c r="E470" s="9"/>
      <c r="F470" s="9"/>
      <c r="G470" s="207">
        <f>Input!J7</f>
        <v>301.73003727544352</v>
      </c>
      <c r="H470" s="114">
        <f>G470+G502+G534+G566+G598+G630</f>
        <v>293.69509346172714</v>
      </c>
      <c r="I470" s="114">
        <f t="shared" ref="I470:M479" si="5">H470+H502+H534</f>
        <v>287.87338874353077</v>
      </c>
      <c r="J470" s="114">
        <f t="shared" si="5"/>
        <v>282.75218662646068</v>
      </c>
      <c r="K470" s="114">
        <f t="shared" si="5"/>
        <v>272.02514885797677</v>
      </c>
      <c r="L470" s="114">
        <f t="shared" si="5"/>
        <v>263.1501368516461</v>
      </c>
      <c r="M470" s="114">
        <f t="shared" si="5"/>
        <v>253.89775910501345</v>
      </c>
      <c r="N470" s="114">
        <f>IF(COUNT($H470:M470)&gt;Input!$W$7,0, M470+M502+M534)</f>
        <v>0</v>
      </c>
      <c r="O470" s="114">
        <f>IF(COUNT($H470:N470)&gt;Input!$W$7,0, N470+N502+N534)</f>
        <v>0</v>
      </c>
      <c r="P470" s="114">
        <f>IF(COUNT($H470:O470)&gt;Input!$W$7,0, O470+O502+O534)</f>
        <v>0</v>
      </c>
      <c r="Q470" s="114">
        <f>IF(COUNT($H470:P470)&gt;Input!$W$7,0, P470+P502+P534)</f>
        <v>0</v>
      </c>
      <c r="R470" s="114">
        <f>IF(COUNT($H470:Q470)&gt;Input!$W$7,0, Q470+Q502+Q534)</f>
        <v>0</v>
      </c>
      <c r="S470" s="9"/>
      <c r="T470" s="9"/>
      <c r="U470" s="9"/>
      <c r="V470" s="9"/>
      <c r="W470" s="9"/>
      <c r="X470" s="9"/>
      <c r="Y470" s="9"/>
      <c r="Z470" s="9"/>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9"/>
      <c r="BE470" s="9"/>
      <c r="BF470" s="9"/>
      <c r="BG470" s="9"/>
      <c r="BH470" s="9"/>
      <c r="BI470" s="9"/>
      <c r="BJ470" s="9"/>
      <c r="BK470" s="9"/>
      <c r="BL470" s="9"/>
    </row>
    <row r="471" spans="1:256" ht="12.75" hidden="1" customHeight="1" outlineLevel="1">
      <c r="A471" s="9"/>
      <c r="B471" s="9"/>
      <c r="C471" s="44"/>
      <c r="D471" s="278" t="str">
        <f>Asset2</f>
        <v>Transmission Substations</v>
      </c>
      <c r="E471" s="9"/>
      <c r="F471" s="9"/>
      <c r="G471" s="207">
        <f>Input!J8</f>
        <v>360.43130612945083</v>
      </c>
      <c r="H471" s="114">
        <f t="shared" ref="H471:H490" si="6">G471+G503+G535+G567+G599+G631</f>
        <v>391.58650968027865</v>
      </c>
      <c r="I471" s="114">
        <f t="shared" si="5"/>
        <v>388.64400108973086</v>
      </c>
      <c r="J471" s="114">
        <f t="shared" si="5"/>
        <v>386.37607214518869</v>
      </c>
      <c r="K471" s="114">
        <f t="shared" si="5"/>
        <v>377.35791621929479</v>
      </c>
      <c r="L471" s="114">
        <f t="shared" si="5"/>
        <v>371.4206900535936</v>
      </c>
      <c r="M471" s="114">
        <f t="shared" si="5"/>
        <v>364.94068950555425</v>
      </c>
      <c r="N471" s="114">
        <f>IF(COUNT($H471:M471)&gt;Input!$W$7,0, M471+M503+M535)</f>
        <v>0</v>
      </c>
      <c r="O471" s="114">
        <f>IF(COUNT($H471:N471)&gt;Input!$W$7,0, N471+N503+N535)</f>
        <v>0</v>
      </c>
      <c r="P471" s="114">
        <f>IF(COUNT($H471:O471)&gt;Input!$W$7,0, O471+O503+O535)</f>
        <v>0</v>
      </c>
      <c r="Q471" s="114">
        <f>IF(COUNT($H471:P471)&gt;Input!$W$7,0, P471+P503+P535)</f>
        <v>0</v>
      </c>
      <c r="R471" s="114">
        <f>IF(COUNT($H471:Q471)&gt;Input!$W$7,0, Q471+Q503+Q535)</f>
        <v>0</v>
      </c>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4"/>
      <c r="BE471" s="104"/>
      <c r="BF471" s="104"/>
      <c r="BG471" s="104"/>
      <c r="BH471" s="104"/>
      <c r="BI471" s="104"/>
      <c r="BJ471" s="104"/>
      <c r="BK471" s="12"/>
      <c r="BL471" s="12"/>
    </row>
    <row r="472" spans="1:256" ht="12.75" hidden="1" customHeight="1" outlineLevel="1">
      <c r="A472" s="9"/>
      <c r="B472" s="9"/>
      <c r="C472" s="44"/>
      <c r="D472" s="278" t="str">
        <f>Asset3</f>
        <v>Protection and Control</v>
      </c>
      <c r="E472" s="9"/>
      <c r="F472" s="9"/>
      <c r="G472" s="207">
        <f>Input!J9</f>
        <v>38.883000464697361</v>
      </c>
      <c r="H472" s="114">
        <f t="shared" si="6"/>
        <v>49.846266797470605</v>
      </c>
      <c r="I472" s="114">
        <f t="shared" si="5"/>
        <v>45.336514494626712</v>
      </c>
      <c r="J472" s="114">
        <f t="shared" si="5"/>
        <v>40.68021201988288</v>
      </c>
      <c r="K472" s="114">
        <f t="shared" si="5"/>
        <v>35.002808287110007</v>
      </c>
      <c r="L472" s="114">
        <f t="shared" si="5"/>
        <v>29.456550119637445</v>
      </c>
      <c r="M472" s="114">
        <f t="shared" si="5"/>
        <v>23.610043727980802</v>
      </c>
      <c r="N472" s="114">
        <f>IF(COUNT($H472:M472)&gt;Input!$W$7,0, M472+M504+M536)</f>
        <v>0</v>
      </c>
      <c r="O472" s="114">
        <f>IF(COUNT($H472:N472)&gt;Input!$W$7,0, N472+N504+N536)</f>
        <v>0</v>
      </c>
      <c r="P472" s="114">
        <f>IF(COUNT($H472:O472)&gt;Input!$W$7,0, O472+O504+O536)</f>
        <v>0</v>
      </c>
      <c r="Q472" s="114">
        <f>IF(COUNT($H472:P472)&gt;Input!$W$7,0, P472+P504+P536)</f>
        <v>0</v>
      </c>
      <c r="R472" s="114">
        <f>IF(COUNT($H472:Q472)&gt;Input!$W$7,0, Q472+Q504+Q536)</f>
        <v>0</v>
      </c>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4"/>
      <c r="BE472" s="104"/>
      <c r="BF472" s="104"/>
      <c r="BG472" s="104"/>
      <c r="BH472" s="104"/>
      <c r="BI472" s="104"/>
      <c r="BJ472" s="104"/>
      <c r="BK472" s="12"/>
      <c r="BL472" s="12"/>
    </row>
    <row r="473" spans="1:256" ht="12.75" hidden="1" customHeight="1" outlineLevel="1">
      <c r="A473" s="9"/>
      <c r="B473" s="9"/>
      <c r="C473" s="44"/>
      <c r="D473" s="278" t="str">
        <f>Asset4</f>
        <v>Refurbishment</v>
      </c>
      <c r="E473" s="9"/>
      <c r="F473" s="9"/>
      <c r="G473" s="207">
        <f>Input!J10</f>
        <v>44.713904308731671</v>
      </c>
      <c r="H473" s="114">
        <f t="shared" si="6"/>
        <v>22.665124185608324</v>
      </c>
      <c r="I473" s="114">
        <f t="shared" si="5"/>
        <v>21.00098104965161</v>
      </c>
      <c r="J473" s="114">
        <f t="shared" si="5"/>
        <v>19.315315214752168</v>
      </c>
      <c r="K473" s="114">
        <f t="shared" si="5"/>
        <v>17.156165168412731</v>
      </c>
      <c r="L473" s="114">
        <f t="shared" si="5"/>
        <v>15.081212740375012</v>
      </c>
      <c r="M473" s="114">
        <f t="shared" si="5"/>
        <v>12.891287351088824</v>
      </c>
      <c r="N473" s="114">
        <f>IF(COUNT($H473:M473)&gt;Input!$W$7,0, M473+M505+M537)</f>
        <v>0</v>
      </c>
      <c r="O473" s="114">
        <f>IF(COUNT($H473:N473)&gt;Input!$W$7,0, N473+N505+N537)</f>
        <v>0</v>
      </c>
      <c r="P473" s="114">
        <f>IF(COUNT($H473:O473)&gt;Input!$W$7,0, O473+O505+O537)</f>
        <v>0</v>
      </c>
      <c r="Q473" s="114">
        <f>IF(COUNT($H473:P473)&gt;Input!$W$7,0, P473+P505+P537)</f>
        <v>0</v>
      </c>
      <c r="R473" s="114">
        <f>IF(COUNT($H473:Q473)&gt;Input!$W$7,0, Q473+Q505+Q537)</f>
        <v>0</v>
      </c>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4"/>
      <c r="BE473" s="104"/>
      <c r="BF473" s="104"/>
      <c r="BG473" s="104"/>
      <c r="BH473" s="104"/>
      <c r="BI473" s="104"/>
      <c r="BJ473" s="104"/>
      <c r="BK473" s="12"/>
      <c r="BL473" s="12"/>
    </row>
    <row r="474" spans="1:256" ht="12.75" hidden="1" customHeight="1" outlineLevel="1">
      <c r="A474" s="9"/>
      <c r="B474" s="9"/>
      <c r="C474" s="44"/>
      <c r="D474" s="278" t="str">
        <f>Asset5</f>
        <v>Other</v>
      </c>
      <c r="E474" s="9"/>
      <c r="F474" s="9"/>
      <c r="G474" s="207">
        <f>Input!J11</f>
        <v>12.072309662925591</v>
      </c>
      <c r="H474" s="114">
        <f t="shared" si="6"/>
        <v>9.9493177652391811</v>
      </c>
      <c r="I474" s="114">
        <f t="shared" si="5"/>
        <v>8.3032668906730329</v>
      </c>
      <c r="J474" s="114">
        <f t="shared" si="5"/>
        <v>6.5908085161051186</v>
      </c>
      <c r="K474" s="114">
        <f t="shared" si="5"/>
        <v>4.6397051724745184</v>
      </c>
      <c r="L474" s="114">
        <f t="shared" si="5"/>
        <v>2.6676999234047383</v>
      </c>
      <c r="M474" s="114">
        <f t="shared" si="5"/>
        <v>0.59402332958738846</v>
      </c>
      <c r="N474" s="114">
        <f>IF(COUNT($H474:M474)&gt;Input!$W$7,0, M474+M506+M538)</f>
        <v>0</v>
      </c>
      <c r="O474" s="114">
        <f>IF(COUNT($H474:N474)&gt;Input!$W$7,0, N474+N506+N538)</f>
        <v>0</v>
      </c>
      <c r="P474" s="114">
        <f>IF(COUNT($H474:O474)&gt;Input!$W$7,0, O474+O506+O538)</f>
        <v>0</v>
      </c>
      <c r="Q474" s="114">
        <f>IF(COUNT($H474:P474)&gt;Input!$W$7,0, P474+P506+P538)</f>
        <v>0</v>
      </c>
      <c r="R474" s="114">
        <f>IF(COUNT($H474:Q474)&gt;Input!$W$7,0, Q474+Q506+Q538)</f>
        <v>0</v>
      </c>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4"/>
      <c r="BE474" s="104"/>
      <c r="BF474" s="104"/>
      <c r="BG474" s="104"/>
      <c r="BH474" s="104"/>
      <c r="BI474" s="104"/>
      <c r="BJ474" s="104"/>
      <c r="BK474" s="12"/>
      <c r="BL474" s="12"/>
    </row>
    <row r="475" spans="1:256" ht="12.75" hidden="1" customHeight="1" outlineLevel="1">
      <c r="A475" s="9"/>
      <c r="B475" s="9"/>
      <c r="C475" s="44"/>
      <c r="D475" s="278" t="str">
        <f>Asset6</f>
        <v>Other - IT</v>
      </c>
      <c r="E475" s="9"/>
      <c r="F475" s="9"/>
      <c r="G475" s="207">
        <f>Input!J12</f>
        <v>0.58752110984938422</v>
      </c>
      <c r="H475" s="114">
        <f t="shared" si="6"/>
        <v>23.121263449639123</v>
      </c>
      <c r="I475" s="114">
        <f t="shared" si="5"/>
        <v>11.943298119232832</v>
      </c>
      <c r="J475" s="114">
        <f t="shared" si="5"/>
        <v>0.14829966419534024</v>
      </c>
      <c r="K475" s="114">
        <f t="shared" si="5"/>
        <v>0.15246349858157551</v>
      </c>
      <c r="L475" s="114">
        <f t="shared" si="5"/>
        <v>0.15812151212646913</v>
      </c>
      <c r="M475" s="114">
        <f t="shared" si="5"/>
        <v>0.16396327198543317</v>
      </c>
      <c r="N475" s="114">
        <f>IF(COUNT($H475:M475)&gt;Input!$W$7,0, M475+M507+M539)</f>
        <v>0</v>
      </c>
      <c r="O475" s="114">
        <f>IF(COUNT($H475:N475)&gt;Input!$W$7,0, N475+N507+N539)</f>
        <v>0</v>
      </c>
      <c r="P475" s="114">
        <f>IF(COUNT($H475:O475)&gt;Input!$W$7,0, O475+O507+O539)</f>
        <v>0</v>
      </c>
      <c r="Q475" s="114">
        <f>IF(COUNT($H475:P475)&gt;Input!$W$7,0, P475+P507+P539)</f>
        <v>0</v>
      </c>
      <c r="R475" s="114">
        <f>IF(COUNT($H475:Q475)&gt;Input!$W$7,0, Q475+Q507+Q539)</f>
        <v>0</v>
      </c>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4"/>
      <c r="BE475" s="104"/>
      <c r="BF475" s="104"/>
      <c r="BG475" s="104"/>
      <c r="BH475" s="104"/>
      <c r="BI475" s="104"/>
      <c r="BJ475" s="104"/>
      <c r="BK475" s="12"/>
      <c r="BL475" s="12"/>
    </row>
    <row r="476" spans="1:256" ht="12.75" hidden="1" customHeight="1" outlineLevel="1">
      <c r="A476" s="9"/>
      <c r="B476" s="9"/>
      <c r="C476" s="44"/>
      <c r="D476" s="278" t="str">
        <f>Asset7</f>
        <v>Other - General</v>
      </c>
      <c r="E476" s="9"/>
      <c r="F476" s="9"/>
      <c r="G476" s="207">
        <f>Input!J13</f>
        <v>2.5195490511140073</v>
      </c>
      <c r="H476" s="114">
        <f t="shared" si="6"/>
        <v>-3.9892322403421208</v>
      </c>
      <c r="I476" s="114">
        <f t="shared" si="5"/>
        <v>-2.7419079413580656</v>
      </c>
      <c r="J476" s="114">
        <f t="shared" si="5"/>
        <v>-1.4314168474623092</v>
      </c>
      <c r="K476" s="114">
        <f t="shared" si="5"/>
        <v>-5.4815483001668941E-3</v>
      </c>
      <c r="L476" s="114">
        <f t="shared" si="5"/>
        <v>-5.618724183554454E-3</v>
      </c>
      <c r="M476" s="114">
        <f t="shared" si="5"/>
        <v>-5.7591922881433154E-3</v>
      </c>
      <c r="N476" s="114">
        <f>IF(COUNT($H476:M476)&gt;Input!$W$7,0, M476+M508+M540)</f>
        <v>0</v>
      </c>
      <c r="O476" s="114">
        <f>IF(COUNT($H476:N476)&gt;Input!$W$7,0, N476+N508+N540)</f>
        <v>0</v>
      </c>
      <c r="P476" s="114">
        <f>IF(COUNT($H476:O476)&gt;Input!$W$7,0, O476+O508+O540)</f>
        <v>0</v>
      </c>
      <c r="Q476" s="114">
        <f>IF(COUNT($H476:P476)&gt;Input!$W$7,0, P476+P508+P540)</f>
        <v>0</v>
      </c>
      <c r="R476" s="114">
        <f>IF(COUNT($H476:Q476)&gt;Input!$W$7,0, Q476+Q508+Q540)</f>
        <v>0</v>
      </c>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4"/>
      <c r="BE476" s="104"/>
      <c r="BF476" s="104"/>
      <c r="BG476" s="104"/>
      <c r="BH476" s="104"/>
      <c r="BI476" s="104"/>
      <c r="BJ476" s="104"/>
      <c r="BK476" s="12"/>
      <c r="BL476" s="12"/>
    </row>
    <row r="477" spans="1:256" ht="12.75" hidden="1" customHeight="1" outlineLevel="1">
      <c r="A477" s="9"/>
      <c r="B477" s="9"/>
      <c r="C477" s="44"/>
      <c r="D477" s="278" t="str">
        <f>Asset8</f>
        <v>Other - Buildings</v>
      </c>
      <c r="E477" s="9"/>
      <c r="F477" s="9"/>
      <c r="G477" s="207">
        <f>Input!J14</f>
        <v>6.5807877703110798</v>
      </c>
      <c r="H477" s="114">
        <f t="shared" si="6"/>
        <v>21.253631705639343</v>
      </c>
      <c r="I477" s="114">
        <f t="shared" si="5"/>
        <v>21.266544488989943</v>
      </c>
      <c r="J477" s="114">
        <f t="shared" si="5"/>
        <v>21.357163973964497</v>
      </c>
      <c r="K477" s="114">
        <f t="shared" si="5"/>
        <v>21.056716844821594</v>
      </c>
      <c r="L477" s="114">
        <f t="shared" si="5"/>
        <v>20.934663892253397</v>
      </c>
      <c r="M477" s="114">
        <f t="shared" si="5"/>
        <v>20.792791484354492</v>
      </c>
      <c r="N477" s="114">
        <f>IF(COUNT($H477:M477)&gt;Input!$W$7,0, M477+M509+M541)</f>
        <v>0</v>
      </c>
      <c r="O477" s="114">
        <f>IF(COUNT($H477:N477)&gt;Input!$W$7,0, N477+N509+N541)</f>
        <v>0</v>
      </c>
      <c r="P477" s="114">
        <f>IF(COUNT($H477:O477)&gt;Input!$W$7,0, O477+O509+O541)</f>
        <v>0</v>
      </c>
      <c r="Q477" s="114">
        <f>IF(COUNT($H477:P477)&gt;Input!$W$7,0, P477+P509+P541)</f>
        <v>0</v>
      </c>
      <c r="R477" s="114">
        <f>IF(COUNT($H477:Q477)&gt;Input!$W$7,0, Q477+Q509+Q541)</f>
        <v>0</v>
      </c>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4"/>
      <c r="BE477" s="104"/>
      <c r="BF477" s="104"/>
      <c r="BG477" s="104"/>
      <c r="BH477" s="104"/>
      <c r="BI477" s="104"/>
      <c r="BJ477" s="104"/>
      <c r="BK477" s="12"/>
      <c r="BL477" s="12"/>
    </row>
    <row r="478" spans="1:256" ht="12.75" hidden="1" customHeight="1" outlineLevel="1">
      <c r="A478" s="9"/>
      <c r="B478" s="9"/>
      <c r="C478" s="44"/>
      <c r="D478" s="278" t="str">
        <f>Asset9</f>
        <v>Land and Easements</v>
      </c>
      <c r="E478" s="9"/>
      <c r="F478" s="9"/>
      <c r="G478" s="207">
        <f>Input!J15</f>
        <v>82.96373443163202</v>
      </c>
      <c r="H478" s="114">
        <f t="shared" si="6"/>
        <v>88.002304241435738</v>
      </c>
      <c r="I478" s="114">
        <f t="shared" si="5"/>
        <v>90.543887035412212</v>
      </c>
      <c r="J478" s="114">
        <f t="shared" si="5"/>
        <v>93.562016603259281</v>
      </c>
      <c r="K478" s="114">
        <f t="shared" si="5"/>
        <v>95.044606566412241</v>
      </c>
      <c r="L478" s="114">
        <f t="shared" si="5"/>
        <v>97.423100224230367</v>
      </c>
      <c r="M478" s="114">
        <f t="shared" si="5"/>
        <v>99.858677729836131</v>
      </c>
      <c r="N478" s="114">
        <f>IF(COUNT($H478:M478)&gt;Input!$W$7,0, M478+M510+M542)</f>
        <v>0</v>
      </c>
      <c r="O478" s="114">
        <f>IF(COUNT($H478:N478)&gt;Input!$W$7,0, N478+N510+N542)</f>
        <v>0</v>
      </c>
      <c r="P478" s="114">
        <f>IF(COUNT($H478:O478)&gt;Input!$W$7,0, O478+O510+O542)</f>
        <v>0</v>
      </c>
      <c r="Q478" s="114">
        <f>IF(COUNT($H478:P478)&gt;Input!$W$7,0, P478+P510+P542)</f>
        <v>0</v>
      </c>
      <c r="R478" s="114">
        <f>IF(COUNT($H478:Q478)&gt;Input!$W$7,0, Q478+Q510+Q542)</f>
        <v>0</v>
      </c>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4"/>
      <c r="BE478" s="104"/>
      <c r="BF478" s="104"/>
      <c r="BG478" s="104"/>
      <c r="BH478" s="104"/>
      <c r="BI478" s="104"/>
      <c r="BJ478" s="104"/>
      <c r="BK478" s="12"/>
      <c r="BL478" s="12"/>
    </row>
    <row r="479" spans="1:256" ht="12.75" hidden="1" customHeight="1" outlineLevel="1">
      <c r="A479" s="9"/>
      <c r="B479" s="9"/>
      <c r="C479" s="44"/>
      <c r="D479" s="278" t="str">
        <f>Asset10</f>
        <v>Transmission line assets - long life (60)</v>
      </c>
      <c r="E479" s="9"/>
      <c r="F479" s="9"/>
      <c r="G479" s="207">
        <f>Input!J16</f>
        <v>0</v>
      </c>
      <c r="H479" s="114">
        <f t="shared" si="6"/>
        <v>27.66680798284586</v>
      </c>
      <c r="I479" s="114">
        <f t="shared" si="5"/>
        <v>92.310585960736006</v>
      </c>
      <c r="J479" s="114">
        <f t="shared" si="5"/>
        <v>125.74070397631078</v>
      </c>
      <c r="K479" s="114">
        <f t="shared" si="5"/>
        <v>143.7798761171029</v>
      </c>
      <c r="L479" s="114">
        <f t="shared" si="5"/>
        <v>165.81637745715099</v>
      </c>
      <c r="M479" s="114">
        <f t="shared" si="5"/>
        <v>192.78455477053353</v>
      </c>
      <c r="N479" s="114">
        <f>IF(COUNT($H479:M479)&gt;Input!$W$7,0, M479+M511+M543)</f>
        <v>0</v>
      </c>
      <c r="O479" s="114">
        <f>IF(COUNT($H479:N479)&gt;Input!$W$7,0, N479+N511+N543)</f>
        <v>0</v>
      </c>
      <c r="P479" s="114">
        <f>IF(COUNT($H479:O479)&gt;Input!$W$7,0, O479+O511+O543)</f>
        <v>0</v>
      </c>
      <c r="Q479" s="114">
        <f>IF(COUNT($H479:P479)&gt;Input!$W$7,0, P479+P511+P543)</f>
        <v>0</v>
      </c>
      <c r="R479" s="114">
        <f>IF(COUNT($H479:Q479)&gt;Input!$W$7,0, Q479+Q511+Q543)</f>
        <v>0</v>
      </c>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4"/>
      <c r="BE479" s="104"/>
      <c r="BF479" s="104"/>
      <c r="BG479" s="104"/>
      <c r="BH479" s="104"/>
      <c r="BI479" s="104"/>
      <c r="BJ479" s="104"/>
      <c r="BK479" s="12"/>
      <c r="BL479" s="12"/>
    </row>
    <row r="480" spans="1:256" ht="12.75" hidden="1" customHeight="1" outlineLevel="1">
      <c r="A480" s="9"/>
      <c r="B480" s="9"/>
      <c r="C480" s="44"/>
      <c r="D480" s="278" t="str">
        <f>Asset11</f>
        <v>Transmission line assets - medium life (45)</v>
      </c>
      <c r="E480" s="9"/>
      <c r="F480" s="9"/>
      <c r="G480" s="207">
        <f>Input!J17</f>
        <v>0</v>
      </c>
      <c r="H480" s="114">
        <f t="shared" si="6"/>
        <v>0.7908975054500671</v>
      </c>
      <c r="I480" s="114">
        <f t="shared" ref="I480:M489" si="7">H480+H512+H544</f>
        <v>1.5493988269492391</v>
      </c>
      <c r="J480" s="114">
        <f t="shared" si="7"/>
        <v>6.8773371001882975</v>
      </c>
      <c r="K480" s="114">
        <f t="shared" si="7"/>
        <v>20.498044690447816</v>
      </c>
      <c r="L480" s="114">
        <f t="shared" si="7"/>
        <v>22.463561847458177</v>
      </c>
      <c r="M480" s="114">
        <f t="shared" si="7"/>
        <v>23.186994110150376</v>
      </c>
      <c r="N480" s="114">
        <f>IF(COUNT($H480:M480)&gt;Input!$W$7,0, M480+M512+M544)</f>
        <v>0</v>
      </c>
      <c r="O480" s="114">
        <f>IF(COUNT($H480:N480)&gt;Input!$W$7,0, N480+N512+N544)</f>
        <v>0</v>
      </c>
      <c r="P480" s="114">
        <f>IF(COUNT($H480:O480)&gt;Input!$W$7,0, O480+O512+O544)</f>
        <v>0</v>
      </c>
      <c r="Q480" s="114">
        <f>IF(COUNT($H480:P480)&gt;Input!$W$7,0, P480+P512+P544)</f>
        <v>0</v>
      </c>
      <c r="R480" s="114">
        <f>IF(COUNT($H480:Q480)&gt;Input!$W$7,0, Q480+Q512+Q544)</f>
        <v>0</v>
      </c>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4"/>
      <c r="BE480" s="104"/>
      <c r="BF480" s="104"/>
      <c r="BG480" s="104"/>
      <c r="BH480" s="104"/>
      <c r="BI480" s="104"/>
      <c r="BJ480" s="104"/>
      <c r="BK480" s="12"/>
      <c r="BL480" s="12"/>
    </row>
    <row r="481" spans="1:64" ht="12.75" hidden="1" customHeight="1" outlineLevel="1">
      <c r="A481" s="9"/>
      <c r="B481" s="9"/>
      <c r="C481" s="44"/>
      <c r="D481" s="278" t="str">
        <f>Asset12</f>
        <v>Transmission line assets - short life (10)</v>
      </c>
      <c r="E481" s="9"/>
      <c r="F481" s="9"/>
      <c r="G481" s="207">
        <f>Input!J18</f>
        <v>0</v>
      </c>
      <c r="H481" s="114">
        <f t="shared" si="6"/>
        <v>2.0824479126873228</v>
      </c>
      <c r="I481" s="114">
        <f t="shared" si="7"/>
        <v>6.8718305602559902</v>
      </c>
      <c r="J481" s="114">
        <f t="shared" si="7"/>
        <v>9.5580513455797362</v>
      </c>
      <c r="K481" s="114">
        <f t="shared" si="7"/>
        <v>11.058212376226157</v>
      </c>
      <c r="L481" s="114">
        <f t="shared" si="7"/>
        <v>13.33676514439874</v>
      </c>
      <c r="M481" s="114">
        <f t="shared" si="7"/>
        <v>15.7982602622612</v>
      </c>
      <c r="N481" s="114">
        <f>IF(COUNT($H481:M481)&gt;Input!$W$7,0, M481+M513+M545)</f>
        <v>0</v>
      </c>
      <c r="O481" s="114">
        <f>IF(COUNT($H481:N481)&gt;Input!$W$7,0, N481+N513+N545)</f>
        <v>0</v>
      </c>
      <c r="P481" s="114">
        <f>IF(COUNT($H481:O481)&gt;Input!$W$7,0, O481+O513+O545)</f>
        <v>0</v>
      </c>
      <c r="Q481" s="114">
        <f>IF(COUNT($H481:P481)&gt;Input!$W$7,0, P481+P513+P545)</f>
        <v>0</v>
      </c>
      <c r="R481" s="114">
        <f>IF(COUNT($H481:Q481)&gt;Input!$W$7,0, Q481+Q513+Q545)</f>
        <v>0</v>
      </c>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4"/>
      <c r="BE481" s="104"/>
      <c r="BF481" s="104"/>
      <c r="BG481" s="104"/>
      <c r="BH481" s="104"/>
      <c r="BI481" s="104"/>
      <c r="BJ481" s="104"/>
      <c r="BK481" s="12"/>
      <c r="BL481" s="12"/>
    </row>
    <row r="482" spans="1:64" ht="12.75" hidden="1" customHeight="1" outlineLevel="1">
      <c r="A482" s="9"/>
      <c r="B482" s="9"/>
      <c r="C482" s="44"/>
      <c r="D482" s="278" t="str">
        <f>Asset13</f>
        <v>Substation assets - long life (60)</v>
      </c>
      <c r="E482" s="9"/>
      <c r="F482" s="9"/>
      <c r="G482" s="207">
        <f>Input!J19</f>
        <v>0</v>
      </c>
      <c r="H482" s="114">
        <f t="shared" si="6"/>
        <v>3.63820723960978</v>
      </c>
      <c r="I482" s="114">
        <f t="shared" si="7"/>
        <v>12.960044613844756</v>
      </c>
      <c r="J482" s="114">
        <f t="shared" si="7"/>
        <v>26.366942432017616</v>
      </c>
      <c r="K482" s="114">
        <f t="shared" si="7"/>
        <v>41.683337411307967</v>
      </c>
      <c r="L482" s="114">
        <f t="shared" si="7"/>
        <v>52.879187878577319</v>
      </c>
      <c r="M482" s="114">
        <f t="shared" si="7"/>
        <v>64.677306625001549</v>
      </c>
      <c r="N482" s="114">
        <f>IF(COUNT($H482:M482)&gt;Input!$W$7,0, M482+M514+M546)</f>
        <v>0</v>
      </c>
      <c r="O482" s="114">
        <f>IF(COUNT($H482:N482)&gt;Input!$W$7,0, N482+N514+N546)</f>
        <v>0</v>
      </c>
      <c r="P482" s="114">
        <f>IF(COUNT($H482:O482)&gt;Input!$W$7,0, O482+O514+O546)</f>
        <v>0</v>
      </c>
      <c r="Q482" s="114">
        <f>IF(COUNT($H482:P482)&gt;Input!$W$7,0, P482+P514+P546)</f>
        <v>0</v>
      </c>
      <c r="R482" s="114">
        <f>IF(COUNT($H482:Q482)&gt;Input!$W$7,0, Q482+Q514+Q546)</f>
        <v>0</v>
      </c>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4"/>
      <c r="BE482" s="104"/>
      <c r="BF482" s="104"/>
      <c r="BG482" s="104"/>
      <c r="BH482" s="104"/>
      <c r="BI482" s="104"/>
      <c r="BJ482" s="104"/>
      <c r="BK482" s="12"/>
      <c r="BL482" s="12"/>
    </row>
    <row r="483" spans="1:64" ht="12.75" hidden="1" customHeight="1" outlineLevel="1">
      <c r="A483" s="9"/>
      <c r="B483" s="9"/>
      <c r="C483" s="44"/>
      <c r="D483" s="278" t="str">
        <f>Asset14</f>
        <v>Substation assets - medium life (45)</v>
      </c>
      <c r="E483" s="9"/>
      <c r="F483" s="9"/>
      <c r="G483" s="207">
        <f>Input!J20</f>
        <v>0</v>
      </c>
      <c r="H483" s="114">
        <f t="shared" si="6"/>
        <v>9.1604921113680948</v>
      </c>
      <c r="I483" s="114">
        <f t="shared" si="7"/>
        <v>36.518344103139718</v>
      </c>
      <c r="J483" s="114">
        <f t="shared" si="7"/>
        <v>72.538453238452377</v>
      </c>
      <c r="K483" s="114">
        <f t="shared" si="7"/>
        <v>108.86591418495497</v>
      </c>
      <c r="L483" s="114">
        <f t="shared" si="7"/>
        <v>137.6748436446828</v>
      </c>
      <c r="M483" s="114">
        <f t="shared" si="7"/>
        <v>161.95331481276489</v>
      </c>
      <c r="N483" s="114">
        <f>IF(COUNT($H483:M483)&gt;Input!$W$7,0, M483+M515+M547)</f>
        <v>0</v>
      </c>
      <c r="O483" s="114">
        <f>IF(COUNT($H483:N483)&gt;Input!$W$7,0, N483+N515+N547)</f>
        <v>0</v>
      </c>
      <c r="P483" s="114">
        <f>IF(COUNT($H483:O483)&gt;Input!$W$7,0, O483+O515+O547)</f>
        <v>0</v>
      </c>
      <c r="Q483" s="114">
        <f>IF(COUNT($H483:P483)&gt;Input!$W$7,0, P483+P515+P547)</f>
        <v>0</v>
      </c>
      <c r="R483" s="114">
        <f>IF(COUNT($H483:Q483)&gt;Input!$W$7,0, Q483+Q515+Q547)</f>
        <v>0</v>
      </c>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4"/>
      <c r="BE483" s="104"/>
      <c r="BF483" s="104"/>
      <c r="BG483" s="104"/>
      <c r="BH483" s="104"/>
      <c r="BI483" s="104"/>
      <c r="BJ483" s="104"/>
      <c r="BK483" s="12"/>
      <c r="BL483" s="12"/>
    </row>
    <row r="484" spans="1:64" ht="12.75" hidden="1" customHeight="1" outlineLevel="1">
      <c r="A484" s="9"/>
      <c r="B484" s="9"/>
      <c r="C484" s="44"/>
      <c r="D484" s="278" t="str">
        <f>Asset15</f>
        <v>Substation assets - short life (15)</v>
      </c>
      <c r="E484" s="9"/>
      <c r="F484" s="9"/>
      <c r="G484" s="207">
        <f>Input!J21</f>
        <v>0</v>
      </c>
      <c r="H484" s="114">
        <f t="shared" si="6"/>
        <v>0.36737337230990852</v>
      </c>
      <c r="I484" s="114">
        <f t="shared" si="7"/>
        <v>4.1929034966384187</v>
      </c>
      <c r="J484" s="114">
        <f t="shared" si="7"/>
        <v>6.3287533337739896</v>
      </c>
      <c r="K484" s="114">
        <f t="shared" si="7"/>
        <v>8.5327724152600073</v>
      </c>
      <c r="L484" s="114">
        <f t="shared" si="7"/>
        <v>10.436419640495611</v>
      </c>
      <c r="M484" s="114">
        <f t="shared" si="7"/>
        <v>14.768668831683236</v>
      </c>
      <c r="N484" s="114">
        <f>IF(COUNT($H484:M484)&gt;Input!$W$7,0, M484+M516+M548)</f>
        <v>0</v>
      </c>
      <c r="O484" s="114">
        <f>IF(COUNT($H484:N484)&gt;Input!$W$7,0, N484+N516+N548)</f>
        <v>0</v>
      </c>
      <c r="P484" s="114">
        <f>IF(COUNT($H484:O484)&gt;Input!$W$7,0, O484+O516+O548)</f>
        <v>0</v>
      </c>
      <c r="Q484" s="114">
        <f>IF(COUNT($H484:P484)&gt;Input!$W$7,0, P484+P516+P548)</f>
        <v>0</v>
      </c>
      <c r="R484" s="114">
        <f>IF(COUNT($H484:Q484)&gt;Input!$W$7,0, Q484+Q516+Q548)</f>
        <v>0</v>
      </c>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4"/>
      <c r="BE484" s="104"/>
      <c r="BF484" s="104"/>
      <c r="BG484" s="104"/>
      <c r="BH484" s="104"/>
      <c r="BI484" s="104"/>
      <c r="BJ484" s="104"/>
      <c r="BK484" s="12"/>
      <c r="BL484" s="12"/>
    </row>
    <row r="485" spans="1:64" ht="12.75" hidden="1" customHeight="1" outlineLevel="1">
      <c r="A485" s="9"/>
      <c r="B485" s="9"/>
      <c r="C485" s="44"/>
      <c r="D485" s="278" t="str">
        <f>Asset16</f>
        <v>Protection and control - short life (15)</v>
      </c>
      <c r="E485" s="9"/>
      <c r="F485" s="9"/>
      <c r="G485" s="207">
        <f>Input!J22</f>
        <v>0</v>
      </c>
      <c r="H485" s="114">
        <f t="shared" si="6"/>
        <v>4.0917857999755638</v>
      </c>
      <c r="I485" s="114">
        <f t="shared" si="7"/>
        <v>16.684643631014179</v>
      </c>
      <c r="J485" s="114">
        <f t="shared" si="7"/>
        <v>31.251569716820317</v>
      </c>
      <c r="K485" s="114">
        <f t="shared" si="7"/>
        <v>60.840215119248732</v>
      </c>
      <c r="L485" s="114">
        <f t="shared" si="7"/>
        <v>76.453571777275315</v>
      </c>
      <c r="M485" s="114">
        <f t="shared" si="7"/>
        <v>88.407349912940759</v>
      </c>
      <c r="N485" s="114">
        <f>IF(COUNT($H485:M485)&gt;Input!$W$7,0, M485+M517+M549)</f>
        <v>0</v>
      </c>
      <c r="O485" s="114">
        <f>IF(COUNT($H485:N485)&gt;Input!$W$7,0, N485+N517+N549)</f>
        <v>0</v>
      </c>
      <c r="P485" s="114">
        <f>IF(COUNT($H485:O485)&gt;Input!$W$7,0, O485+O517+O549)</f>
        <v>0</v>
      </c>
      <c r="Q485" s="114">
        <f>IF(COUNT($H485:P485)&gt;Input!$W$7,0, P485+P517+P549)</f>
        <v>0</v>
      </c>
      <c r="R485" s="114">
        <f>IF(COUNT($H485:Q485)&gt;Input!$W$7,0, Q485+Q517+Q549)</f>
        <v>0</v>
      </c>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4"/>
      <c r="BE485" s="104"/>
      <c r="BF485" s="104"/>
      <c r="BG485" s="104"/>
      <c r="BH485" s="104"/>
      <c r="BI485" s="104"/>
      <c r="BJ485" s="104"/>
      <c r="BK485" s="12"/>
      <c r="BL485" s="12"/>
    </row>
    <row r="486" spans="1:64" ht="12.75" hidden="1" customHeight="1" outlineLevel="1">
      <c r="A486" s="9"/>
      <c r="B486" s="9"/>
      <c r="C486" s="44"/>
      <c r="D486" s="278" t="str">
        <f>Asset17</f>
        <v>Protection and control - short life (4)</v>
      </c>
      <c r="E486" s="9"/>
      <c r="F486" s="9"/>
      <c r="G486" s="207">
        <f>Input!J23</f>
        <v>0</v>
      </c>
      <c r="H486" s="114">
        <f t="shared" si="6"/>
        <v>0</v>
      </c>
      <c r="I486" s="114">
        <f t="shared" si="7"/>
        <v>0.26273554153129208</v>
      </c>
      <c r="J486" s="114">
        <f t="shared" si="7"/>
        <v>0.65003214773107276</v>
      </c>
      <c r="K486" s="114">
        <f t="shared" si="7"/>
        <v>1.6209993729670653</v>
      </c>
      <c r="L486" s="114">
        <f t="shared" si="7"/>
        <v>1.2944674114621304</v>
      </c>
      <c r="M486" s="114">
        <f t="shared" si="7"/>
        <v>0.86963453665940893</v>
      </c>
      <c r="N486" s="114">
        <f>IF(COUNT($H486:M486)&gt;Input!$W$7,0, M486+M518+M550)</f>
        <v>0</v>
      </c>
      <c r="O486" s="114">
        <f>IF(COUNT($H486:N486)&gt;Input!$W$7,0, N486+N518+N550)</f>
        <v>0</v>
      </c>
      <c r="P486" s="114">
        <f>IF(COUNT($H486:O486)&gt;Input!$W$7,0, O486+O518+O550)</f>
        <v>0</v>
      </c>
      <c r="Q486" s="114">
        <f>IF(COUNT($H486:P486)&gt;Input!$W$7,0, P486+P518+P550)</f>
        <v>0</v>
      </c>
      <c r="R486" s="114">
        <f>IF(COUNT($H486:Q486)&gt;Input!$W$7,0, Q486+Q518+Q550)</f>
        <v>0</v>
      </c>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4"/>
      <c r="BE486" s="104"/>
      <c r="BF486" s="104"/>
      <c r="BG486" s="104"/>
      <c r="BH486" s="104"/>
      <c r="BI486" s="104"/>
      <c r="BJ486" s="104"/>
      <c r="BK486" s="12"/>
      <c r="BL486" s="12"/>
    </row>
    <row r="487" spans="1:64" ht="12.75" hidden="1" customHeight="1" outlineLevel="1">
      <c r="A487" s="9"/>
      <c r="B487" s="9"/>
      <c r="C487" s="44"/>
      <c r="D487" s="278" t="str">
        <f>Asset18</f>
        <v>Transmission operations - short life (10)</v>
      </c>
      <c r="E487" s="9"/>
      <c r="F487" s="9"/>
      <c r="G487" s="207">
        <f>Input!J24</f>
        <v>0</v>
      </c>
      <c r="H487" s="114">
        <f t="shared" si="6"/>
        <v>0</v>
      </c>
      <c r="I487" s="114">
        <f t="shared" si="7"/>
        <v>1.2611305993502018</v>
      </c>
      <c r="J487" s="114">
        <f t="shared" si="7"/>
        <v>3.3186026949529803</v>
      </c>
      <c r="K487" s="114">
        <f t="shared" si="7"/>
        <v>5.2644247957765735</v>
      </c>
      <c r="L487" s="114">
        <f t="shared" si="7"/>
        <v>6.9501791643717885</v>
      </c>
      <c r="M487" s="114">
        <f t="shared" si="7"/>
        <v>7.2594442037191946</v>
      </c>
      <c r="N487" s="114">
        <f>IF(COUNT($H487:M487)&gt;Input!$W$7,0, M487+M519+M551)</f>
        <v>0</v>
      </c>
      <c r="O487" s="114">
        <f>IF(COUNT($H487:N487)&gt;Input!$W$7,0, N487+N519+N551)</f>
        <v>0</v>
      </c>
      <c r="P487" s="114">
        <f>IF(COUNT($H487:O487)&gt;Input!$W$7,0, O487+O519+O551)</f>
        <v>0</v>
      </c>
      <c r="Q487" s="114">
        <f>IF(COUNT($H487:P487)&gt;Input!$W$7,0, P487+P519+P551)</f>
        <v>0</v>
      </c>
      <c r="R487" s="114">
        <f>IF(COUNT($H487:Q487)&gt;Input!$W$7,0, Q487+Q519+Q551)</f>
        <v>0</v>
      </c>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4"/>
      <c r="BE487" s="104"/>
      <c r="BF487" s="104"/>
      <c r="BG487" s="104"/>
      <c r="BH487" s="104"/>
      <c r="BI487" s="104"/>
      <c r="BJ487" s="104"/>
      <c r="BK487" s="12"/>
      <c r="BL487" s="12"/>
    </row>
    <row r="488" spans="1:64" ht="12.75" hidden="1" customHeight="1" outlineLevel="1">
      <c r="A488" s="9"/>
      <c r="B488" s="9"/>
      <c r="C488" s="44"/>
      <c r="D488" s="278" t="str">
        <f>Asset19</f>
        <v>Transmission operations - short life (4)</v>
      </c>
      <c r="E488" s="9"/>
      <c r="F488" s="9"/>
      <c r="G488" s="207">
        <f>Input!J25</f>
        <v>0</v>
      </c>
      <c r="H488" s="114">
        <f t="shared" si="6"/>
        <v>0</v>
      </c>
      <c r="I488" s="114">
        <f t="shared" si="7"/>
        <v>1.0509421661251683E-2</v>
      </c>
      <c r="J488" s="114">
        <f t="shared" si="7"/>
        <v>-1.1739883972360591E-3</v>
      </c>
      <c r="K488" s="114">
        <f t="shared" si="7"/>
        <v>0.11515635950779998</v>
      </c>
      <c r="L488" s="114">
        <f t="shared" si="7"/>
        <v>8.7717196095625879E-2</v>
      </c>
      <c r="M488" s="114">
        <f t="shared" si="7"/>
        <v>1.6090331150285964E-2</v>
      </c>
      <c r="N488" s="114">
        <f>IF(COUNT($H488:M488)&gt;Input!$W$7,0, M488+M520+M552)</f>
        <v>0</v>
      </c>
      <c r="O488" s="114">
        <f>IF(COUNT($H488:N488)&gt;Input!$W$7,0, N488+N520+N552)</f>
        <v>0</v>
      </c>
      <c r="P488" s="114">
        <f>IF(COUNT($H488:O488)&gt;Input!$W$7,0, O488+O520+O552)</f>
        <v>0</v>
      </c>
      <c r="Q488" s="114">
        <f>IF(COUNT($H488:P488)&gt;Input!$W$7,0, P488+P520+P552)</f>
        <v>0</v>
      </c>
      <c r="R488" s="114">
        <f>IF(COUNT($H488:Q488)&gt;Input!$W$7,0, Q488+Q520+Q552)</f>
        <v>0</v>
      </c>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4"/>
      <c r="BE488" s="104"/>
      <c r="BF488" s="104"/>
      <c r="BG488" s="104"/>
      <c r="BH488" s="104"/>
      <c r="BI488" s="104"/>
      <c r="BJ488" s="104"/>
      <c r="BK488" s="12"/>
      <c r="BL488" s="12"/>
    </row>
    <row r="489" spans="1:64" ht="12.75" hidden="1" customHeight="1" outlineLevel="1">
      <c r="A489" s="9"/>
      <c r="B489" s="9"/>
      <c r="C489" s="44"/>
      <c r="D489" s="278" t="str">
        <f>Asset20</f>
        <v>Other - medium life (40)</v>
      </c>
      <c r="E489" s="9"/>
      <c r="F489" s="9"/>
      <c r="G489" s="207">
        <f>Input!J26</f>
        <v>0</v>
      </c>
      <c r="H489" s="114">
        <f t="shared" si="6"/>
        <v>6.8615870000000001</v>
      </c>
      <c r="I489" s="114">
        <f t="shared" si="7"/>
        <v>18.630628826655428</v>
      </c>
      <c r="J489" s="114">
        <f t="shared" si="7"/>
        <v>28.890984428113992</v>
      </c>
      <c r="K489" s="114">
        <f t="shared" si="7"/>
        <v>29.45307022140446</v>
      </c>
      <c r="L489" s="114">
        <f t="shared" si="7"/>
        <v>29.74214108471115</v>
      </c>
      <c r="M489" s="114">
        <f t="shared" si="7"/>
        <v>32.355714358359727</v>
      </c>
      <c r="N489" s="114">
        <f>IF(COUNT($H489:M489)&gt;Input!$W$7,0, M489+M521+M553)</f>
        <v>0</v>
      </c>
      <c r="O489" s="114">
        <f>IF(COUNT($H489:N489)&gt;Input!$W$7,0, N489+N521+N553)</f>
        <v>0</v>
      </c>
      <c r="P489" s="114">
        <f>IF(COUNT($H489:O489)&gt;Input!$W$7,0, O489+O521+O553)</f>
        <v>0</v>
      </c>
      <c r="Q489" s="114">
        <f>IF(COUNT($H489:P489)&gt;Input!$W$7,0, P489+P521+P553)</f>
        <v>0</v>
      </c>
      <c r="R489" s="114">
        <f>IF(COUNT($H489:Q489)&gt;Input!$W$7,0, Q489+Q521+Q553)</f>
        <v>0</v>
      </c>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4"/>
      <c r="BE489" s="104"/>
      <c r="BF489" s="104"/>
      <c r="BG489" s="104"/>
      <c r="BH489" s="104"/>
      <c r="BI489" s="104"/>
      <c r="BJ489" s="104"/>
      <c r="BK489" s="12"/>
      <c r="BL489" s="12"/>
    </row>
    <row r="490" spans="1:64" ht="12.75" hidden="1" customHeight="1" outlineLevel="1">
      <c r="A490" s="9"/>
      <c r="B490" s="9"/>
      <c r="C490" s="44"/>
      <c r="D490" s="278" t="str">
        <f>Asset21</f>
        <v>Other - short life (9)</v>
      </c>
      <c r="E490" s="9"/>
      <c r="F490" s="9"/>
      <c r="G490" s="207">
        <f>Input!J27</f>
        <v>0</v>
      </c>
      <c r="H490" s="114">
        <f t="shared" si="6"/>
        <v>0</v>
      </c>
      <c r="I490" s="114">
        <f>H490+H522+H554</f>
        <v>0.39935802312756402</v>
      </c>
      <c r="J490" s="114">
        <f t="shared" ref="J490:M498" si="8">I490+I522+I554</f>
        <v>0.8350981173079407</v>
      </c>
      <c r="K490" s="114">
        <f t="shared" si="8"/>
        <v>1.3641522679057971</v>
      </c>
      <c r="L490" s="114">
        <f t="shared" si="8"/>
        <v>1.2721736172775602</v>
      </c>
      <c r="M490" s="114">
        <f t="shared" si="8"/>
        <v>1.4554505847175536</v>
      </c>
      <c r="N490" s="114">
        <f>IF(COUNT($H490:M490)&gt;Input!$W$7,0, M490+M522+M554)</f>
        <v>0</v>
      </c>
      <c r="O490" s="114">
        <f>IF(COUNT($H490:N490)&gt;Input!$W$7,0, N490+N522+N554)</f>
        <v>0</v>
      </c>
      <c r="P490" s="114">
        <f>IF(COUNT($H490:O490)&gt;Input!$W$7,0, O490+O522+O554)</f>
        <v>0</v>
      </c>
      <c r="Q490" s="114">
        <f>IF(COUNT($H490:P490)&gt;Input!$W$7,0, P490+P522+P554)</f>
        <v>0</v>
      </c>
      <c r="R490" s="114">
        <f>IF(COUNT($H490:Q490)&gt;Input!$W$7,0, Q490+Q522+Q554)</f>
        <v>0</v>
      </c>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4"/>
      <c r="BE490" s="104"/>
      <c r="BF490" s="104"/>
      <c r="BG490" s="104"/>
      <c r="BH490" s="104"/>
      <c r="BI490" s="104"/>
      <c r="BJ490" s="104"/>
      <c r="BK490" s="12"/>
      <c r="BL490" s="12"/>
    </row>
    <row r="491" spans="1:64" ht="12.75" hidden="1" customHeight="1" outlineLevel="1">
      <c r="A491" s="9"/>
      <c r="B491" s="9"/>
      <c r="C491" s="44"/>
      <c r="D491" s="278" t="str">
        <f>Asset22</f>
        <v>Other - short life (4)</v>
      </c>
      <c r="E491" s="9"/>
      <c r="F491" s="9"/>
      <c r="G491" s="207">
        <f>Input!J28</f>
        <v>0</v>
      </c>
      <c r="H491" s="114">
        <f t="shared" ref="H491:H498" si="9">G491+G523+G555+G587+G619+G651</f>
        <v>0.53168400000000005</v>
      </c>
      <c r="I491" s="114">
        <f>H491+H523+H555</f>
        <v>3.6578283063153352</v>
      </c>
      <c r="J491" s="114">
        <f t="shared" si="8"/>
        <v>6.6643062178273764</v>
      </c>
      <c r="K491" s="114">
        <f t="shared" si="8"/>
        <v>10.484266863925818</v>
      </c>
      <c r="L491" s="114">
        <f t="shared" si="8"/>
        <v>11.037310679340939</v>
      </c>
      <c r="M491" s="114">
        <f t="shared" si="8"/>
        <v>10.441780919722717</v>
      </c>
      <c r="N491" s="114">
        <f>IF(COUNT($H491:M491)&gt;Input!$W$7,0, M491+M523+M555)</f>
        <v>0</v>
      </c>
      <c r="O491" s="114">
        <f>IF(COUNT($H491:N491)&gt;Input!$W$7,0, N491+N523+N555)</f>
        <v>0</v>
      </c>
      <c r="P491" s="114">
        <f>IF(COUNT($H491:O491)&gt;Input!$W$7,0, O491+O523+O555)</f>
        <v>0</v>
      </c>
      <c r="Q491" s="114">
        <f>IF(COUNT($H491:P491)&gt;Input!$W$7,0, P491+P523+P555)</f>
        <v>0</v>
      </c>
      <c r="R491" s="114">
        <f>IF(COUNT($H491:Q491)&gt;Input!$W$7,0, Q491+Q523+Q555)</f>
        <v>0</v>
      </c>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4"/>
      <c r="BE491" s="104"/>
      <c r="BF491" s="104"/>
      <c r="BG491" s="104"/>
      <c r="BH491" s="104"/>
      <c r="BI491" s="104"/>
      <c r="BJ491" s="104"/>
      <c r="BK491" s="12"/>
      <c r="BL491" s="12"/>
    </row>
    <row r="492" spans="1:64" ht="12.75" hidden="1" customHeight="1" outlineLevel="1">
      <c r="A492" s="9"/>
      <c r="B492" s="9"/>
      <c r="C492" s="44"/>
      <c r="D492" s="278" t="str">
        <f>Asset23</f>
        <v>Land and Easements</v>
      </c>
      <c r="E492" s="9"/>
      <c r="F492" s="9"/>
      <c r="G492" s="207">
        <f>Input!J29</f>
        <v>0</v>
      </c>
      <c r="H492" s="114">
        <f t="shared" si="9"/>
        <v>0.12308107575340384</v>
      </c>
      <c r="I492" s="114">
        <f t="shared" ref="I492:I499" si="10">H492+H524+H556</f>
        <v>0.68363511190814463</v>
      </c>
      <c r="J492" s="114">
        <f t="shared" si="8"/>
        <v>2.1071971430023702</v>
      </c>
      <c r="K492" s="114">
        <f t="shared" si="8"/>
        <v>4.5455274625726929</v>
      </c>
      <c r="L492" s="114">
        <f t="shared" si="8"/>
        <v>5.3201311678759655</v>
      </c>
      <c r="M492" s="114">
        <f t="shared" si="8"/>
        <v>6.7418809320467012</v>
      </c>
      <c r="N492" s="114">
        <f>IF(COUNT($H492:M492)&gt;Input!$W$7,0, M492+M524+M556)</f>
        <v>0</v>
      </c>
      <c r="O492" s="114">
        <f>IF(COUNT($H492:N492)&gt;Input!$W$7,0, N492+N524+N556)</f>
        <v>0</v>
      </c>
      <c r="P492" s="114">
        <f>IF(COUNT($H492:O492)&gt;Input!$W$7,0, O492+O524+O556)</f>
        <v>0</v>
      </c>
      <c r="Q492" s="114">
        <f>IF(COUNT($H492:P492)&gt;Input!$W$7,0, P492+P524+P556)</f>
        <v>0</v>
      </c>
      <c r="R492" s="114">
        <f>IF(COUNT($H492:Q492)&gt;Input!$W$7,0, Q492+Q524+Q556)</f>
        <v>0</v>
      </c>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4"/>
      <c r="BE492" s="104"/>
      <c r="BF492" s="104"/>
      <c r="BG492" s="104"/>
      <c r="BH492" s="104"/>
      <c r="BI492" s="104"/>
      <c r="BJ492" s="104"/>
      <c r="BK492" s="12"/>
      <c r="BL492" s="12"/>
    </row>
    <row r="493" spans="1:64" ht="12.75" hidden="1" customHeight="1" outlineLevel="1">
      <c r="A493" s="9"/>
      <c r="B493" s="9"/>
      <c r="C493" s="44"/>
      <c r="D493" s="278" t="str">
        <f>Asset24</f>
        <v>Equity Raising</v>
      </c>
      <c r="E493" s="9"/>
      <c r="F493" s="9"/>
      <c r="G493" s="207">
        <f>Input!J30</f>
        <v>0</v>
      </c>
      <c r="H493" s="114">
        <f t="shared" si="9"/>
        <v>0</v>
      </c>
      <c r="I493" s="114">
        <f t="shared" si="10"/>
        <v>0.44485041313161061</v>
      </c>
      <c r="J493" s="114">
        <f t="shared" si="8"/>
        <v>0.44870168372209202</v>
      </c>
      <c r="K493" s="114">
        <f t="shared" si="8"/>
        <v>0.44446886150221571</v>
      </c>
      <c r="L493" s="114">
        <f t="shared" si="8"/>
        <v>0.44406898521604748</v>
      </c>
      <c r="M493" s="114">
        <f t="shared" si="8"/>
        <v>0.44335963280526741</v>
      </c>
      <c r="N493" s="114">
        <f>IF(COUNT($H493:M493)&gt;Input!$W$7,0, M493+M525+M557)</f>
        <v>0</v>
      </c>
      <c r="O493" s="114">
        <f>IF(COUNT($H493:N493)&gt;Input!$W$7,0, N493+N525+N557)</f>
        <v>0</v>
      </c>
      <c r="P493" s="114">
        <f>IF(COUNT($H493:O493)&gt;Input!$W$7,0, O493+O525+O557)</f>
        <v>0</v>
      </c>
      <c r="Q493" s="114">
        <f>IF(COUNT($H493:P493)&gt;Input!$W$7,0, P493+P525+P557)</f>
        <v>0</v>
      </c>
      <c r="R493" s="114">
        <f>IF(COUNT($H493:Q493)&gt;Input!$W$7,0, Q493+Q525+Q557)</f>
        <v>0</v>
      </c>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4"/>
      <c r="BE493" s="104"/>
      <c r="BF493" s="104"/>
      <c r="BG493" s="104"/>
      <c r="BH493" s="104"/>
      <c r="BI493" s="104"/>
      <c r="BJ493" s="104"/>
      <c r="BK493" s="12"/>
      <c r="BL493" s="12"/>
    </row>
    <row r="494" spans="1:64" ht="12.75" hidden="1" customHeight="1" outlineLevel="1">
      <c r="A494" s="9"/>
      <c r="B494" s="9"/>
      <c r="C494" s="44"/>
      <c r="D494" s="278">
        <f>Asset25</f>
        <v>0</v>
      </c>
      <c r="E494" s="9"/>
      <c r="F494" s="9"/>
      <c r="G494" s="207">
        <f>Input!J31</f>
        <v>0</v>
      </c>
      <c r="H494" s="114">
        <f t="shared" si="9"/>
        <v>0</v>
      </c>
      <c r="I494" s="114">
        <f t="shared" si="10"/>
        <v>0</v>
      </c>
      <c r="J494" s="114">
        <f t="shared" si="8"/>
        <v>0</v>
      </c>
      <c r="K494" s="114">
        <f t="shared" si="8"/>
        <v>0</v>
      </c>
      <c r="L494" s="114">
        <f t="shared" si="8"/>
        <v>0</v>
      </c>
      <c r="M494" s="114">
        <f t="shared" si="8"/>
        <v>0</v>
      </c>
      <c r="N494" s="114">
        <f>IF(COUNT($H494:M494)&gt;Input!$W$7,0, M494+M526+M558)</f>
        <v>0</v>
      </c>
      <c r="O494" s="114">
        <f>IF(COUNT($H494:N494)&gt;Input!$W$7,0, N494+N526+N558)</f>
        <v>0</v>
      </c>
      <c r="P494" s="114">
        <f>IF(COUNT($H494:O494)&gt;Input!$W$7,0, O494+O526+O558)</f>
        <v>0</v>
      </c>
      <c r="Q494" s="114">
        <f>IF(COUNT($H494:P494)&gt;Input!$W$7,0, P494+P526+P558)</f>
        <v>0</v>
      </c>
      <c r="R494" s="114">
        <f>IF(COUNT($H494:Q494)&gt;Input!$W$7,0, Q494+Q526+Q558)</f>
        <v>0</v>
      </c>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4"/>
      <c r="BE494" s="104"/>
      <c r="BF494" s="104"/>
      <c r="BG494" s="104"/>
      <c r="BH494" s="104"/>
      <c r="BI494" s="104"/>
      <c r="BJ494" s="104"/>
      <c r="BK494" s="12"/>
      <c r="BL494" s="12"/>
    </row>
    <row r="495" spans="1:64" ht="12.75" hidden="1" customHeight="1" outlineLevel="1">
      <c r="A495" s="9"/>
      <c r="B495" s="9"/>
      <c r="C495" s="44"/>
      <c r="D495" s="278">
        <f>Asset26</f>
        <v>0</v>
      </c>
      <c r="E495" s="9"/>
      <c r="F495" s="9"/>
      <c r="G495" s="207">
        <f>Input!J32</f>
        <v>0</v>
      </c>
      <c r="H495" s="114">
        <f t="shared" si="9"/>
        <v>0</v>
      </c>
      <c r="I495" s="114">
        <f t="shared" si="10"/>
        <v>0</v>
      </c>
      <c r="J495" s="114">
        <f t="shared" si="8"/>
        <v>0</v>
      </c>
      <c r="K495" s="114">
        <f t="shared" si="8"/>
        <v>0</v>
      </c>
      <c r="L495" s="114">
        <f t="shared" si="8"/>
        <v>0</v>
      </c>
      <c r="M495" s="114">
        <f t="shared" si="8"/>
        <v>0</v>
      </c>
      <c r="N495" s="114">
        <f>IF(COUNT($H495:M495)&gt;Input!$W$7,0, M495+M527+M559)</f>
        <v>0</v>
      </c>
      <c r="O495" s="114">
        <f>IF(COUNT($H495:N495)&gt;Input!$W$7,0, N495+N527+N559)</f>
        <v>0</v>
      </c>
      <c r="P495" s="114">
        <f>IF(COUNT($H495:O495)&gt;Input!$W$7,0, O495+O527+O559)</f>
        <v>0</v>
      </c>
      <c r="Q495" s="114">
        <f>IF(COUNT($H495:P495)&gt;Input!$W$7,0, P495+P527+P559)</f>
        <v>0</v>
      </c>
      <c r="R495" s="114">
        <f>IF(COUNT($H495:Q495)&gt;Input!$W$7,0, Q495+Q527+Q559)</f>
        <v>0</v>
      </c>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4"/>
      <c r="BE495" s="104"/>
      <c r="BF495" s="104"/>
      <c r="BG495" s="104"/>
      <c r="BH495" s="104"/>
      <c r="BI495" s="104"/>
      <c r="BJ495" s="104"/>
      <c r="BK495" s="12"/>
      <c r="BL495" s="12"/>
    </row>
    <row r="496" spans="1:64" ht="12.75" hidden="1" customHeight="1" outlineLevel="1">
      <c r="A496" s="9"/>
      <c r="B496" s="9"/>
      <c r="C496" s="44"/>
      <c r="D496" s="278">
        <f>Asset27</f>
        <v>0</v>
      </c>
      <c r="E496" s="9"/>
      <c r="F496" s="9"/>
      <c r="G496" s="207">
        <f>Input!J33</f>
        <v>0</v>
      </c>
      <c r="H496" s="114">
        <f t="shared" si="9"/>
        <v>0</v>
      </c>
      <c r="I496" s="114">
        <f t="shared" si="10"/>
        <v>0</v>
      </c>
      <c r="J496" s="114">
        <f t="shared" si="8"/>
        <v>0</v>
      </c>
      <c r="K496" s="114">
        <f t="shared" si="8"/>
        <v>0</v>
      </c>
      <c r="L496" s="114">
        <f t="shared" si="8"/>
        <v>0</v>
      </c>
      <c r="M496" s="114">
        <f t="shared" si="8"/>
        <v>0</v>
      </c>
      <c r="N496" s="114">
        <f>IF(COUNT($H496:M496)&gt;Input!$W$7,0, M496+M528+M560)</f>
        <v>0</v>
      </c>
      <c r="O496" s="114">
        <f>IF(COUNT($H496:N496)&gt;Input!$W$7,0, N496+N528+N560)</f>
        <v>0</v>
      </c>
      <c r="P496" s="114">
        <f>IF(COUNT($H496:O496)&gt;Input!$W$7,0, O496+O528+O560)</f>
        <v>0</v>
      </c>
      <c r="Q496" s="114">
        <f>IF(COUNT($H496:P496)&gt;Input!$W$7,0, P496+P528+P560)</f>
        <v>0</v>
      </c>
      <c r="R496" s="114">
        <f>IF(COUNT($H496:Q496)&gt;Input!$W$7,0, Q496+Q528+Q560)</f>
        <v>0</v>
      </c>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4"/>
      <c r="BE496" s="104"/>
      <c r="BF496" s="104"/>
      <c r="BG496" s="104"/>
      <c r="BH496" s="104"/>
      <c r="BI496" s="104"/>
      <c r="BJ496" s="104"/>
      <c r="BK496" s="12"/>
      <c r="BL496" s="12"/>
    </row>
    <row r="497" spans="1:64" ht="12.75" hidden="1" customHeight="1" outlineLevel="1">
      <c r="A497" s="9"/>
      <c r="B497" s="9"/>
      <c r="C497" s="44"/>
      <c r="D497" s="278">
        <f>Asset28</f>
        <v>0</v>
      </c>
      <c r="E497" s="9"/>
      <c r="F497" s="9"/>
      <c r="G497" s="207">
        <f>Input!J34</f>
        <v>0</v>
      </c>
      <c r="H497" s="114">
        <f t="shared" si="9"/>
        <v>0</v>
      </c>
      <c r="I497" s="114">
        <f t="shared" si="10"/>
        <v>0</v>
      </c>
      <c r="J497" s="114">
        <f t="shared" si="8"/>
        <v>0</v>
      </c>
      <c r="K497" s="114">
        <f t="shared" si="8"/>
        <v>0</v>
      </c>
      <c r="L497" s="114">
        <f t="shared" si="8"/>
        <v>0</v>
      </c>
      <c r="M497" s="114">
        <f t="shared" si="8"/>
        <v>0</v>
      </c>
      <c r="N497" s="114">
        <f>IF(COUNT($H497:M497)&gt;Input!$W$7,0, M497+M529+M561)</f>
        <v>0</v>
      </c>
      <c r="O497" s="114">
        <f>IF(COUNT($H497:N497)&gt;Input!$W$7,0, N497+N529+N561)</f>
        <v>0</v>
      </c>
      <c r="P497" s="114">
        <f>IF(COUNT($H497:O497)&gt;Input!$W$7,0, O497+O529+O561)</f>
        <v>0</v>
      </c>
      <c r="Q497" s="114">
        <f>IF(COUNT($H497:P497)&gt;Input!$W$7,0, P497+P529+P561)</f>
        <v>0</v>
      </c>
      <c r="R497" s="114">
        <f>IF(COUNT($H497:Q497)&gt;Input!$W$7,0, Q497+Q529+Q561)</f>
        <v>0</v>
      </c>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4"/>
      <c r="BE497" s="104"/>
      <c r="BF497" s="104"/>
      <c r="BG497" s="104"/>
      <c r="BH497" s="104"/>
      <c r="BI497" s="104"/>
      <c r="BJ497" s="104"/>
      <c r="BK497" s="12"/>
      <c r="BL497" s="12"/>
    </row>
    <row r="498" spans="1:64" ht="12.75" hidden="1" customHeight="1" outlineLevel="1">
      <c r="A498" s="9"/>
      <c r="B498" s="9"/>
      <c r="C498" s="44"/>
      <c r="D498" s="278">
        <f>Asset29</f>
        <v>0</v>
      </c>
      <c r="E498" s="9"/>
      <c r="F498" s="9"/>
      <c r="G498" s="207">
        <f>Input!J35</f>
        <v>0</v>
      </c>
      <c r="H498" s="114">
        <f t="shared" si="9"/>
        <v>0</v>
      </c>
      <c r="I498" s="114">
        <f t="shared" si="10"/>
        <v>0</v>
      </c>
      <c r="J498" s="114">
        <f t="shared" si="8"/>
        <v>0</v>
      </c>
      <c r="K498" s="114">
        <f t="shared" si="8"/>
        <v>0</v>
      </c>
      <c r="L498" s="114">
        <f t="shared" si="8"/>
        <v>0</v>
      </c>
      <c r="M498" s="114">
        <f t="shared" si="8"/>
        <v>0</v>
      </c>
      <c r="N498" s="114">
        <f>IF(COUNT($H498:M498)&gt;Input!$W$7,0, M498+M530+M562)</f>
        <v>0</v>
      </c>
      <c r="O498" s="114">
        <f>IF(COUNT($H498:N498)&gt;Input!$W$7,0, N498+N530+N562)</f>
        <v>0</v>
      </c>
      <c r="P498" s="114">
        <f>IF(COUNT($H498:O498)&gt;Input!$W$7,0, O498+O530+O562)</f>
        <v>0</v>
      </c>
      <c r="Q498" s="114">
        <f>IF(COUNT($H498:P498)&gt;Input!$W$7,0, P498+P530+P562)</f>
        <v>0</v>
      </c>
      <c r="R498" s="114">
        <f>IF(COUNT($H498:Q498)&gt;Input!$W$7,0, Q498+Q530+Q562)</f>
        <v>0</v>
      </c>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4"/>
      <c r="BE498" s="104"/>
      <c r="BF498" s="104"/>
      <c r="BG498" s="104"/>
      <c r="BH498" s="104"/>
      <c r="BI498" s="104"/>
      <c r="BJ498" s="104"/>
      <c r="BK498" s="12"/>
      <c r="BL498" s="12"/>
    </row>
    <row r="499" spans="1:64" ht="12.75" hidden="1" customHeight="1" outlineLevel="1">
      <c r="A499" s="9"/>
      <c r="B499" s="9"/>
      <c r="C499" s="44"/>
      <c r="D499" s="278">
        <f>Asset30</f>
        <v>0</v>
      </c>
      <c r="E499" s="9"/>
      <c r="F499" s="9"/>
      <c r="G499" s="207">
        <f>Input!J36</f>
        <v>0</v>
      </c>
      <c r="H499" s="114">
        <f>G499+G531+G563+G595+G627+G659</f>
        <v>0</v>
      </c>
      <c r="I499" s="114">
        <f t="shared" si="10"/>
        <v>0</v>
      </c>
      <c r="J499" s="114">
        <f>I499+I531+I563</f>
        <v>0</v>
      </c>
      <c r="K499" s="114">
        <f>J499+J531+J563</f>
        <v>0</v>
      </c>
      <c r="L499" s="114">
        <f>K499+K531+K563</f>
        <v>0</v>
      </c>
      <c r="M499" s="114">
        <f>L499+L531+L563</f>
        <v>0</v>
      </c>
      <c r="N499" s="114">
        <f>IF(COUNT($H499:M499)&gt;Input!$W$7,0, M499+M531+M563)</f>
        <v>0</v>
      </c>
      <c r="O499" s="114">
        <f>IF(COUNT($H499:N499)&gt;Input!$W$7,0, N499+N531+N563)</f>
        <v>0</v>
      </c>
      <c r="P499" s="114">
        <f>IF(COUNT($H499:O499)&gt;Input!$W$7,0, O499+O531+O563)</f>
        <v>0</v>
      </c>
      <c r="Q499" s="114">
        <f>IF(COUNT($H499:P499)&gt;Input!$W$7,0, P499+P531+P563)</f>
        <v>0</v>
      </c>
      <c r="R499" s="114">
        <f>IF(COUNT($H499:Q499)&gt;Input!$W$7,0, Q499+Q531+Q563)</f>
        <v>0</v>
      </c>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4"/>
      <c r="BE499" s="104"/>
      <c r="BF499" s="104"/>
      <c r="BG499" s="104"/>
      <c r="BH499" s="104"/>
      <c r="BI499" s="104"/>
      <c r="BJ499" s="104"/>
      <c r="BK499" s="12"/>
      <c r="BL499" s="12"/>
    </row>
    <row r="500" spans="1:64" collapsed="1">
      <c r="A500" s="9"/>
      <c r="B500" s="9"/>
      <c r="C500" s="44"/>
      <c r="D500" s="116"/>
      <c r="E500" s="9"/>
      <c r="F500" s="9"/>
      <c r="G500" s="214"/>
      <c r="H500" s="35"/>
      <c r="I500" s="35"/>
      <c r="J500" s="35"/>
      <c r="K500" s="35"/>
      <c r="L500" s="35"/>
      <c r="M500" s="35"/>
      <c r="N500" s="29"/>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4"/>
      <c r="BE500" s="104"/>
      <c r="BF500" s="104"/>
      <c r="BG500" s="104"/>
      <c r="BH500" s="104"/>
      <c r="BI500" s="104"/>
      <c r="BJ500" s="104"/>
      <c r="BK500" s="12"/>
      <c r="BL500" s="12"/>
    </row>
    <row r="501" spans="1:64">
      <c r="A501" s="9"/>
      <c r="B501" s="9"/>
      <c r="C501" s="44" t="s">
        <v>31</v>
      </c>
      <c r="D501" s="9"/>
      <c r="E501" s="9"/>
      <c r="F501" s="9"/>
      <c r="G501" s="208">
        <f>SUM(G502:G531)</f>
        <v>83.128654385774468</v>
      </c>
      <c r="H501" s="35">
        <f>SUM(H502:H531)</f>
        <v>139.52653667813638</v>
      </c>
      <c r="I501" s="35">
        <f t="shared" ref="I501:P501" si="11">SUM(I502:I531)</f>
        <v>121.08376390295061</v>
      </c>
      <c r="J501" s="35">
        <f t="shared" si="11"/>
        <v>131.1856399581313</v>
      </c>
      <c r="K501" s="35">
        <f t="shared" si="11"/>
        <v>89.049251090831746</v>
      </c>
      <c r="L501" s="35">
        <f t="shared" si="11"/>
        <v>91.395275282769177</v>
      </c>
      <c r="M501" s="35">
        <f t="shared" si="11"/>
        <v>0</v>
      </c>
      <c r="N501" s="35">
        <f t="shared" si="11"/>
        <v>0</v>
      </c>
      <c r="O501" s="35">
        <f t="shared" si="11"/>
        <v>0</v>
      </c>
      <c r="P501" s="35">
        <f t="shared" si="11"/>
        <v>0</v>
      </c>
      <c r="Q501" s="35">
        <f>SUM(Q502:Q531)</f>
        <v>0</v>
      </c>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4"/>
      <c r="BE501" s="104"/>
      <c r="BF501" s="104"/>
      <c r="BG501" s="104"/>
      <c r="BH501" s="104"/>
      <c r="BI501" s="104"/>
      <c r="BJ501" s="104"/>
      <c r="BK501" s="12"/>
      <c r="BL501" s="12"/>
    </row>
    <row r="502" spans="1:64" hidden="1" outlineLevel="1">
      <c r="A502" s="9"/>
      <c r="B502" s="9"/>
      <c r="C502" s="44"/>
      <c r="D502" s="278" t="str">
        <f>Asset1</f>
        <v>Transmission Lines and Cables</v>
      </c>
      <c r="E502" s="9"/>
      <c r="F502" s="9"/>
      <c r="G502" s="210">
        <f>'Adjustment for previous period'!G366</f>
        <v>3.4044998441965704</v>
      </c>
      <c r="H502" s="114">
        <f>H12*H$7</f>
        <v>0</v>
      </c>
      <c r="I502" s="114">
        <f t="shared" ref="I502:Q502" si="12">I12*I$7</f>
        <v>0</v>
      </c>
      <c r="J502" s="114">
        <f t="shared" si="12"/>
        <v>0</v>
      </c>
      <c r="K502" s="114">
        <f t="shared" si="12"/>
        <v>-0.23392054602619189</v>
      </c>
      <c r="L502" s="114">
        <f t="shared" si="12"/>
        <v>0</v>
      </c>
      <c r="M502" s="114">
        <f t="shared" si="12"/>
        <v>0</v>
      </c>
      <c r="N502" s="114">
        <f t="shared" si="12"/>
        <v>0</v>
      </c>
      <c r="O502" s="114">
        <f t="shared" si="12"/>
        <v>0</v>
      </c>
      <c r="P502" s="114">
        <f t="shared" si="12"/>
        <v>0</v>
      </c>
      <c r="Q502" s="114">
        <f t="shared" si="12"/>
        <v>0</v>
      </c>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4"/>
      <c r="BE502" s="104"/>
      <c r="BF502" s="104"/>
      <c r="BG502" s="104"/>
      <c r="BH502" s="104"/>
      <c r="BI502" s="104"/>
      <c r="BJ502" s="104"/>
      <c r="BK502" s="12"/>
      <c r="BL502" s="12"/>
    </row>
    <row r="503" spans="1:64" hidden="1" outlineLevel="1">
      <c r="A503" s="9"/>
      <c r="B503" s="9"/>
      <c r="C503" s="44"/>
      <c r="D503" s="278" t="str">
        <f>Asset2</f>
        <v>Transmission Substations</v>
      </c>
      <c r="E503" s="9"/>
      <c r="F503" s="9"/>
      <c r="G503" s="210">
        <f>'Adjustment for previous period'!G367</f>
        <v>62.450138395488089</v>
      </c>
      <c r="H503" s="114">
        <f t="shared" ref="H503:Q503" si="13">H13*H$7</f>
        <v>0</v>
      </c>
      <c r="I503" s="114">
        <f t="shared" si="13"/>
        <v>-0.55925646393252604</v>
      </c>
      <c r="J503" s="114">
        <f t="shared" si="13"/>
        <v>0</v>
      </c>
      <c r="K503" s="114">
        <f t="shared" si="13"/>
        <v>0</v>
      </c>
      <c r="L503" s="114">
        <f t="shared" si="13"/>
        <v>0</v>
      </c>
      <c r="M503" s="114">
        <f t="shared" si="13"/>
        <v>0</v>
      </c>
      <c r="N503" s="114">
        <f t="shared" si="13"/>
        <v>0</v>
      </c>
      <c r="O503" s="114">
        <f t="shared" si="13"/>
        <v>0</v>
      </c>
      <c r="P503" s="114">
        <f t="shared" si="13"/>
        <v>0</v>
      </c>
      <c r="Q503" s="114">
        <f t="shared" si="13"/>
        <v>0</v>
      </c>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4"/>
      <c r="BE503" s="104"/>
      <c r="BF503" s="104"/>
      <c r="BG503" s="104"/>
      <c r="BH503" s="104"/>
      <c r="BI503" s="104"/>
      <c r="BJ503" s="104"/>
      <c r="BK503" s="12"/>
      <c r="BL503" s="12"/>
    </row>
    <row r="504" spans="1:64" hidden="1" outlineLevel="1">
      <c r="A504" s="9"/>
      <c r="B504" s="9"/>
      <c r="C504" s="44"/>
      <c r="D504" s="278" t="str">
        <f>Asset3</f>
        <v>Protection and Control</v>
      </c>
      <c r="E504" s="9"/>
      <c r="F504" s="9"/>
      <c r="G504" s="210">
        <f>'Adjustment for previous period'!G368</f>
        <v>9.4118856801581483</v>
      </c>
      <c r="H504" s="114">
        <f t="shared" ref="H504:Q504" si="14">H14*H$7</f>
        <v>0</v>
      </c>
      <c r="I504" s="114">
        <f t="shared" si="14"/>
        <v>-4.6341401907779946E-2</v>
      </c>
      <c r="J504" s="114">
        <f t="shared" si="14"/>
        <v>0</v>
      </c>
      <c r="K504" s="114">
        <f t="shared" si="14"/>
        <v>0</v>
      </c>
      <c r="L504" s="114">
        <f t="shared" si="14"/>
        <v>0</v>
      </c>
      <c r="M504" s="114">
        <f t="shared" si="14"/>
        <v>0</v>
      </c>
      <c r="N504" s="114">
        <f t="shared" si="14"/>
        <v>0</v>
      </c>
      <c r="O504" s="114">
        <f t="shared" si="14"/>
        <v>0</v>
      </c>
      <c r="P504" s="114">
        <f t="shared" si="14"/>
        <v>0</v>
      </c>
      <c r="Q504" s="114">
        <f t="shared" si="14"/>
        <v>0</v>
      </c>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4"/>
      <c r="BE504" s="104"/>
      <c r="BF504" s="104"/>
      <c r="BG504" s="104"/>
      <c r="BH504" s="104"/>
      <c r="BI504" s="104"/>
      <c r="BJ504" s="104"/>
      <c r="BK504" s="12"/>
      <c r="BL504" s="12"/>
    </row>
    <row r="505" spans="1:64" hidden="1" outlineLevel="1">
      <c r="A505" s="9"/>
      <c r="B505" s="9"/>
      <c r="C505" s="44"/>
      <c r="D505" s="278" t="str">
        <f>Asset4</f>
        <v>Refurbishment</v>
      </c>
      <c r="E505" s="9"/>
      <c r="F505" s="9"/>
      <c r="G505" s="210">
        <f>'Adjustment for previous period'!G369</f>
        <v>0</v>
      </c>
      <c r="H505" s="114">
        <f t="shared" ref="H505:Q505" si="15">H15*H$7</f>
        <v>0</v>
      </c>
      <c r="I505" s="114">
        <f t="shared" si="15"/>
        <v>0</v>
      </c>
      <c r="J505" s="114">
        <f t="shared" si="15"/>
        <v>0</v>
      </c>
      <c r="K505" s="114">
        <f t="shared" si="15"/>
        <v>0</v>
      </c>
      <c r="L505" s="114">
        <f t="shared" si="15"/>
        <v>0</v>
      </c>
      <c r="M505" s="114">
        <f t="shared" si="15"/>
        <v>0</v>
      </c>
      <c r="N505" s="114">
        <f t="shared" si="15"/>
        <v>0</v>
      </c>
      <c r="O505" s="114">
        <f t="shared" si="15"/>
        <v>0</v>
      </c>
      <c r="P505" s="114">
        <f t="shared" si="15"/>
        <v>0</v>
      </c>
      <c r="Q505" s="114">
        <f t="shared" si="15"/>
        <v>0</v>
      </c>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4"/>
      <c r="BE505" s="104"/>
      <c r="BF505" s="104"/>
      <c r="BG505" s="104"/>
      <c r="BH505" s="104"/>
      <c r="BI505" s="104"/>
      <c r="BJ505" s="104"/>
      <c r="BK505" s="12"/>
      <c r="BL505" s="12"/>
    </row>
    <row r="506" spans="1:64" hidden="1" outlineLevel="1">
      <c r="A506" s="9"/>
      <c r="B506" s="9"/>
      <c r="C506" s="44"/>
      <c r="D506" s="278" t="str">
        <f>Asset5</f>
        <v>Other</v>
      </c>
      <c r="E506" s="9"/>
      <c r="F506" s="9"/>
      <c r="G506" s="210">
        <f>'Adjustment for previous period'!G370</f>
        <v>0</v>
      </c>
      <c r="H506" s="114">
        <f t="shared" ref="H506:Q506" si="16">H16*H$7</f>
        <v>0</v>
      </c>
      <c r="I506" s="114">
        <f t="shared" si="16"/>
        <v>0</v>
      </c>
      <c r="J506" s="114">
        <f t="shared" si="16"/>
        <v>0</v>
      </c>
      <c r="K506" s="114">
        <f t="shared" si="16"/>
        <v>0</v>
      </c>
      <c r="L506" s="114">
        <f t="shared" si="16"/>
        <v>0</v>
      </c>
      <c r="M506" s="114">
        <f t="shared" si="16"/>
        <v>0</v>
      </c>
      <c r="N506" s="114">
        <f t="shared" si="16"/>
        <v>0</v>
      </c>
      <c r="O506" s="114">
        <f t="shared" si="16"/>
        <v>0</v>
      </c>
      <c r="P506" s="114">
        <f t="shared" si="16"/>
        <v>0</v>
      </c>
      <c r="Q506" s="114">
        <f t="shared" si="16"/>
        <v>0</v>
      </c>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4"/>
      <c r="BE506" s="104"/>
      <c r="BF506" s="104"/>
      <c r="BG506" s="104"/>
      <c r="BH506" s="104"/>
      <c r="BI506" s="104"/>
      <c r="BJ506" s="104"/>
      <c r="BK506" s="12"/>
      <c r="BL506" s="12"/>
    </row>
    <row r="507" spans="1:64" hidden="1" outlineLevel="1">
      <c r="A507" s="9"/>
      <c r="B507" s="9"/>
      <c r="C507" s="44"/>
      <c r="D507" s="278" t="str">
        <f>Asset6</f>
        <v>Other - IT</v>
      </c>
      <c r="E507" s="9"/>
      <c r="F507" s="9"/>
      <c r="G507" s="210">
        <f>'Adjustment for previous period'!G371</f>
        <v>4.7021850436574333</v>
      </c>
      <c r="H507" s="114">
        <f t="shared" ref="H507:Q507" si="17">H17*H$7</f>
        <v>0</v>
      </c>
      <c r="I507" s="114">
        <f t="shared" si="17"/>
        <v>-5.2660683986113562E-3</v>
      </c>
      <c r="J507" s="114">
        <f t="shared" si="17"/>
        <v>0</v>
      </c>
      <c r="K507" s="114">
        <f t="shared" si="17"/>
        <v>0</v>
      </c>
      <c r="L507" s="114">
        <f t="shared" si="17"/>
        <v>0</v>
      </c>
      <c r="M507" s="114">
        <f t="shared" si="17"/>
        <v>0</v>
      </c>
      <c r="N507" s="114">
        <f t="shared" si="17"/>
        <v>0</v>
      </c>
      <c r="O507" s="114">
        <f t="shared" si="17"/>
        <v>0</v>
      </c>
      <c r="P507" s="114">
        <f t="shared" si="17"/>
        <v>0</v>
      </c>
      <c r="Q507" s="114">
        <f t="shared" si="17"/>
        <v>0</v>
      </c>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4"/>
      <c r="BE507" s="104"/>
      <c r="BF507" s="104"/>
      <c r="BG507" s="104"/>
      <c r="BH507" s="104"/>
      <c r="BI507" s="104"/>
      <c r="BJ507" s="104"/>
      <c r="BK507" s="12"/>
      <c r="BL507" s="12"/>
    </row>
    <row r="508" spans="1:64" hidden="1" outlineLevel="1">
      <c r="A508" s="9"/>
      <c r="B508" s="9"/>
      <c r="C508" s="44"/>
      <c r="D508" s="278" t="str">
        <f>Asset7</f>
        <v>Other - General</v>
      </c>
      <c r="E508" s="9"/>
      <c r="F508" s="9"/>
      <c r="G508" s="210">
        <f>'Adjustment for previous period'!G372</f>
        <v>0</v>
      </c>
      <c r="H508" s="114">
        <f t="shared" ref="H508:Q508" si="18">H18*H$7</f>
        <v>0</v>
      </c>
      <c r="I508" s="114">
        <f t="shared" si="18"/>
        <v>0</v>
      </c>
      <c r="J508" s="114">
        <f t="shared" si="18"/>
        <v>0</v>
      </c>
      <c r="K508" s="114">
        <f t="shared" si="18"/>
        <v>0</v>
      </c>
      <c r="L508" s="114">
        <f t="shared" si="18"/>
        <v>0</v>
      </c>
      <c r="M508" s="114">
        <f t="shared" si="18"/>
        <v>0</v>
      </c>
      <c r="N508" s="114">
        <f t="shared" si="18"/>
        <v>0</v>
      </c>
      <c r="O508" s="114">
        <f t="shared" si="18"/>
        <v>0</v>
      </c>
      <c r="P508" s="114">
        <f t="shared" si="18"/>
        <v>0</v>
      </c>
      <c r="Q508" s="114">
        <f t="shared" si="18"/>
        <v>0</v>
      </c>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4"/>
      <c r="BE508" s="104"/>
      <c r="BF508" s="104"/>
      <c r="BG508" s="104"/>
      <c r="BH508" s="104"/>
      <c r="BI508" s="104"/>
      <c r="BJ508" s="104"/>
      <c r="BK508" s="12"/>
      <c r="BL508" s="12"/>
    </row>
    <row r="509" spans="1:64" hidden="1" outlineLevel="1">
      <c r="A509" s="9"/>
      <c r="B509" s="9"/>
      <c r="C509" s="44"/>
      <c r="D509" s="278" t="str">
        <f>Asset8</f>
        <v>Other - Buildings</v>
      </c>
      <c r="E509" s="9"/>
      <c r="F509" s="9"/>
      <c r="G509" s="210">
        <f>'Adjustment for previous period'!G373</f>
        <v>3.149271747091551</v>
      </c>
      <c r="H509" s="114">
        <f t="shared" ref="H509:Q509" si="19">H19*H$7</f>
        <v>0</v>
      </c>
      <c r="I509" s="114">
        <f t="shared" si="19"/>
        <v>0</v>
      </c>
      <c r="J509" s="114">
        <f t="shared" si="19"/>
        <v>0</v>
      </c>
      <c r="K509" s="114">
        <f t="shared" si="19"/>
        <v>0</v>
      </c>
      <c r="L509" s="114">
        <f t="shared" si="19"/>
        <v>0</v>
      </c>
      <c r="M509" s="114">
        <f t="shared" si="19"/>
        <v>0</v>
      </c>
      <c r="N509" s="114">
        <f t="shared" si="19"/>
        <v>0</v>
      </c>
      <c r="O509" s="114">
        <f t="shared" si="19"/>
        <v>0</v>
      </c>
      <c r="P509" s="114">
        <f t="shared" si="19"/>
        <v>0</v>
      </c>
      <c r="Q509" s="114">
        <f t="shared" si="19"/>
        <v>0</v>
      </c>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4"/>
      <c r="BE509" s="104"/>
      <c r="BF509" s="104"/>
      <c r="BG509" s="104"/>
      <c r="BH509" s="104"/>
      <c r="BI509" s="104"/>
      <c r="BJ509" s="104"/>
      <c r="BK509" s="12"/>
      <c r="BL509" s="12"/>
    </row>
    <row r="510" spans="1:64" hidden="1" outlineLevel="1">
      <c r="A510" s="9"/>
      <c r="B510" s="9"/>
      <c r="C510" s="44"/>
      <c r="D510" s="278" t="str">
        <f>Asset9</f>
        <v>Land and Easements</v>
      </c>
      <c r="E510" s="9"/>
      <c r="F510" s="9"/>
      <c r="G510" s="210">
        <f>'Adjustment for previous period'!G374</f>
        <v>1.0673675182676838E-2</v>
      </c>
      <c r="H510" s="114">
        <f t="shared" ref="H510:Q510" si="20">H20*H$7</f>
        <v>0</v>
      </c>
      <c r="I510" s="114">
        <f t="shared" si="20"/>
        <v>0</v>
      </c>
      <c r="J510" s="114">
        <f t="shared" si="20"/>
        <v>0</v>
      </c>
      <c r="K510" s="114">
        <f t="shared" si="20"/>
        <v>0</v>
      </c>
      <c r="L510" s="114">
        <f t="shared" si="20"/>
        <v>0</v>
      </c>
      <c r="M510" s="114">
        <f t="shared" si="20"/>
        <v>0</v>
      </c>
      <c r="N510" s="114">
        <f t="shared" si="20"/>
        <v>0</v>
      </c>
      <c r="O510" s="114">
        <f t="shared" si="20"/>
        <v>0</v>
      </c>
      <c r="P510" s="114">
        <f t="shared" si="20"/>
        <v>0</v>
      </c>
      <c r="Q510" s="114">
        <f t="shared" si="20"/>
        <v>0</v>
      </c>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4"/>
      <c r="BE510" s="104"/>
      <c r="BF510" s="104"/>
      <c r="BG510" s="104"/>
      <c r="BH510" s="104"/>
      <c r="BI510" s="104"/>
      <c r="BJ510" s="104"/>
      <c r="BK510" s="12"/>
      <c r="BL510" s="12"/>
    </row>
    <row r="511" spans="1:64" hidden="1" outlineLevel="1">
      <c r="A511" s="9"/>
      <c r="B511" s="9"/>
      <c r="C511" s="44"/>
      <c r="D511" s="278" t="str">
        <f>Asset10</f>
        <v>Transmission line assets - long life (60)</v>
      </c>
      <c r="E511" s="9"/>
      <c r="F511" s="9"/>
      <c r="G511" s="210">
        <f>'Adjustment for previous period'!G375</f>
        <v>0</v>
      </c>
      <c r="H511" s="114">
        <f t="shared" ref="H511:Q511" si="21">H21*H$7</f>
        <v>63.844736592103978</v>
      </c>
      <c r="I511" s="114">
        <f t="shared" si="21"/>
        <v>30.374682523190305</v>
      </c>
      <c r="J511" s="114">
        <f t="shared" si="21"/>
        <v>18.076206389454747</v>
      </c>
      <c r="K511" s="114">
        <f t="shared" si="21"/>
        <v>20.811585798922184</v>
      </c>
      <c r="L511" s="114">
        <f t="shared" si="21"/>
        <v>25.429844672359192</v>
      </c>
      <c r="M511" s="114">
        <f t="shared" si="21"/>
        <v>0</v>
      </c>
      <c r="N511" s="114">
        <f t="shared" si="21"/>
        <v>0</v>
      </c>
      <c r="O511" s="114">
        <f t="shared" si="21"/>
        <v>0</v>
      </c>
      <c r="P511" s="114">
        <f t="shared" si="21"/>
        <v>0</v>
      </c>
      <c r="Q511" s="114">
        <f t="shared" si="21"/>
        <v>0</v>
      </c>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4"/>
      <c r="BE511" s="104"/>
      <c r="BF511" s="104"/>
      <c r="BG511" s="104"/>
      <c r="BH511" s="104"/>
      <c r="BI511" s="104"/>
      <c r="BJ511" s="104"/>
      <c r="BK511" s="12"/>
      <c r="BL511" s="12"/>
    </row>
    <row r="512" spans="1:64" hidden="1" outlineLevel="1">
      <c r="A512" s="9"/>
      <c r="B512" s="9"/>
      <c r="C512" s="44"/>
      <c r="D512" s="278" t="str">
        <f>Asset11</f>
        <v>Transmission line assets - medium life (45)</v>
      </c>
      <c r="E512" s="9"/>
      <c r="F512" s="9"/>
      <c r="G512" s="210">
        <f>'Adjustment for previous period'!G376</f>
        <v>0</v>
      </c>
      <c r="H512" s="114">
        <f t="shared" ref="H512:Q512" si="22">H22*H$7</f>
        <v>0.73565951628761772</v>
      </c>
      <c r="I512" s="114">
        <f t="shared" si="22"/>
        <v>5.276600535408579</v>
      </c>
      <c r="J512" s="114">
        <f t="shared" si="22"/>
        <v>13.512773580562936</v>
      </c>
      <c r="K512" s="114">
        <f t="shared" si="22"/>
        <v>1.4580697711946486</v>
      </c>
      <c r="L512" s="114">
        <f t="shared" si="22"/>
        <v>0.17660151023258094</v>
      </c>
      <c r="M512" s="114">
        <f t="shared" si="22"/>
        <v>0</v>
      </c>
      <c r="N512" s="114">
        <f t="shared" si="22"/>
        <v>0</v>
      </c>
      <c r="O512" s="114">
        <f t="shared" si="22"/>
        <v>0</v>
      </c>
      <c r="P512" s="114">
        <f t="shared" si="22"/>
        <v>0</v>
      </c>
      <c r="Q512" s="114">
        <f t="shared" si="22"/>
        <v>0</v>
      </c>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4"/>
      <c r="BE512" s="104"/>
      <c r="BF512" s="104"/>
      <c r="BG512" s="104"/>
      <c r="BH512" s="104"/>
      <c r="BI512" s="104"/>
      <c r="BJ512" s="104"/>
      <c r="BK512" s="12"/>
      <c r="BL512" s="12"/>
    </row>
    <row r="513" spans="1:64" hidden="1" outlineLevel="1">
      <c r="A513" s="9"/>
      <c r="B513" s="9"/>
      <c r="C513" s="44"/>
      <c r="D513" s="278" t="str">
        <f>Asset12</f>
        <v>Transmission line assets - short life (10)</v>
      </c>
      <c r="E513" s="9"/>
      <c r="F513" s="9"/>
      <c r="G513" s="210">
        <f>'Adjustment for previous period'!G377</f>
        <v>0</v>
      </c>
      <c r="H513" s="114">
        <f t="shared" ref="H513:Q513" si="23">H23*H$7</f>
        <v>4.7292397475632573</v>
      </c>
      <c r="I513" s="114">
        <f t="shared" si="23"/>
        <v>2.496116420941783</v>
      </c>
      <c r="J513" s="114">
        <f t="shared" si="23"/>
        <v>1.4306414069065863</v>
      </c>
      <c r="K513" s="114">
        <f t="shared" si="23"/>
        <v>2.1399009591633695</v>
      </c>
      <c r="L513" s="114">
        <f t="shared" si="23"/>
        <v>2.3382108201111671</v>
      </c>
      <c r="M513" s="114">
        <f t="shared" si="23"/>
        <v>0</v>
      </c>
      <c r="N513" s="114">
        <f t="shared" si="23"/>
        <v>0</v>
      </c>
      <c r="O513" s="114">
        <f t="shared" si="23"/>
        <v>0</v>
      </c>
      <c r="P513" s="114">
        <f t="shared" si="23"/>
        <v>0</v>
      </c>
      <c r="Q513" s="114">
        <f t="shared" si="23"/>
        <v>0</v>
      </c>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4"/>
      <c r="BE513" s="104"/>
      <c r="BF513" s="104"/>
      <c r="BG513" s="104"/>
      <c r="BH513" s="104"/>
      <c r="BI513" s="104"/>
      <c r="BJ513" s="104"/>
      <c r="BK513" s="12"/>
      <c r="BL513" s="12"/>
    </row>
    <row r="514" spans="1:64" hidden="1" outlineLevel="1">
      <c r="A514" s="9"/>
      <c r="B514" s="9"/>
      <c r="C514" s="44"/>
      <c r="D514" s="278" t="str">
        <f>Asset13</f>
        <v>Substation assets - long life (60)</v>
      </c>
      <c r="E514" s="9"/>
      <c r="F514" s="9"/>
      <c r="G514" s="210">
        <f>'Adjustment for previous period'!G378</f>
        <v>0</v>
      </c>
      <c r="H514" s="114">
        <f t="shared" ref="H514:Q514" si="24">H24*H$7</f>
        <v>9.2167627969177257</v>
      </c>
      <c r="I514" s="114">
        <f t="shared" si="24"/>
        <v>13.017721081367274</v>
      </c>
      <c r="J514" s="114">
        <f t="shared" si="24"/>
        <v>15.340235231720985</v>
      </c>
      <c r="K514" s="114">
        <f t="shared" si="24"/>
        <v>10.793912191074055</v>
      </c>
      <c r="L514" s="114">
        <f t="shared" si="24"/>
        <v>11.276449240300483</v>
      </c>
      <c r="M514" s="114">
        <f t="shared" si="24"/>
        <v>0</v>
      </c>
      <c r="N514" s="114">
        <f t="shared" si="24"/>
        <v>0</v>
      </c>
      <c r="O514" s="114">
        <f t="shared" si="24"/>
        <v>0</v>
      </c>
      <c r="P514" s="114">
        <f t="shared" si="24"/>
        <v>0</v>
      </c>
      <c r="Q514" s="114">
        <f t="shared" si="24"/>
        <v>0</v>
      </c>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4"/>
      <c r="BE514" s="104"/>
      <c r="BF514" s="104"/>
      <c r="BG514" s="104"/>
      <c r="BH514" s="104"/>
      <c r="BI514" s="104"/>
      <c r="BJ514" s="104"/>
      <c r="BK514" s="12"/>
      <c r="BL514" s="12"/>
    </row>
    <row r="515" spans="1:64" hidden="1" outlineLevel="1">
      <c r="A515" s="9"/>
      <c r="B515" s="9"/>
      <c r="C515" s="44"/>
      <c r="D515" s="278" t="str">
        <f>Asset14</f>
        <v>Substation assets - medium life (45)</v>
      </c>
      <c r="E515" s="9"/>
      <c r="F515" s="9"/>
      <c r="G515" s="210">
        <f>'Adjustment for previous period'!G379</f>
        <v>0</v>
      </c>
      <c r="H515" s="114">
        <f t="shared" ref="H515:Q515" si="25">H25*H$7</f>
        <v>27.093289042706839</v>
      </c>
      <c r="I515" s="114">
        <f t="shared" si="25"/>
        <v>35.072015534751628</v>
      </c>
      <c r="J515" s="114">
        <f t="shared" si="25"/>
        <v>36.747643145286681</v>
      </c>
      <c r="K515" s="114">
        <f t="shared" si="25"/>
        <v>28.77327613228001</v>
      </c>
      <c r="L515" s="114">
        <f t="shared" si="25"/>
        <v>24.48635230970886</v>
      </c>
      <c r="M515" s="114">
        <f t="shared" si="25"/>
        <v>0</v>
      </c>
      <c r="N515" s="114">
        <f t="shared" si="25"/>
        <v>0</v>
      </c>
      <c r="O515" s="114">
        <f t="shared" si="25"/>
        <v>0</v>
      </c>
      <c r="P515" s="114">
        <f t="shared" si="25"/>
        <v>0</v>
      </c>
      <c r="Q515" s="114">
        <f t="shared" si="25"/>
        <v>0</v>
      </c>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4"/>
      <c r="BE515" s="104"/>
      <c r="BF515" s="104"/>
      <c r="BG515" s="104"/>
      <c r="BH515" s="104"/>
      <c r="BI515" s="104"/>
      <c r="BJ515" s="104"/>
      <c r="BK515" s="12"/>
      <c r="BL515" s="12"/>
    </row>
    <row r="516" spans="1:64" hidden="1" outlineLevel="1">
      <c r="A516" s="9"/>
      <c r="B516" s="9"/>
      <c r="C516" s="44"/>
      <c r="D516" s="278" t="str">
        <f>Asset15</f>
        <v>Substation assets - short life (15)</v>
      </c>
      <c r="E516" s="9"/>
      <c r="F516" s="9"/>
      <c r="G516" s="210">
        <f>'Adjustment for previous period'!G380</f>
        <v>0</v>
      </c>
      <c r="H516" s="114">
        <f t="shared" ref="H516:Q516" si="26">H26*H$7</f>
        <v>3.8149200630343612</v>
      </c>
      <c r="I516" s="114">
        <f t="shared" si="26"/>
        <v>2.8436769352501328</v>
      </c>
      <c r="J516" s="114">
        <f t="shared" si="26"/>
        <v>3.0910208499587553</v>
      </c>
      <c r="K516" s="114">
        <f t="shared" si="26"/>
        <v>2.7692835942114198</v>
      </c>
      <c r="L516" s="114">
        <f t="shared" si="26"/>
        <v>5.4675372512194214</v>
      </c>
      <c r="M516" s="114">
        <f t="shared" si="26"/>
        <v>0</v>
      </c>
      <c r="N516" s="114">
        <f t="shared" si="26"/>
        <v>0</v>
      </c>
      <c r="O516" s="114">
        <f t="shared" si="26"/>
        <v>0</v>
      </c>
      <c r="P516" s="114">
        <f t="shared" si="26"/>
        <v>0</v>
      </c>
      <c r="Q516" s="114">
        <f t="shared" si="26"/>
        <v>0</v>
      </c>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4"/>
      <c r="BE516" s="104"/>
      <c r="BF516" s="104"/>
      <c r="BG516" s="104"/>
      <c r="BH516" s="104"/>
      <c r="BI516" s="104"/>
      <c r="BJ516" s="104"/>
      <c r="BK516" s="12"/>
      <c r="BL516" s="12"/>
    </row>
    <row r="517" spans="1:64" hidden="1" outlineLevel="1">
      <c r="A517" s="9"/>
      <c r="B517" s="9"/>
      <c r="C517" s="44"/>
      <c r="D517" s="278" t="str">
        <f>Asset16</f>
        <v>Protection and control - short life (15)</v>
      </c>
      <c r="E517" s="9"/>
      <c r="F517" s="9"/>
      <c r="G517" s="210">
        <f>'Adjustment for previous period'!G381</f>
        <v>0</v>
      </c>
      <c r="H517" s="114">
        <f t="shared" ref="H517:Q517" si="27">H27*H$7</f>
        <v>12.474683511905747</v>
      </c>
      <c r="I517" s="114">
        <f t="shared" si="27"/>
        <v>14.766055789706243</v>
      </c>
      <c r="J517" s="114">
        <f t="shared" si="27"/>
        <v>30.85903957335513</v>
      </c>
      <c r="K517" s="114">
        <f t="shared" si="27"/>
        <v>17.276553332068968</v>
      </c>
      <c r="L517" s="114">
        <f t="shared" si="27"/>
        <v>14.605535349199268</v>
      </c>
      <c r="M517" s="114">
        <f t="shared" si="27"/>
        <v>0</v>
      </c>
      <c r="N517" s="114">
        <f t="shared" si="27"/>
        <v>0</v>
      </c>
      <c r="O517" s="114">
        <f t="shared" si="27"/>
        <v>0</v>
      </c>
      <c r="P517" s="114">
        <f t="shared" si="27"/>
        <v>0</v>
      </c>
      <c r="Q517" s="114">
        <f t="shared" si="27"/>
        <v>0</v>
      </c>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4"/>
      <c r="BE517" s="104"/>
      <c r="BF517" s="104"/>
      <c r="BG517" s="104"/>
      <c r="BH517" s="104"/>
      <c r="BI517" s="104"/>
      <c r="BJ517" s="104"/>
      <c r="BK517" s="12"/>
      <c r="BL517" s="12"/>
    </row>
    <row r="518" spans="1:64" hidden="1" outlineLevel="1">
      <c r="A518" s="9"/>
      <c r="B518" s="9"/>
      <c r="C518" s="44"/>
      <c r="D518" s="278" t="str">
        <f>Asset17</f>
        <v>Protection and control - short life (4)</v>
      </c>
      <c r="E518" s="9"/>
      <c r="F518" s="9"/>
      <c r="G518" s="210">
        <f>'Adjustment for previous period'!G382</f>
        <v>0</v>
      </c>
      <c r="H518" s="114">
        <f t="shared" ref="H518:Q518" si="28">H28*H$7</f>
        <v>0.26273554153129208</v>
      </c>
      <c r="I518" s="114">
        <f t="shared" si="28"/>
        <v>0.38968906149724036</v>
      </c>
      <c r="J518" s="114">
        <f t="shared" si="28"/>
        <v>0.99205061062865463</v>
      </c>
      <c r="K518" s="114">
        <f t="shared" si="28"/>
        <v>0</v>
      </c>
      <c r="L518" s="114">
        <f t="shared" si="28"/>
        <v>0</v>
      </c>
      <c r="M518" s="114">
        <f t="shared" si="28"/>
        <v>0</v>
      </c>
      <c r="N518" s="114">
        <f t="shared" si="28"/>
        <v>0</v>
      </c>
      <c r="O518" s="114">
        <f t="shared" si="28"/>
        <v>0</v>
      </c>
      <c r="P518" s="114">
        <f t="shared" si="28"/>
        <v>0</v>
      </c>
      <c r="Q518" s="114">
        <f t="shared" si="28"/>
        <v>0</v>
      </c>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4"/>
      <c r="BE518" s="104"/>
      <c r="BF518" s="104"/>
      <c r="BG518" s="104"/>
      <c r="BH518" s="104"/>
      <c r="BI518" s="104"/>
      <c r="BJ518" s="104"/>
      <c r="BK518" s="12"/>
      <c r="BL518" s="12"/>
    </row>
    <row r="519" spans="1:64" hidden="1" outlineLevel="1">
      <c r="A519" s="9"/>
      <c r="B519" s="9"/>
      <c r="C519" s="44"/>
      <c r="D519" s="278" t="str">
        <f>Asset18</f>
        <v>Transmission operations - short life (10)</v>
      </c>
      <c r="E519" s="9"/>
      <c r="F519" s="9"/>
      <c r="G519" s="210">
        <f>'Adjustment for previous period'!G383</f>
        <v>0</v>
      </c>
      <c r="H519" s="114">
        <f t="shared" ref="H519:Q519" si="29">H29*H$7</f>
        <v>1.2611305993502018</v>
      </c>
      <c r="I519" s="114">
        <f t="shared" si="29"/>
        <v>2.1380237698362108</v>
      </c>
      <c r="J519" s="114">
        <f t="shared" si="29"/>
        <v>2.1929539813896577</v>
      </c>
      <c r="K519" s="114">
        <f t="shared" si="29"/>
        <v>2.1294112485792351</v>
      </c>
      <c r="L519" s="114">
        <f t="shared" si="29"/>
        <v>0.92089198929964999</v>
      </c>
      <c r="M519" s="114">
        <f t="shared" si="29"/>
        <v>0</v>
      </c>
      <c r="N519" s="114">
        <f t="shared" si="29"/>
        <v>0</v>
      </c>
      <c r="O519" s="114">
        <f t="shared" si="29"/>
        <v>0</v>
      </c>
      <c r="P519" s="114">
        <f t="shared" si="29"/>
        <v>0</v>
      </c>
      <c r="Q519" s="114">
        <f t="shared" si="29"/>
        <v>0</v>
      </c>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4"/>
      <c r="BE519" s="104"/>
      <c r="BF519" s="104"/>
      <c r="BG519" s="104"/>
      <c r="BH519" s="104"/>
      <c r="BI519" s="104"/>
      <c r="BJ519" s="104"/>
      <c r="BK519" s="12"/>
      <c r="BL519" s="12"/>
    </row>
    <row r="520" spans="1:64" hidden="1" outlineLevel="1">
      <c r="A520" s="9"/>
      <c r="B520" s="9"/>
      <c r="C520" s="44"/>
      <c r="D520" s="278" t="str">
        <f>Asset19</f>
        <v>Transmission operations - short life (4)</v>
      </c>
      <c r="E520" s="9"/>
      <c r="F520" s="9"/>
      <c r="G520" s="210">
        <f>'Adjustment for previous period'!G384</f>
        <v>0</v>
      </c>
      <c r="H520" s="114">
        <f t="shared" ref="H520:Q520" si="30">H30*H$7</f>
        <v>1.0509421661251683E-2</v>
      </c>
      <c r="I520" s="114">
        <f t="shared" si="30"/>
        <v>0</v>
      </c>
      <c r="J520" s="114">
        <f t="shared" si="30"/>
        <v>0.14619693209264387</v>
      </c>
      <c r="K520" s="114">
        <f t="shared" si="30"/>
        <v>0</v>
      </c>
      <c r="L520" s="114">
        <f t="shared" si="30"/>
        <v>0</v>
      </c>
      <c r="M520" s="114">
        <f t="shared" si="30"/>
        <v>0</v>
      </c>
      <c r="N520" s="114">
        <f t="shared" si="30"/>
        <v>0</v>
      </c>
      <c r="O520" s="114">
        <f t="shared" si="30"/>
        <v>0</v>
      </c>
      <c r="P520" s="114">
        <f t="shared" si="30"/>
        <v>0</v>
      </c>
      <c r="Q520" s="114">
        <f t="shared" si="30"/>
        <v>0</v>
      </c>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4"/>
      <c r="BE520" s="104"/>
      <c r="BF520" s="104"/>
      <c r="BG520" s="104"/>
      <c r="BH520" s="104"/>
      <c r="BI520" s="104"/>
      <c r="BJ520" s="104"/>
      <c r="BK520" s="12"/>
      <c r="BL520" s="12"/>
    </row>
    <row r="521" spans="1:64" hidden="1" outlineLevel="1">
      <c r="A521" s="9"/>
      <c r="B521" s="9"/>
      <c r="C521" s="44"/>
      <c r="D521" s="278" t="str">
        <f>Asset20</f>
        <v>Other - medium life (40)</v>
      </c>
      <c r="E521" s="9"/>
      <c r="F521" s="9"/>
      <c r="G521" s="210">
        <f>'Adjustment for previous period'!G385</f>
        <v>0</v>
      </c>
      <c r="H521" s="114">
        <f>H31*H$7</f>
        <v>11.570873249038103</v>
      </c>
      <c r="I521" s="114">
        <f t="shared" ref="I521:Q521" si="31">I31*I$7</f>
        <v>9.8580800422004593</v>
      </c>
      <c r="J521" s="114">
        <f t="shared" si="31"/>
        <v>0.71949775865594012</v>
      </c>
      <c r="K521" s="114">
        <f t="shared" si="31"/>
        <v>0.22028392226681745</v>
      </c>
      <c r="L521" s="114">
        <f t="shared" si="31"/>
        <v>2.5582728157446906</v>
      </c>
      <c r="M521" s="114">
        <f t="shared" si="31"/>
        <v>0</v>
      </c>
      <c r="N521" s="114">
        <f t="shared" si="31"/>
        <v>0</v>
      </c>
      <c r="O521" s="114">
        <f t="shared" si="31"/>
        <v>0</v>
      </c>
      <c r="P521" s="114">
        <f t="shared" si="31"/>
        <v>0</v>
      </c>
      <c r="Q521" s="114">
        <f t="shared" si="31"/>
        <v>0</v>
      </c>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4"/>
      <c r="BE521" s="104"/>
      <c r="BF521" s="104"/>
      <c r="BG521" s="104"/>
      <c r="BH521" s="104"/>
      <c r="BI521" s="104"/>
      <c r="BJ521" s="104"/>
      <c r="BK521" s="12"/>
      <c r="BL521" s="12"/>
    </row>
    <row r="522" spans="1:64" hidden="1" outlineLevel="1">
      <c r="A522" s="9"/>
      <c r="B522" s="9"/>
      <c r="C522" s="44"/>
      <c r="D522" s="278" t="str">
        <f>Asset21</f>
        <v>Other - short life (9)</v>
      </c>
      <c r="E522" s="9"/>
      <c r="F522" s="9"/>
      <c r="G522" s="210">
        <f>'Adjustment for previous period'!G386</f>
        <v>0</v>
      </c>
      <c r="H522" s="114">
        <f t="shared" ref="H522:Q530" si="32">H32*H$7</f>
        <v>0.39935802312756402</v>
      </c>
      <c r="I522" s="114">
        <f t="shared" si="32"/>
        <v>0.50554256626669025</v>
      </c>
      <c r="J522" s="114">
        <f t="shared" si="32"/>
        <v>0.72263055005792542</v>
      </c>
      <c r="K522" s="114">
        <f t="shared" si="32"/>
        <v>0.21503906697475039</v>
      </c>
      <c r="L522" s="114">
        <f t="shared" si="32"/>
        <v>0.52876307226373143</v>
      </c>
      <c r="M522" s="114">
        <f>M32*M$7</f>
        <v>0</v>
      </c>
      <c r="N522" s="114">
        <f>N32*N$7</f>
        <v>0</v>
      </c>
      <c r="O522" s="114">
        <f>O32*O$7</f>
        <v>0</v>
      </c>
      <c r="P522" s="114">
        <f>P32*P$7</f>
        <v>0</v>
      </c>
      <c r="Q522" s="114">
        <f>Q32*Q$7</f>
        <v>0</v>
      </c>
      <c r="R522" s="29"/>
      <c r="S522" s="104"/>
      <c r="T522" s="104"/>
      <c r="U522" s="104"/>
      <c r="V522" s="104"/>
      <c r="W522" s="104"/>
      <c r="X522" s="104"/>
      <c r="Y522" s="104"/>
      <c r="Z522" s="104"/>
      <c r="AA522" s="235"/>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4"/>
      <c r="BE522" s="104"/>
      <c r="BF522" s="104"/>
      <c r="BG522" s="104"/>
      <c r="BH522" s="104"/>
      <c r="BI522" s="104"/>
      <c r="BJ522" s="104"/>
      <c r="BK522" s="12"/>
      <c r="BL522" s="12"/>
    </row>
    <row r="523" spans="1:64" hidden="1" outlineLevel="1">
      <c r="A523" s="9"/>
      <c r="B523" s="9"/>
      <c r="C523" s="44"/>
      <c r="D523" s="278" t="str">
        <f>Asset22</f>
        <v>Other - short life (4)</v>
      </c>
      <c r="E523" s="9"/>
      <c r="F523" s="9"/>
      <c r="G523" s="210">
        <f>'Adjustment for previous period'!G387</f>
        <v>0</v>
      </c>
      <c r="H523" s="114">
        <f t="shared" si="32"/>
        <v>3.1107888117304978</v>
      </c>
      <c r="I523" s="114">
        <f t="shared" si="32"/>
        <v>3.5556493827423874</v>
      </c>
      <c r="J523" s="114">
        <f t="shared" si="32"/>
        <v>4.9498104151366569</v>
      </c>
      <c r="K523" s="114">
        <f t="shared" si="32"/>
        <v>2.0350038533220278</v>
      </c>
      <c r="L523" s="114">
        <f t="shared" si="32"/>
        <v>2.318069767356294</v>
      </c>
      <c r="M523" s="114">
        <f t="shared" si="32"/>
        <v>0</v>
      </c>
      <c r="N523" s="114">
        <f t="shared" si="32"/>
        <v>0</v>
      </c>
      <c r="O523" s="114">
        <f t="shared" si="32"/>
        <v>0</v>
      </c>
      <c r="P523" s="114">
        <f t="shared" si="32"/>
        <v>0</v>
      </c>
      <c r="Q523" s="114">
        <f t="shared" si="32"/>
        <v>0</v>
      </c>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4"/>
      <c r="BE523" s="104"/>
      <c r="BF523" s="104"/>
      <c r="BG523" s="104"/>
      <c r="BH523" s="104"/>
      <c r="BI523" s="104"/>
      <c r="BJ523" s="104"/>
      <c r="BK523" s="12"/>
      <c r="BL523" s="12"/>
    </row>
    <row r="524" spans="1:64" hidden="1" outlineLevel="1">
      <c r="A524" s="9"/>
      <c r="B524" s="9"/>
      <c r="C524" s="44"/>
      <c r="D524" s="278" t="str">
        <f>Asset23</f>
        <v>Land and Easements</v>
      </c>
      <c r="E524" s="9"/>
      <c r="F524" s="9"/>
      <c r="G524" s="210">
        <f>'Adjustment for previous period'!G388</f>
        <v>0</v>
      </c>
      <c r="H524" s="114">
        <f t="shared" si="32"/>
        <v>0.55699934804633922</v>
      </c>
      <c r="I524" s="114">
        <f t="shared" si="32"/>
        <v>1.4007741940306209</v>
      </c>
      <c r="J524" s="114">
        <f t="shared" si="32"/>
        <v>2.4049395329239913</v>
      </c>
      <c r="K524" s="114">
        <f t="shared" si="32"/>
        <v>0.66085176680045243</v>
      </c>
      <c r="L524" s="114">
        <f t="shared" si="32"/>
        <v>1.2887464849738366</v>
      </c>
      <c r="M524" s="114">
        <f t="shared" si="32"/>
        <v>0</v>
      </c>
      <c r="N524" s="114">
        <f t="shared" si="32"/>
        <v>0</v>
      </c>
      <c r="O524" s="114">
        <f t="shared" si="32"/>
        <v>0</v>
      </c>
      <c r="P524" s="114">
        <f t="shared" si="32"/>
        <v>0</v>
      </c>
      <c r="Q524" s="114">
        <f t="shared" si="32"/>
        <v>0</v>
      </c>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4"/>
      <c r="BE524" s="104"/>
      <c r="BF524" s="104"/>
      <c r="BG524" s="104"/>
      <c r="BH524" s="104"/>
      <c r="BI524" s="104"/>
      <c r="BJ524" s="104"/>
      <c r="BK524" s="12"/>
      <c r="BL524" s="12"/>
    </row>
    <row r="525" spans="1:64" hidden="1" outlineLevel="1">
      <c r="A525" s="9"/>
      <c r="B525" s="9"/>
      <c r="C525" s="44"/>
      <c r="D525" s="278" t="str">
        <f>Asset24</f>
        <v>Equity Raising</v>
      </c>
      <c r="E525" s="9"/>
      <c r="F525" s="9"/>
      <c r="G525" s="210">
        <f>'Adjustment for previous period'!G389</f>
        <v>0</v>
      </c>
      <c r="H525" s="114">
        <f t="shared" si="32"/>
        <v>0.44485041313161061</v>
      </c>
      <c r="I525" s="114">
        <f t="shared" si="32"/>
        <v>0</v>
      </c>
      <c r="J525" s="114">
        <f t="shared" si="32"/>
        <v>0</v>
      </c>
      <c r="K525" s="114">
        <f t="shared" si="32"/>
        <v>0</v>
      </c>
      <c r="L525" s="114">
        <f t="shared" si="32"/>
        <v>0</v>
      </c>
      <c r="M525" s="114">
        <f t="shared" si="32"/>
        <v>0</v>
      </c>
      <c r="N525" s="114">
        <f t="shared" si="32"/>
        <v>0</v>
      </c>
      <c r="O525" s="114">
        <f t="shared" si="32"/>
        <v>0</v>
      </c>
      <c r="P525" s="114">
        <f t="shared" si="32"/>
        <v>0</v>
      </c>
      <c r="Q525" s="114">
        <f t="shared" si="32"/>
        <v>0</v>
      </c>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4"/>
      <c r="BE525" s="104"/>
      <c r="BF525" s="104"/>
      <c r="BG525" s="104"/>
      <c r="BH525" s="104"/>
      <c r="BI525" s="104"/>
      <c r="BJ525" s="104"/>
      <c r="BK525" s="12"/>
      <c r="BL525" s="12"/>
    </row>
    <row r="526" spans="1:64" hidden="1" outlineLevel="1">
      <c r="A526" s="9"/>
      <c r="B526" s="9"/>
      <c r="C526" s="44"/>
      <c r="D526" s="278">
        <f>Asset25</f>
        <v>0</v>
      </c>
      <c r="E526" s="9"/>
      <c r="F526" s="9"/>
      <c r="G526" s="210">
        <f>'Adjustment for previous period'!G390</f>
        <v>0</v>
      </c>
      <c r="H526" s="114">
        <f t="shared" si="32"/>
        <v>0</v>
      </c>
      <c r="I526" s="114">
        <f t="shared" si="32"/>
        <v>0</v>
      </c>
      <c r="J526" s="114">
        <f t="shared" si="32"/>
        <v>0</v>
      </c>
      <c r="K526" s="114">
        <f t="shared" si="32"/>
        <v>0</v>
      </c>
      <c r="L526" s="114">
        <f t="shared" si="32"/>
        <v>0</v>
      </c>
      <c r="M526" s="114">
        <f t="shared" si="32"/>
        <v>0</v>
      </c>
      <c r="N526" s="114">
        <f t="shared" si="32"/>
        <v>0</v>
      </c>
      <c r="O526" s="114">
        <f t="shared" si="32"/>
        <v>0</v>
      </c>
      <c r="P526" s="114">
        <f t="shared" si="32"/>
        <v>0</v>
      </c>
      <c r="Q526" s="114">
        <f t="shared" si="32"/>
        <v>0</v>
      </c>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4"/>
      <c r="BE526" s="104"/>
      <c r="BF526" s="104"/>
      <c r="BG526" s="104"/>
      <c r="BH526" s="104"/>
      <c r="BI526" s="104"/>
      <c r="BJ526" s="104"/>
      <c r="BK526" s="12"/>
      <c r="BL526" s="12"/>
    </row>
    <row r="527" spans="1:64" hidden="1" outlineLevel="1">
      <c r="A527" s="9"/>
      <c r="B527" s="9"/>
      <c r="C527" s="44"/>
      <c r="D527" s="278">
        <f>Asset26</f>
        <v>0</v>
      </c>
      <c r="E527" s="9"/>
      <c r="F527" s="9"/>
      <c r="G527" s="210">
        <f>'Adjustment for previous period'!G391</f>
        <v>0</v>
      </c>
      <c r="H527" s="114">
        <f t="shared" si="32"/>
        <v>0</v>
      </c>
      <c r="I527" s="114">
        <f t="shared" si="32"/>
        <v>0</v>
      </c>
      <c r="J527" s="114">
        <f t="shared" si="32"/>
        <v>0</v>
      </c>
      <c r="K527" s="114">
        <f t="shared" si="32"/>
        <v>0</v>
      </c>
      <c r="L527" s="114">
        <f t="shared" si="32"/>
        <v>0</v>
      </c>
      <c r="M527" s="114">
        <f t="shared" si="32"/>
        <v>0</v>
      </c>
      <c r="N527" s="114">
        <f t="shared" si="32"/>
        <v>0</v>
      </c>
      <c r="O527" s="114">
        <f t="shared" si="32"/>
        <v>0</v>
      </c>
      <c r="P527" s="114">
        <f t="shared" si="32"/>
        <v>0</v>
      </c>
      <c r="Q527" s="114">
        <f t="shared" si="32"/>
        <v>0</v>
      </c>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4"/>
      <c r="BE527" s="104"/>
      <c r="BF527" s="104"/>
      <c r="BG527" s="104"/>
      <c r="BH527" s="104"/>
      <c r="BI527" s="104"/>
      <c r="BJ527" s="104"/>
      <c r="BK527" s="12"/>
      <c r="BL527" s="12"/>
    </row>
    <row r="528" spans="1:64" hidden="1" outlineLevel="1">
      <c r="A528" s="9"/>
      <c r="B528" s="9"/>
      <c r="C528" s="44"/>
      <c r="D528" s="278">
        <f>Asset27</f>
        <v>0</v>
      </c>
      <c r="E528" s="9"/>
      <c r="F528" s="9"/>
      <c r="G528" s="210">
        <f>'Adjustment for previous period'!G392</f>
        <v>0</v>
      </c>
      <c r="H528" s="114">
        <f t="shared" si="32"/>
        <v>0</v>
      </c>
      <c r="I528" s="114">
        <f t="shared" si="32"/>
        <v>0</v>
      </c>
      <c r="J528" s="114">
        <f t="shared" si="32"/>
        <v>0</v>
      </c>
      <c r="K528" s="114">
        <f t="shared" si="32"/>
        <v>0</v>
      </c>
      <c r="L528" s="114">
        <f t="shared" si="32"/>
        <v>0</v>
      </c>
      <c r="M528" s="114">
        <f t="shared" si="32"/>
        <v>0</v>
      </c>
      <c r="N528" s="114">
        <f t="shared" si="32"/>
        <v>0</v>
      </c>
      <c r="O528" s="114">
        <f t="shared" si="32"/>
        <v>0</v>
      </c>
      <c r="P528" s="114">
        <f t="shared" si="32"/>
        <v>0</v>
      </c>
      <c r="Q528" s="114">
        <f t="shared" si="32"/>
        <v>0</v>
      </c>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4"/>
      <c r="BE528" s="104"/>
      <c r="BF528" s="104"/>
      <c r="BG528" s="104"/>
      <c r="BH528" s="104"/>
      <c r="BI528" s="104"/>
      <c r="BJ528" s="104"/>
      <c r="BK528" s="12"/>
      <c r="BL528" s="12"/>
    </row>
    <row r="529" spans="1:64" hidden="1" outlineLevel="1">
      <c r="A529" s="9"/>
      <c r="B529" s="9"/>
      <c r="C529" s="44"/>
      <c r="D529" s="278">
        <f>Asset28</f>
        <v>0</v>
      </c>
      <c r="E529" s="9"/>
      <c r="F529" s="9"/>
      <c r="G529" s="210">
        <f>'Adjustment for previous period'!G393</f>
        <v>0</v>
      </c>
      <c r="H529" s="114">
        <f t="shared" si="32"/>
        <v>0</v>
      </c>
      <c r="I529" s="114">
        <f t="shared" si="32"/>
        <v>0</v>
      </c>
      <c r="J529" s="114">
        <f t="shared" si="32"/>
        <v>0</v>
      </c>
      <c r="K529" s="114">
        <f t="shared" si="32"/>
        <v>0</v>
      </c>
      <c r="L529" s="114">
        <f t="shared" si="32"/>
        <v>0</v>
      </c>
      <c r="M529" s="114">
        <f t="shared" si="32"/>
        <v>0</v>
      </c>
      <c r="N529" s="114">
        <f t="shared" si="32"/>
        <v>0</v>
      </c>
      <c r="O529" s="114">
        <f t="shared" si="32"/>
        <v>0</v>
      </c>
      <c r="P529" s="114">
        <f t="shared" si="32"/>
        <v>0</v>
      </c>
      <c r="Q529" s="114">
        <f t="shared" si="32"/>
        <v>0</v>
      </c>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4"/>
      <c r="BE529" s="104"/>
      <c r="BF529" s="104"/>
      <c r="BG529" s="104"/>
      <c r="BH529" s="104"/>
      <c r="BI529" s="104"/>
      <c r="BJ529" s="104"/>
      <c r="BK529" s="12"/>
      <c r="BL529" s="12"/>
    </row>
    <row r="530" spans="1:64" hidden="1" outlineLevel="1">
      <c r="A530" s="9"/>
      <c r="B530" s="9"/>
      <c r="C530" s="44"/>
      <c r="D530" s="278">
        <f>Asset29</f>
        <v>0</v>
      </c>
      <c r="E530" s="9"/>
      <c r="F530" s="9"/>
      <c r="G530" s="210">
        <f>'Adjustment for previous period'!G394</f>
        <v>0</v>
      </c>
      <c r="H530" s="114">
        <f t="shared" si="32"/>
        <v>0</v>
      </c>
      <c r="I530" s="114">
        <f t="shared" si="32"/>
        <v>0</v>
      </c>
      <c r="J530" s="114">
        <f t="shared" si="32"/>
        <v>0</v>
      </c>
      <c r="K530" s="114">
        <f t="shared" si="32"/>
        <v>0</v>
      </c>
      <c r="L530" s="114">
        <f t="shared" si="32"/>
        <v>0</v>
      </c>
      <c r="M530" s="114">
        <f t="shared" si="32"/>
        <v>0</v>
      </c>
      <c r="N530" s="114">
        <f t="shared" si="32"/>
        <v>0</v>
      </c>
      <c r="O530" s="114">
        <f t="shared" si="32"/>
        <v>0</v>
      </c>
      <c r="P530" s="114">
        <f t="shared" si="32"/>
        <v>0</v>
      </c>
      <c r="Q530" s="114">
        <f t="shared" si="32"/>
        <v>0</v>
      </c>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4"/>
      <c r="BE530" s="104"/>
      <c r="BF530" s="104"/>
      <c r="BG530" s="104"/>
      <c r="BH530" s="104"/>
      <c r="BI530" s="104"/>
      <c r="BJ530" s="104"/>
      <c r="BK530" s="12"/>
      <c r="BL530" s="12"/>
    </row>
    <row r="531" spans="1:64" hidden="1" outlineLevel="1">
      <c r="A531" s="9"/>
      <c r="B531" s="9"/>
      <c r="C531" s="44"/>
      <c r="D531" s="278">
        <f>Asset30</f>
        <v>0</v>
      </c>
      <c r="E531" s="9"/>
      <c r="F531" s="9"/>
      <c r="G531" s="210">
        <f>'Adjustment for previous period'!G395</f>
        <v>0</v>
      </c>
      <c r="H531" s="114">
        <f t="shared" ref="H531:Q531" si="33">H41*H$7</f>
        <v>0</v>
      </c>
      <c r="I531" s="114">
        <f t="shared" si="33"/>
        <v>0</v>
      </c>
      <c r="J531" s="114">
        <f t="shared" si="33"/>
        <v>0</v>
      </c>
      <c r="K531" s="114">
        <f t="shared" si="33"/>
        <v>0</v>
      </c>
      <c r="L531" s="114">
        <f t="shared" si="33"/>
        <v>0</v>
      </c>
      <c r="M531" s="114">
        <f t="shared" si="33"/>
        <v>0</v>
      </c>
      <c r="N531" s="114">
        <f t="shared" si="33"/>
        <v>0</v>
      </c>
      <c r="O531" s="114">
        <f t="shared" si="33"/>
        <v>0</v>
      </c>
      <c r="P531" s="114">
        <f t="shared" si="33"/>
        <v>0</v>
      </c>
      <c r="Q531" s="114">
        <f t="shared" si="33"/>
        <v>0</v>
      </c>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4"/>
      <c r="BE531" s="104"/>
      <c r="BF531" s="104"/>
      <c r="BG531" s="104"/>
      <c r="BH531" s="104"/>
      <c r="BI531" s="104"/>
      <c r="BJ531" s="104"/>
      <c r="BK531" s="12"/>
      <c r="BL531" s="12"/>
    </row>
    <row r="532" spans="1:64" collapsed="1">
      <c r="A532" s="9"/>
      <c r="B532" s="9"/>
      <c r="C532" s="44"/>
      <c r="D532" s="116"/>
      <c r="E532" s="9"/>
      <c r="F532" s="9"/>
      <c r="G532" s="214"/>
      <c r="H532" s="35"/>
      <c r="I532" s="35"/>
      <c r="J532" s="35"/>
      <c r="K532" s="35"/>
      <c r="L532" s="35"/>
      <c r="M532" s="35"/>
      <c r="N532" s="29"/>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4"/>
      <c r="BE532" s="104"/>
      <c r="BF532" s="104"/>
      <c r="BG532" s="104"/>
      <c r="BH532" s="104"/>
      <c r="BI532" s="104"/>
      <c r="BJ532" s="104"/>
      <c r="BK532" s="12"/>
      <c r="BL532" s="12"/>
    </row>
    <row r="533" spans="1:64">
      <c r="A533" s="9"/>
      <c r="B533" s="9"/>
      <c r="C533" s="233" t="s">
        <v>71</v>
      </c>
      <c r="D533" s="227"/>
      <c r="E533" s="9"/>
      <c r="F533" s="9"/>
      <c r="G533" s="208">
        <f>SUM(G534:G563)</f>
        <v>-22.262805038529823</v>
      </c>
      <c r="H533" s="35">
        <f>SUM(H534:H563)</f>
        <v>-22.362778318083286</v>
      </c>
      <c r="I533" s="35">
        <f t="shared" ref="I533:P533" si="34">SUM(I534:I563)</f>
        <v>-18.765947805949647</v>
      </c>
      <c r="J533" s="35">
        <f t="shared" si="34"/>
        <v>-31.131369874986259</v>
      </c>
      <c r="K533" s="35">
        <f t="shared" si="34"/>
        <v>-24.534265388253054</v>
      </c>
      <c r="L533" s="35">
        <f t="shared" si="34"/>
        <v>-28.987467434613915</v>
      </c>
      <c r="M533" s="35">
        <f t="shared" si="34"/>
        <v>0</v>
      </c>
      <c r="N533" s="35">
        <f t="shared" si="34"/>
        <v>0</v>
      </c>
      <c r="O533" s="35">
        <f t="shared" si="34"/>
        <v>0</v>
      </c>
      <c r="P533" s="35">
        <f t="shared" si="34"/>
        <v>0</v>
      </c>
      <c r="Q533" s="35">
        <f>SUM(Q534:Q563)</f>
        <v>0</v>
      </c>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4"/>
      <c r="BE533" s="104"/>
      <c r="BF533" s="104"/>
      <c r="BG533" s="104"/>
      <c r="BH533" s="104"/>
      <c r="BI533" s="104"/>
      <c r="BJ533" s="104"/>
      <c r="BK533" s="12"/>
      <c r="BL533" s="12"/>
    </row>
    <row r="534" spans="1:64" ht="12.75" hidden="1" customHeight="1" outlineLevel="1">
      <c r="A534" s="9"/>
      <c r="B534" s="9"/>
      <c r="C534" s="44"/>
      <c r="D534" s="278" t="str">
        <f>Asset1</f>
        <v>Transmission Lines and Cables</v>
      </c>
      <c r="E534" s="9"/>
      <c r="F534" s="9"/>
      <c r="G534" s="210">
        <f>'Adjustment for previous period'!G398</f>
        <v>-6.5708704093471146</v>
      </c>
      <c r="H534" s="114">
        <f t="shared" ref="H534:Q534" si="35">H664+H696</f>
        <v>-5.8217047181963562</v>
      </c>
      <c r="I534" s="114">
        <f t="shared" si="35"/>
        <v>-5.121202117070105</v>
      </c>
      <c r="J534" s="114">
        <f t="shared" si="35"/>
        <v>-10.727037768483886</v>
      </c>
      <c r="K534" s="114">
        <f t="shared" si="35"/>
        <v>-8.6410914603044979</v>
      </c>
      <c r="L534" s="114">
        <f t="shared" si="35"/>
        <v>-9.2523777466326536</v>
      </c>
      <c r="M534" s="114">
        <f t="shared" si="35"/>
        <v>0</v>
      </c>
      <c r="N534" s="114">
        <f t="shared" si="35"/>
        <v>0</v>
      </c>
      <c r="O534" s="114">
        <f t="shared" si="35"/>
        <v>0</v>
      </c>
      <c r="P534" s="114">
        <f t="shared" si="35"/>
        <v>0</v>
      </c>
      <c r="Q534" s="114">
        <f t="shared" si="35"/>
        <v>0</v>
      </c>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4"/>
      <c r="BE534" s="104"/>
      <c r="BF534" s="104"/>
      <c r="BG534" s="104"/>
      <c r="BH534" s="104"/>
      <c r="BI534" s="104"/>
      <c r="BJ534" s="104"/>
      <c r="BK534" s="12"/>
      <c r="BL534" s="12"/>
    </row>
    <row r="535" spans="1:64" ht="12.75" hidden="1" customHeight="1" outlineLevel="1">
      <c r="A535" s="9"/>
      <c r="B535" s="9"/>
      <c r="C535" s="44"/>
      <c r="D535" s="278" t="str">
        <f>Asset2</f>
        <v>Transmission Substations</v>
      </c>
      <c r="E535" s="9"/>
      <c r="F535" s="9"/>
      <c r="G535" s="210">
        <f>'Adjustment for previous period'!G399</f>
        <v>-4.6151674774377103</v>
      </c>
      <c r="H535" s="114">
        <f t="shared" ref="H535:Q535" si="36">H665+H697</f>
        <v>-2.9425085905477655</v>
      </c>
      <c r="I535" s="114">
        <f t="shared" si="36"/>
        <v>-1.7086724806096676</v>
      </c>
      <c r="J535" s="114">
        <f t="shared" si="36"/>
        <v>-9.0181559258938808</v>
      </c>
      <c r="K535" s="114">
        <f t="shared" si="36"/>
        <v>-5.937226165701162</v>
      </c>
      <c r="L535" s="114">
        <f t="shared" si="36"/>
        <v>-6.4800005480393725</v>
      </c>
      <c r="M535" s="114">
        <f t="shared" si="36"/>
        <v>0</v>
      </c>
      <c r="N535" s="114">
        <f t="shared" si="36"/>
        <v>0</v>
      </c>
      <c r="O535" s="114">
        <f t="shared" si="36"/>
        <v>0</v>
      </c>
      <c r="P535" s="114">
        <f t="shared" si="36"/>
        <v>0</v>
      </c>
      <c r="Q535" s="114">
        <f t="shared" si="36"/>
        <v>0</v>
      </c>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4"/>
      <c r="BE535" s="104"/>
      <c r="BF535" s="104"/>
      <c r="BG535" s="104"/>
      <c r="BH535" s="104"/>
      <c r="BI535" s="104"/>
      <c r="BJ535" s="104"/>
      <c r="BK535" s="12"/>
      <c r="BL535" s="12"/>
    </row>
    <row r="536" spans="1:64" ht="12.75" hidden="1" customHeight="1" outlineLevel="1">
      <c r="A536" s="9"/>
      <c r="B536" s="9"/>
      <c r="C536" s="44"/>
      <c r="D536" s="278" t="str">
        <f>Asset3</f>
        <v>Protection and Control</v>
      </c>
      <c r="E536" s="9"/>
      <c r="F536" s="9"/>
      <c r="G536" s="210">
        <f>'Adjustment for previous period'!G400</f>
        <v>-5.514909320251248</v>
      </c>
      <c r="H536" s="114">
        <f t="shared" ref="H536:Q536" si="37">H666+H698</f>
        <v>-4.5097523028438911</v>
      </c>
      <c r="I536" s="114">
        <f t="shared" si="37"/>
        <v>-4.6099610728360485</v>
      </c>
      <c r="J536" s="114">
        <f t="shared" si="37"/>
        <v>-5.6774037327728735</v>
      </c>
      <c r="K536" s="114">
        <f t="shared" si="37"/>
        <v>-5.5462581674725628</v>
      </c>
      <c r="L536" s="114">
        <f t="shared" si="37"/>
        <v>-5.8465063916566429</v>
      </c>
      <c r="M536" s="114">
        <f t="shared" si="37"/>
        <v>0</v>
      </c>
      <c r="N536" s="114">
        <f t="shared" si="37"/>
        <v>0</v>
      </c>
      <c r="O536" s="114">
        <f t="shared" si="37"/>
        <v>0</v>
      </c>
      <c r="P536" s="114">
        <f t="shared" si="37"/>
        <v>0</v>
      </c>
      <c r="Q536" s="114">
        <f t="shared" si="37"/>
        <v>0</v>
      </c>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4"/>
      <c r="BE536" s="104"/>
      <c r="BF536" s="104"/>
      <c r="BG536" s="104"/>
      <c r="BH536" s="104"/>
      <c r="BI536" s="104"/>
      <c r="BJ536" s="104"/>
      <c r="BK536" s="12"/>
      <c r="BL536" s="12"/>
    </row>
    <row r="537" spans="1:64" ht="12.75" hidden="1" customHeight="1" outlineLevel="1">
      <c r="A537" s="9"/>
      <c r="B537" s="9"/>
      <c r="C537" s="44"/>
      <c r="D537" s="278" t="str">
        <f>Asset4</f>
        <v>Refurbishment</v>
      </c>
      <c r="E537" s="9"/>
      <c r="F537" s="9"/>
      <c r="G537" s="210">
        <f>'Adjustment for previous period'!G401</f>
        <v>-3.1271970408972707</v>
      </c>
      <c r="H537" s="114">
        <f t="shared" ref="H537:Q537" si="38">H667+H699</f>
        <v>-1.664143135956714</v>
      </c>
      <c r="I537" s="114">
        <f t="shared" si="38"/>
        <v>-1.6856658348994422</v>
      </c>
      <c r="J537" s="114">
        <f t="shared" si="38"/>
        <v>-2.1591500463394362</v>
      </c>
      <c r="K537" s="114">
        <f t="shared" si="38"/>
        <v>-2.0749524280377196</v>
      </c>
      <c r="L537" s="114">
        <f t="shared" si="38"/>
        <v>-2.1899253892861883</v>
      </c>
      <c r="M537" s="114">
        <f t="shared" si="38"/>
        <v>0</v>
      </c>
      <c r="N537" s="114">
        <f t="shared" si="38"/>
        <v>0</v>
      </c>
      <c r="O537" s="114">
        <f t="shared" si="38"/>
        <v>0</v>
      </c>
      <c r="P537" s="114">
        <f t="shared" si="38"/>
        <v>0</v>
      </c>
      <c r="Q537" s="114">
        <f t="shared" si="38"/>
        <v>0</v>
      </c>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4"/>
      <c r="BE537" s="104"/>
      <c r="BF537" s="104"/>
      <c r="BG537" s="104"/>
      <c r="BH537" s="104"/>
      <c r="BI537" s="104"/>
      <c r="BJ537" s="104"/>
      <c r="BK537" s="12"/>
      <c r="BL537" s="12"/>
    </row>
    <row r="538" spans="1:64" ht="12.75" hidden="1" customHeight="1" outlineLevel="1">
      <c r="A538" s="9"/>
      <c r="B538" s="9"/>
      <c r="C538" s="44"/>
      <c r="D538" s="278" t="str">
        <f>Asset5</f>
        <v>Other</v>
      </c>
      <c r="E538" s="9"/>
      <c r="F538" s="9"/>
      <c r="G538" s="210">
        <f>'Adjustment for previous period'!G402</f>
        <v>-1.6357162905502329</v>
      </c>
      <c r="H538" s="114">
        <f t="shared" ref="H538:Q538" si="39">H668+H700</f>
        <v>-1.6460508745661473</v>
      </c>
      <c r="I538" s="114">
        <f t="shared" si="39"/>
        <v>-1.7124583745679143</v>
      </c>
      <c r="J538" s="114">
        <f t="shared" si="39"/>
        <v>-1.9511033436306005</v>
      </c>
      <c r="K538" s="114">
        <f t="shared" si="39"/>
        <v>-1.9720052490697801</v>
      </c>
      <c r="L538" s="114">
        <f t="shared" si="39"/>
        <v>-2.0736765938173498</v>
      </c>
      <c r="M538" s="114">
        <f t="shared" si="39"/>
        <v>0</v>
      </c>
      <c r="N538" s="114">
        <f t="shared" si="39"/>
        <v>0</v>
      </c>
      <c r="O538" s="114">
        <f t="shared" si="39"/>
        <v>0</v>
      </c>
      <c r="P538" s="114">
        <f t="shared" si="39"/>
        <v>0</v>
      </c>
      <c r="Q538" s="114">
        <f t="shared" si="39"/>
        <v>0</v>
      </c>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4"/>
      <c r="BE538" s="104"/>
      <c r="BF538" s="104"/>
      <c r="BG538" s="104"/>
      <c r="BH538" s="104"/>
      <c r="BI538" s="104"/>
      <c r="BJ538" s="104"/>
      <c r="BK538" s="12"/>
      <c r="BL538" s="12"/>
    </row>
    <row r="539" spans="1:64" ht="12.75" hidden="1" customHeight="1" outlineLevel="1">
      <c r="A539" s="9"/>
      <c r="B539" s="9"/>
      <c r="C539" s="44"/>
      <c r="D539" s="278" t="str">
        <f>Asset6</f>
        <v>Other - IT</v>
      </c>
      <c r="E539" s="9"/>
      <c r="F539" s="9"/>
      <c r="G539" s="210">
        <f>'Adjustment for previous period'!G403</f>
        <v>-1.3605739922335367</v>
      </c>
      <c r="H539" s="114">
        <f t="shared" ref="H539:Q539" si="40">H669+H701</f>
        <v>-11.177965330406291</v>
      </c>
      <c r="I539" s="114">
        <f t="shared" si="40"/>
        <v>-11.78973238663888</v>
      </c>
      <c r="J539" s="114">
        <f t="shared" si="40"/>
        <v>4.1638343862352711E-3</v>
      </c>
      <c r="K539" s="114">
        <f t="shared" si="40"/>
        <v>5.6580135448936128E-3</v>
      </c>
      <c r="L539" s="114">
        <f t="shared" si="40"/>
        <v>5.8417598589640338E-3</v>
      </c>
      <c r="M539" s="114">
        <f t="shared" si="40"/>
        <v>0</v>
      </c>
      <c r="N539" s="114">
        <f t="shared" si="40"/>
        <v>0</v>
      </c>
      <c r="O539" s="114">
        <f t="shared" si="40"/>
        <v>0</v>
      </c>
      <c r="P539" s="114">
        <f t="shared" si="40"/>
        <v>0</v>
      </c>
      <c r="Q539" s="114">
        <f t="shared" si="40"/>
        <v>0</v>
      </c>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4"/>
      <c r="BE539" s="104"/>
      <c r="BF539" s="104"/>
      <c r="BG539" s="104"/>
      <c r="BH539" s="104"/>
      <c r="BI539" s="104"/>
      <c r="BJ539" s="104"/>
      <c r="BK539" s="12"/>
      <c r="BL539" s="12"/>
    </row>
    <row r="540" spans="1:64" ht="12.75" hidden="1" customHeight="1" outlineLevel="1">
      <c r="A540" s="9"/>
      <c r="B540" s="9"/>
      <c r="C540" s="44"/>
      <c r="D540" s="278" t="str">
        <f>Asset7</f>
        <v>Other - General</v>
      </c>
      <c r="E540" s="9"/>
      <c r="F540" s="9"/>
      <c r="G540" s="210">
        <f>'Adjustment for previous period'!G404</f>
        <v>-1.4546996008642703</v>
      </c>
      <c r="H540" s="114">
        <f t="shared" ref="H540:Q540" si="41">H670+H702</f>
        <v>1.2473242989840549</v>
      </c>
      <c r="I540" s="114">
        <f t="shared" si="41"/>
        <v>1.3104910938957564</v>
      </c>
      <c r="J540" s="114">
        <f t="shared" si="41"/>
        <v>1.4259352991621423</v>
      </c>
      <c r="K540" s="114">
        <f t="shared" si="41"/>
        <v>-1.3717588338755987E-4</v>
      </c>
      <c r="L540" s="114">
        <f t="shared" si="41"/>
        <v>-1.4046810458886135E-4</v>
      </c>
      <c r="M540" s="114">
        <f t="shared" si="41"/>
        <v>0</v>
      </c>
      <c r="N540" s="114">
        <f t="shared" si="41"/>
        <v>0</v>
      </c>
      <c r="O540" s="114">
        <f t="shared" si="41"/>
        <v>0</v>
      </c>
      <c r="P540" s="114">
        <f t="shared" si="41"/>
        <v>0</v>
      </c>
      <c r="Q540" s="114">
        <f t="shared" si="41"/>
        <v>0</v>
      </c>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4"/>
      <c r="BE540" s="104"/>
      <c r="BF540" s="104"/>
      <c r="BG540" s="104"/>
      <c r="BH540" s="104"/>
      <c r="BI540" s="104"/>
      <c r="BJ540" s="104"/>
      <c r="BK540" s="12"/>
      <c r="BL540" s="12"/>
    </row>
    <row r="541" spans="1:64" ht="12.75" hidden="1" customHeight="1" outlineLevel="1">
      <c r="A541" s="9"/>
      <c r="B541" s="9"/>
      <c r="C541" s="44"/>
      <c r="D541" s="278" t="str">
        <f>Asset8</f>
        <v>Other - Buildings</v>
      </c>
      <c r="E541" s="9"/>
      <c r="F541" s="9"/>
      <c r="G541" s="210">
        <f>'Adjustment for previous period'!G405</f>
        <v>-2.9632298603983503E-2</v>
      </c>
      <c r="H541" s="114">
        <f t="shared" ref="H541:Q541" si="42">H671+H703</f>
        <v>1.2912783350601642E-2</v>
      </c>
      <c r="I541" s="114">
        <f t="shared" si="42"/>
        <v>9.0619484974551856E-2</v>
      </c>
      <c r="J541" s="114">
        <f t="shared" si="42"/>
        <v>-0.30044712914290184</v>
      </c>
      <c r="K541" s="114">
        <f t="shared" si="42"/>
        <v>-0.12205295256819504</v>
      </c>
      <c r="L541" s="114">
        <f t="shared" si="42"/>
        <v>-0.14187240789890487</v>
      </c>
      <c r="M541" s="114">
        <f t="shared" si="42"/>
        <v>0</v>
      </c>
      <c r="N541" s="114">
        <f t="shared" si="42"/>
        <v>0</v>
      </c>
      <c r="O541" s="114">
        <f t="shared" si="42"/>
        <v>0</v>
      </c>
      <c r="P541" s="114">
        <f t="shared" si="42"/>
        <v>0</v>
      </c>
      <c r="Q541" s="114">
        <f t="shared" si="42"/>
        <v>0</v>
      </c>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4"/>
      <c r="BE541" s="104"/>
      <c r="BF541" s="104"/>
      <c r="BG541" s="104"/>
      <c r="BH541" s="104"/>
      <c r="BI541" s="104"/>
      <c r="BJ541" s="104"/>
      <c r="BK541" s="12"/>
      <c r="BL541" s="12"/>
    </row>
    <row r="542" spans="1:64" ht="12.75" hidden="1" customHeight="1" outlineLevel="1">
      <c r="A542" s="9"/>
      <c r="B542" s="9"/>
      <c r="C542" s="44"/>
      <c r="D542" s="278" t="str">
        <f>Asset9</f>
        <v>Land and Easements</v>
      </c>
      <c r="E542" s="9"/>
      <c r="F542" s="9"/>
      <c r="G542" s="210">
        <f>'Adjustment for previous period'!G406</f>
        <v>2.0459613916555419</v>
      </c>
      <c r="H542" s="114">
        <f t="shared" ref="H542:Q542" si="43">H672+H704</f>
        <v>2.5415827939764806</v>
      </c>
      <c r="I542" s="114">
        <f t="shared" si="43"/>
        <v>3.0181295678470632</v>
      </c>
      <c r="J542" s="114">
        <f t="shared" si="43"/>
        <v>1.4825899631529624</v>
      </c>
      <c r="K542" s="114">
        <f t="shared" si="43"/>
        <v>2.3784936578181233</v>
      </c>
      <c r="L542" s="114">
        <f t="shared" si="43"/>
        <v>2.4355775056057594</v>
      </c>
      <c r="M542" s="114">
        <f t="shared" si="43"/>
        <v>0</v>
      </c>
      <c r="N542" s="114">
        <f t="shared" si="43"/>
        <v>0</v>
      </c>
      <c r="O542" s="114">
        <f t="shared" si="43"/>
        <v>0</v>
      </c>
      <c r="P542" s="114">
        <f t="shared" si="43"/>
        <v>0</v>
      </c>
      <c r="Q542" s="114">
        <f t="shared" si="43"/>
        <v>0</v>
      </c>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4"/>
      <c r="BE542" s="104"/>
      <c r="BF542" s="104"/>
      <c r="BG542" s="104"/>
      <c r="BH542" s="104"/>
      <c r="BI542" s="104"/>
      <c r="BJ542" s="104"/>
      <c r="BK542" s="12"/>
      <c r="BL542" s="12"/>
    </row>
    <row r="543" spans="1:64" ht="12.75" hidden="1" customHeight="1" outlineLevel="1">
      <c r="A543" s="9"/>
      <c r="B543" s="9"/>
      <c r="C543" s="44"/>
      <c r="D543" s="278" t="str">
        <f>Asset10</f>
        <v>Transmission line assets - long life (60)</v>
      </c>
      <c r="E543" s="9"/>
      <c r="F543" s="9"/>
      <c r="G543" s="210">
        <f>'Adjustment for previous period'!G407</f>
        <v>0</v>
      </c>
      <c r="H543" s="114">
        <f t="shared" ref="H543:Q543" si="44">H673+H705</f>
        <v>0.79904138578616113</v>
      </c>
      <c r="I543" s="114">
        <f t="shared" si="44"/>
        <v>3.0554354923844786</v>
      </c>
      <c r="J543" s="114">
        <f t="shared" si="44"/>
        <v>-3.703424866261984E-2</v>
      </c>
      <c r="K543" s="114">
        <f t="shared" si="44"/>
        <v>1.2249155411259047</v>
      </c>
      <c r="L543" s="114">
        <f t="shared" si="44"/>
        <v>1.538332641023358</v>
      </c>
      <c r="M543" s="114">
        <f t="shared" si="44"/>
        <v>0</v>
      </c>
      <c r="N543" s="114">
        <f t="shared" si="44"/>
        <v>0</v>
      </c>
      <c r="O543" s="114">
        <f t="shared" si="44"/>
        <v>0</v>
      </c>
      <c r="P543" s="114">
        <f t="shared" si="44"/>
        <v>0</v>
      </c>
      <c r="Q543" s="114">
        <f t="shared" si="44"/>
        <v>0</v>
      </c>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4"/>
      <c r="BE543" s="104"/>
      <c r="BF543" s="104"/>
      <c r="BG543" s="104"/>
      <c r="BH543" s="104"/>
      <c r="BI543" s="104"/>
      <c r="BJ543" s="104"/>
      <c r="BK543" s="12"/>
      <c r="BL543" s="12"/>
    </row>
    <row r="544" spans="1:64" ht="12.75" hidden="1" customHeight="1" outlineLevel="1">
      <c r="A544" s="9"/>
      <c r="B544" s="9"/>
      <c r="C544" s="44"/>
      <c r="D544" s="278" t="str">
        <f>Asset11</f>
        <v>Transmission line assets - medium life (45)</v>
      </c>
      <c r="E544" s="9"/>
      <c r="F544" s="9"/>
      <c r="G544" s="210">
        <f>'Adjustment for previous period'!G408</f>
        <v>0</v>
      </c>
      <c r="H544" s="114">
        <f t="shared" ref="H544:Q544" si="45">H674+H706</f>
        <v>2.2841805211554256E-2</v>
      </c>
      <c r="I544" s="114">
        <f t="shared" si="45"/>
        <v>5.1337737830479582E-2</v>
      </c>
      <c r="J544" s="114">
        <f t="shared" si="45"/>
        <v>0.1079340096965799</v>
      </c>
      <c r="K544" s="114">
        <f t="shared" si="45"/>
        <v>0.50744738581571147</v>
      </c>
      <c r="L544" s="114">
        <f t="shared" si="45"/>
        <v>0.54683075245962087</v>
      </c>
      <c r="M544" s="114">
        <f t="shared" si="45"/>
        <v>0</v>
      </c>
      <c r="N544" s="114">
        <f t="shared" si="45"/>
        <v>0</v>
      </c>
      <c r="O544" s="114">
        <f t="shared" si="45"/>
        <v>0</v>
      </c>
      <c r="P544" s="114">
        <f t="shared" si="45"/>
        <v>0</v>
      </c>
      <c r="Q544" s="114">
        <f t="shared" si="45"/>
        <v>0</v>
      </c>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4"/>
      <c r="BE544" s="104"/>
      <c r="BF544" s="104"/>
      <c r="BG544" s="104"/>
      <c r="BH544" s="104"/>
      <c r="BI544" s="104"/>
      <c r="BJ544" s="104"/>
      <c r="BK544" s="12"/>
      <c r="BL544" s="12"/>
    </row>
    <row r="545" spans="1:64" ht="12.75" hidden="1" customHeight="1" outlineLevel="1">
      <c r="A545" s="9"/>
      <c r="B545" s="9"/>
      <c r="C545" s="44"/>
      <c r="D545" s="278" t="str">
        <f>Asset12</f>
        <v>Transmission line assets - short life (10)</v>
      </c>
      <c r="E545" s="9"/>
      <c r="F545" s="9"/>
      <c r="G545" s="210">
        <f>'Adjustment for previous period'!G409</f>
        <v>0</v>
      </c>
      <c r="H545" s="114">
        <f t="shared" ref="H545:Q545" si="46">H675+H707</f>
        <v>6.014290000540997E-2</v>
      </c>
      <c r="I545" s="114">
        <f t="shared" si="46"/>
        <v>0.1901043643819626</v>
      </c>
      <c r="J545" s="114">
        <f t="shared" si="46"/>
        <v>6.9519623739834543E-2</v>
      </c>
      <c r="K545" s="114">
        <f t="shared" si="46"/>
        <v>0.13865180900921314</v>
      </c>
      <c r="L545" s="114">
        <f t="shared" si="46"/>
        <v>0.12328429775129413</v>
      </c>
      <c r="M545" s="114">
        <f t="shared" si="46"/>
        <v>0</v>
      </c>
      <c r="N545" s="114">
        <f t="shared" si="46"/>
        <v>0</v>
      </c>
      <c r="O545" s="114">
        <f t="shared" si="46"/>
        <v>0</v>
      </c>
      <c r="P545" s="114">
        <f t="shared" si="46"/>
        <v>0</v>
      </c>
      <c r="Q545" s="114">
        <f t="shared" si="46"/>
        <v>0</v>
      </c>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4"/>
      <c r="BE545" s="104"/>
      <c r="BF545" s="104"/>
      <c r="BG545" s="104"/>
      <c r="BH545" s="104"/>
      <c r="BI545" s="104"/>
      <c r="BJ545" s="104"/>
      <c r="BK545" s="12"/>
      <c r="BL545" s="12"/>
    </row>
    <row r="546" spans="1:64" ht="12.75" hidden="1" customHeight="1" outlineLevel="1">
      <c r="A546" s="9"/>
      <c r="B546" s="9"/>
      <c r="C546" s="44"/>
      <c r="D546" s="278" t="str">
        <f>Asset13</f>
        <v>Substation assets - long life (60)</v>
      </c>
      <c r="E546" s="9"/>
      <c r="F546" s="9"/>
      <c r="G546" s="210">
        <f>'Adjustment for previous period'!G410</f>
        <v>0</v>
      </c>
      <c r="H546" s="114">
        <f t="shared" ref="H546:Q546" si="47">H676+H708</f>
        <v>0.10507457731724984</v>
      </c>
      <c r="I546" s="114">
        <f t="shared" si="47"/>
        <v>0.38917673680558723</v>
      </c>
      <c r="J546" s="114">
        <f t="shared" si="47"/>
        <v>-2.3840252430637976E-2</v>
      </c>
      <c r="K546" s="114">
        <f t="shared" si="47"/>
        <v>0.4019382761952971</v>
      </c>
      <c r="L546" s="114">
        <f t="shared" si="47"/>
        <v>0.52166950612373653</v>
      </c>
      <c r="M546" s="114">
        <f t="shared" si="47"/>
        <v>0</v>
      </c>
      <c r="N546" s="114">
        <f t="shared" si="47"/>
        <v>0</v>
      </c>
      <c r="O546" s="114">
        <f t="shared" si="47"/>
        <v>0</v>
      </c>
      <c r="P546" s="114">
        <f t="shared" si="47"/>
        <v>0</v>
      </c>
      <c r="Q546" s="114">
        <f t="shared" si="47"/>
        <v>0</v>
      </c>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4"/>
      <c r="BE546" s="104"/>
      <c r="BF546" s="104"/>
      <c r="BG546" s="104"/>
      <c r="BH546" s="104"/>
      <c r="BI546" s="104"/>
      <c r="BJ546" s="104"/>
      <c r="BK546" s="12"/>
      <c r="BL546" s="12"/>
    </row>
    <row r="547" spans="1:64" ht="12.75" hidden="1" customHeight="1" outlineLevel="1">
      <c r="A547" s="9"/>
      <c r="B547" s="9"/>
      <c r="C547" s="44"/>
      <c r="D547" s="278" t="str">
        <f>Asset14</f>
        <v>Substation assets - medium life (45)</v>
      </c>
      <c r="E547" s="9"/>
      <c r="F547" s="9"/>
      <c r="G547" s="210">
        <f>'Adjustment for previous period'!G411</f>
        <v>0</v>
      </c>
      <c r="H547" s="114">
        <f t="shared" ref="H547:Q547" si="48">H677+H709</f>
        <v>0.26456294906478223</v>
      </c>
      <c r="I547" s="114">
        <f t="shared" si="48"/>
        <v>0.94809360056104419</v>
      </c>
      <c r="J547" s="114">
        <f t="shared" si="48"/>
        <v>-0.42018219878407792</v>
      </c>
      <c r="K547" s="114">
        <f t="shared" si="48"/>
        <v>3.5653327447806138E-2</v>
      </c>
      <c r="L547" s="114">
        <f t="shared" si="48"/>
        <v>-0.20788114162676674</v>
      </c>
      <c r="M547" s="114">
        <f t="shared" si="48"/>
        <v>0</v>
      </c>
      <c r="N547" s="114">
        <f t="shared" si="48"/>
        <v>0</v>
      </c>
      <c r="O547" s="114">
        <f t="shared" si="48"/>
        <v>0</v>
      </c>
      <c r="P547" s="114">
        <f t="shared" si="48"/>
        <v>0</v>
      </c>
      <c r="Q547" s="114">
        <f t="shared" si="48"/>
        <v>0</v>
      </c>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4"/>
      <c r="BE547" s="104"/>
      <c r="BF547" s="104"/>
      <c r="BG547" s="104"/>
      <c r="BH547" s="104"/>
      <c r="BI547" s="104"/>
      <c r="BJ547" s="104"/>
      <c r="BK547" s="12"/>
      <c r="BL547" s="12"/>
    </row>
    <row r="548" spans="1:64" ht="12.75" hidden="1" customHeight="1" outlineLevel="1">
      <c r="A548" s="9"/>
      <c r="B548" s="9"/>
      <c r="C548" s="44"/>
      <c r="D548" s="278" t="str">
        <f>Asset15</f>
        <v>Substation assets - short life (15)</v>
      </c>
      <c r="E548" s="9"/>
      <c r="F548" s="9"/>
      <c r="G548" s="210">
        <f>'Adjustment for previous period'!G412</f>
        <v>0</v>
      </c>
      <c r="H548" s="114">
        <f t="shared" ref="H548:Q548" si="49">H678+H710</f>
        <v>1.061006129414897E-2</v>
      </c>
      <c r="I548" s="114">
        <f t="shared" si="49"/>
        <v>-0.70782709811456168</v>
      </c>
      <c r="J548" s="114">
        <f t="shared" si="49"/>
        <v>-0.88700176847273793</v>
      </c>
      <c r="K548" s="114">
        <f t="shared" si="49"/>
        <v>-0.86563636897581597</v>
      </c>
      <c r="L548" s="114">
        <f t="shared" si="49"/>
        <v>-1.1352880600317983</v>
      </c>
      <c r="M548" s="114">
        <f t="shared" si="49"/>
        <v>0</v>
      </c>
      <c r="N548" s="114">
        <f t="shared" si="49"/>
        <v>0</v>
      </c>
      <c r="O548" s="114">
        <f t="shared" si="49"/>
        <v>0</v>
      </c>
      <c r="P548" s="114">
        <f t="shared" si="49"/>
        <v>0</v>
      </c>
      <c r="Q548" s="114">
        <f t="shared" si="49"/>
        <v>0</v>
      </c>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4"/>
      <c r="BE548" s="104"/>
      <c r="BF548" s="104"/>
      <c r="BG548" s="104"/>
      <c r="BH548" s="104"/>
      <c r="BI548" s="104"/>
      <c r="BJ548" s="104"/>
      <c r="BK548" s="12"/>
      <c r="BL548" s="12"/>
    </row>
    <row r="549" spans="1:64" ht="12.75" hidden="1" customHeight="1" outlineLevel="1">
      <c r="A549" s="9"/>
      <c r="B549" s="9"/>
      <c r="C549" s="44"/>
      <c r="D549" s="278" t="str">
        <f>Asset16</f>
        <v>Protection and control - short life (15)</v>
      </c>
      <c r="E549" s="9"/>
      <c r="F549" s="9"/>
      <c r="G549" s="210">
        <f>'Adjustment for previous period'!G413</f>
        <v>0</v>
      </c>
      <c r="H549" s="114">
        <f t="shared" ref="H549:Q549" si="50">H679+H711</f>
        <v>0.11817431913286813</v>
      </c>
      <c r="I549" s="114">
        <f t="shared" si="50"/>
        <v>-0.19912970390010509</v>
      </c>
      <c r="J549" s="114">
        <f t="shared" si="50"/>
        <v>-1.2703941709267146</v>
      </c>
      <c r="K549" s="114">
        <f t="shared" si="50"/>
        <v>-1.6631966740423867</v>
      </c>
      <c r="L549" s="114">
        <f t="shared" si="50"/>
        <v>-2.6517572135338199</v>
      </c>
      <c r="M549" s="114">
        <f t="shared" si="50"/>
        <v>0</v>
      </c>
      <c r="N549" s="114">
        <f t="shared" si="50"/>
        <v>0</v>
      </c>
      <c r="O549" s="114">
        <f t="shared" si="50"/>
        <v>0</v>
      </c>
      <c r="P549" s="114">
        <f t="shared" si="50"/>
        <v>0</v>
      </c>
      <c r="Q549" s="114">
        <f t="shared" si="50"/>
        <v>0</v>
      </c>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4"/>
      <c r="BE549" s="104"/>
      <c r="BF549" s="104"/>
      <c r="BG549" s="104"/>
      <c r="BH549" s="104"/>
      <c r="BI549" s="104"/>
      <c r="BJ549" s="104"/>
      <c r="BK549" s="12"/>
      <c r="BL549" s="12"/>
    </row>
    <row r="550" spans="1:64" ht="12.75" hidden="1" customHeight="1" outlineLevel="1">
      <c r="A550" s="9"/>
      <c r="B550" s="9"/>
      <c r="C550" s="44"/>
      <c r="D550" s="278" t="str">
        <f>Asset17</f>
        <v>Protection and control - short life (4)</v>
      </c>
      <c r="E550" s="9"/>
      <c r="F550" s="9"/>
      <c r="G550" s="210">
        <f>'Adjustment for previous period'!G414</f>
        <v>0</v>
      </c>
      <c r="H550" s="114">
        <f t="shared" ref="H550:Q550" si="51">H680+H712</f>
        <v>0</v>
      </c>
      <c r="I550" s="114">
        <f t="shared" si="51"/>
        <v>-2.3924552974596558E-3</v>
      </c>
      <c r="J550" s="114">
        <f t="shared" si="51"/>
        <v>-2.1083385392661871E-2</v>
      </c>
      <c r="K550" s="114">
        <f t="shared" si="51"/>
        <v>-0.32653196150493491</v>
      </c>
      <c r="L550" s="114">
        <f t="shared" si="51"/>
        <v>-0.42483287480272147</v>
      </c>
      <c r="M550" s="114">
        <f t="shared" si="51"/>
        <v>0</v>
      </c>
      <c r="N550" s="114">
        <f t="shared" si="51"/>
        <v>0</v>
      </c>
      <c r="O550" s="114">
        <f t="shared" si="51"/>
        <v>0</v>
      </c>
      <c r="P550" s="114">
        <f t="shared" si="51"/>
        <v>0</v>
      </c>
      <c r="Q550" s="114">
        <f t="shared" si="51"/>
        <v>0</v>
      </c>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4"/>
      <c r="BE550" s="104"/>
      <c r="BF550" s="104"/>
      <c r="BG550" s="104"/>
      <c r="BH550" s="104"/>
      <c r="BI550" s="104"/>
      <c r="BJ550" s="104"/>
      <c r="BK550" s="12"/>
      <c r="BL550" s="12"/>
    </row>
    <row r="551" spans="1:64" ht="12.75" hidden="1" customHeight="1" outlineLevel="1">
      <c r="A551" s="9"/>
      <c r="B551" s="9"/>
      <c r="C551" s="44"/>
      <c r="D551" s="278" t="str">
        <f>Asset18</f>
        <v>Transmission operations - short life (10)</v>
      </c>
      <c r="E551" s="9"/>
      <c r="F551" s="9"/>
      <c r="G551" s="210">
        <f>'Adjustment for previous period'!G415</f>
        <v>0</v>
      </c>
      <c r="H551" s="114">
        <f t="shared" ref="H551:Q551" si="52">H681+H713</f>
        <v>0</v>
      </c>
      <c r="I551" s="114">
        <f t="shared" si="52"/>
        <v>-8.0551674233432125E-2</v>
      </c>
      <c r="J551" s="114">
        <f t="shared" si="52"/>
        <v>-0.24713188056606411</v>
      </c>
      <c r="K551" s="114">
        <f t="shared" si="52"/>
        <v>-0.44365687998402009</v>
      </c>
      <c r="L551" s="114">
        <f t="shared" si="52"/>
        <v>-0.61162694995224431</v>
      </c>
      <c r="M551" s="114">
        <f t="shared" si="52"/>
        <v>0</v>
      </c>
      <c r="N551" s="114">
        <f t="shared" si="52"/>
        <v>0</v>
      </c>
      <c r="O551" s="114">
        <f t="shared" si="52"/>
        <v>0</v>
      </c>
      <c r="P551" s="114">
        <f t="shared" si="52"/>
        <v>0</v>
      </c>
      <c r="Q551" s="114">
        <f t="shared" si="52"/>
        <v>0</v>
      </c>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4"/>
      <c r="BE551" s="104"/>
      <c r="BF551" s="104"/>
      <c r="BG551" s="104"/>
      <c r="BH551" s="104"/>
      <c r="BI551" s="104"/>
      <c r="BJ551" s="104"/>
      <c r="BK551" s="12"/>
      <c r="BL551" s="12"/>
    </row>
    <row r="552" spans="1:64" ht="12.75" hidden="1" customHeight="1" outlineLevel="1">
      <c r="A552" s="9"/>
      <c r="B552" s="9"/>
      <c r="C552" s="44"/>
      <c r="D552" s="278" t="str">
        <f>Asset19</f>
        <v>Transmission operations - short life (4)</v>
      </c>
      <c r="E552" s="9"/>
      <c r="F552" s="9"/>
      <c r="G552" s="210">
        <f>'Adjustment for previous period'!G416</f>
        <v>0</v>
      </c>
      <c r="H552" s="114">
        <f t="shared" ref="H552:Q552" si="53">H682+H714</f>
        <v>0</v>
      </c>
      <c r="I552" s="114">
        <f t="shared" si="53"/>
        <v>-1.1683410058487742E-2</v>
      </c>
      <c r="J552" s="114">
        <f t="shared" si="53"/>
        <v>-2.9866584187607816E-2</v>
      </c>
      <c r="K552" s="114">
        <f t="shared" si="53"/>
        <v>-2.7439163412174106E-2</v>
      </c>
      <c r="L552" s="114">
        <f t="shared" si="53"/>
        <v>-7.1626864945339916E-2</v>
      </c>
      <c r="M552" s="114">
        <f t="shared" si="53"/>
        <v>0</v>
      </c>
      <c r="N552" s="114">
        <f t="shared" si="53"/>
        <v>0</v>
      </c>
      <c r="O552" s="114">
        <f t="shared" si="53"/>
        <v>0</v>
      </c>
      <c r="P552" s="114">
        <f t="shared" si="53"/>
        <v>0</v>
      </c>
      <c r="Q552" s="114">
        <f t="shared" si="53"/>
        <v>0</v>
      </c>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4"/>
      <c r="BE552" s="104"/>
      <c r="BF552" s="104"/>
      <c r="BG552" s="104"/>
      <c r="BH552" s="104"/>
      <c r="BI552" s="104"/>
      <c r="BJ552" s="104"/>
      <c r="BK552" s="12"/>
      <c r="BL552" s="12"/>
    </row>
    <row r="553" spans="1:64" ht="12.75" hidden="1" customHeight="1" outlineLevel="1">
      <c r="A553" s="9"/>
      <c r="B553" s="9"/>
      <c r="C553" s="44"/>
      <c r="D553" s="278" t="str">
        <f>Asset20</f>
        <v>Other - medium life (40)</v>
      </c>
      <c r="E553" s="9"/>
      <c r="F553" s="9"/>
      <c r="G553" s="210">
        <f>'Adjustment for previous period'!G417</f>
        <v>0</v>
      </c>
      <c r="H553" s="114">
        <f t="shared" ref="H553:Q553" si="54">H683+H715</f>
        <v>0.19816857761732828</v>
      </c>
      <c r="I553" s="114">
        <f t="shared" si="54"/>
        <v>0.40227555925810521</v>
      </c>
      <c r="J553" s="114">
        <f t="shared" si="54"/>
        <v>-0.15741196536547314</v>
      </c>
      <c r="K553" s="114">
        <f t="shared" si="54"/>
        <v>6.8786941039874705E-2</v>
      </c>
      <c r="L553" s="114">
        <f t="shared" si="54"/>
        <v>5.5300457903882383E-2</v>
      </c>
      <c r="M553" s="114">
        <f t="shared" si="54"/>
        <v>0</v>
      </c>
      <c r="N553" s="114">
        <f t="shared" si="54"/>
        <v>0</v>
      </c>
      <c r="O553" s="114">
        <f t="shared" si="54"/>
        <v>0</v>
      </c>
      <c r="P553" s="114">
        <f t="shared" si="54"/>
        <v>0</v>
      </c>
      <c r="Q553" s="114">
        <f t="shared" si="54"/>
        <v>0</v>
      </c>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4"/>
      <c r="BE553" s="104"/>
      <c r="BF553" s="104"/>
      <c r="BG553" s="104"/>
      <c r="BH553" s="104"/>
      <c r="BI553" s="104"/>
      <c r="BJ553" s="104"/>
      <c r="BK553" s="12"/>
      <c r="BL553" s="12"/>
    </row>
    <row r="554" spans="1:64" ht="12.75" hidden="1" customHeight="1" outlineLevel="1">
      <c r="A554" s="9"/>
      <c r="B554" s="9"/>
      <c r="C554" s="44"/>
      <c r="D554" s="278" t="str">
        <f>Asset21</f>
        <v>Other - short life (9)</v>
      </c>
      <c r="E554" s="9"/>
      <c r="F554" s="9"/>
      <c r="G554" s="210">
        <f>'Adjustment for previous period'!G418</f>
        <v>0</v>
      </c>
      <c r="H554" s="114">
        <f>H684+H716</f>
        <v>0</v>
      </c>
      <c r="I554" s="114">
        <f t="shared" ref="I554:Q563" si="55">I684+I716</f>
        <v>-6.9802472086313669E-2</v>
      </c>
      <c r="J554" s="114">
        <f t="shared" si="55"/>
        <v>-0.19357639946006905</v>
      </c>
      <c r="K554" s="114">
        <f t="shared" si="55"/>
        <v>-0.30701771760298724</v>
      </c>
      <c r="L554" s="114">
        <f t="shared" si="55"/>
        <v>-0.34548610482373804</v>
      </c>
      <c r="M554" s="114">
        <f t="shared" si="55"/>
        <v>0</v>
      </c>
      <c r="N554" s="114">
        <f t="shared" si="55"/>
        <v>0</v>
      </c>
      <c r="O554" s="114">
        <f t="shared" si="55"/>
        <v>0</v>
      </c>
      <c r="P554" s="114">
        <f t="shared" si="55"/>
        <v>0</v>
      </c>
      <c r="Q554" s="114">
        <f t="shared" si="55"/>
        <v>0</v>
      </c>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4"/>
      <c r="BE554" s="104"/>
      <c r="BF554" s="104"/>
      <c r="BG554" s="104"/>
      <c r="BH554" s="104"/>
      <c r="BI554" s="104"/>
      <c r="BJ554" s="104"/>
      <c r="BK554" s="12"/>
      <c r="BL554" s="12"/>
    </row>
    <row r="555" spans="1:64" ht="12.75" hidden="1" customHeight="1" outlineLevel="1">
      <c r="A555" s="9"/>
      <c r="B555" s="9"/>
      <c r="C555" s="44"/>
      <c r="D555" s="278" t="str">
        <f>Asset22</f>
        <v>Other - short life (4)</v>
      </c>
      <c r="E555" s="9"/>
      <c r="F555" s="9"/>
      <c r="G555" s="210">
        <f>'Adjustment for previous period'!G419</f>
        <v>0</v>
      </c>
      <c r="H555" s="114">
        <f>H685+H717</f>
        <v>1.5355494584837528E-2</v>
      </c>
      <c r="I555" s="114">
        <f t="shared" si="55"/>
        <v>-0.54917147123034549</v>
      </c>
      <c r="J555" s="114">
        <f t="shared" si="55"/>
        <v>-1.1298497690382165</v>
      </c>
      <c r="K555" s="114">
        <f t="shared" si="55"/>
        <v>-1.4819600379069071</v>
      </c>
      <c r="L555" s="114">
        <f t="shared" si="55"/>
        <v>-2.9135995269745161</v>
      </c>
      <c r="M555" s="114">
        <f t="shared" si="55"/>
        <v>0</v>
      </c>
      <c r="N555" s="114">
        <f t="shared" si="55"/>
        <v>0</v>
      </c>
      <c r="O555" s="114">
        <f t="shared" si="55"/>
        <v>0</v>
      </c>
      <c r="P555" s="114">
        <f t="shared" si="55"/>
        <v>0</v>
      </c>
      <c r="Q555" s="114">
        <f t="shared" si="55"/>
        <v>0</v>
      </c>
      <c r="R555" s="29"/>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4"/>
      <c r="BE555" s="104"/>
      <c r="BF555" s="104"/>
      <c r="BG555" s="104"/>
      <c r="BH555" s="104"/>
      <c r="BI555" s="104"/>
      <c r="BJ555" s="104"/>
      <c r="BK555" s="12"/>
      <c r="BL555" s="12"/>
    </row>
    <row r="556" spans="1:64" ht="12.75" hidden="1" customHeight="1" outlineLevel="1">
      <c r="A556" s="9"/>
      <c r="B556" s="9"/>
      <c r="C556" s="44"/>
      <c r="D556" s="278" t="str">
        <f>Asset23</f>
        <v>Land and Easements</v>
      </c>
      <c r="E556" s="9"/>
      <c r="F556" s="9"/>
      <c r="G556" s="210">
        <f>'Adjustment for previous period'!G420</f>
        <v>0</v>
      </c>
      <c r="H556" s="114">
        <f t="shared" ref="H556:H562" si="56">H686+H718</f>
        <v>3.5546881084015506E-3</v>
      </c>
      <c r="I556" s="114">
        <f t="shared" si="55"/>
        <v>2.2787837063604741E-2</v>
      </c>
      <c r="J556" s="114">
        <f t="shared" si="55"/>
        <v>3.3390786646331022E-2</v>
      </c>
      <c r="K556" s="114">
        <f t="shared" si="55"/>
        <v>0.1137519385028201</v>
      </c>
      <c r="L556" s="114">
        <f t="shared" si="55"/>
        <v>0.13300327919689914</v>
      </c>
      <c r="M556" s="114">
        <f t="shared" si="55"/>
        <v>0</v>
      </c>
      <c r="N556" s="114">
        <f t="shared" si="55"/>
        <v>0</v>
      </c>
      <c r="O556" s="114">
        <f t="shared" si="55"/>
        <v>0</v>
      </c>
      <c r="P556" s="114">
        <f t="shared" si="55"/>
        <v>0</v>
      </c>
      <c r="Q556" s="114">
        <f t="shared" si="55"/>
        <v>0</v>
      </c>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4"/>
      <c r="BE556" s="104"/>
      <c r="BF556" s="104"/>
      <c r="BG556" s="104"/>
      <c r="BH556" s="104"/>
      <c r="BI556" s="104"/>
      <c r="BJ556" s="104"/>
      <c r="BK556" s="12"/>
      <c r="BL556" s="12"/>
    </row>
    <row r="557" spans="1:64" ht="12.75" hidden="1" customHeight="1" outlineLevel="1">
      <c r="A557" s="9"/>
      <c r="B557" s="9"/>
      <c r="C557" s="44"/>
      <c r="D557" s="278" t="str">
        <f>Asset24</f>
        <v>Equity Raising</v>
      </c>
      <c r="E557" s="9"/>
      <c r="F557" s="9"/>
      <c r="G557" s="210">
        <f>'Adjustment for previous period'!G421</f>
        <v>0</v>
      </c>
      <c r="H557" s="114">
        <f t="shared" si="56"/>
        <v>0</v>
      </c>
      <c r="I557" s="114">
        <f t="shared" si="55"/>
        <v>3.851270590481428E-3</v>
      </c>
      <c r="J557" s="114">
        <f t="shared" si="55"/>
        <v>-4.2328222198763053E-3</v>
      </c>
      <c r="K557" s="114">
        <f t="shared" si="55"/>
        <v>-3.9987628616819891E-4</v>
      </c>
      <c r="L557" s="114">
        <f t="shared" si="55"/>
        <v>-7.0935241078004876E-4</v>
      </c>
      <c r="M557" s="114">
        <f t="shared" si="55"/>
        <v>0</v>
      </c>
      <c r="N557" s="114">
        <f t="shared" si="55"/>
        <v>0</v>
      </c>
      <c r="O557" s="114">
        <f t="shared" si="55"/>
        <v>0</v>
      </c>
      <c r="P557" s="114">
        <f t="shared" si="55"/>
        <v>0</v>
      </c>
      <c r="Q557" s="114">
        <f t="shared" si="55"/>
        <v>0</v>
      </c>
      <c r="R557" s="2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4"/>
      <c r="BE557" s="104"/>
      <c r="BF557" s="104"/>
      <c r="BG557" s="104"/>
      <c r="BH557" s="104"/>
      <c r="BI557" s="104"/>
      <c r="BJ557" s="104"/>
      <c r="BK557" s="12"/>
      <c r="BL557" s="12"/>
    </row>
    <row r="558" spans="1:64" ht="12.75" hidden="1" customHeight="1" outlineLevel="1">
      <c r="A558" s="9"/>
      <c r="B558" s="9"/>
      <c r="C558" s="44"/>
      <c r="D558" s="278">
        <f>Asset25</f>
        <v>0</v>
      </c>
      <c r="E558" s="9"/>
      <c r="F558" s="9"/>
      <c r="G558" s="210">
        <f>'Adjustment for previous period'!G422</f>
        <v>0</v>
      </c>
      <c r="H558" s="114">
        <f t="shared" si="56"/>
        <v>0</v>
      </c>
      <c r="I558" s="114">
        <f t="shared" si="55"/>
        <v>0</v>
      </c>
      <c r="J558" s="114">
        <f t="shared" si="55"/>
        <v>0</v>
      </c>
      <c r="K558" s="114">
        <f t="shared" si="55"/>
        <v>0</v>
      </c>
      <c r="L558" s="114">
        <f t="shared" si="55"/>
        <v>0</v>
      </c>
      <c r="M558" s="114">
        <f t="shared" si="55"/>
        <v>0</v>
      </c>
      <c r="N558" s="114">
        <f t="shared" si="55"/>
        <v>0</v>
      </c>
      <c r="O558" s="114">
        <f t="shared" si="55"/>
        <v>0</v>
      </c>
      <c r="P558" s="114">
        <f t="shared" si="55"/>
        <v>0</v>
      </c>
      <c r="Q558" s="114">
        <f t="shared" si="55"/>
        <v>0</v>
      </c>
      <c r="R558" s="29"/>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4"/>
      <c r="BE558" s="104"/>
      <c r="BF558" s="104"/>
      <c r="BG558" s="104"/>
      <c r="BH558" s="104"/>
      <c r="BI558" s="104"/>
      <c r="BJ558" s="104"/>
      <c r="BK558" s="12"/>
      <c r="BL558" s="12"/>
    </row>
    <row r="559" spans="1:64" ht="12.75" hidden="1" customHeight="1" outlineLevel="1">
      <c r="A559" s="9"/>
      <c r="B559" s="9"/>
      <c r="C559" s="44"/>
      <c r="D559" s="278">
        <f>Asset26</f>
        <v>0</v>
      </c>
      <c r="E559" s="9"/>
      <c r="F559" s="9"/>
      <c r="G559" s="210">
        <f>'Adjustment for previous period'!G423</f>
        <v>0</v>
      </c>
      <c r="H559" s="114">
        <f t="shared" si="56"/>
        <v>0</v>
      </c>
      <c r="I559" s="114">
        <f t="shared" si="55"/>
        <v>0</v>
      </c>
      <c r="J559" s="114">
        <f t="shared" si="55"/>
        <v>0</v>
      </c>
      <c r="K559" s="114">
        <f t="shared" si="55"/>
        <v>0</v>
      </c>
      <c r="L559" s="114">
        <f t="shared" si="55"/>
        <v>0</v>
      </c>
      <c r="M559" s="114">
        <f t="shared" si="55"/>
        <v>0</v>
      </c>
      <c r="N559" s="114">
        <f t="shared" si="55"/>
        <v>0</v>
      </c>
      <c r="O559" s="114">
        <f t="shared" si="55"/>
        <v>0</v>
      </c>
      <c r="P559" s="114">
        <f t="shared" si="55"/>
        <v>0</v>
      </c>
      <c r="Q559" s="114">
        <f t="shared" si="55"/>
        <v>0</v>
      </c>
      <c r="R559" s="29"/>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4"/>
      <c r="BE559" s="104"/>
      <c r="BF559" s="104"/>
      <c r="BG559" s="104"/>
      <c r="BH559" s="104"/>
      <c r="BI559" s="104"/>
      <c r="BJ559" s="104"/>
      <c r="BK559" s="12"/>
      <c r="BL559" s="12"/>
    </row>
    <row r="560" spans="1:64" ht="12.75" hidden="1" customHeight="1" outlineLevel="1">
      <c r="A560" s="9"/>
      <c r="B560" s="9"/>
      <c r="C560" s="44"/>
      <c r="D560" s="278">
        <f>Asset27</f>
        <v>0</v>
      </c>
      <c r="E560" s="9"/>
      <c r="F560" s="9"/>
      <c r="G560" s="210">
        <f>'Adjustment for previous period'!G424</f>
        <v>0</v>
      </c>
      <c r="H560" s="114">
        <f t="shared" si="56"/>
        <v>0</v>
      </c>
      <c r="I560" s="114">
        <f t="shared" si="55"/>
        <v>0</v>
      </c>
      <c r="J560" s="114">
        <f t="shared" si="55"/>
        <v>0</v>
      </c>
      <c r="K560" s="114">
        <f t="shared" si="55"/>
        <v>0</v>
      </c>
      <c r="L560" s="114">
        <f t="shared" si="55"/>
        <v>0</v>
      </c>
      <c r="M560" s="114">
        <f t="shared" si="55"/>
        <v>0</v>
      </c>
      <c r="N560" s="114">
        <f t="shared" si="55"/>
        <v>0</v>
      </c>
      <c r="O560" s="114">
        <f t="shared" si="55"/>
        <v>0</v>
      </c>
      <c r="P560" s="114">
        <f t="shared" si="55"/>
        <v>0</v>
      </c>
      <c r="Q560" s="114">
        <f t="shared" si="55"/>
        <v>0</v>
      </c>
      <c r="R560" s="29"/>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4"/>
      <c r="BE560" s="104"/>
      <c r="BF560" s="104"/>
      <c r="BG560" s="104"/>
      <c r="BH560" s="104"/>
      <c r="BI560" s="104"/>
      <c r="BJ560" s="104"/>
      <c r="BK560" s="12"/>
      <c r="BL560" s="12"/>
    </row>
    <row r="561" spans="1:64" ht="12.75" hidden="1" customHeight="1" outlineLevel="1">
      <c r="A561" s="9"/>
      <c r="B561" s="9"/>
      <c r="C561" s="44"/>
      <c r="D561" s="278">
        <f>Asset28</f>
        <v>0</v>
      </c>
      <c r="E561" s="9"/>
      <c r="F561" s="9"/>
      <c r="G561" s="210">
        <f>'Adjustment for previous period'!G425</f>
        <v>0</v>
      </c>
      <c r="H561" s="114">
        <f t="shared" si="56"/>
        <v>0</v>
      </c>
      <c r="I561" s="114">
        <f t="shared" si="55"/>
        <v>0</v>
      </c>
      <c r="J561" s="114">
        <f t="shared" si="55"/>
        <v>0</v>
      </c>
      <c r="K561" s="114">
        <f t="shared" si="55"/>
        <v>0</v>
      </c>
      <c r="L561" s="114">
        <f t="shared" si="55"/>
        <v>0</v>
      </c>
      <c r="M561" s="114">
        <f t="shared" si="55"/>
        <v>0</v>
      </c>
      <c r="N561" s="114">
        <f t="shared" si="55"/>
        <v>0</v>
      </c>
      <c r="O561" s="114">
        <f t="shared" si="55"/>
        <v>0</v>
      </c>
      <c r="P561" s="114">
        <f t="shared" si="55"/>
        <v>0</v>
      </c>
      <c r="Q561" s="114">
        <f t="shared" si="55"/>
        <v>0</v>
      </c>
      <c r="R561" s="29"/>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4"/>
      <c r="BE561" s="104"/>
      <c r="BF561" s="104"/>
      <c r="BG561" s="104"/>
      <c r="BH561" s="104"/>
      <c r="BI561" s="104"/>
      <c r="BJ561" s="104"/>
      <c r="BK561" s="12"/>
      <c r="BL561" s="12"/>
    </row>
    <row r="562" spans="1:64" ht="12.75" hidden="1" customHeight="1" outlineLevel="1">
      <c r="A562" s="9"/>
      <c r="B562" s="9"/>
      <c r="C562" s="44"/>
      <c r="D562" s="278">
        <f>Asset29</f>
        <v>0</v>
      </c>
      <c r="E562" s="9"/>
      <c r="F562" s="9"/>
      <c r="G562" s="210">
        <f>'Adjustment for previous period'!G426</f>
        <v>0</v>
      </c>
      <c r="H562" s="114">
        <f t="shared" si="56"/>
        <v>0</v>
      </c>
      <c r="I562" s="114">
        <f t="shared" si="55"/>
        <v>0</v>
      </c>
      <c r="J562" s="114">
        <f t="shared" si="55"/>
        <v>0</v>
      </c>
      <c r="K562" s="114">
        <f t="shared" si="55"/>
        <v>0</v>
      </c>
      <c r="L562" s="114">
        <f t="shared" si="55"/>
        <v>0</v>
      </c>
      <c r="M562" s="114">
        <f t="shared" si="55"/>
        <v>0</v>
      </c>
      <c r="N562" s="114">
        <f t="shared" si="55"/>
        <v>0</v>
      </c>
      <c r="O562" s="114">
        <f t="shared" si="55"/>
        <v>0</v>
      </c>
      <c r="P562" s="114">
        <f t="shared" si="55"/>
        <v>0</v>
      </c>
      <c r="Q562" s="114">
        <f t="shared" si="55"/>
        <v>0</v>
      </c>
      <c r="R562" s="29"/>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4"/>
      <c r="BE562" s="104"/>
      <c r="BF562" s="104"/>
      <c r="BG562" s="104"/>
      <c r="BH562" s="104"/>
      <c r="BI562" s="104"/>
      <c r="BJ562" s="104"/>
      <c r="BK562" s="12"/>
      <c r="BL562" s="12"/>
    </row>
    <row r="563" spans="1:64" ht="12.75" hidden="1" customHeight="1" outlineLevel="1">
      <c r="A563" s="9"/>
      <c r="B563" s="9"/>
      <c r="C563" s="44"/>
      <c r="D563" s="278">
        <f>Asset30</f>
        <v>0</v>
      </c>
      <c r="E563" s="9"/>
      <c r="F563" s="9"/>
      <c r="G563" s="210">
        <f>'Adjustment for previous period'!G427</f>
        <v>0</v>
      </c>
      <c r="H563" s="114">
        <f>H693+H725</f>
        <v>0</v>
      </c>
      <c r="I563" s="114">
        <f>I693+I725</f>
        <v>0</v>
      </c>
      <c r="J563" s="114">
        <f t="shared" si="55"/>
        <v>0</v>
      </c>
      <c r="K563" s="114">
        <f t="shared" si="55"/>
        <v>0</v>
      </c>
      <c r="L563" s="114">
        <f t="shared" si="55"/>
        <v>0</v>
      </c>
      <c r="M563" s="114">
        <f t="shared" si="55"/>
        <v>0</v>
      </c>
      <c r="N563" s="114">
        <f t="shared" si="55"/>
        <v>0</v>
      </c>
      <c r="O563" s="114">
        <f t="shared" si="55"/>
        <v>0</v>
      </c>
      <c r="P563" s="114">
        <f t="shared" si="55"/>
        <v>0</v>
      </c>
      <c r="Q563" s="114">
        <f>Q693+Q725</f>
        <v>0</v>
      </c>
      <c r="R563" s="29"/>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4"/>
      <c r="BE563" s="104"/>
      <c r="BF563" s="104"/>
      <c r="BG563" s="104"/>
      <c r="BH563" s="104"/>
      <c r="BI563" s="104"/>
      <c r="BJ563" s="104"/>
      <c r="BK563" s="12"/>
      <c r="BL563" s="12"/>
    </row>
    <row r="564" spans="1:64" collapsed="1">
      <c r="A564" s="9"/>
      <c r="B564" s="9"/>
      <c r="C564" s="44"/>
      <c r="D564" s="130"/>
      <c r="E564" s="9"/>
      <c r="F564" s="9"/>
      <c r="G564" s="214"/>
      <c r="H564" s="114"/>
      <c r="I564" s="114"/>
      <c r="J564" s="114"/>
      <c r="K564" s="114"/>
      <c r="L564" s="114"/>
      <c r="M564" s="114"/>
      <c r="N564" s="29"/>
      <c r="O564" s="29"/>
      <c r="P564" s="29"/>
      <c r="Q564" s="29"/>
      <c r="R564" s="29"/>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4"/>
      <c r="BE564" s="104"/>
      <c r="BF564" s="104"/>
      <c r="BG564" s="104"/>
      <c r="BH564" s="104"/>
      <c r="BI564" s="104"/>
      <c r="BJ564" s="104"/>
      <c r="BK564" s="12"/>
      <c r="BL564" s="12"/>
    </row>
    <row r="565" spans="1:64">
      <c r="A565" s="9"/>
      <c r="B565" s="9"/>
      <c r="C565" s="44" t="s">
        <v>48</v>
      </c>
      <c r="D565" s="116"/>
      <c r="E565" s="9"/>
      <c r="F565" s="9"/>
      <c r="G565" s="318">
        <f>SUM(G566:G595)</f>
        <v>-9.3282752599801135</v>
      </c>
      <c r="H565" s="35"/>
      <c r="I565" s="35"/>
      <c r="J565" s="35"/>
      <c r="K565" s="35"/>
      <c r="L565" s="35"/>
      <c r="M565" s="35"/>
      <c r="N565" s="29"/>
      <c r="O565" s="29"/>
      <c r="P565" s="29"/>
      <c r="Q565" s="29"/>
      <c r="R565" s="29"/>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4"/>
      <c r="BE565" s="104"/>
      <c r="BF565" s="104"/>
      <c r="BG565" s="104"/>
      <c r="BH565" s="104"/>
      <c r="BI565" s="104"/>
      <c r="BJ565" s="104"/>
      <c r="BK565" s="12"/>
      <c r="BL565" s="12"/>
    </row>
    <row r="566" spans="1:64" hidden="1" outlineLevel="1">
      <c r="A566" s="9"/>
      <c r="B566" s="9"/>
      <c r="C566" s="9"/>
      <c r="D566" s="278" t="str">
        <f>Asset1</f>
        <v>Transmission Lines and Cables</v>
      </c>
      <c r="E566" s="9"/>
      <c r="F566" s="9"/>
      <c r="G566" s="210">
        <f>'Adjustment for previous period'!G430</f>
        <v>-6.670889526632461</v>
      </c>
      <c r="H566" s="35"/>
      <c r="I566" s="35"/>
      <c r="J566" s="35"/>
      <c r="K566" s="35"/>
      <c r="L566" s="35"/>
      <c r="M566" s="35"/>
      <c r="N566" s="29"/>
      <c r="O566" s="29"/>
      <c r="P566" s="29"/>
      <c r="Q566" s="29"/>
      <c r="R566" s="29"/>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4"/>
      <c r="BE566" s="104"/>
      <c r="BF566" s="104"/>
      <c r="BG566" s="104"/>
      <c r="BH566" s="104"/>
      <c r="BI566" s="104"/>
      <c r="BJ566" s="104"/>
      <c r="BK566" s="12"/>
      <c r="BL566" s="12"/>
    </row>
    <row r="567" spans="1:64" hidden="1" outlineLevel="1">
      <c r="A567" s="9"/>
      <c r="B567" s="9"/>
      <c r="C567" s="44"/>
      <c r="D567" s="278" t="str">
        <f>Asset2</f>
        <v>Transmission Substations</v>
      </c>
      <c r="E567" s="9"/>
      <c r="F567" s="9"/>
      <c r="G567" s="210">
        <f>'Adjustment for previous period'!G431</f>
        <v>-24.619744597623882</v>
      </c>
      <c r="H567" s="35"/>
      <c r="I567" s="35"/>
      <c r="J567" s="35"/>
      <c r="K567" s="35"/>
      <c r="L567" s="35"/>
      <c r="M567" s="35"/>
      <c r="N567" s="29"/>
      <c r="O567" s="29"/>
      <c r="P567" s="29"/>
      <c r="Q567" s="29"/>
      <c r="R567" s="29"/>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4"/>
      <c r="BE567" s="104"/>
      <c r="BF567" s="104"/>
      <c r="BG567" s="104"/>
      <c r="BH567" s="104"/>
      <c r="BI567" s="104"/>
      <c r="BJ567" s="104"/>
      <c r="BK567" s="12"/>
      <c r="BL567" s="12"/>
    </row>
    <row r="568" spans="1:64" hidden="1" outlineLevel="1">
      <c r="A568" s="9"/>
      <c r="B568" s="9"/>
      <c r="C568" s="44"/>
      <c r="D568" s="278" t="str">
        <f>Asset3</f>
        <v>Protection and Control</v>
      </c>
      <c r="E568" s="9"/>
      <c r="F568" s="9"/>
      <c r="G568" s="210">
        <f>'Adjustment for previous period'!G432</f>
        <v>8.0081413556646659</v>
      </c>
      <c r="H568" s="35"/>
      <c r="I568" s="35"/>
      <c r="J568" s="35"/>
      <c r="K568" s="35"/>
      <c r="L568" s="35"/>
      <c r="M568" s="35"/>
      <c r="N568" s="29"/>
      <c r="O568" s="29"/>
      <c r="P568" s="29"/>
      <c r="Q568" s="29"/>
      <c r="R568" s="29"/>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4"/>
      <c r="BE568" s="104"/>
      <c r="BF568" s="104"/>
      <c r="BG568" s="104"/>
      <c r="BH568" s="104"/>
      <c r="BI568" s="104"/>
      <c r="BJ568" s="104"/>
      <c r="BK568" s="12"/>
      <c r="BL568" s="12"/>
    </row>
    <row r="569" spans="1:64" hidden="1" outlineLevel="1">
      <c r="A569" s="9"/>
      <c r="B569" s="9"/>
      <c r="C569" s="44"/>
      <c r="D569" s="278" t="str">
        <f>Asset4</f>
        <v>Refurbishment</v>
      </c>
      <c r="E569" s="9"/>
      <c r="F569" s="9"/>
      <c r="G569" s="210">
        <f>'Adjustment for previous period'!G433</f>
        <v>-15.141625906629972</v>
      </c>
      <c r="H569" s="35"/>
      <c r="I569" s="35"/>
      <c r="J569" s="35"/>
      <c r="K569" s="35"/>
      <c r="L569" s="35"/>
      <c r="M569" s="35"/>
      <c r="N569" s="29"/>
      <c r="O569" s="29"/>
      <c r="P569" s="29"/>
      <c r="Q569" s="29"/>
      <c r="R569" s="29"/>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4"/>
      <c r="BE569" s="104"/>
      <c r="BF569" s="104"/>
      <c r="BG569" s="104"/>
      <c r="BH569" s="104"/>
      <c r="BI569" s="104"/>
      <c r="BJ569" s="104"/>
      <c r="BK569" s="12"/>
      <c r="BL569" s="12"/>
    </row>
    <row r="570" spans="1:64" hidden="1" outlineLevel="1">
      <c r="A570" s="9"/>
      <c r="B570" s="9"/>
      <c r="C570" s="44"/>
      <c r="D570" s="278" t="str">
        <f>Asset5</f>
        <v>Other</v>
      </c>
      <c r="E570" s="9"/>
      <c r="F570" s="9"/>
      <c r="G570" s="210">
        <f>'Adjustment for previous period'!G434</f>
        <v>-0.4872756071361764</v>
      </c>
      <c r="H570" s="35"/>
      <c r="I570" s="35"/>
      <c r="J570" s="35"/>
      <c r="K570" s="35"/>
      <c r="L570" s="35"/>
      <c r="M570" s="35"/>
      <c r="N570" s="29"/>
      <c r="O570" s="29"/>
      <c r="P570" s="29"/>
      <c r="Q570" s="29"/>
      <c r="R570" s="29"/>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4"/>
      <c r="BE570" s="104"/>
      <c r="BF570" s="104"/>
      <c r="BG570" s="104"/>
      <c r="BH570" s="104"/>
      <c r="BI570" s="104"/>
      <c r="BJ570" s="104"/>
      <c r="BK570" s="12"/>
      <c r="BL570" s="12"/>
    </row>
    <row r="571" spans="1:64" hidden="1" outlineLevel="1">
      <c r="A571" s="9"/>
      <c r="B571" s="9"/>
      <c r="C571" s="44"/>
      <c r="D571" s="278" t="str">
        <f>Asset6</f>
        <v>Other - IT</v>
      </c>
      <c r="E571" s="9"/>
      <c r="F571" s="9"/>
      <c r="G571" s="210">
        <f>'Adjustment for previous period'!G435</f>
        <v>18.655537634766787</v>
      </c>
      <c r="H571" s="35"/>
      <c r="I571" s="35"/>
      <c r="J571" s="35"/>
      <c r="K571" s="35"/>
      <c r="L571" s="35"/>
      <c r="M571" s="35"/>
      <c r="N571" s="29"/>
      <c r="O571" s="29"/>
      <c r="P571" s="29"/>
      <c r="Q571" s="29"/>
      <c r="R571" s="29"/>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4"/>
      <c r="BE571" s="104"/>
      <c r="BF571" s="104"/>
      <c r="BG571" s="104"/>
      <c r="BH571" s="104"/>
      <c r="BI571" s="104"/>
      <c r="BJ571" s="104"/>
      <c r="BK571" s="12"/>
      <c r="BL571" s="12"/>
    </row>
    <row r="572" spans="1:64" hidden="1" outlineLevel="1">
      <c r="A572" s="9"/>
      <c r="B572" s="9"/>
      <c r="C572" s="44"/>
      <c r="D572" s="278" t="str">
        <f>Asset7</f>
        <v>Other - General</v>
      </c>
      <c r="E572" s="9"/>
      <c r="F572" s="9"/>
      <c r="G572" s="210">
        <f>'Adjustment for previous period'!G436</f>
        <v>-4.3670255217504392</v>
      </c>
      <c r="H572" s="35"/>
      <c r="I572" s="35"/>
      <c r="J572" s="35"/>
      <c r="K572" s="35"/>
      <c r="L572" s="35"/>
      <c r="M572" s="35"/>
      <c r="N572" s="29"/>
      <c r="O572" s="29"/>
      <c r="P572" s="29"/>
      <c r="Q572" s="29"/>
      <c r="R572" s="29"/>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4"/>
      <c r="BE572" s="104"/>
      <c r="BF572" s="104"/>
      <c r="BG572" s="104"/>
      <c r="BH572" s="104"/>
      <c r="BI572" s="104"/>
      <c r="BJ572" s="104"/>
      <c r="BK572" s="12"/>
      <c r="BL572" s="12"/>
    </row>
    <row r="573" spans="1:64" hidden="1" outlineLevel="1">
      <c r="A573" s="9"/>
      <c r="B573" s="9"/>
      <c r="C573" s="44"/>
      <c r="D573" s="278" t="str">
        <f>Asset8</f>
        <v>Other - Buildings</v>
      </c>
      <c r="E573" s="9"/>
      <c r="F573" s="9"/>
      <c r="G573" s="210">
        <f>'Adjustment for previous period'!G437</f>
        <v>12.501824253719461</v>
      </c>
      <c r="H573" s="35"/>
      <c r="I573" s="35"/>
      <c r="J573" s="35"/>
      <c r="K573" s="35"/>
      <c r="L573" s="35"/>
      <c r="M573" s="35"/>
      <c r="N573" s="29"/>
      <c r="O573" s="29"/>
      <c r="P573" s="29"/>
      <c r="Q573" s="29"/>
      <c r="R573" s="29"/>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4"/>
      <c r="BE573" s="104"/>
      <c r="BF573" s="104"/>
      <c r="BG573" s="104"/>
      <c r="BH573" s="104"/>
      <c r="BI573" s="104"/>
      <c r="BJ573" s="104"/>
      <c r="BK573" s="12"/>
      <c r="BL573" s="12"/>
    </row>
    <row r="574" spans="1:64" hidden="1" outlineLevel="1">
      <c r="A574" s="9"/>
      <c r="B574" s="9"/>
      <c r="C574" s="44"/>
      <c r="D574" s="278" t="str">
        <f>Asset9</f>
        <v>Land and Easements</v>
      </c>
      <c r="E574" s="9"/>
      <c r="F574" s="9"/>
      <c r="G574" s="210">
        <f>'Adjustment for previous period'!G438</f>
        <v>2.7927826556419029</v>
      </c>
      <c r="H574" s="35"/>
      <c r="I574" s="35"/>
      <c r="J574" s="35"/>
      <c r="K574" s="35"/>
      <c r="L574" s="35"/>
      <c r="M574" s="35"/>
      <c r="N574" s="29"/>
      <c r="O574" s="29"/>
      <c r="P574" s="29"/>
      <c r="Q574" s="29"/>
      <c r="R574" s="29"/>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4"/>
      <c r="BE574" s="104"/>
      <c r="BF574" s="104"/>
      <c r="BG574" s="104"/>
      <c r="BH574" s="104"/>
      <c r="BI574" s="104"/>
      <c r="BJ574" s="104"/>
      <c r="BK574" s="12"/>
      <c r="BL574" s="12"/>
    </row>
    <row r="575" spans="1:64" hidden="1" outlineLevel="1">
      <c r="A575" s="9"/>
      <c r="B575" s="9"/>
      <c r="C575" s="44"/>
      <c r="D575" s="278" t="str">
        <f>Asset10</f>
        <v>Transmission line assets - long life (60)</v>
      </c>
      <c r="E575" s="9"/>
      <c r="F575" s="9"/>
      <c r="G575" s="210">
        <f>'Adjustment for previous period'!G439</f>
        <v>0</v>
      </c>
      <c r="H575" s="35"/>
      <c r="I575" s="35"/>
      <c r="J575" s="35"/>
      <c r="K575" s="35"/>
      <c r="L575" s="35"/>
      <c r="M575" s="35"/>
      <c r="N575" s="29"/>
      <c r="O575" s="29"/>
      <c r="P575" s="29"/>
      <c r="Q575" s="29"/>
      <c r="R575" s="29"/>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4"/>
      <c r="BE575" s="104"/>
      <c r="BF575" s="104"/>
      <c r="BG575" s="104"/>
      <c r="BH575" s="104"/>
      <c r="BI575" s="104"/>
      <c r="BJ575" s="104"/>
      <c r="BK575" s="12"/>
      <c r="BL575" s="12"/>
    </row>
    <row r="576" spans="1:64" hidden="1" outlineLevel="1">
      <c r="A576" s="9"/>
      <c r="B576" s="9"/>
      <c r="C576" s="44"/>
      <c r="D576" s="278" t="str">
        <f>Asset11</f>
        <v>Transmission line assets - medium life (45)</v>
      </c>
      <c r="E576" s="9"/>
      <c r="F576" s="9"/>
      <c r="G576" s="210">
        <f>'Adjustment for previous period'!G440</f>
        <v>0</v>
      </c>
      <c r="H576" s="35"/>
      <c r="I576" s="35"/>
      <c r="J576" s="35"/>
      <c r="K576" s="35"/>
      <c r="L576" s="35"/>
      <c r="M576" s="35"/>
      <c r="N576" s="29"/>
      <c r="O576" s="29"/>
      <c r="P576" s="29"/>
      <c r="Q576" s="29"/>
      <c r="R576" s="29"/>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4"/>
      <c r="BE576" s="104"/>
      <c r="BF576" s="104"/>
      <c r="BG576" s="104"/>
      <c r="BH576" s="104"/>
      <c r="BI576" s="104"/>
      <c r="BJ576" s="104"/>
      <c r="BK576" s="12"/>
      <c r="BL576" s="12"/>
    </row>
    <row r="577" spans="1:64" hidden="1" outlineLevel="1">
      <c r="A577" s="9"/>
      <c r="B577" s="9"/>
      <c r="C577" s="44"/>
      <c r="D577" s="278" t="str">
        <f>Asset12</f>
        <v>Transmission line assets - short life (10)</v>
      </c>
      <c r="E577" s="9"/>
      <c r="F577" s="9"/>
      <c r="G577" s="210">
        <f>'Adjustment for previous period'!G441</f>
        <v>0</v>
      </c>
      <c r="H577" s="35"/>
      <c r="I577" s="35"/>
      <c r="J577" s="35"/>
      <c r="K577" s="35"/>
      <c r="L577" s="35"/>
      <c r="M577" s="35"/>
      <c r="N577" s="29"/>
      <c r="O577" s="29"/>
      <c r="P577" s="29"/>
      <c r="Q577" s="29"/>
      <c r="R577" s="29"/>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4"/>
      <c r="BE577" s="104"/>
      <c r="BF577" s="104"/>
      <c r="BG577" s="104"/>
      <c r="BH577" s="104"/>
      <c r="BI577" s="104"/>
      <c r="BJ577" s="104"/>
      <c r="BK577" s="12"/>
      <c r="BL577" s="12"/>
    </row>
    <row r="578" spans="1:64" hidden="1" outlineLevel="1">
      <c r="A578" s="9"/>
      <c r="B578" s="9"/>
      <c r="C578" s="44"/>
      <c r="D578" s="278" t="str">
        <f>Asset13</f>
        <v>Substation assets - long life (60)</v>
      </c>
      <c r="E578" s="9"/>
      <c r="F578" s="9"/>
      <c r="G578" s="210">
        <f>'Adjustment for previous period'!G442</f>
        <v>0</v>
      </c>
      <c r="H578" s="35"/>
      <c r="I578" s="35"/>
      <c r="J578" s="35"/>
      <c r="K578" s="35"/>
      <c r="L578" s="35"/>
      <c r="M578" s="35"/>
      <c r="N578" s="29"/>
      <c r="O578" s="29"/>
      <c r="P578" s="29"/>
      <c r="Q578" s="29"/>
      <c r="R578" s="29"/>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4"/>
      <c r="BE578" s="104"/>
      <c r="BF578" s="104"/>
      <c r="BG578" s="104"/>
      <c r="BH578" s="104"/>
      <c r="BI578" s="104"/>
      <c r="BJ578" s="104"/>
      <c r="BK578" s="12"/>
      <c r="BL578" s="12"/>
    </row>
    <row r="579" spans="1:64" hidden="1" outlineLevel="1">
      <c r="A579" s="9"/>
      <c r="B579" s="9"/>
      <c r="C579" s="44"/>
      <c r="D579" s="278" t="str">
        <f>Asset14</f>
        <v>Substation assets - medium life (45)</v>
      </c>
      <c r="E579" s="9"/>
      <c r="F579" s="9"/>
      <c r="G579" s="210">
        <f>'Adjustment for previous period'!G443</f>
        <v>0</v>
      </c>
      <c r="H579" s="35"/>
      <c r="I579" s="35"/>
      <c r="J579" s="35"/>
      <c r="K579" s="35"/>
      <c r="L579" s="35"/>
      <c r="M579" s="35"/>
      <c r="N579" s="29"/>
      <c r="O579" s="29"/>
      <c r="P579" s="29"/>
      <c r="Q579" s="29"/>
      <c r="R579" s="29"/>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4"/>
      <c r="BE579" s="104"/>
      <c r="BF579" s="104"/>
      <c r="BG579" s="104"/>
      <c r="BH579" s="104"/>
      <c r="BI579" s="104"/>
      <c r="BJ579" s="104"/>
      <c r="BK579" s="12"/>
      <c r="BL579" s="12"/>
    </row>
    <row r="580" spans="1:64" hidden="1" outlineLevel="1">
      <c r="A580" s="9"/>
      <c r="B580" s="9"/>
      <c r="C580" s="44"/>
      <c r="D580" s="278" t="str">
        <f>Asset15</f>
        <v>Substation assets - short life (15)</v>
      </c>
      <c r="E580" s="9"/>
      <c r="F580" s="9"/>
      <c r="G580" s="210">
        <f>'Adjustment for previous period'!G444</f>
        <v>0</v>
      </c>
      <c r="H580" s="35"/>
      <c r="I580" s="35"/>
      <c r="J580" s="35"/>
      <c r="K580" s="35"/>
      <c r="L580" s="35"/>
      <c r="M580" s="35"/>
      <c r="N580" s="29"/>
      <c r="O580" s="29"/>
      <c r="P580" s="29"/>
      <c r="Q580" s="29"/>
      <c r="R580" s="29"/>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4"/>
      <c r="BE580" s="104"/>
      <c r="BF580" s="104"/>
      <c r="BG580" s="104"/>
      <c r="BH580" s="104"/>
      <c r="BI580" s="104"/>
      <c r="BJ580" s="104"/>
      <c r="BK580" s="12"/>
      <c r="BL580" s="12"/>
    </row>
    <row r="581" spans="1:64" hidden="1" outlineLevel="1">
      <c r="A581" s="9"/>
      <c r="B581" s="9"/>
      <c r="C581" s="44"/>
      <c r="D581" s="278" t="str">
        <f>Asset16</f>
        <v>Protection and control - short life (15)</v>
      </c>
      <c r="E581" s="9"/>
      <c r="F581" s="9"/>
      <c r="G581" s="210">
        <f>'Adjustment for previous period'!G445</f>
        <v>0</v>
      </c>
      <c r="H581" s="35"/>
      <c r="I581" s="35"/>
      <c r="J581" s="35"/>
      <c r="K581" s="35"/>
      <c r="L581" s="35"/>
      <c r="M581" s="35"/>
      <c r="N581" s="29"/>
      <c r="O581" s="29"/>
      <c r="P581" s="29"/>
      <c r="Q581" s="29"/>
      <c r="R581" s="29"/>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4"/>
      <c r="BE581" s="104"/>
      <c r="BF581" s="104"/>
      <c r="BG581" s="104"/>
      <c r="BH581" s="104"/>
      <c r="BI581" s="104"/>
      <c r="BJ581" s="104"/>
      <c r="BK581" s="12"/>
      <c r="BL581" s="12"/>
    </row>
    <row r="582" spans="1:64" hidden="1" outlineLevel="1">
      <c r="A582" s="9"/>
      <c r="B582" s="9"/>
      <c r="C582" s="44"/>
      <c r="D582" s="278" t="str">
        <f>Asset17</f>
        <v>Protection and control - short life (4)</v>
      </c>
      <c r="E582" s="9"/>
      <c r="F582" s="9"/>
      <c r="G582" s="210">
        <f>'Adjustment for previous period'!G446</f>
        <v>0</v>
      </c>
      <c r="H582" s="35"/>
      <c r="I582" s="35"/>
      <c r="J582" s="35"/>
      <c r="K582" s="35"/>
      <c r="L582" s="35"/>
      <c r="M582" s="35"/>
      <c r="N582" s="29"/>
      <c r="O582" s="29"/>
      <c r="P582" s="29"/>
      <c r="Q582" s="29"/>
      <c r="R582" s="29"/>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4"/>
      <c r="BE582" s="104"/>
      <c r="BF582" s="104"/>
      <c r="BG582" s="104"/>
      <c r="BH582" s="104"/>
      <c r="BI582" s="104"/>
      <c r="BJ582" s="104"/>
      <c r="BK582" s="12"/>
      <c r="BL582" s="12"/>
    </row>
    <row r="583" spans="1:64" hidden="1" outlineLevel="1">
      <c r="A583" s="9"/>
      <c r="B583" s="9"/>
      <c r="C583" s="44"/>
      <c r="D583" s="278" t="str">
        <f>Asset18</f>
        <v>Transmission operations - short life (10)</v>
      </c>
      <c r="E583" s="9"/>
      <c r="F583" s="9"/>
      <c r="G583" s="210">
        <f>'Adjustment for previous period'!G447</f>
        <v>0</v>
      </c>
      <c r="H583" s="35"/>
      <c r="I583" s="35"/>
      <c r="J583" s="35"/>
      <c r="K583" s="35"/>
      <c r="L583" s="35"/>
      <c r="M583" s="35"/>
      <c r="N583" s="29"/>
      <c r="O583" s="29"/>
      <c r="P583" s="29"/>
      <c r="Q583" s="29"/>
      <c r="R583" s="29"/>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4"/>
      <c r="BE583" s="104"/>
      <c r="BF583" s="104"/>
      <c r="BG583" s="104"/>
      <c r="BH583" s="104"/>
      <c r="BI583" s="104"/>
      <c r="BJ583" s="104"/>
      <c r="BK583" s="12"/>
      <c r="BL583" s="12"/>
    </row>
    <row r="584" spans="1:64" hidden="1" outlineLevel="1">
      <c r="A584" s="9"/>
      <c r="B584" s="9"/>
      <c r="C584" s="44"/>
      <c r="D584" s="278" t="str">
        <f>Asset19</f>
        <v>Transmission operations - short life (4)</v>
      </c>
      <c r="E584" s="9"/>
      <c r="F584" s="9"/>
      <c r="G584" s="210">
        <f>'Adjustment for previous period'!G448</f>
        <v>0</v>
      </c>
      <c r="H584" s="35"/>
      <c r="I584" s="35"/>
      <c r="J584" s="35"/>
      <c r="K584" s="35"/>
      <c r="L584" s="35"/>
      <c r="M584" s="35"/>
      <c r="N584" s="29"/>
      <c r="O584" s="29"/>
      <c r="P584" s="29"/>
      <c r="Q584" s="29"/>
      <c r="R584" s="29"/>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4"/>
      <c r="BE584" s="104"/>
      <c r="BF584" s="104"/>
      <c r="BG584" s="104"/>
      <c r="BH584" s="104"/>
      <c r="BI584" s="104"/>
      <c r="BJ584" s="104"/>
      <c r="BK584" s="12"/>
      <c r="BL584" s="12"/>
    </row>
    <row r="585" spans="1:64" hidden="1" outlineLevel="1">
      <c r="A585" s="9"/>
      <c r="B585" s="9"/>
      <c r="C585" s="44"/>
      <c r="D585" s="278" t="str">
        <f>Asset20</f>
        <v>Other - medium life (40)</v>
      </c>
      <c r="E585" s="9"/>
      <c r="F585" s="9"/>
      <c r="G585" s="210">
        <f>'Adjustment for previous period'!G449</f>
        <v>0</v>
      </c>
      <c r="H585" s="35"/>
      <c r="I585" s="35"/>
      <c r="J585" s="35"/>
      <c r="K585" s="35"/>
      <c r="L585" s="35"/>
      <c r="M585" s="35"/>
      <c r="N585" s="29"/>
      <c r="O585" s="29"/>
      <c r="P585" s="29"/>
      <c r="Q585" s="29"/>
      <c r="R585" s="29"/>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4"/>
      <c r="BE585" s="104"/>
      <c r="BF585" s="104"/>
      <c r="BG585" s="104"/>
      <c r="BH585" s="104"/>
      <c r="BI585" s="104"/>
      <c r="BJ585" s="104"/>
      <c r="BK585" s="12"/>
      <c r="BL585" s="12"/>
    </row>
    <row r="586" spans="1:64" hidden="1" outlineLevel="1">
      <c r="A586" s="9"/>
      <c r="B586" s="9"/>
      <c r="C586" s="44"/>
      <c r="D586" s="278" t="str">
        <f>Asset21</f>
        <v>Other - short life (9)</v>
      </c>
      <c r="E586" s="9"/>
      <c r="F586" s="9"/>
      <c r="G586" s="210">
        <f>'Adjustment for previous period'!G450</f>
        <v>0</v>
      </c>
      <c r="H586" s="35"/>
      <c r="I586" s="35"/>
      <c r="J586" s="35"/>
      <c r="K586" s="35"/>
      <c r="L586" s="35"/>
      <c r="M586" s="35"/>
      <c r="N586" s="29"/>
      <c r="O586" s="29"/>
      <c r="P586" s="29"/>
      <c r="Q586" s="29"/>
      <c r="R586" s="29"/>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4"/>
      <c r="BE586" s="104"/>
      <c r="BF586" s="104"/>
      <c r="BG586" s="104"/>
      <c r="BH586" s="104"/>
      <c r="BI586" s="104"/>
      <c r="BJ586" s="104"/>
      <c r="BK586" s="12"/>
      <c r="BL586" s="12"/>
    </row>
    <row r="587" spans="1:64" hidden="1" outlineLevel="1">
      <c r="A587" s="9"/>
      <c r="B587" s="9"/>
      <c r="C587" s="44"/>
      <c r="D587" s="278" t="str">
        <f>Asset22</f>
        <v>Other - short life (4)</v>
      </c>
      <c r="E587" s="9"/>
      <c r="F587" s="9"/>
      <c r="G587" s="210">
        <f>'Adjustment for previous period'!G451</f>
        <v>0</v>
      </c>
      <c r="H587" s="35"/>
      <c r="I587" s="35"/>
      <c r="J587" s="35"/>
      <c r="K587" s="35"/>
      <c r="L587" s="35"/>
      <c r="M587" s="35"/>
      <c r="N587" s="29"/>
      <c r="O587" s="29"/>
      <c r="P587" s="29"/>
      <c r="Q587" s="29"/>
      <c r="R587" s="29"/>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4"/>
      <c r="BE587" s="104"/>
      <c r="BF587" s="104"/>
      <c r="BG587" s="104"/>
      <c r="BH587" s="104"/>
      <c r="BI587" s="104"/>
      <c r="BJ587" s="104"/>
      <c r="BK587" s="12"/>
      <c r="BL587" s="12"/>
    </row>
    <row r="588" spans="1:64" hidden="1" outlineLevel="1">
      <c r="A588" s="9"/>
      <c r="B588" s="9"/>
      <c r="C588" s="44"/>
      <c r="D588" s="278" t="str">
        <f>Asset23</f>
        <v>Land and Easements</v>
      </c>
      <c r="E588" s="9"/>
      <c r="F588" s="9"/>
      <c r="G588" s="210">
        <f>'Adjustment for previous period'!G452</f>
        <v>0</v>
      </c>
      <c r="H588" s="35"/>
      <c r="I588" s="35"/>
      <c r="J588" s="35"/>
      <c r="K588" s="35"/>
      <c r="L588" s="35"/>
      <c r="M588" s="35"/>
      <c r="N588" s="29"/>
      <c r="O588" s="29"/>
      <c r="P588" s="29"/>
      <c r="Q588" s="29"/>
      <c r="R588" s="29"/>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4"/>
      <c r="BE588" s="104"/>
      <c r="BF588" s="104"/>
      <c r="BG588" s="104"/>
      <c r="BH588" s="104"/>
      <c r="BI588" s="104"/>
      <c r="BJ588" s="104"/>
      <c r="BK588" s="12"/>
      <c r="BL588" s="12"/>
    </row>
    <row r="589" spans="1:64" hidden="1" outlineLevel="1">
      <c r="A589" s="9"/>
      <c r="B589" s="9"/>
      <c r="C589" s="44"/>
      <c r="D589" s="278" t="str">
        <f>Asset24</f>
        <v>Equity Raising</v>
      </c>
      <c r="E589" s="9"/>
      <c r="F589" s="9"/>
      <c r="G589" s="210">
        <f>'Adjustment for previous period'!G453</f>
        <v>0</v>
      </c>
      <c r="H589" s="35"/>
      <c r="I589" s="35"/>
      <c r="J589" s="35"/>
      <c r="K589" s="35"/>
      <c r="L589" s="35"/>
      <c r="M589" s="35"/>
      <c r="N589" s="29"/>
      <c r="O589" s="29"/>
      <c r="P589" s="29"/>
      <c r="Q589" s="29"/>
      <c r="R589" s="29"/>
      <c r="S589" s="104"/>
      <c r="T589" s="104"/>
      <c r="U589" s="104"/>
      <c r="V589" s="104"/>
      <c r="W589" s="104"/>
      <c r="X589" s="104"/>
      <c r="Y589" s="104"/>
      <c r="Z589" s="104"/>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4"/>
      <c r="BE589" s="104"/>
      <c r="BF589" s="104"/>
      <c r="BG589" s="104"/>
      <c r="BH589" s="104"/>
      <c r="BI589" s="104"/>
      <c r="BJ589" s="104"/>
      <c r="BK589" s="12"/>
      <c r="BL589" s="12"/>
    </row>
    <row r="590" spans="1:64" hidden="1" outlineLevel="1">
      <c r="A590" s="9"/>
      <c r="B590" s="9"/>
      <c r="C590" s="44"/>
      <c r="D590" s="278">
        <f>Asset25</f>
        <v>0</v>
      </c>
      <c r="E590" s="9"/>
      <c r="F590" s="9"/>
      <c r="G590" s="210">
        <f>'Adjustment for previous period'!G454</f>
        <v>0</v>
      </c>
      <c r="H590" s="35"/>
      <c r="I590" s="35"/>
      <c r="J590" s="35"/>
      <c r="K590" s="35"/>
      <c r="L590" s="35"/>
      <c r="M590" s="35"/>
      <c r="N590" s="29"/>
      <c r="O590" s="29"/>
      <c r="P590" s="29"/>
      <c r="Q590" s="29"/>
      <c r="R590" s="29"/>
      <c r="S590" s="104"/>
      <c r="T590" s="104"/>
      <c r="U590" s="104"/>
      <c r="V590" s="104"/>
      <c r="W590" s="104"/>
      <c r="X590" s="104"/>
      <c r="Y590" s="104"/>
      <c r="Z590" s="104"/>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4"/>
      <c r="BE590" s="104"/>
      <c r="BF590" s="104"/>
      <c r="BG590" s="104"/>
      <c r="BH590" s="104"/>
      <c r="BI590" s="104"/>
      <c r="BJ590" s="104"/>
      <c r="BK590" s="12"/>
      <c r="BL590" s="12"/>
    </row>
    <row r="591" spans="1:64" hidden="1" outlineLevel="1">
      <c r="A591" s="9"/>
      <c r="B591" s="9"/>
      <c r="C591" s="44"/>
      <c r="D591" s="278">
        <f>Asset26</f>
        <v>0</v>
      </c>
      <c r="E591" s="9"/>
      <c r="F591" s="9"/>
      <c r="G591" s="210">
        <f>'Adjustment for previous period'!G455</f>
        <v>0</v>
      </c>
      <c r="H591" s="35"/>
      <c r="I591" s="35"/>
      <c r="J591" s="35"/>
      <c r="K591" s="35"/>
      <c r="L591" s="35"/>
      <c r="M591" s="35"/>
      <c r="N591" s="29"/>
      <c r="O591" s="29"/>
      <c r="P591" s="29"/>
      <c r="Q591" s="29"/>
      <c r="R591" s="29"/>
      <c r="S591" s="104"/>
      <c r="T591" s="104"/>
      <c r="U591" s="104"/>
      <c r="V591" s="104"/>
      <c r="W591" s="104"/>
      <c r="X591" s="104"/>
      <c r="Y591" s="104"/>
      <c r="Z591" s="104"/>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4"/>
      <c r="BE591" s="104"/>
      <c r="BF591" s="104"/>
      <c r="BG591" s="104"/>
      <c r="BH591" s="104"/>
      <c r="BI591" s="104"/>
      <c r="BJ591" s="104"/>
      <c r="BK591" s="12"/>
      <c r="BL591" s="12"/>
    </row>
    <row r="592" spans="1:64" hidden="1" outlineLevel="1">
      <c r="A592" s="9"/>
      <c r="B592" s="9"/>
      <c r="C592" s="44"/>
      <c r="D592" s="278">
        <f>Asset27</f>
        <v>0</v>
      </c>
      <c r="E592" s="9"/>
      <c r="F592" s="9"/>
      <c r="G592" s="210">
        <f>'Adjustment for previous period'!G456</f>
        <v>0</v>
      </c>
      <c r="H592" s="35"/>
      <c r="I592" s="35"/>
      <c r="J592" s="35"/>
      <c r="K592" s="35"/>
      <c r="L592" s="35"/>
      <c r="M592" s="35"/>
      <c r="N592" s="29"/>
      <c r="O592" s="29"/>
      <c r="P592" s="29"/>
      <c r="Q592" s="29"/>
      <c r="R592" s="29"/>
      <c r="S592" s="104"/>
      <c r="T592" s="104"/>
      <c r="U592" s="104"/>
      <c r="V592" s="104"/>
      <c r="W592" s="104"/>
      <c r="X592" s="104"/>
      <c r="Y592" s="104"/>
      <c r="Z592" s="104"/>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4"/>
      <c r="BE592" s="104"/>
      <c r="BF592" s="104"/>
      <c r="BG592" s="104"/>
      <c r="BH592" s="104"/>
      <c r="BI592" s="104"/>
      <c r="BJ592" s="104"/>
      <c r="BK592" s="12"/>
      <c r="BL592" s="12"/>
    </row>
    <row r="593" spans="1:64" hidden="1" outlineLevel="1">
      <c r="A593" s="9"/>
      <c r="B593" s="9"/>
      <c r="C593" s="44"/>
      <c r="D593" s="278">
        <f>Asset28</f>
        <v>0</v>
      </c>
      <c r="E593" s="9"/>
      <c r="F593" s="9"/>
      <c r="G593" s="210">
        <f>'Adjustment for previous period'!G457</f>
        <v>0</v>
      </c>
      <c r="H593" s="35"/>
      <c r="I593" s="35"/>
      <c r="J593" s="35"/>
      <c r="K593" s="35"/>
      <c r="L593" s="35"/>
      <c r="M593" s="35"/>
      <c r="N593" s="29"/>
      <c r="O593" s="29"/>
      <c r="P593" s="29"/>
      <c r="Q593" s="29"/>
      <c r="R593" s="29"/>
      <c r="S593" s="104"/>
      <c r="T593" s="104"/>
      <c r="U593" s="104"/>
      <c r="V593" s="104"/>
      <c r="W593" s="104"/>
      <c r="X593" s="104"/>
      <c r="Y593" s="104"/>
      <c r="Z593" s="104"/>
      <c r="AA593" s="235"/>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4"/>
      <c r="BE593" s="104"/>
      <c r="BF593" s="104"/>
      <c r="BG593" s="104"/>
      <c r="BH593" s="104"/>
      <c r="BI593" s="104"/>
      <c r="BJ593" s="104"/>
      <c r="BK593" s="12"/>
      <c r="BL593" s="12"/>
    </row>
    <row r="594" spans="1:64" hidden="1" outlineLevel="1">
      <c r="A594" s="9"/>
      <c r="B594" s="9"/>
      <c r="C594" s="44"/>
      <c r="D594" s="278">
        <f>Asset29</f>
        <v>0</v>
      </c>
      <c r="E594" s="9"/>
      <c r="F594" s="9"/>
      <c r="G594" s="210">
        <f>'Adjustment for previous period'!G458</f>
        <v>0</v>
      </c>
      <c r="H594" s="35"/>
      <c r="I594" s="35"/>
      <c r="J594" s="35"/>
      <c r="K594" s="35"/>
      <c r="L594" s="35"/>
      <c r="M594" s="35"/>
      <c r="N594" s="29"/>
      <c r="O594" s="29"/>
      <c r="P594" s="29"/>
      <c r="Q594" s="29"/>
      <c r="R594" s="29"/>
      <c r="S594" s="104"/>
      <c r="T594" s="104"/>
      <c r="U594" s="104"/>
      <c r="V594" s="104"/>
      <c r="W594" s="104"/>
      <c r="X594" s="104"/>
      <c r="Y594" s="104"/>
      <c r="Z594" s="104"/>
      <c r="AA594" s="235"/>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4"/>
      <c r="BE594" s="104"/>
      <c r="BF594" s="104"/>
      <c r="BG594" s="104"/>
      <c r="BH594" s="104"/>
      <c r="BI594" s="104"/>
      <c r="BJ594" s="104"/>
      <c r="BK594" s="12"/>
      <c r="BL594" s="12"/>
    </row>
    <row r="595" spans="1:64" hidden="1" outlineLevel="1">
      <c r="A595" s="9"/>
      <c r="B595" s="9"/>
      <c r="C595" s="44"/>
      <c r="D595" s="278">
        <f>Asset30</f>
        <v>0</v>
      </c>
      <c r="E595" s="9"/>
      <c r="F595" s="9"/>
      <c r="G595" s="210">
        <f>'Adjustment for previous period'!G459</f>
        <v>0</v>
      </c>
      <c r="H595" s="35"/>
      <c r="I595" s="35"/>
      <c r="J595" s="35"/>
      <c r="K595" s="35"/>
      <c r="L595" s="35"/>
      <c r="M595" s="35"/>
      <c r="N595" s="29"/>
      <c r="O595" s="29"/>
      <c r="P595" s="29"/>
      <c r="Q595" s="29"/>
      <c r="R595" s="29"/>
      <c r="S595" s="104"/>
      <c r="T595" s="104"/>
      <c r="U595" s="104"/>
      <c r="V595" s="104"/>
      <c r="W595" s="104"/>
      <c r="X595" s="104"/>
      <c r="Y595" s="104"/>
      <c r="Z595" s="104"/>
      <c r="AA595" s="235"/>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4"/>
      <c r="BE595" s="104"/>
      <c r="BF595" s="104"/>
      <c r="BG595" s="104"/>
      <c r="BH595" s="104"/>
      <c r="BI595" s="104"/>
      <c r="BJ595" s="104"/>
      <c r="BK595" s="12"/>
      <c r="BL595" s="12"/>
    </row>
    <row r="596" spans="1:64" collapsed="1">
      <c r="A596" s="9"/>
      <c r="B596" s="9"/>
      <c r="C596" s="44"/>
      <c r="D596" s="116"/>
      <c r="E596" s="9"/>
      <c r="F596" s="9"/>
      <c r="G596" s="214"/>
      <c r="H596" s="35"/>
      <c r="I596" s="35"/>
      <c r="J596" s="35"/>
      <c r="K596" s="35"/>
      <c r="L596" s="35"/>
      <c r="M596" s="35"/>
      <c r="N596" s="29"/>
      <c r="O596" s="29"/>
      <c r="P596" s="29"/>
      <c r="Q596" s="29"/>
      <c r="R596" s="29"/>
      <c r="S596" s="104"/>
      <c r="T596" s="104"/>
      <c r="U596" s="104"/>
      <c r="V596" s="104"/>
      <c r="W596" s="104"/>
      <c r="X596" s="104"/>
      <c r="Y596" s="104"/>
      <c r="Z596" s="104"/>
      <c r="AA596" s="235"/>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4"/>
      <c r="BE596" s="104"/>
      <c r="BF596" s="104"/>
      <c r="BG596" s="104"/>
      <c r="BH596" s="104"/>
      <c r="BI596" s="104"/>
      <c r="BJ596" s="104"/>
      <c r="BK596" s="12"/>
      <c r="BL596" s="12"/>
    </row>
    <row r="597" spans="1:64">
      <c r="A597" s="9"/>
      <c r="B597" s="9"/>
      <c r="C597" s="44" t="s">
        <v>60</v>
      </c>
      <c r="D597" s="116"/>
      <c r="E597" s="9"/>
      <c r="F597" s="9"/>
      <c r="G597" s="318">
        <f>SUM(G598:G627)</f>
        <v>-5.8894452447240129</v>
      </c>
      <c r="H597" s="35"/>
      <c r="I597" s="35"/>
      <c r="J597" s="35"/>
      <c r="K597" s="35"/>
      <c r="L597" s="35"/>
      <c r="M597" s="35"/>
      <c r="N597" s="29"/>
      <c r="O597" s="29"/>
      <c r="P597" s="29"/>
      <c r="Q597" s="29"/>
      <c r="R597" s="29"/>
      <c r="S597" s="104"/>
      <c r="T597" s="104"/>
      <c r="U597" s="104"/>
      <c r="V597" s="104"/>
      <c r="W597" s="104"/>
      <c r="X597" s="104"/>
      <c r="Y597" s="104"/>
      <c r="Z597" s="104"/>
      <c r="AA597" s="235"/>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4"/>
      <c r="BE597" s="104"/>
      <c r="BF597" s="104"/>
      <c r="BG597" s="104"/>
      <c r="BH597" s="104"/>
      <c r="BI597" s="104"/>
      <c r="BJ597" s="104"/>
      <c r="BK597" s="12"/>
      <c r="BL597" s="12"/>
    </row>
    <row r="598" spans="1:64" hidden="1" outlineLevel="1">
      <c r="A598" s="9"/>
      <c r="B598" s="9"/>
      <c r="C598" s="9"/>
      <c r="D598" s="278" t="str">
        <f>Asset1</f>
        <v>Transmission Lines and Cables</v>
      </c>
      <c r="E598" s="9"/>
      <c r="F598" s="9"/>
      <c r="G598" s="210">
        <f>'Adjustment for previous period'!G462</f>
        <v>1.8023162780666071</v>
      </c>
      <c r="H598" s="35"/>
      <c r="I598" s="35"/>
      <c r="J598" s="35"/>
      <c r="K598" s="35"/>
      <c r="L598" s="35"/>
      <c r="M598" s="35"/>
      <c r="N598" s="29"/>
      <c r="O598" s="29"/>
      <c r="P598" s="29"/>
      <c r="Q598" s="29"/>
      <c r="R598" s="29"/>
      <c r="S598" s="104"/>
      <c r="T598" s="104"/>
      <c r="U598" s="104"/>
      <c r="V598" s="104"/>
      <c r="W598" s="104"/>
      <c r="X598" s="104"/>
      <c r="Y598" s="104"/>
      <c r="Z598" s="104"/>
      <c r="AA598" s="235"/>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4"/>
      <c r="BE598" s="104"/>
      <c r="BF598" s="104"/>
      <c r="BG598" s="104"/>
      <c r="BH598" s="104"/>
      <c r="BI598" s="104"/>
      <c r="BJ598" s="104"/>
      <c r="BK598" s="12"/>
      <c r="BL598" s="12"/>
    </row>
    <row r="599" spans="1:64" hidden="1" outlineLevel="1">
      <c r="A599" s="9"/>
      <c r="B599" s="9"/>
      <c r="C599" s="44"/>
      <c r="D599" s="278" t="str">
        <f>Asset2</f>
        <v>Transmission Substations</v>
      </c>
      <c r="E599" s="9"/>
      <c r="F599" s="9"/>
      <c r="G599" s="210">
        <f>'Adjustment for previous period'!G463</f>
        <v>-2.0600227695986688</v>
      </c>
      <c r="H599" s="35"/>
      <c r="I599" s="35"/>
      <c r="J599" s="35"/>
      <c r="K599" s="35"/>
      <c r="L599" s="35"/>
      <c r="M599" s="35"/>
      <c r="N599" s="29"/>
      <c r="O599" s="29"/>
      <c r="P599" s="29"/>
      <c r="Q599" s="29"/>
      <c r="R599" s="29"/>
      <c r="S599" s="104"/>
      <c r="T599" s="104"/>
      <c r="U599" s="104"/>
      <c r="V599" s="104"/>
      <c r="W599" s="104"/>
      <c r="X599" s="104"/>
      <c r="Y599" s="104"/>
      <c r="Z599" s="104"/>
      <c r="AA599" s="235"/>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4"/>
      <c r="BE599" s="104"/>
      <c r="BF599" s="104"/>
      <c r="BG599" s="104"/>
      <c r="BH599" s="104"/>
      <c r="BI599" s="104"/>
      <c r="BJ599" s="104"/>
      <c r="BK599" s="12"/>
      <c r="BL599" s="12"/>
    </row>
    <row r="600" spans="1:64" hidden="1" outlineLevel="1">
      <c r="A600" s="9"/>
      <c r="B600" s="9"/>
      <c r="C600" s="44"/>
      <c r="D600" s="278" t="str">
        <f>Asset3</f>
        <v>Protection and Control</v>
      </c>
      <c r="E600" s="9"/>
      <c r="F600" s="9"/>
      <c r="G600" s="210">
        <f>'Adjustment for previous period'!G464</f>
        <v>-0.94185138279832004</v>
      </c>
      <c r="H600" s="35"/>
      <c r="I600" s="35"/>
      <c r="J600" s="35"/>
      <c r="K600" s="35"/>
      <c r="L600" s="35"/>
      <c r="M600" s="35"/>
      <c r="N600" s="29"/>
      <c r="O600" s="29"/>
      <c r="P600" s="29"/>
      <c r="Q600" s="29"/>
      <c r="R600" s="29"/>
      <c r="S600" s="104"/>
      <c r="T600" s="104"/>
      <c r="U600" s="104"/>
      <c r="V600" s="104"/>
      <c r="W600" s="104"/>
      <c r="X600" s="104"/>
      <c r="Y600" s="104"/>
      <c r="Z600" s="104"/>
      <c r="AA600" s="235"/>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4"/>
      <c r="BE600" s="104"/>
      <c r="BF600" s="104"/>
      <c r="BG600" s="104"/>
      <c r="BH600" s="104"/>
      <c r="BI600" s="104"/>
      <c r="BJ600" s="104"/>
      <c r="BK600" s="12"/>
      <c r="BL600" s="12"/>
    </row>
    <row r="601" spans="1:64" hidden="1" outlineLevel="1">
      <c r="A601" s="9"/>
      <c r="B601" s="9"/>
      <c r="C601" s="44"/>
      <c r="D601" s="278" t="str">
        <f>Asset4</f>
        <v>Refurbishment</v>
      </c>
      <c r="E601" s="9"/>
      <c r="F601" s="9"/>
      <c r="G601" s="210">
        <f>'Adjustment for previous period'!G465</f>
        <v>-3.779957175596103</v>
      </c>
      <c r="H601" s="35"/>
      <c r="I601" s="35"/>
      <c r="J601" s="35"/>
      <c r="K601" s="35"/>
      <c r="L601" s="35"/>
      <c r="M601" s="35"/>
      <c r="N601" s="29"/>
      <c r="O601" s="29"/>
      <c r="P601" s="29"/>
      <c r="Q601" s="29"/>
      <c r="R601" s="29"/>
      <c r="S601" s="104"/>
      <c r="T601" s="104"/>
      <c r="U601" s="104"/>
      <c r="V601" s="104"/>
      <c r="W601" s="104"/>
      <c r="X601" s="104"/>
      <c r="Y601" s="104"/>
      <c r="Z601" s="104"/>
      <c r="AA601" s="235"/>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4"/>
      <c r="BE601" s="104"/>
      <c r="BF601" s="104"/>
      <c r="BG601" s="104"/>
      <c r="BH601" s="104"/>
      <c r="BI601" s="104"/>
      <c r="BJ601" s="104"/>
      <c r="BK601" s="12"/>
      <c r="BL601" s="12"/>
    </row>
    <row r="602" spans="1:64" hidden="1" outlineLevel="1">
      <c r="A602" s="9"/>
      <c r="B602" s="9"/>
      <c r="C602" s="44"/>
      <c r="D602" s="278" t="str">
        <f>Asset5</f>
        <v>Other</v>
      </c>
      <c r="E602" s="9"/>
      <c r="F602" s="9"/>
      <c r="G602" s="210">
        <f>'Adjustment for previous period'!G466</f>
        <v>0</v>
      </c>
      <c r="H602" s="35"/>
      <c r="I602" s="35"/>
      <c r="J602" s="35"/>
      <c r="K602" s="35"/>
      <c r="L602" s="35"/>
      <c r="M602" s="35"/>
      <c r="N602" s="29"/>
      <c r="O602" s="29"/>
      <c r="P602" s="29"/>
      <c r="Q602" s="29"/>
      <c r="R602" s="29"/>
      <c r="S602" s="104"/>
      <c r="T602" s="104"/>
      <c r="U602" s="104"/>
      <c r="V602" s="104"/>
      <c r="W602" s="104"/>
      <c r="X602" s="104"/>
      <c r="Y602" s="104"/>
      <c r="Z602" s="104"/>
      <c r="AA602" s="235"/>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4"/>
      <c r="BE602" s="104"/>
      <c r="BF602" s="104"/>
      <c r="BG602" s="104"/>
      <c r="BH602" s="104"/>
      <c r="BI602" s="104"/>
      <c r="BJ602" s="104"/>
      <c r="BK602" s="12"/>
      <c r="BL602" s="12"/>
    </row>
    <row r="603" spans="1:64" hidden="1" outlineLevel="1">
      <c r="A603" s="9"/>
      <c r="B603" s="9"/>
      <c r="C603" s="44"/>
      <c r="D603" s="278" t="str">
        <f>Asset6</f>
        <v>Other - IT</v>
      </c>
      <c r="E603" s="9"/>
      <c r="F603" s="9"/>
      <c r="G603" s="210">
        <f>'Adjustment for previous period'!G467</f>
        <v>0.53659365359905431</v>
      </c>
      <c r="H603" s="35"/>
      <c r="I603" s="35"/>
      <c r="J603" s="35"/>
      <c r="K603" s="35"/>
      <c r="L603" s="35"/>
      <c r="M603" s="35"/>
      <c r="N603" s="29"/>
      <c r="O603" s="29"/>
      <c r="P603" s="29"/>
      <c r="Q603" s="29"/>
      <c r="R603" s="29"/>
      <c r="S603" s="104"/>
      <c r="T603" s="104"/>
      <c r="U603" s="104"/>
      <c r="V603" s="104"/>
      <c r="W603" s="104"/>
      <c r="X603" s="104"/>
      <c r="Y603" s="104"/>
      <c r="Z603" s="104"/>
      <c r="AA603" s="235"/>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4"/>
      <c r="BE603" s="104"/>
      <c r="BF603" s="104"/>
      <c r="BG603" s="104"/>
      <c r="BH603" s="104"/>
      <c r="BI603" s="104"/>
      <c r="BJ603" s="104"/>
      <c r="BK603" s="12"/>
      <c r="BL603" s="12"/>
    </row>
    <row r="604" spans="1:64" hidden="1" outlineLevel="1">
      <c r="A604" s="9"/>
      <c r="B604" s="9"/>
      <c r="C604" s="44"/>
      <c r="D604" s="278" t="str">
        <f>Asset7</f>
        <v>Other - General</v>
      </c>
      <c r="E604" s="9"/>
      <c r="F604" s="9"/>
      <c r="G604" s="210">
        <f>'Adjustment for previous period'!G468</f>
        <v>-0.6870561688414184</v>
      </c>
      <c r="H604" s="35"/>
      <c r="I604" s="35"/>
      <c r="J604" s="35"/>
      <c r="K604" s="35"/>
      <c r="L604" s="35"/>
      <c r="M604" s="35"/>
      <c r="N604" s="29"/>
      <c r="O604" s="29"/>
      <c r="P604" s="29"/>
      <c r="Q604" s="29"/>
      <c r="R604" s="29"/>
      <c r="S604" s="104"/>
      <c r="T604" s="104"/>
      <c r="U604" s="104"/>
      <c r="V604" s="104"/>
      <c r="W604" s="104"/>
      <c r="X604" s="104"/>
      <c r="Y604" s="104"/>
      <c r="Z604" s="104"/>
      <c r="AA604" s="235"/>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4"/>
      <c r="BE604" s="104"/>
      <c r="BF604" s="104"/>
      <c r="BG604" s="104"/>
      <c r="BH604" s="104"/>
      <c r="BI604" s="104"/>
      <c r="BJ604" s="104"/>
      <c r="BK604" s="12"/>
      <c r="BL604" s="12"/>
    </row>
    <row r="605" spans="1:64" hidden="1" outlineLevel="1">
      <c r="A605" s="9"/>
      <c r="B605" s="9"/>
      <c r="C605" s="44"/>
      <c r="D605" s="278" t="str">
        <f>Asset8</f>
        <v>Other - Buildings</v>
      </c>
      <c r="E605" s="9"/>
      <c r="F605" s="9"/>
      <c r="G605" s="210">
        <f>'Adjustment for previous period'!G469</f>
        <v>-0.94861976687876493</v>
      </c>
      <c r="H605" s="35"/>
      <c r="I605" s="35"/>
      <c r="J605" s="35"/>
      <c r="K605" s="35"/>
      <c r="L605" s="35"/>
      <c r="M605" s="35"/>
      <c r="N605" s="29"/>
      <c r="O605" s="29"/>
      <c r="P605" s="29"/>
      <c r="Q605" s="29"/>
      <c r="R605" s="29"/>
      <c r="S605" s="104"/>
      <c r="T605" s="104"/>
      <c r="U605" s="104"/>
      <c r="V605" s="104"/>
      <c r="W605" s="104"/>
      <c r="X605" s="104"/>
      <c r="Y605" s="104"/>
      <c r="Z605" s="104"/>
      <c r="AA605" s="235"/>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4"/>
      <c r="BE605" s="104"/>
      <c r="BF605" s="104"/>
      <c r="BG605" s="104"/>
      <c r="BH605" s="104"/>
      <c r="BI605" s="104"/>
      <c r="BJ605" s="104"/>
      <c r="BK605" s="12"/>
      <c r="BL605" s="12"/>
    </row>
    <row r="606" spans="1:64" hidden="1" outlineLevel="1">
      <c r="A606" s="9"/>
      <c r="B606" s="9"/>
      <c r="C606" s="44"/>
      <c r="D606" s="278" t="str">
        <f>Asset9</f>
        <v>Land and Easements</v>
      </c>
      <c r="E606" s="9"/>
      <c r="F606" s="9"/>
      <c r="G606" s="210">
        <f>'Adjustment for previous period'!G470</f>
        <v>0.18915208732360167</v>
      </c>
      <c r="H606" s="35"/>
      <c r="I606" s="35"/>
      <c r="J606" s="35"/>
      <c r="K606" s="35"/>
      <c r="L606" s="35"/>
      <c r="M606" s="35"/>
      <c r="N606" s="29"/>
      <c r="O606" s="29"/>
      <c r="P606" s="29"/>
      <c r="Q606" s="29"/>
      <c r="R606" s="29"/>
      <c r="S606" s="104"/>
      <c r="T606" s="104"/>
      <c r="U606" s="104"/>
      <c r="V606" s="104"/>
      <c r="W606" s="104"/>
      <c r="X606" s="104"/>
      <c r="Y606" s="104"/>
      <c r="Z606" s="104"/>
      <c r="AA606" s="235"/>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4"/>
      <c r="BE606" s="104"/>
      <c r="BF606" s="104"/>
      <c r="BG606" s="104"/>
      <c r="BH606" s="104"/>
      <c r="BI606" s="104"/>
      <c r="BJ606" s="104"/>
      <c r="BK606" s="12"/>
      <c r="BL606" s="12"/>
    </row>
    <row r="607" spans="1:64" hidden="1" outlineLevel="1">
      <c r="A607" s="9"/>
      <c r="B607" s="9"/>
      <c r="C607" s="44"/>
      <c r="D607" s="278" t="str">
        <f>Asset10</f>
        <v>Transmission line assets - long life (60)</v>
      </c>
      <c r="E607" s="9"/>
      <c r="F607" s="9"/>
      <c r="G607" s="210">
        <f>'Adjustment for previous period'!G471</f>
        <v>0</v>
      </c>
      <c r="H607" s="35"/>
      <c r="I607" s="35"/>
      <c r="J607" s="35"/>
      <c r="K607" s="35"/>
      <c r="L607" s="35"/>
      <c r="M607" s="35"/>
      <c r="N607" s="29"/>
      <c r="O607" s="29"/>
      <c r="P607" s="29"/>
      <c r="Q607" s="29"/>
      <c r="R607" s="29"/>
      <c r="S607" s="104"/>
      <c r="T607" s="104"/>
      <c r="U607" s="104"/>
      <c r="V607" s="104"/>
      <c r="W607" s="104"/>
      <c r="X607" s="104"/>
      <c r="Y607" s="104"/>
      <c r="Z607" s="104"/>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4"/>
      <c r="BE607" s="104"/>
      <c r="BF607" s="104"/>
      <c r="BG607" s="104"/>
      <c r="BH607" s="104"/>
      <c r="BI607" s="104"/>
      <c r="BJ607" s="104"/>
      <c r="BK607" s="12"/>
      <c r="BL607" s="12"/>
    </row>
    <row r="608" spans="1:64" hidden="1" outlineLevel="1">
      <c r="A608" s="9"/>
      <c r="B608" s="9"/>
      <c r="C608" s="44"/>
      <c r="D608" s="278" t="str">
        <f>Asset11</f>
        <v>Transmission line assets - medium life (45)</v>
      </c>
      <c r="E608" s="9"/>
      <c r="F608" s="9"/>
      <c r="G608" s="210">
        <f>'Adjustment for previous period'!G472</f>
        <v>0</v>
      </c>
      <c r="H608" s="35"/>
      <c r="I608" s="35"/>
      <c r="J608" s="35"/>
      <c r="K608" s="35"/>
      <c r="L608" s="35"/>
      <c r="M608" s="35"/>
      <c r="N608" s="29"/>
      <c r="O608" s="29"/>
      <c r="P608" s="29"/>
      <c r="Q608" s="29"/>
      <c r="R608" s="29"/>
      <c r="S608" s="104"/>
      <c r="T608" s="104"/>
      <c r="U608" s="104"/>
      <c r="V608" s="104"/>
      <c r="W608" s="104"/>
      <c r="X608" s="104"/>
      <c r="Y608" s="104"/>
      <c r="Z608" s="104"/>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4"/>
      <c r="BE608" s="104"/>
      <c r="BF608" s="104"/>
      <c r="BG608" s="104"/>
      <c r="BH608" s="104"/>
      <c r="BI608" s="104"/>
      <c r="BJ608" s="104"/>
      <c r="BK608" s="12"/>
      <c r="BL608" s="12"/>
    </row>
    <row r="609" spans="1:64" hidden="1" outlineLevel="1">
      <c r="A609" s="9"/>
      <c r="B609" s="9"/>
      <c r="C609" s="44"/>
      <c r="D609" s="278" t="str">
        <f>Asset12</f>
        <v>Transmission line assets - short life (10)</v>
      </c>
      <c r="E609" s="9"/>
      <c r="F609" s="9"/>
      <c r="G609" s="210">
        <f>'Adjustment for previous period'!G473</f>
        <v>0</v>
      </c>
      <c r="H609" s="35"/>
      <c r="I609" s="35"/>
      <c r="J609" s="35"/>
      <c r="K609" s="35"/>
      <c r="L609" s="35"/>
      <c r="M609" s="35"/>
      <c r="N609" s="29"/>
      <c r="O609" s="29"/>
      <c r="P609" s="29"/>
      <c r="Q609" s="29"/>
      <c r="R609" s="29"/>
      <c r="S609" s="104"/>
      <c r="T609" s="104"/>
      <c r="U609" s="104"/>
      <c r="V609" s="104"/>
      <c r="W609" s="104"/>
      <c r="X609" s="104"/>
      <c r="Y609" s="104"/>
      <c r="Z609" s="104"/>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4"/>
      <c r="BE609" s="104"/>
      <c r="BF609" s="104"/>
      <c r="BG609" s="104"/>
      <c r="BH609" s="104"/>
      <c r="BI609" s="104"/>
      <c r="BJ609" s="104"/>
      <c r="BK609" s="12"/>
      <c r="BL609" s="12"/>
    </row>
    <row r="610" spans="1:64" hidden="1" outlineLevel="1">
      <c r="A610" s="9"/>
      <c r="B610" s="9"/>
      <c r="C610" s="44"/>
      <c r="D610" s="278" t="str">
        <f>Asset13</f>
        <v>Substation assets - long life (60)</v>
      </c>
      <c r="E610" s="9"/>
      <c r="F610" s="9"/>
      <c r="G610" s="210">
        <f>'Adjustment for previous period'!G474</f>
        <v>0</v>
      </c>
      <c r="H610" s="35"/>
      <c r="I610" s="35"/>
      <c r="J610" s="35"/>
      <c r="K610" s="35"/>
      <c r="L610" s="35"/>
      <c r="M610" s="35"/>
      <c r="N610" s="29"/>
      <c r="O610" s="29"/>
      <c r="P610" s="29"/>
      <c r="Q610" s="29"/>
      <c r="R610" s="29"/>
      <c r="S610" s="104"/>
      <c r="T610" s="104"/>
      <c r="U610" s="104"/>
      <c r="V610" s="104"/>
      <c r="W610" s="104"/>
      <c r="X610" s="104"/>
      <c r="Y610" s="104"/>
      <c r="Z610" s="104"/>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4"/>
      <c r="BE610" s="104"/>
      <c r="BF610" s="104"/>
      <c r="BG610" s="104"/>
      <c r="BH610" s="104"/>
      <c r="BI610" s="104"/>
      <c r="BJ610" s="104"/>
      <c r="BK610" s="12"/>
      <c r="BL610" s="12"/>
    </row>
    <row r="611" spans="1:64" hidden="1" outlineLevel="1">
      <c r="A611" s="9"/>
      <c r="B611" s="9"/>
      <c r="C611" s="44"/>
      <c r="D611" s="278" t="str">
        <f>Asset14</f>
        <v>Substation assets - medium life (45)</v>
      </c>
      <c r="E611" s="9"/>
      <c r="F611" s="9"/>
      <c r="G611" s="210">
        <f>'Adjustment for previous period'!G475</f>
        <v>0</v>
      </c>
      <c r="H611" s="35"/>
      <c r="I611" s="35"/>
      <c r="J611" s="35"/>
      <c r="K611" s="35"/>
      <c r="L611" s="35"/>
      <c r="M611" s="35"/>
      <c r="N611" s="29"/>
      <c r="O611" s="29"/>
      <c r="P611" s="29"/>
      <c r="Q611" s="29"/>
      <c r="R611" s="29"/>
      <c r="S611" s="104"/>
      <c r="T611" s="104"/>
      <c r="U611" s="104"/>
      <c r="V611" s="104"/>
      <c r="W611" s="104"/>
      <c r="X611" s="104"/>
      <c r="Y611" s="104"/>
      <c r="Z611" s="104"/>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4"/>
      <c r="BE611" s="104"/>
      <c r="BF611" s="104"/>
      <c r="BG611" s="104"/>
      <c r="BH611" s="104"/>
      <c r="BI611" s="104"/>
      <c r="BJ611" s="104"/>
      <c r="BK611" s="12"/>
      <c r="BL611" s="12"/>
    </row>
    <row r="612" spans="1:64" hidden="1" outlineLevel="1">
      <c r="A612" s="9"/>
      <c r="B612" s="9"/>
      <c r="C612" s="44"/>
      <c r="D612" s="278" t="str">
        <f>Asset15</f>
        <v>Substation assets - short life (15)</v>
      </c>
      <c r="E612" s="9"/>
      <c r="F612" s="9"/>
      <c r="G612" s="210">
        <f>'Adjustment for previous period'!G476</f>
        <v>0</v>
      </c>
      <c r="H612" s="35"/>
      <c r="I612" s="35"/>
      <c r="J612" s="35"/>
      <c r="K612" s="35"/>
      <c r="L612" s="35"/>
      <c r="M612" s="35"/>
      <c r="N612" s="29"/>
      <c r="O612" s="29"/>
      <c r="P612" s="29"/>
      <c r="Q612" s="29"/>
      <c r="R612" s="29"/>
      <c r="S612" s="104"/>
      <c r="T612" s="104"/>
      <c r="U612" s="104"/>
      <c r="V612" s="104"/>
      <c r="W612" s="104"/>
      <c r="X612" s="104"/>
      <c r="Y612" s="104"/>
      <c r="Z612" s="104"/>
      <c r="AA612" s="235"/>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4"/>
      <c r="BE612" s="104"/>
      <c r="BF612" s="104"/>
      <c r="BG612" s="104"/>
      <c r="BH612" s="104"/>
      <c r="BI612" s="104"/>
      <c r="BJ612" s="104"/>
      <c r="BK612" s="12"/>
      <c r="BL612" s="12"/>
    </row>
    <row r="613" spans="1:64" hidden="1" outlineLevel="1">
      <c r="A613" s="9"/>
      <c r="B613" s="9"/>
      <c r="C613" s="44"/>
      <c r="D613" s="278" t="str">
        <f>Asset16</f>
        <v>Protection and control - short life (15)</v>
      </c>
      <c r="E613" s="9"/>
      <c r="F613" s="9"/>
      <c r="G613" s="210">
        <f>'Adjustment for previous period'!G477</f>
        <v>0</v>
      </c>
      <c r="H613" s="35"/>
      <c r="I613" s="35"/>
      <c r="J613" s="35"/>
      <c r="K613" s="35"/>
      <c r="L613" s="35"/>
      <c r="M613" s="35"/>
      <c r="N613" s="29"/>
      <c r="O613" s="29"/>
      <c r="P613" s="29"/>
      <c r="Q613" s="29"/>
      <c r="R613" s="29"/>
      <c r="S613" s="104"/>
      <c r="T613" s="104"/>
      <c r="U613" s="104"/>
      <c r="V613" s="104"/>
      <c r="W613" s="104"/>
      <c r="X613" s="104"/>
      <c r="Y613" s="104"/>
      <c r="Z613" s="104"/>
      <c r="AA613" s="235"/>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4"/>
      <c r="BE613" s="104"/>
      <c r="BF613" s="104"/>
      <c r="BG613" s="104"/>
      <c r="BH613" s="104"/>
      <c r="BI613" s="104"/>
      <c r="BJ613" s="104"/>
      <c r="BK613" s="12"/>
      <c r="BL613" s="12"/>
    </row>
    <row r="614" spans="1:64" hidden="1" outlineLevel="1">
      <c r="A614" s="9"/>
      <c r="B614" s="9"/>
      <c r="C614" s="44"/>
      <c r="D614" s="278" t="str">
        <f>Asset17</f>
        <v>Protection and control - short life (4)</v>
      </c>
      <c r="E614" s="9"/>
      <c r="F614" s="9"/>
      <c r="G614" s="210">
        <f>'Adjustment for previous period'!G478</f>
        <v>0</v>
      </c>
      <c r="H614" s="35"/>
      <c r="I614" s="35"/>
      <c r="J614" s="35"/>
      <c r="K614" s="35"/>
      <c r="L614" s="35"/>
      <c r="M614" s="35"/>
      <c r="N614" s="29"/>
      <c r="O614" s="29"/>
      <c r="P614" s="29"/>
      <c r="Q614" s="29"/>
      <c r="R614" s="29"/>
      <c r="S614" s="104"/>
      <c r="T614" s="104"/>
      <c r="U614" s="104"/>
      <c r="V614" s="104"/>
      <c r="W614" s="104"/>
      <c r="X614" s="104"/>
      <c r="Y614" s="104"/>
      <c r="Z614" s="104"/>
      <c r="AA614" s="235"/>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4"/>
      <c r="BE614" s="104"/>
      <c r="BF614" s="104"/>
      <c r="BG614" s="104"/>
      <c r="BH614" s="104"/>
      <c r="BI614" s="104"/>
      <c r="BJ614" s="104"/>
      <c r="BK614" s="12"/>
      <c r="BL614" s="12"/>
    </row>
    <row r="615" spans="1:64" hidden="1" outlineLevel="1">
      <c r="A615" s="9"/>
      <c r="B615" s="9"/>
      <c r="C615" s="44"/>
      <c r="D615" s="278" t="str">
        <f>Asset18</f>
        <v>Transmission operations - short life (10)</v>
      </c>
      <c r="E615" s="9"/>
      <c r="F615" s="9"/>
      <c r="G615" s="210">
        <f>'Adjustment for previous period'!G479</f>
        <v>0</v>
      </c>
      <c r="H615" s="35"/>
      <c r="I615" s="35"/>
      <c r="J615" s="35"/>
      <c r="K615" s="35"/>
      <c r="L615" s="35"/>
      <c r="M615" s="35"/>
      <c r="N615" s="29"/>
      <c r="O615" s="29"/>
      <c r="P615" s="29"/>
      <c r="Q615" s="29"/>
      <c r="R615" s="29"/>
      <c r="S615" s="104"/>
      <c r="T615" s="104"/>
      <c r="U615" s="104"/>
      <c r="V615" s="104"/>
      <c r="W615" s="104"/>
      <c r="X615" s="104"/>
      <c r="Y615" s="104"/>
      <c r="Z615" s="104"/>
      <c r="AA615" s="235"/>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4"/>
      <c r="BE615" s="104"/>
      <c r="BF615" s="104"/>
      <c r="BG615" s="104"/>
      <c r="BH615" s="104"/>
      <c r="BI615" s="104"/>
      <c r="BJ615" s="104"/>
      <c r="BK615" s="12"/>
      <c r="BL615" s="12"/>
    </row>
    <row r="616" spans="1:64" hidden="1" outlineLevel="1">
      <c r="A616" s="9"/>
      <c r="B616" s="9"/>
      <c r="C616" s="44"/>
      <c r="D616" s="278" t="str">
        <f>Asset19</f>
        <v>Transmission operations - short life (4)</v>
      </c>
      <c r="E616" s="9"/>
      <c r="F616" s="9"/>
      <c r="G616" s="210">
        <f>'Adjustment for previous period'!G480</f>
        <v>0</v>
      </c>
      <c r="H616" s="35"/>
      <c r="I616" s="35"/>
      <c r="J616" s="35"/>
      <c r="K616" s="35"/>
      <c r="L616" s="35"/>
      <c r="M616" s="35"/>
      <c r="N616" s="29"/>
      <c r="O616" s="29"/>
      <c r="P616" s="29"/>
      <c r="Q616" s="29"/>
      <c r="R616" s="29"/>
      <c r="S616" s="104"/>
      <c r="T616" s="104"/>
      <c r="U616" s="104"/>
      <c r="V616" s="104"/>
      <c r="W616" s="104"/>
      <c r="X616" s="104"/>
      <c r="Y616" s="104"/>
      <c r="Z616" s="104"/>
      <c r="AA616" s="235"/>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4"/>
      <c r="BE616" s="104"/>
      <c r="BF616" s="104"/>
      <c r="BG616" s="104"/>
      <c r="BH616" s="104"/>
      <c r="BI616" s="104"/>
      <c r="BJ616" s="104"/>
      <c r="BK616" s="12"/>
      <c r="BL616" s="12"/>
    </row>
    <row r="617" spans="1:64" hidden="1" outlineLevel="1">
      <c r="A617" s="9"/>
      <c r="B617" s="9"/>
      <c r="C617" s="44"/>
      <c r="D617" s="278" t="str">
        <f>Asset20</f>
        <v>Other - medium life (40)</v>
      </c>
      <c r="E617" s="9"/>
      <c r="F617" s="9"/>
      <c r="G617" s="210">
        <f>'Adjustment for previous period'!G481</f>
        <v>0</v>
      </c>
      <c r="H617" s="35"/>
      <c r="I617" s="35"/>
      <c r="J617" s="35"/>
      <c r="K617" s="35"/>
      <c r="L617" s="35"/>
      <c r="M617" s="35"/>
      <c r="N617" s="29"/>
      <c r="O617" s="29"/>
      <c r="P617" s="29"/>
      <c r="Q617" s="29"/>
      <c r="R617" s="29"/>
      <c r="S617" s="104"/>
      <c r="T617" s="104"/>
      <c r="U617" s="104"/>
      <c r="V617" s="104"/>
      <c r="W617" s="104"/>
      <c r="X617" s="104"/>
      <c r="Y617" s="104"/>
      <c r="Z617" s="104"/>
      <c r="AA617" s="235"/>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4"/>
      <c r="BE617" s="104"/>
      <c r="BF617" s="104"/>
      <c r="BG617" s="104"/>
      <c r="BH617" s="104"/>
      <c r="BI617" s="104"/>
      <c r="BJ617" s="104"/>
      <c r="BK617" s="12"/>
      <c r="BL617" s="12"/>
    </row>
    <row r="618" spans="1:64" hidden="1" outlineLevel="1">
      <c r="A618" s="9"/>
      <c r="B618" s="9"/>
      <c r="C618" s="44"/>
      <c r="D618" s="278" t="str">
        <f>Asset21</f>
        <v>Other - short life (9)</v>
      </c>
      <c r="E618" s="9"/>
      <c r="F618" s="9"/>
      <c r="G618" s="210">
        <f>'Adjustment for previous period'!G482</f>
        <v>0</v>
      </c>
      <c r="H618" s="35"/>
      <c r="I618" s="35"/>
      <c r="J618" s="35"/>
      <c r="K618" s="35"/>
      <c r="L618" s="35"/>
      <c r="M618" s="35"/>
      <c r="N618" s="29"/>
      <c r="O618" s="29"/>
      <c r="P618" s="29"/>
      <c r="Q618" s="29"/>
      <c r="R618" s="29"/>
      <c r="S618" s="104"/>
      <c r="T618" s="104"/>
      <c r="U618" s="104"/>
      <c r="V618" s="104"/>
      <c r="W618" s="104"/>
      <c r="X618" s="104"/>
      <c r="Y618" s="104"/>
      <c r="Z618" s="104"/>
      <c r="AA618" s="235"/>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4"/>
      <c r="BE618" s="104"/>
      <c r="BF618" s="104"/>
      <c r="BG618" s="104"/>
      <c r="BH618" s="104"/>
      <c r="BI618" s="104"/>
      <c r="BJ618" s="104"/>
      <c r="BK618" s="12"/>
      <c r="BL618" s="12"/>
    </row>
    <row r="619" spans="1:64" hidden="1" outlineLevel="1">
      <c r="A619" s="9"/>
      <c r="B619" s="9"/>
      <c r="C619" s="44"/>
      <c r="D619" s="278" t="str">
        <f>Asset22</f>
        <v>Other - short life (4)</v>
      </c>
      <c r="E619" s="9"/>
      <c r="F619" s="9"/>
      <c r="G619" s="210">
        <f>'Adjustment for previous period'!G483</f>
        <v>0</v>
      </c>
      <c r="H619" s="35"/>
      <c r="I619" s="35"/>
      <c r="J619" s="35"/>
      <c r="K619" s="35"/>
      <c r="L619" s="35"/>
      <c r="M619" s="35"/>
      <c r="N619" s="29"/>
      <c r="O619" s="29"/>
      <c r="P619" s="29"/>
      <c r="Q619" s="29"/>
      <c r="R619" s="29"/>
      <c r="S619" s="104"/>
      <c r="T619" s="104"/>
      <c r="U619" s="104"/>
      <c r="V619" s="104"/>
      <c r="W619" s="104"/>
      <c r="X619" s="104"/>
      <c r="Y619" s="104"/>
      <c r="Z619" s="104"/>
      <c r="AA619" s="235"/>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4"/>
      <c r="BE619" s="104"/>
      <c r="BF619" s="104"/>
      <c r="BG619" s="104"/>
      <c r="BH619" s="104"/>
      <c r="BI619" s="104"/>
      <c r="BJ619" s="104"/>
      <c r="BK619" s="12"/>
      <c r="BL619" s="12"/>
    </row>
    <row r="620" spans="1:64" hidden="1" outlineLevel="1">
      <c r="A620" s="9"/>
      <c r="B620" s="9"/>
      <c r="C620" s="44"/>
      <c r="D620" s="278" t="str">
        <f>Asset23</f>
        <v>Land and Easements</v>
      </c>
      <c r="E620" s="9"/>
      <c r="F620" s="9"/>
      <c r="G620" s="210">
        <f>'Adjustment for previous period'!G484</f>
        <v>0</v>
      </c>
      <c r="H620" s="35"/>
      <c r="I620" s="35"/>
      <c r="J620" s="35"/>
      <c r="K620" s="35"/>
      <c r="L620" s="35"/>
      <c r="M620" s="35"/>
      <c r="N620" s="29"/>
      <c r="O620" s="29"/>
      <c r="P620" s="29"/>
      <c r="Q620" s="29"/>
      <c r="R620" s="29"/>
      <c r="S620" s="104"/>
      <c r="T620" s="104"/>
      <c r="U620" s="104"/>
      <c r="V620" s="104"/>
      <c r="W620" s="104"/>
      <c r="X620" s="104"/>
      <c r="Y620" s="104"/>
      <c r="Z620" s="104"/>
      <c r="AA620" s="235"/>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4"/>
      <c r="BE620" s="104"/>
      <c r="BF620" s="104"/>
      <c r="BG620" s="104"/>
      <c r="BH620" s="104"/>
      <c r="BI620" s="104"/>
      <c r="BJ620" s="104"/>
      <c r="BK620" s="12"/>
      <c r="BL620" s="12"/>
    </row>
    <row r="621" spans="1:64" hidden="1" outlineLevel="1">
      <c r="A621" s="9"/>
      <c r="B621" s="9"/>
      <c r="C621" s="44"/>
      <c r="D621" s="278" t="str">
        <f>Asset24</f>
        <v>Equity Raising</v>
      </c>
      <c r="E621" s="9"/>
      <c r="F621" s="9"/>
      <c r="G621" s="210">
        <f>'Adjustment for previous period'!G485</f>
        <v>0</v>
      </c>
      <c r="H621" s="35"/>
      <c r="I621" s="35"/>
      <c r="J621" s="35"/>
      <c r="K621" s="35"/>
      <c r="L621" s="35"/>
      <c r="M621" s="35"/>
      <c r="N621" s="29"/>
      <c r="O621" s="29"/>
      <c r="P621" s="29"/>
      <c r="Q621" s="29"/>
      <c r="R621" s="29"/>
      <c r="S621" s="104"/>
      <c r="T621" s="104"/>
      <c r="U621" s="104"/>
      <c r="V621" s="104"/>
      <c r="W621" s="104"/>
      <c r="X621" s="104"/>
      <c r="Y621" s="104"/>
      <c r="Z621" s="104"/>
      <c r="AA621" s="235"/>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4"/>
      <c r="BE621" s="104"/>
      <c r="BF621" s="104"/>
      <c r="BG621" s="104"/>
      <c r="BH621" s="104"/>
      <c r="BI621" s="104"/>
      <c r="BJ621" s="104"/>
      <c r="BK621" s="12"/>
      <c r="BL621" s="12"/>
    </row>
    <row r="622" spans="1:64" hidden="1" outlineLevel="1">
      <c r="A622" s="9"/>
      <c r="B622" s="9"/>
      <c r="C622" s="44"/>
      <c r="D622" s="278">
        <f>Asset25</f>
        <v>0</v>
      </c>
      <c r="E622" s="9"/>
      <c r="F622" s="9"/>
      <c r="G622" s="210">
        <f>'Adjustment for previous period'!G486</f>
        <v>0</v>
      </c>
      <c r="H622" s="35"/>
      <c r="I622" s="35"/>
      <c r="J622" s="35"/>
      <c r="K622" s="35"/>
      <c r="L622" s="35"/>
      <c r="M622" s="35"/>
      <c r="N622" s="29"/>
      <c r="O622" s="29"/>
      <c r="P622" s="29"/>
      <c r="Q622" s="29"/>
      <c r="R622" s="29"/>
      <c r="S622" s="104"/>
      <c r="T622" s="104"/>
      <c r="U622" s="104"/>
      <c r="V622" s="104"/>
      <c r="W622" s="104"/>
      <c r="X622" s="104"/>
      <c r="Y622" s="104"/>
      <c r="Z622" s="104"/>
      <c r="AA622" s="235"/>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4"/>
      <c r="BE622" s="104"/>
      <c r="BF622" s="104"/>
      <c r="BG622" s="104"/>
      <c r="BH622" s="104"/>
      <c r="BI622" s="104"/>
      <c r="BJ622" s="104"/>
      <c r="BK622" s="12"/>
      <c r="BL622" s="12"/>
    </row>
    <row r="623" spans="1:64" hidden="1" outlineLevel="1">
      <c r="A623" s="9"/>
      <c r="B623" s="9"/>
      <c r="C623" s="44"/>
      <c r="D623" s="278">
        <f>Asset26</f>
        <v>0</v>
      </c>
      <c r="E623" s="9"/>
      <c r="F623" s="9"/>
      <c r="G623" s="210">
        <f>'Adjustment for previous period'!G487</f>
        <v>0</v>
      </c>
      <c r="H623" s="35"/>
      <c r="I623" s="35"/>
      <c r="J623" s="35"/>
      <c r="K623" s="35"/>
      <c r="L623" s="35"/>
      <c r="M623" s="35"/>
      <c r="N623" s="29"/>
      <c r="O623" s="29"/>
      <c r="P623" s="29"/>
      <c r="Q623" s="29"/>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4"/>
      <c r="BE623" s="104"/>
      <c r="BF623" s="104"/>
      <c r="BG623" s="104"/>
      <c r="BH623" s="104"/>
      <c r="BI623" s="104"/>
      <c r="BJ623" s="104"/>
      <c r="BK623" s="12"/>
      <c r="BL623" s="12"/>
    </row>
    <row r="624" spans="1:64" hidden="1" outlineLevel="1">
      <c r="A624" s="9"/>
      <c r="B624" s="9"/>
      <c r="C624" s="44"/>
      <c r="D624" s="278">
        <f>Asset27</f>
        <v>0</v>
      </c>
      <c r="E624" s="9"/>
      <c r="F624" s="9"/>
      <c r="G624" s="210">
        <f>'Adjustment for previous period'!G488</f>
        <v>0</v>
      </c>
      <c r="H624" s="35"/>
      <c r="I624" s="35"/>
      <c r="J624" s="35"/>
      <c r="K624" s="35"/>
      <c r="L624" s="35"/>
      <c r="M624" s="35"/>
      <c r="N624" s="29"/>
      <c r="O624" s="29"/>
      <c r="P624" s="29"/>
      <c r="Q624" s="29"/>
      <c r="R624" s="29"/>
      <c r="S624" s="104"/>
      <c r="T624" s="104"/>
      <c r="U624" s="104"/>
      <c r="V624" s="104"/>
      <c r="W624" s="104"/>
      <c r="X624" s="104"/>
      <c r="Y624" s="104"/>
      <c r="Z624" s="104"/>
      <c r="AA624" s="235"/>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4"/>
      <c r="BE624" s="104"/>
      <c r="BF624" s="104"/>
      <c r="BG624" s="104"/>
      <c r="BH624" s="104"/>
      <c r="BI624" s="104"/>
      <c r="BJ624" s="104"/>
      <c r="BK624" s="12"/>
      <c r="BL624" s="12"/>
    </row>
    <row r="625" spans="1:64" hidden="1" outlineLevel="1">
      <c r="A625" s="9"/>
      <c r="B625" s="9"/>
      <c r="C625" s="44"/>
      <c r="D625" s="278">
        <f>Asset28</f>
        <v>0</v>
      </c>
      <c r="E625" s="9"/>
      <c r="F625" s="9"/>
      <c r="G625" s="210">
        <f>'Adjustment for previous period'!G489</f>
        <v>0</v>
      </c>
      <c r="H625" s="35"/>
      <c r="I625" s="35"/>
      <c r="J625" s="35"/>
      <c r="K625" s="35"/>
      <c r="L625" s="35"/>
      <c r="M625" s="35"/>
      <c r="N625" s="29"/>
      <c r="O625" s="29"/>
      <c r="P625" s="29"/>
      <c r="Q625" s="29"/>
      <c r="R625" s="29"/>
      <c r="S625" s="104"/>
      <c r="T625" s="104"/>
      <c r="U625" s="104"/>
      <c r="V625" s="104"/>
      <c r="W625" s="104"/>
      <c r="X625" s="104"/>
      <c r="Y625" s="104"/>
      <c r="Z625" s="104"/>
      <c r="AA625" s="235"/>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4"/>
      <c r="BE625" s="104"/>
      <c r="BF625" s="104"/>
      <c r="BG625" s="104"/>
      <c r="BH625" s="104"/>
      <c r="BI625" s="104"/>
      <c r="BJ625" s="104"/>
      <c r="BK625" s="12"/>
      <c r="BL625" s="12"/>
    </row>
    <row r="626" spans="1:64" hidden="1" outlineLevel="1">
      <c r="A626" s="9"/>
      <c r="B626" s="9"/>
      <c r="C626" s="44"/>
      <c r="D626" s="278">
        <f>Asset29</f>
        <v>0</v>
      </c>
      <c r="E626" s="9"/>
      <c r="F626" s="9"/>
      <c r="G626" s="210">
        <f>'Adjustment for previous period'!G490</f>
        <v>0</v>
      </c>
      <c r="H626" s="35"/>
      <c r="I626" s="35"/>
      <c r="J626" s="35"/>
      <c r="K626" s="35"/>
      <c r="L626" s="35"/>
      <c r="M626" s="35"/>
      <c r="N626" s="29"/>
      <c r="O626" s="29"/>
      <c r="P626" s="29"/>
      <c r="Q626" s="29"/>
      <c r="R626" s="29"/>
      <c r="S626" s="104"/>
      <c r="T626" s="104"/>
      <c r="U626" s="104"/>
      <c r="V626" s="104"/>
      <c r="W626" s="104"/>
      <c r="X626" s="104"/>
      <c r="Y626" s="104"/>
      <c r="Z626" s="104"/>
      <c r="AA626" s="235"/>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4"/>
      <c r="BE626" s="104"/>
      <c r="BF626" s="104"/>
      <c r="BG626" s="104"/>
      <c r="BH626" s="104"/>
      <c r="BI626" s="104"/>
      <c r="BJ626" s="104"/>
      <c r="BK626" s="12"/>
      <c r="BL626" s="12"/>
    </row>
    <row r="627" spans="1:64" hidden="1" outlineLevel="1">
      <c r="A627" s="9"/>
      <c r="B627" s="9"/>
      <c r="C627" s="44"/>
      <c r="D627" s="278">
        <f>Asset30</f>
        <v>0</v>
      </c>
      <c r="E627" s="9"/>
      <c r="F627" s="9"/>
      <c r="G627" s="210">
        <f>'Adjustment for previous period'!G491</f>
        <v>0</v>
      </c>
      <c r="H627" s="35"/>
      <c r="I627" s="35"/>
      <c r="J627" s="35"/>
      <c r="K627" s="35"/>
      <c r="L627" s="35"/>
      <c r="M627" s="35"/>
      <c r="N627" s="29"/>
      <c r="O627" s="29"/>
      <c r="P627" s="29"/>
      <c r="Q627" s="29"/>
      <c r="R627" s="29"/>
      <c r="S627" s="104"/>
      <c r="T627" s="104"/>
      <c r="U627" s="104"/>
      <c r="V627" s="104"/>
      <c r="W627" s="104"/>
      <c r="X627" s="104"/>
      <c r="Y627" s="104"/>
      <c r="Z627" s="104"/>
      <c r="AA627" s="235"/>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4"/>
      <c r="BE627" s="104"/>
      <c r="BF627" s="104"/>
      <c r="BG627" s="104"/>
      <c r="BH627" s="104"/>
      <c r="BI627" s="104"/>
      <c r="BJ627" s="104"/>
      <c r="BK627" s="12"/>
      <c r="BL627" s="12"/>
    </row>
    <row r="628" spans="1:64" collapsed="1">
      <c r="A628" s="9"/>
      <c r="B628" s="9"/>
      <c r="C628" s="44"/>
      <c r="D628" s="116"/>
      <c r="E628" s="9"/>
      <c r="F628" s="9"/>
      <c r="G628" s="214"/>
      <c r="H628" s="35"/>
      <c r="I628" s="35"/>
      <c r="J628" s="35"/>
      <c r="K628" s="35"/>
      <c r="L628" s="35"/>
      <c r="M628" s="35"/>
      <c r="N628" s="29"/>
      <c r="O628" s="29"/>
      <c r="P628" s="29"/>
      <c r="Q628" s="29"/>
      <c r="R628" s="29"/>
      <c r="S628" s="104"/>
      <c r="T628" s="104"/>
      <c r="U628" s="104"/>
      <c r="V628" s="104"/>
      <c r="W628" s="104"/>
      <c r="X628" s="104"/>
      <c r="Y628" s="104"/>
      <c r="Z628" s="104"/>
      <c r="AA628" s="235"/>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4"/>
      <c r="BE628" s="104"/>
      <c r="BF628" s="104"/>
      <c r="BG628" s="104"/>
      <c r="BH628" s="104"/>
      <c r="BI628" s="104"/>
      <c r="BJ628" s="104"/>
      <c r="BK628" s="12"/>
      <c r="BL628" s="12"/>
    </row>
    <row r="629" spans="1:64">
      <c r="A629" s="9"/>
      <c r="B629" s="9"/>
      <c r="C629" s="44" t="s">
        <v>57</v>
      </c>
      <c r="D629" s="130"/>
      <c r="E629" s="9"/>
      <c r="F629" s="9"/>
      <c r="G629" s="318">
        <f>SUM(G630:G659)</f>
        <v>55.314363999999991</v>
      </c>
      <c r="H629" s="114"/>
      <c r="I629" s="114"/>
      <c r="J629" s="114"/>
      <c r="K629" s="114"/>
      <c r="L629" s="114"/>
      <c r="M629" s="114"/>
      <c r="N629" s="29"/>
      <c r="O629" s="29"/>
      <c r="P629" s="29"/>
      <c r="Q629" s="29"/>
      <c r="R629" s="29"/>
      <c r="S629" s="104"/>
      <c r="T629" s="104"/>
      <c r="U629" s="104"/>
      <c r="V629" s="104"/>
      <c r="W629" s="104"/>
      <c r="X629" s="104"/>
      <c r="Y629" s="104"/>
      <c r="Z629" s="104"/>
      <c r="AA629" s="235"/>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4"/>
      <c r="BE629" s="104"/>
      <c r="BF629" s="104"/>
      <c r="BG629" s="104"/>
      <c r="BH629" s="104"/>
      <c r="BI629" s="104"/>
      <c r="BJ629" s="104"/>
      <c r="BK629" s="12"/>
      <c r="BL629" s="12"/>
    </row>
    <row r="630" spans="1:64" hidden="1" outlineLevel="1">
      <c r="A630" s="9"/>
      <c r="B630" s="9"/>
      <c r="C630" s="44"/>
      <c r="D630" s="278" t="str">
        <f>Asset1</f>
        <v>Transmission Lines and Cables</v>
      </c>
      <c r="E630" s="9"/>
      <c r="F630" s="9"/>
      <c r="G630" s="210">
        <f>'Adjustment for previous period'!G494</f>
        <v>0</v>
      </c>
      <c r="H630" s="114"/>
      <c r="I630" s="114"/>
      <c r="J630" s="114"/>
      <c r="K630" s="114"/>
      <c r="L630" s="114"/>
      <c r="M630" s="114"/>
      <c r="N630" s="29"/>
      <c r="O630" s="29"/>
      <c r="P630" s="29"/>
      <c r="Q630" s="29"/>
      <c r="R630" s="29"/>
      <c r="S630" s="104"/>
      <c r="T630" s="104"/>
      <c r="U630" s="104"/>
      <c r="V630" s="104"/>
      <c r="W630" s="104"/>
      <c r="X630" s="104"/>
      <c r="Y630" s="104"/>
      <c r="Z630" s="104"/>
      <c r="AA630" s="235"/>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4"/>
      <c r="BE630" s="104"/>
      <c r="BF630" s="104"/>
      <c r="BG630" s="104"/>
      <c r="BH630" s="104"/>
      <c r="BI630" s="104"/>
      <c r="BJ630" s="104"/>
      <c r="BK630" s="12"/>
      <c r="BL630" s="12"/>
    </row>
    <row r="631" spans="1:64" hidden="1" outlineLevel="1">
      <c r="A631" s="9"/>
      <c r="B631" s="9"/>
      <c r="C631" s="44"/>
      <c r="D631" s="278" t="str">
        <f>Asset2</f>
        <v>Transmission Substations</v>
      </c>
      <c r="E631" s="9"/>
      <c r="F631" s="9"/>
      <c r="G631" s="210">
        <f>'Adjustment for previous period'!G495</f>
        <v>0</v>
      </c>
      <c r="H631" s="114"/>
      <c r="I631" s="114"/>
      <c r="J631" s="114"/>
      <c r="K631" s="114"/>
      <c r="L631" s="114"/>
      <c r="M631" s="114"/>
      <c r="N631" s="29"/>
      <c r="O631" s="29"/>
      <c r="P631" s="29"/>
      <c r="Q631" s="29"/>
      <c r="R631" s="29"/>
      <c r="S631" s="104"/>
      <c r="T631" s="104"/>
      <c r="U631" s="104"/>
      <c r="V631" s="104"/>
      <c r="W631" s="104"/>
      <c r="X631" s="104"/>
      <c r="Y631" s="104"/>
      <c r="Z631" s="104"/>
      <c r="AA631" s="235"/>
      <c r="AB631" s="235"/>
      <c r="AC631" s="235"/>
      <c r="AD631" s="235"/>
      <c r="AE631" s="235"/>
      <c r="AF631" s="235"/>
      <c r="AG631" s="235"/>
      <c r="AH631" s="235"/>
      <c r="AI631" s="235"/>
      <c r="AJ631" s="235"/>
      <c r="AK631" s="235"/>
      <c r="AL631" s="235"/>
      <c r="AM631" s="235"/>
      <c r="AN631" s="235"/>
      <c r="AO631" s="235"/>
      <c r="AP631" s="235"/>
      <c r="AQ631" s="235"/>
      <c r="AR631" s="235"/>
      <c r="AS631" s="235"/>
      <c r="AT631" s="235"/>
      <c r="AU631" s="235"/>
      <c r="AV631" s="235"/>
      <c r="AW631" s="235"/>
      <c r="AX631" s="235"/>
      <c r="AY631" s="235"/>
      <c r="AZ631" s="235"/>
      <c r="BA631" s="235"/>
      <c r="BB631" s="235"/>
      <c r="BC631" s="235"/>
      <c r="BD631" s="104"/>
      <c r="BE631" s="104"/>
      <c r="BF631" s="104"/>
      <c r="BG631" s="104"/>
      <c r="BH631" s="104"/>
      <c r="BI631" s="104"/>
      <c r="BJ631" s="104"/>
      <c r="BK631" s="12"/>
      <c r="BL631" s="12"/>
    </row>
    <row r="632" spans="1:64" hidden="1" outlineLevel="1">
      <c r="A632" s="9"/>
      <c r="B632" s="9"/>
      <c r="C632" s="44"/>
      <c r="D632" s="278" t="str">
        <f>Asset3</f>
        <v>Protection and Control</v>
      </c>
      <c r="E632" s="9"/>
      <c r="F632" s="9"/>
      <c r="G632" s="210">
        <f>'Adjustment for previous period'!G496</f>
        <v>0</v>
      </c>
      <c r="H632" s="114"/>
      <c r="I632" s="114"/>
      <c r="J632" s="114"/>
      <c r="K632" s="114"/>
      <c r="L632" s="114"/>
      <c r="M632" s="114"/>
      <c r="N632" s="29"/>
      <c r="O632" s="29"/>
      <c r="P632" s="29"/>
      <c r="Q632" s="29"/>
      <c r="R632" s="29"/>
      <c r="S632" s="104"/>
      <c r="T632" s="104"/>
      <c r="U632" s="104"/>
      <c r="V632" s="104"/>
      <c r="W632" s="104"/>
      <c r="X632" s="104"/>
      <c r="Y632" s="104"/>
      <c r="Z632" s="104"/>
      <c r="AA632" s="235"/>
      <c r="AB632" s="235"/>
      <c r="AC632" s="235"/>
      <c r="AD632" s="235"/>
      <c r="AE632" s="235"/>
      <c r="AF632" s="235"/>
      <c r="AG632" s="235"/>
      <c r="AH632" s="235"/>
      <c r="AI632" s="235"/>
      <c r="AJ632" s="235"/>
      <c r="AK632" s="235"/>
      <c r="AL632" s="235"/>
      <c r="AM632" s="235"/>
      <c r="AN632" s="235"/>
      <c r="AO632" s="235"/>
      <c r="AP632" s="235"/>
      <c r="AQ632" s="235"/>
      <c r="AR632" s="235"/>
      <c r="AS632" s="235"/>
      <c r="AT632" s="235"/>
      <c r="AU632" s="235"/>
      <c r="AV632" s="235"/>
      <c r="AW632" s="235"/>
      <c r="AX632" s="235"/>
      <c r="AY632" s="235"/>
      <c r="AZ632" s="235"/>
      <c r="BA632" s="235"/>
      <c r="BB632" s="235"/>
      <c r="BC632" s="235"/>
      <c r="BD632" s="104"/>
      <c r="BE632" s="104"/>
      <c r="BF632" s="104"/>
      <c r="BG632" s="104"/>
      <c r="BH632" s="104"/>
      <c r="BI632" s="104"/>
      <c r="BJ632" s="104"/>
      <c r="BK632" s="12"/>
      <c r="BL632" s="12"/>
    </row>
    <row r="633" spans="1:64" hidden="1" outlineLevel="1">
      <c r="A633" s="9"/>
      <c r="B633" s="9"/>
      <c r="C633" s="44"/>
      <c r="D633" s="278" t="str">
        <f>Asset4</f>
        <v>Refurbishment</v>
      </c>
      <c r="E633" s="9"/>
      <c r="F633" s="9"/>
      <c r="G633" s="210">
        <f>'Adjustment for previous period'!G497</f>
        <v>0</v>
      </c>
      <c r="H633" s="114"/>
      <c r="I633" s="114"/>
      <c r="J633" s="114"/>
      <c r="K633" s="114"/>
      <c r="L633" s="114"/>
      <c r="M633" s="114"/>
      <c r="N633" s="29"/>
      <c r="O633" s="29"/>
      <c r="P633" s="29"/>
      <c r="Q633" s="29"/>
      <c r="R633" s="29"/>
      <c r="S633" s="104"/>
      <c r="T633" s="104"/>
      <c r="U633" s="104"/>
      <c r="V633" s="104"/>
      <c r="W633" s="104"/>
      <c r="X633" s="104"/>
      <c r="Y633" s="104"/>
      <c r="Z633" s="104"/>
      <c r="AA633" s="235"/>
      <c r="AB633" s="235"/>
      <c r="AC633" s="235"/>
      <c r="AD633" s="235"/>
      <c r="AE633" s="235"/>
      <c r="AF633" s="235"/>
      <c r="AG633" s="235"/>
      <c r="AH633" s="235"/>
      <c r="AI633" s="235"/>
      <c r="AJ633" s="235"/>
      <c r="AK633" s="235"/>
      <c r="AL633" s="235"/>
      <c r="AM633" s="235"/>
      <c r="AN633" s="235"/>
      <c r="AO633" s="235"/>
      <c r="AP633" s="235"/>
      <c r="AQ633" s="235"/>
      <c r="AR633" s="235"/>
      <c r="AS633" s="235"/>
      <c r="AT633" s="235"/>
      <c r="AU633" s="235"/>
      <c r="AV633" s="235"/>
      <c r="AW633" s="235"/>
      <c r="AX633" s="235"/>
      <c r="AY633" s="235"/>
      <c r="AZ633" s="235"/>
      <c r="BA633" s="235"/>
      <c r="BB633" s="235"/>
      <c r="BC633" s="235"/>
      <c r="BD633" s="104"/>
      <c r="BE633" s="104"/>
      <c r="BF633" s="104"/>
      <c r="BG633" s="104"/>
      <c r="BH633" s="104"/>
      <c r="BI633" s="104"/>
      <c r="BJ633" s="104"/>
      <c r="BK633" s="12"/>
      <c r="BL633" s="12"/>
    </row>
    <row r="634" spans="1:64" hidden="1" outlineLevel="1">
      <c r="A634" s="9"/>
      <c r="B634" s="9"/>
      <c r="C634" s="44"/>
      <c r="D634" s="278" t="str">
        <f>Asset5</f>
        <v>Other</v>
      </c>
      <c r="E634" s="9"/>
      <c r="F634" s="9"/>
      <c r="G634" s="210">
        <f>'Adjustment for previous period'!G498</f>
        <v>0</v>
      </c>
      <c r="H634" s="114"/>
      <c r="I634" s="114"/>
      <c r="J634" s="114"/>
      <c r="K634" s="114"/>
      <c r="L634" s="114"/>
      <c r="M634" s="114"/>
      <c r="N634" s="29"/>
      <c r="O634" s="29"/>
      <c r="P634" s="29"/>
      <c r="Q634" s="29"/>
      <c r="R634" s="29"/>
      <c r="S634" s="104"/>
      <c r="T634" s="104"/>
      <c r="U634" s="104"/>
      <c r="V634" s="104"/>
      <c r="W634" s="104"/>
      <c r="X634" s="104"/>
      <c r="Y634" s="104"/>
      <c r="Z634" s="104"/>
      <c r="AA634" s="235"/>
      <c r="AB634" s="235"/>
      <c r="AC634" s="235"/>
      <c r="AD634" s="235"/>
      <c r="AE634" s="235"/>
      <c r="AF634" s="235"/>
      <c r="AG634" s="235"/>
      <c r="AH634" s="235"/>
      <c r="AI634" s="235"/>
      <c r="AJ634" s="235"/>
      <c r="AK634" s="235"/>
      <c r="AL634" s="235"/>
      <c r="AM634" s="235"/>
      <c r="AN634" s="235"/>
      <c r="AO634" s="235"/>
      <c r="AP634" s="235"/>
      <c r="AQ634" s="235"/>
      <c r="AR634" s="235"/>
      <c r="AS634" s="235"/>
      <c r="AT634" s="235"/>
      <c r="AU634" s="235"/>
      <c r="AV634" s="235"/>
      <c r="AW634" s="235"/>
      <c r="AX634" s="235"/>
      <c r="AY634" s="235"/>
      <c r="AZ634" s="235"/>
      <c r="BA634" s="235"/>
      <c r="BB634" s="235"/>
      <c r="BC634" s="235"/>
      <c r="BD634" s="104"/>
      <c r="BE634" s="104"/>
      <c r="BF634" s="104"/>
      <c r="BG634" s="104"/>
      <c r="BH634" s="104"/>
      <c r="BI634" s="104"/>
      <c r="BJ634" s="104"/>
      <c r="BK634" s="12"/>
      <c r="BL634" s="12"/>
    </row>
    <row r="635" spans="1:64" hidden="1" outlineLevel="1">
      <c r="A635" s="9"/>
      <c r="B635" s="9"/>
      <c r="C635" s="44"/>
      <c r="D635" s="278" t="str">
        <f>Asset6</f>
        <v>Other - IT</v>
      </c>
      <c r="E635" s="9"/>
      <c r="F635" s="9"/>
      <c r="G635" s="210">
        <f>'Adjustment for previous period'!G499</f>
        <v>0</v>
      </c>
      <c r="H635" s="114"/>
      <c r="I635" s="114"/>
      <c r="J635" s="114"/>
      <c r="K635" s="114"/>
      <c r="L635" s="114"/>
      <c r="M635" s="114"/>
      <c r="N635" s="29"/>
      <c r="O635" s="29"/>
      <c r="P635" s="29"/>
      <c r="Q635" s="29"/>
      <c r="R635" s="29"/>
      <c r="S635" s="104"/>
      <c r="T635" s="104"/>
      <c r="U635" s="104"/>
      <c r="V635" s="104"/>
      <c r="W635" s="104"/>
      <c r="X635" s="104"/>
      <c r="Y635" s="104"/>
      <c r="Z635" s="104"/>
      <c r="AA635" s="235"/>
      <c r="AB635" s="235"/>
      <c r="AC635" s="235"/>
      <c r="AD635" s="235"/>
      <c r="AE635" s="235"/>
      <c r="AF635" s="235"/>
      <c r="AG635" s="235"/>
      <c r="AH635" s="235"/>
      <c r="AI635" s="235"/>
      <c r="AJ635" s="235"/>
      <c r="AK635" s="235"/>
      <c r="AL635" s="235"/>
      <c r="AM635" s="235"/>
      <c r="AN635" s="235"/>
      <c r="AO635" s="235"/>
      <c r="AP635" s="235"/>
      <c r="AQ635" s="235"/>
      <c r="AR635" s="235"/>
      <c r="AS635" s="235"/>
      <c r="AT635" s="235"/>
      <c r="AU635" s="235"/>
      <c r="AV635" s="235"/>
      <c r="AW635" s="235"/>
      <c r="AX635" s="235"/>
      <c r="AY635" s="235"/>
      <c r="AZ635" s="235"/>
      <c r="BA635" s="235"/>
      <c r="BB635" s="235"/>
      <c r="BC635" s="235"/>
      <c r="BD635" s="104"/>
      <c r="BE635" s="104"/>
      <c r="BF635" s="104"/>
      <c r="BG635" s="104"/>
      <c r="BH635" s="104"/>
      <c r="BI635" s="104"/>
      <c r="BJ635" s="104"/>
      <c r="BK635" s="12"/>
      <c r="BL635" s="12"/>
    </row>
    <row r="636" spans="1:64" hidden="1" outlineLevel="1">
      <c r="A636" s="9"/>
      <c r="B636" s="9"/>
      <c r="C636" s="44"/>
      <c r="D636" s="278" t="str">
        <f>Asset7</f>
        <v>Other - General</v>
      </c>
      <c r="E636" s="9"/>
      <c r="F636" s="9"/>
      <c r="G636" s="210">
        <f>'Adjustment for previous period'!G500</f>
        <v>0</v>
      </c>
      <c r="H636" s="114"/>
      <c r="I636" s="114"/>
      <c r="J636" s="114"/>
      <c r="K636" s="114"/>
      <c r="L636" s="114"/>
      <c r="M636" s="114"/>
      <c r="N636" s="29"/>
      <c r="O636" s="29"/>
      <c r="P636" s="29"/>
      <c r="Q636" s="29"/>
      <c r="R636" s="29"/>
      <c r="S636" s="104"/>
      <c r="T636" s="104"/>
      <c r="U636" s="104"/>
      <c r="V636" s="104"/>
      <c r="W636" s="104"/>
      <c r="X636" s="104"/>
      <c r="Y636" s="104"/>
      <c r="Z636" s="104"/>
      <c r="AA636" s="235"/>
      <c r="AB636" s="235"/>
      <c r="AC636" s="235"/>
      <c r="AD636" s="235"/>
      <c r="AE636" s="235"/>
      <c r="AF636" s="235"/>
      <c r="AG636" s="235"/>
      <c r="AH636" s="235"/>
      <c r="AI636" s="235"/>
      <c r="AJ636" s="235"/>
      <c r="AK636" s="235"/>
      <c r="AL636" s="235"/>
      <c r="AM636" s="235"/>
      <c r="AN636" s="235"/>
      <c r="AO636" s="235"/>
      <c r="AP636" s="235"/>
      <c r="AQ636" s="235"/>
      <c r="AR636" s="235"/>
      <c r="AS636" s="235"/>
      <c r="AT636" s="235"/>
      <c r="AU636" s="235"/>
      <c r="AV636" s="235"/>
      <c r="AW636" s="235"/>
      <c r="AX636" s="235"/>
      <c r="AY636" s="235"/>
      <c r="AZ636" s="235"/>
      <c r="BA636" s="235"/>
      <c r="BB636" s="235"/>
      <c r="BC636" s="235"/>
      <c r="BD636" s="104"/>
      <c r="BE636" s="104"/>
      <c r="BF636" s="104"/>
      <c r="BG636" s="104"/>
      <c r="BH636" s="104"/>
      <c r="BI636" s="104"/>
      <c r="BJ636" s="104"/>
      <c r="BK636" s="12"/>
      <c r="BL636" s="12"/>
    </row>
    <row r="637" spans="1:64" hidden="1" outlineLevel="1">
      <c r="A637" s="9"/>
      <c r="B637" s="9"/>
      <c r="C637" s="44"/>
      <c r="D637" s="278" t="str">
        <f>Asset8</f>
        <v>Other - Buildings</v>
      </c>
      <c r="E637" s="9"/>
      <c r="F637" s="9"/>
      <c r="G637" s="210">
        <f>'Adjustment for previous period'!G501</f>
        <v>0</v>
      </c>
      <c r="H637" s="114"/>
      <c r="I637" s="114"/>
      <c r="J637" s="114"/>
      <c r="K637" s="114"/>
      <c r="L637" s="114"/>
      <c r="M637" s="114"/>
      <c r="N637" s="29"/>
      <c r="O637" s="29"/>
      <c r="P637" s="29"/>
      <c r="Q637" s="29"/>
      <c r="R637" s="29"/>
      <c r="S637" s="104"/>
      <c r="T637" s="104"/>
      <c r="U637" s="104"/>
      <c r="V637" s="104"/>
      <c r="W637" s="104"/>
      <c r="X637" s="104"/>
      <c r="Y637" s="104"/>
      <c r="Z637" s="104"/>
      <c r="AA637" s="235"/>
      <c r="AB637" s="235"/>
      <c r="AC637" s="235"/>
      <c r="AD637" s="235"/>
      <c r="AE637" s="235"/>
      <c r="AF637" s="235"/>
      <c r="AG637" s="235"/>
      <c r="AH637" s="235"/>
      <c r="AI637" s="235"/>
      <c r="AJ637" s="235"/>
      <c r="AK637" s="235"/>
      <c r="AL637" s="235"/>
      <c r="AM637" s="235"/>
      <c r="AN637" s="235"/>
      <c r="AO637" s="235"/>
      <c r="AP637" s="235"/>
      <c r="AQ637" s="235"/>
      <c r="AR637" s="235"/>
      <c r="AS637" s="235"/>
      <c r="AT637" s="235"/>
      <c r="AU637" s="235"/>
      <c r="AV637" s="235"/>
      <c r="AW637" s="235"/>
      <c r="AX637" s="235"/>
      <c r="AY637" s="235"/>
      <c r="AZ637" s="235"/>
      <c r="BA637" s="235"/>
      <c r="BB637" s="235"/>
      <c r="BC637" s="235"/>
      <c r="BD637" s="104"/>
      <c r="BE637" s="104"/>
      <c r="BF637" s="104"/>
      <c r="BG637" s="104"/>
      <c r="BH637" s="104"/>
      <c r="BI637" s="104"/>
      <c r="BJ637" s="104"/>
      <c r="BK637" s="12"/>
      <c r="BL637" s="12"/>
    </row>
    <row r="638" spans="1:64" hidden="1" outlineLevel="1">
      <c r="A638" s="9"/>
      <c r="B638" s="9"/>
      <c r="C638" s="44"/>
      <c r="D638" s="278" t="str">
        <f>Asset9</f>
        <v>Land and Easements</v>
      </c>
      <c r="E638" s="9"/>
      <c r="F638" s="9"/>
      <c r="G638" s="210">
        <f>'Adjustment for previous period'!G502</f>
        <v>0</v>
      </c>
      <c r="H638" s="114"/>
      <c r="I638" s="114"/>
      <c r="J638" s="114"/>
      <c r="K638" s="114"/>
      <c r="L638" s="114"/>
      <c r="M638" s="114"/>
      <c r="N638" s="29"/>
      <c r="O638" s="29"/>
      <c r="P638" s="29"/>
      <c r="Q638" s="29"/>
      <c r="R638" s="29"/>
      <c r="S638" s="104"/>
      <c r="T638" s="104"/>
      <c r="U638" s="104"/>
      <c r="V638" s="104"/>
      <c r="W638" s="104"/>
      <c r="X638" s="104"/>
      <c r="Y638" s="104"/>
      <c r="Z638" s="104"/>
      <c r="AA638" s="235"/>
      <c r="AB638" s="235"/>
      <c r="AC638" s="235"/>
      <c r="AD638" s="235"/>
      <c r="AE638" s="235"/>
      <c r="AF638" s="235"/>
      <c r="AG638" s="235"/>
      <c r="AH638" s="235"/>
      <c r="AI638" s="235"/>
      <c r="AJ638" s="235"/>
      <c r="AK638" s="235"/>
      <c r="AL638" s="235"/>
      <c r="AM638" s="235"/>
      <c r="AN638" s="235"/>
      <c r="AO638" s="235"/>
      <c r="AP638" s="235"/>
      <c r="AQ638" s="235"/>
      <c r="AR638" s="235"/>
      <c r="AS638" s="235"/>
      <c r="AT638" s="235"/>
      <c r="AU638" s="235"/>
      <c r="AV638" s="235"/>
      <c r="AW638" s="235"/>
      <c r="AX638" s="235"/>
      <c r="AY638" s="235"/>
      <c r="AZ638" s="235"/>
      <c r="BA638" s="235"/>
      <c r="BB638" s="235"/>
      <c r="BC638" s="235"/>
      <c r="BD638" s="104"/>
      <c r="BE638" s="104"/>
      <c r="BF638" s="104"/>
      <c r="BG638" s="104"/>
      <c r="BH638" s="104"/>
      <c r="BI638" s="104"/>
      <c r="BJ638" s="104"/>
      <c r="BK638" s="12"/>
      <c r="BL638" s="12"/>
    </row>
    <row r="639" spans="1:64" hidden="1" outlineLevel="1">
      <c r="A639" s="9"/>
      <c r="B639" s="9"/>
      <c r="C639" s="44"/>
      <c r="D639" s="278" t="str">
        <f>Asset10</f>
        <v>Transmission line assets - long life (60)</v>
      </c>
      <c r="E639" s="9"/>
      <c r="F639" s="9"/>
      <c r="G639" s="210">
        <f>'Adjustment for previous period'!G503</f>
        <v>27.66680798284586</v>
      </c>
      <c r="H639" s="114"/>
      <c r="I639" s="114"/>
      <c r="J639" s="114"/>
      <c r="K639" s="114"/>
      <c r="L639" s="114"/>
      <c r="M639" s="114"/>
      <c r="N639" s="29"/>
      <c r="O639" s="29"/>
      <c r="P639" s="29"/>
      <c r="Q639" s="29"/>
      <c r="R639" s="29"/>
      <c r="S639" s="104"/>
      <c r="T639" s="104"/>
      <c r="U639" s="104"/>
      <c r="V639" s="104"/>
      <c r="W639" s="104"/>
      <c r="X639" s="104"/>
      <c r="Y639" s="104"/>
      <c r="Z639" s="104"/>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104"/>
      <c r="BE639" s="104"/>
      <c r="BF639" s="104"/>
      <c r="BG639" s="104"/>
      <c r="BH639" s="104"/>
      <c r="BI639" s="104"/>
      <c r="BJ639" s="104"/>
      <c r="BK639" s="12"/>
      <c r="BL639" s="12"/>
    </row>
    <row r="640" spans="1:64" hidden="1" outlineLevel="1">
      <c r="A640" s="9"/>
      <c r="B640" s="9"/>
      <c r="C640" s="44"/>
      <c r="D640" s="278" t="str">
        <f>Asset11</f>
        <v>Transmission line assets - medium life (45)</v>
      </c>
      <c r="E640" s="9"/>
      <c r="F640" s="9"/>
      <c r="G640" s="210">
        <f>'Adjustment for previous period'!G504</f>
        <v>0.7908975054500671</v>
      </c>
      <c r="H640" s="114"/>
      <c r="I640" s="114"/>
      <c r="J640" s="114"/>
      <c r="K640" s="114"/>
      <c r="L640" s="114"/>
      <c r="M640" s="114"/>
      <c r="N640" s="29"/>
      <c r="O640" s="29"/>
      <c r="P640" s="29"/>
      <c r="Q640" s="29"/>
      <c r="R640" s="29"/>
      <c r="S640" s="104"/>
      <c r="T640" s="104"/>
      <c r="U640" s="104"/>
      <c r="V640" s="104"/>
      <c r="W640" s="104"/>
      <c r="X640" s="104"/>
      <c r="Y640" s="104"/>
      <c r="Z640" s="104"/>
      <c r="AA640" s="235"/>
      <c r="AB640" s="235"/>
      <c r="AC640" s="235"/>
      <c r="AD640" s="235"/>
      <c r="AE640" s="235"/>
      <c r="AF640" s="235"/>
      <c r="AG640" s="235"/>
      <c r="AH640" s="235"/>
      <c r="AI640" s="235"/>
      <c r="AJ640" s="235"/>
      <c r="AK640" s="235"/>
      <c r="AL640" s="235"/>
      <c r="AM640" s="235"/>
      <c r="AN640" s="235"/>
      <c r="AO640" s="235"/>
      <c r="AP640" s="235"/>
      <c r="AQ640" s="235"/>
      <c r="AR640" s="235"/>
      <c r="AS640" s="235"/>
      <c r="AT640" s="235"/>
      <c r="AU640" s="235"/>
      <c r="AV640" s="235"/>
      <c r="AW640" s="235"/>
      <c r="AX640" s="235"/>
      <c r="AY640" s="235"/>
      <c r="AZ640" s="235"/>
      <c r="BA640" s="235"/>
      <c r="BB640" s="235"/>
      <c r="BC640" s="235"/>
      <c r="BD640" s="104"/>
      <c r="BE640" s="104"/>
      <c r="BF640" s="104"/>
      <c r="BG640" s="104"/>
      <c r="BH640" s="104"/>
      <c r="BI640" s="104"/>
      <c r="BJ640" s="104"/>
      <c r="BK640" s="12"/>
      <c r="BL640" s="12"/>
    </row>
    <row r="641" spans="1:64" hidden="1" outlineLevel="1">
      <c r="A641" s="9"/>
      <c r="B641" s="9"/>
      <c r="C641" s="44"/>
      <c r="D641" s="278" t="str">
        <f>Asset12</f>
        <v>Transmission line assets - short life (10)</v>
      </c>
      <c r="E641" s="9"/>
      <c r="F641" s="9"/>
      <c r="G641" s="210">
        <f>'Adjustment for previous period'!G505</f>
        <v>2.0824479126873228</v>
      </c>
      <c r="H641" s="114"/>
      <c r="I641" s="114"/>
      <c r="J641" s="114"/>
      <c r="K641" s="114"/>
      <c r="L641" s="114"/>
      <c r="M641" s="114"/>
      <c r="N641" s="29"/>
      <c r="O641" s="29"/>
      <c r="P641" s="29"/>
      <c r="Q641" s="29"/>
      <c r="R641" s="29"/>
      <c r="S641" s="104"/>
      <c r="T641" s="104"/>
      <c r="U641" s="104"/>
      <c r="V641" s="104"/>
      <c r="W641" s="104"/>
      <c r="X641" s="104"/>
      <c r="Y641" s="104"/>
      <c r="Z641" s="104"/>
      <c r="AA641" s="235"/>
      <c r="AB641" s="235"/>
      <c r="AC641" s="235"/>
      <c r="AD641" s="235"/>
      <c r="AE641" s="235"/>
      <c r="AF641" s="235"/>
      <c r="AG641" s="235"/>
      <c r="AH641" s="235"/>
      <c r="AI641" s="235"/>
      <c r="AJ641" s="235"/>
      <c r="AK641" s="235"/>
      <c r="AL641" s="235"/>
      <c r="AM641" s="235"/>
      <c r="AN641" s="235"/>
      <c r="AO641" s="235"/>
      <c r="AP641" s="235"/>
      <c r="AQ641" s="235"/>
      <c r="AR641" s="235"/>
      <c r="AS641" s="235"/>
      <c r="AT641" s="235"/>
      <c r="AU641" s="235"/>
      <c r="AV641" s="235"/>
      <c r="AW641" s="235"/>
      <c r="AX641" s="235"/>
      <c r="AY641" s="235"/>
      <c r="AZ641" s="235"/>
      <c r="BA641" s="235"/>
      <c r="BB641" s="235"/>
      <c r="BC641" s="235"/>
      <c r="BD641" s="104"/>
      <c r="BE641" s="104"/>
      <c r="BF641" s="104"/>
      <c r="BG641" s="104"/>
      <c r="BH641" s="104"/>
      <c r="BI641" s="104"/>
      <c r="BJ641" s="104"/>
      <c r="BK641" s="12"/>
      <c r="BL641" s="12"/>
    </row>
    <row r="642" spans="1:64" hidden="1" outlineLevel="1">
      <c r="A642" s="9"/>
      <c r="B642" s="9"/>
      <c r="C642" s="44"/>
      <c r="D642" s="278" t="str">
        <f>Asset13</f>
        <v>Substation assets - long life (60)</v>
      </c>
      <c r="E642" s="9"/>
      <c r="F642" s="9"/>
      <c r="G642" s="210">
        <f>'Adjustment for previous period'!G506</f>
        <v>3.63820723960978</v>
      </c>
      <c r="H642" s="114"/>
      <c r="I642" s="114"/>
      <c r="J642" s="114"/>
      <c r="K642" s="114"/>
      <c r="L642" s="114"/>
      <c r="M642" s="114"/>
      <c r="N642" s="29"/>
      <c r="O642" s="29"/>
      <c r="P642" s="29"/>
      <c r="Q642" s="29"/>
      <c r="R642" s="29"/>
      <c r="S642" s="104"/>
      <c r="T642" s="104"/>
      <c r="U642" s="104"/>
      <c r="V642" s="104"/>
      <c r="W642" s="104"/>
      <c r="X642" s="104"/>
      <c r="Y642" s="104"/>
      <c r="Z642" s="104"/>
      <c r="AA642" s="235"/>
      <c r="AB642" s="235"/>
      <c r="AC642" s="235"/>
      <c r="AD642" s="235"/>
      <c r="AE642" s="235"/>
      <c r="AF642" s="235"/>
      <c r="AG642" s="235"/>
      <c r="AH642" s="235"/>
      <c r="AI642" s="235"/>
      <c r="AJ642" s="235"/>
      <c r="AK642" s="235"/>
      <c r="AL642" s="235"/>
      <c r="AM642" s="235"/>
      <c r="AN642" s="235"/>
      <c r="AO642" s="235"/>
      <c r="AP642" s="235"/>
      <c r="AQ642" s="235"/>
      <c r="AR642" s="235"/>
      <c r="AS642" s="235"/>
      <c r="AT642" s="235"/>
      <c r="AU642" s="235"/>
      <c r="AV642" s="235"/>
      <c r="AW642" s="235"/>
      <c r="AX642" s="235"/>
      <c r="AY642" s="235"/>
      <c r="AZ642" s="235"/>
      <c r="BA642" s="235"/>
      <c r="BB642" s="235"/>
      <c r="BC642" s="235"/>
      <c r="BD642" s="104"/>
      <c r="BE642" s="104"/>
      <c r="BF642" s="104"/>
      <c r="BG642" s="104"/>
      <c r="BH642" s="104"/>
      <c r="BI642" s="104"/>
      <c r="BJ642" s="104"/>
      <c r="BK642" s="12"/>
      <c r="BL642" s="12"/>
    </row>
    <row r="643" spans="1:64" hidden="1" outlineLevel="1">
      <c r="A643" s="9"/>
      <c r="B643" s="9"/>
      <c r="C643" s="44"/>
      <c r="D643" s="278" t="str">
        <f>Asset14</f>
        <v>Substation assets - medium life (45)</v>
      </c>
      <c r="E643" s="9"/>
      <c r="F643" s="9"/>
      <c r="G643" s="210">
        <f>'Adjustment for previous period'!G507</f>
        <v>9.1604921113680948</v>
      </c>
      <c r="H643" s="114"/>
      <c r="I643" s="114"/>
      <c r="J643" s="114"/>
      <c r="K643" s="114"/>
      <c r="L643" s="114"/>
      <c r="M643" s="114"/>
      <c r="N643" s="29"/>
      <c r="O643" s="29"/>
      <c r="P643" s="29"/>
      <c r="Q643" s="29"/>
      <c r="R643" s="29"/>
      <c r="S643" s="104"/>
      <c r="T643" s="104"/>
      <c r="U643" s="104"/>
      <c r="V643" s="104"/>
      <c r="W643" s="104"/>
      <c r="X643" s="104"/>
      <c r="Y643" s="104"/>
      <c r="Z643" s="104"/>
      <c r="AA643" s="235"/>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5"/>
      <c r="AY643" s="235"/>
      <c r="AZ643" s="235"/>
      <c r="BA643" s="235"/>
      <c r="BB643" s="235"/>
      <c r="BC643" s="235"/>
      <c r="BD643" s="104"/>
      <c r="BE643" s="104"/>
      <c r="BF643" s="104"/>
      <c r="BG643" s="104"/>
      <c r="BH643" s="104"/>
      <c r="BI643" s="104"/>
      <c r="BJ643" s="104"/>
      <c r="BK643" s="12"/>
      <c r="BL643" s="12"/>
    </row>
    <row r="644" spans="1:64" hidden="1" outlineLevel="1">
      <c r="A644" s="9"/>
      <c r="B644" s="9"/>
      <c r="C644" s="44"/>
      <c r="D644" s="278" t="str">
        <f>Asset15</f>
        <v>Substation assets - short life (15)</v>
      </c>
      <c r="E644" s="9"/>
      <c r="F644" s="9"/>
      <c r="G644" s="210">
        <f>'Adjustment for previous period'!G508</f>
        <v>0.36737337230990852</v>
      </c>
      <c r="H644" s="114"/>
      <c r="I644" s="114"/>
      <c r="J644" s="114"/>
      <c r="K644" s="114"/>
      <c r="L644" s="114"/>
      <c r="M644" s="114"/>
      <c r="N644" s="29"/>
      <c r="O644" s="29"/>
      <c r="P644" s="29"/>
      <c r="Q644" s="29"/>
      <c r="R644" s="29"/>
      <c r="S644" s="104"/>
      <c r="T644" s="104"/>
      <c r="U644" s="104"/>
      <c r="V644" s="104"/>
      <c r="W644" s="104"/>
      <c r="X644" s="104"/>
      <c r="Y644" s="104"/>
      <c r="Z644" s="104"/>
      <c r="AA644" s="235"/>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235"/>
      <c r="AY644" s="235"/>
      <c r="AZ644" s="235"/>
      <c r="BA644" s="235"/>
      <c r="BB644" s="235"/>
      <c r="BC644" s="235"/>
      <c r="BD644" s="104"/>
      <c r="BE644" s="104"/>
      <c r="BF644" s="104"/>
      <c r="BG644" s="104"/>
      <c r="BH644" s="104"/>
      <c r="BI644" s="104"/>
      <c r="BJ644" s="104"/>
      <c r="BK644" s="12"/>
      <c r="BL644" s="12"/>
    </row>
    <row r="645" spans="1:64" hidden="1" outlineLevel="1">
      <c r="A645" s="9"/>
      <c r="B645" s="9"/>
      <c r="C645" s="44"/>
      <c r="D645" s="278" t="str">
        <f>Asset16</f>
        <v>Protection and control - short life (15)</v>
      </c>
      <c r="E645" s="9"/>
      <c r="F645" s="9"/>
      <c r="G645" s="210">
        <f>'Adjustment for previous period'!G509</f>
        <v>4.0917857999755638</v>
      </c>
      <c r="H645" s="114"/>
      <c r="I645" s="114"/>
      <c r="J645" s="114"/>
      <c r="K645" s="114"/>
      <c r="L645" s="114"/>
      <c r="M645" s="114"/>
      <c r="N645" s="29"/>
      <c r="O645" s="29"/>
      <c r="P645" s="29"/>
      <c r="Q645" s="29"/>
      <c r="R645" s="29"/>
      <c r="S645" s="104"/>
      <c r="T645" s="104"/>
      <c r="U645" s="104"/>
      <c r="V645" s="104"/>
      <c r="W645" s="104"/>
      <c r="X645" s="104"/>
      <c r="Y645" s="104"/>
      <c r="Z645" s="104"/>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104"/>
      <c r="BE645" s="104"/>
      <c r="BF645" s="104"/>
      <c r="BG645" s="104"/>
      <c r="BH645" s="104"/>
      <c r="BI645" s="104"/>
      <c r="BJ645" s="104"/>
      <c r="BK645" s="12"/>
      <c r="BL645" s="12"/>
    </row>
    <row r="646" spans="1:64" hidden="1" outlineLevel="1">
      <c r="A646" s="9"/>
      <c r="B646" s="9"/>
      <c r="C646" s="44"/>
      <c r="D646" s="278" t="str">
        <f>Asset17</f>
        <v>Protection and control - short life (4)</v>
      </c>
      <c r="E646" s="9"/>
      <c r="F646" s="9"/>
      <c r="G646" s="210">
        <f>'Adjustment for previous period'!G510</f>
        <v>0</v>
      </c>
      <c r="H646" s="114"/>
      <c r="I646" s="114"/>
      <c r="J646" s="114"/>
      <c r="K646" s="114"/>
      <c r="L646" s="114"/>
      <c r="M646" s="114"/>
      <c r="N646" s="29"/>
      <c r="O646" s="29"/>
      <c r="P646" s="29"/>
      <c r="Q646" s="29"/>
      <c r="R646" s="29"/>
      <c r="S646" s="104"/>
      <c r="T646" s="104"/>
      <c r="U646" s="104"/>
      <c r="V646" s="104"/>
      <c r="W646" s="104"/>
      <c r="X646" s="104"/>
      <c r="Y646" s="104"/>
      <c r="Z646" s="104"/>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104"/>
      <c r="BE646" s="104"/>
      <c r="BF646" s="104"/>
      <c r="BG646" s="104"/>
      <c r="BH646" s="104"/>
      <c r="BI646" s="104"/>
      <c r="BJ646" s="104"/>
      <c r="BK646" s="12"/>
      <c r="BL646" s="12"/>
    </row>
    <row r="647" spans="1:64" hidden="1" outlineLevel="1">
      <c r="A647" s="9"/>
      <c r="B647" s="9"/>
      <c r="C647" s="44"/>
      <c r="D647" s="278" t="str">
        <f>Asset18</f>
        <v>Transmission operations - short life (10)</v>
      </c>
      <c r="E647" s="9"/>
      <c r="F647" s="9"/>
      <c r="G647" s="210">
        <f>'Adjustment for previous period'!G511</f>
        <v>0</v>
      </c>
      <c r="H647" s="114"/>
      <c r="I647" s="114"/>
      <c r="J647" s="114"/>
      <c r="K647" s="114"/>
      <c r="L647" s="114"/>
      <c r="M647" s="114"/>
      <c r="N647" s="29"/>
      <c r="O647" s="29"/>
      <c r="P647" s="29"/>
      <c r="Q647" s="29"/>
      <c r="R647" s="29"/>
      <c r="S647" s="104"/>
      <c r="T647" s="104"/>
      <c r="U647" s="104"/>
      <c r="V647" s="104"/>
      <c r="W647" s="104"/>
      <c r="X647" s="104"/>
      <c r="Y647" s="104"/>
      <c r="Z647" s="104"/>
      <c r="AA647" s="235"/>
      <c r="AB647" s="235"/>
      <c r="AC647" s="235"/>
      <c r="AD647" s="235"/>
      <c r="AE647" s="235"/>
      <c r="AF647" s="235"/>
      <c r="AG647" s="235"/>
      <c r="AH647" s="235"/>
      <c r="AI647" s="235"/>
      <c r="AJ647" s="235"/>
      <c r="AK647" s="235"/>
      <c r="AL647" s="235"/>
      <c r="AM647" s="235"/>
      <c r="AN647" s="235"/>
      <c r="AO647" s="235"/>
      <c r="AP647" s="235"/>
      <c r="AQ647" s="235"/>
      <c r="AR647" s="235"/>
      <c r="AS647" s="235"/>
      <c r="AT647" s="235"/>
      <c r="AU647" s="235"/>
      <c r="AV647" s="235"/>
      <c r="AW647" s="235"/>
      <c r="AX647" s="235"/>
      <c r="AY647" s="235"/>
      <c r="AZ647" s="235"/>
      <c r="BA647" s="235"/>
      <c r="BB647" s="235"/>
      <c r="BC647" s="235"/>
      <c r="BD647" s="104"/>
      <c r="BE647" s="104"/>
      <c r="BF647" s="104"/>
      <c r="BG647" s="104"/>
      <c r="BH647" s="104"/>
      <c r="BI647" s="104"/>
      <c r="BJ647" s="104"/>
      <c r="BK647" s="12"/>
      <c r="BL647" s="12"/>
    </row>
    <row r="648" spans="1:64" hidden="1" outlineLevel="1">
      <c r="A648" s="9"/>
      <c r="B648" s="9"/>
      <c r="C648" s="44"/>
      <c r="D648" s="278" t="str">
        <f>Asset19</f>
        <v>Transmission operations - short life (4)</v>
      </c>
      <c r="E648" s="9"/>
      <c r="F648" s="9"/>
      <c r="G648" s="210">
        <f>'Adjustment for previous period'!G512</f>
        <v>0</v>
      </c>
      <c r="H648" s="114"/>
      <c r="I648" s="114"/>
      <c r="J648" s="114"/>
      <c r="K648" s="114"/>
      <c r="L648" s="114"/>
      <c r="M648" s="114"/>
      <c r="N648" s="29"/>
      <c r="O648" s="29"/>
      <c r="P648" s="29"/>
      <c r="Q648" s="29"/>
      <c r="R648" s="29"/>
      <c r="S648" s="104"/>
      <c r="T648" s="104"/>
      <c r="U648" s="104"/>
      <c r="V648" s="104"/>
      <c r="W648" s="104"/>
      <c r="X648" s="104"/>
      <c r="Y648" s="104"/>
      <c r="Z648" s="104"/>
      <c r="AA648" s="235"/>
      <c r="AB648" s="235"/>
      <c r="AC648" s="235"/>
      <c r="AD648" s="235"/>
      <c r="AE648" s="235"/>
      <c r="AF648" s="235"/>
      <c r="AG648" s="235"/>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104"/>
      <c r="BE648" s="104"/>
      <c r="BF648" s="104"/>
      <c r="BG648" s="104"/>
      <c r="BH648" s="104"/>
      <c r="BI648" s="104"/>
      <c r="BJ648" s="104"/>
      <c r="BK648" s="12"/>
      <c r="BL648" s="12"/>
    </row>
    <row r="649" spans="1:64" hidden="1" outlineLevel="1">
      <c r="A649" s="9"/>
      <c r="B649" s="9"/>
      <c r="C649" s="44"/>
      <c r="D649" s="278" t="str">
        <f>Asset20</f>
        <v>Other - medium life (40)</v>
      </c>
      <c r="E649" s="9"/>
      <c r="F649" s="9"/>
      <c r="G649" s="210">
        <f>'Adjustment for previous period'!G513</f>
        <v>6.8615870000000001</v>
      </c>
      <c r="H649" s="114"/>
      <c r="I649" s="114"/>
      <c r="J649" s="114"/>
      <c r="K649" s="114"/>
      <c r="L649" s="114"/>
      <c r="M649" s="114"/>
      <c r="N649" s="29"/>
      <c r="O649" s="29"/>
      <c r="P649" s="29"/>
      <c r="Q649" s="29"/>
      <c r="R649" s="29"/>
      <c r="S649" s="104"/>
      <c r="T649" s="104"/>
      <c r="U649" s="104"/>
      <c r="V649" s="104"/>
      <c r="W649" s="104"/>
      <c r="X649" s="104"/>
      <c r="Y649" s="104"/>
      <c r="Z649" s="104"/>
      <c r="AA649" s="235"/>
      <c r="AB649" s="235"/>
      <c r="AC649" s="235"/>
      <c r="AD649" s="235"/>
      <c r="AE649" s="235"/>
      <c r="AF649" s="235"/>
      <c r="AG649" s="235"/>
      <c r="AH649" s="235"/>
      <c r="AI649" s="235"/>
      <c r="AJ649" s="235"/>
      <c r="AK649" s="235"/>
      <c r="AL649" s="235"/>
      <c r="AM649" s="235"/>
      <c r="AN649" s="235"/>
      <c r="AO649" s="235"/>
      <c r="AP649" s="235"/>
      <c r="AQ649" s="235"/>
      <c r="AR649" s="235"/>
      <c r="AS649" s="235"/>
      <c r="AT649" s="235"/>
      <c r="AU649" s="235"/>
      <c r="AV649" s="235"/>
      <c r="AW649" s="235"/>
      <c r="AX649" s="235"/>
      <c r="AY649" s="235"/>
      <c r="AZ649" s="235"/>
      <c r="BA649" s="235"/>
      <c r="BB649" s="235"/>
      <c r="BC649" s="235"/>
      <c r="BD649" s="104"/>
      <c r="BE649" s="104"/>
      <c r="BF649" s="104"/>
      <c r="BG649" s="104"/>
      <c r="BH649" s="104"/>
      <c r="BI649" s="104"/>
      <c r="BJ649" s="104"/>
      <c r="BK649" s="12"/>
      <c r="BL649" s="12"/>
    </row>
    <row r="650" spans="1:64" hidden="1" outlineLevel="1">
      <c r="A650" s="9"/>
      <c r="B650" s="9"/>
      <c r="C650" s="44"/>
      <c r="D650" s="278" t="str">
        <f>Asset21</f>
        <v>Other - short life (9)</v>
      </c>
      <c r="E650" s="9"/>
      <c r="F650" s="9"/>
      <c r="G650" s="210">
        <f>'Adjustment for previous period'!G514</f>
        <v>0</v>
      </c>
      <c r="H650" s="114"/>
      <c r="I650" s="114"/>
      <c r="J650" s="114"/>
      <c r="K650" s="114"/>
      <c r="L650" s="114"/>
      <c r="M650" s="114"/>
      <c r="N650" s="29"/>
      <c r="O650" s="29"/>
      <c r="P650" s="29"/>
      <c r="Q650" s="29"/>
      <c r="R650" s="29"/>
      <c r="S650" s="104"/>
      <c r="T650" s="104"/>
      <c r="U650" s="104"/>
      <c r="V650" s="104"/>
      <c r="W650" s="104"/>
      <c r="X650" s="104"/>
      <c r="Y650" s="104"/>
      <c r="Z650" s="104"/>
      <c r="AA650" s="235"/>
      <c r="AB650" s="235"/>
      <c r="AC650" s="235"/>
      <c r="AD650" s="235"/>
      <c r="AE650" s="235"/>
      <c r="AF650" s="235"/>
      <c r="AG650" s="235"/>
      <c r="AH650" s="235"/>
      <c r="AI650" s="235"/>
      <c r="AJ650" s="235"/>
      <c r="AK650" s="235"/>
      <c r="AL650" s="235"/>
      <c r="AM650" s="235"/>
      <c r="AN650" s="235"/>
      <c r="AO650" s="235"/>
      <c r="AP650" s="235"/>
      <c r="AQ650" s="235"/>
      <c r="AR650" s="235"/>
      <c r="AS650" s="235"/>
      <c r="AT650" s="235"/>
      <c r="AU650" s="235"/>
      <c r="AV650" s="235"/>
      <c r="AW650" s="235"/>
      <c r="AX650" s="235"/>
      <c r="AY650" s="235"/>
      <c r="AZ650" s="235"/>
      <c r="BA650" s="235"/>
      <c r="BB650" s="235"/>
      <c r="BC650" s="235"/>
      <c r="BD650" s="104"/>
      <c r="BE650" s="104"/>
      <c r="BF650" s="104"/>
      <c r="BG650" s="104"/>
      <c r="BH650" s="104"/>
      <c r="BI650" s="104"/>
      <c r="BJ650" s="104"/>
      <c r="BK650" s="12"/>
      <c r="BL650" s="12"/>
    </row>
    <row r="651" spans="1:64" hidden="1" outlineLevel="1">
      <c r="A651" s="9"/>
      <c r="B651" s="9"/>
      <c r="C651" s="44"/>
      <c r="D651" s="278" t="str">
        <f>Asset22</f>
        <v>Other - short life (4)</v>
      </c>
      <c r="E651" s="9"/>
      <c r="F651" s="9"/>
      <c r="G651" s="210">
        <f>'Adjustment for previous period'!G515</f>
        <v>0.53168400000000005</v>
      </c>
      <c r="H651" s="114"/>
      <c r="I651" s="114"/>
      <c r="J651" s="114"/>
      <c r="K651" s="114"/>
      <c r="L651" s="114"/>
      <c r="M651" s="114"/>
      <c r="N651" s="29"/>
      <c r="O651" s="29"/>
      <c r="P651" s="29"/>
      <c r="Q651" s="29"/>
      <c r="R651" s="29"/>
      <c r="S651" s="104"/>
      <c r="T651" s="104"/>
      <c r="U651" s="104"/>
      <c r="V651" s="104"/>
      <c r="W651" s="104"/>
      <c r="X651" s="104"/>
      <c r="Y651" s="104"/>
      <c r="Z651" s="104"/>
      <c r="AA651" s="235"/>
      <c r="AB651" s="235"/>
      <c r="AC651" s="235"/>
      <c r="AD651" s="235"/>
      <c r="AE651" s="235"/>
      <c r="AF651" s="235"/>
      <c r="AG651" s="235"/>
      <c r="AH651" s="235"/>
      <c r="AI651" s="235"/>
      <c r="AJ651" s="235"/>
      <c r="AK651" s="235"/>
      <c r="AL651" s="235"/>
      <c r="AM651" s="235"/>
      <c r="AN651" s="235"/>
      <c r="AO651" s="235"/>
      <c r="AP651" s="235"/>
      <c r="AQ651" s="235"/>
      <c r="AR651" s="235"/>
      <c r="AS651" s="235"/>
      <c r="AT651" s="235"/>
      <c r="AU651" s="235"/>
      <c r="AV651" s="235"/>
      <c r="AW651" s="235"/>
      <c r="AX651" s="235"/>
      <c r="AY651" s="235"/>
      <c r="AZ651" s="235"/>
      <c r="BA651" s="235"/>
      <c r="BB651" s="235"/>
      <c r="BC651" s="235"/>
      <c r="BD651" s="104"/>
      <c r="BE651" s="104"/>
      <c r="BF651" s="104"/>
      <c r="BG651" s="104"/>
      <c r="BH651" s="104"/>
      <c r="BI651" s="104"/>
      <c r="BJ651" s="104"/>
      <c r="BK651" s="12"/>
      <c r="BL651" s="12"/>
    </row>
    <row r="652" spans="1:64" hidden="1" outlineLevel="1">
      <c r="A652" s="9"/>
      <c r="B652" s="9"/>
      <c r="C652" s="44"/>
      <c r="D652" s="278" t="str">
        <f>Asset23</f>
        <v>Land and Easements</v>
      </c>
      <c r="E652" s="9"/>
      <c r="F652" s="9"/>
      <c r="G652" s="210">
        <f>'Adjustment for previous period'!G516</f>
        <v>0.12308107575340384</v>
      </c>
      <c r="H652" s="114"/>
      <c r="I652" s="114"/>
      <c r="J652" s="114"/>
      <c r="K652" s="114"/>
      <c r="L652" s="114"/>
      <c r="M652" s="114"/>
      <c r="N652" s="29"/>
      <c r="O652" s="29"/>
      <c r="P652" s="29"/>
      <c r="Q652" s="29"/>
      <c r="R652" s="29"/>
      <c r="S652" s="104"/>
      <c r="T652" s="104"/>
      <c r="U652" s="104"/>
      <c r="V652" s="104"/>
      <c r="W652" s="104"/>
      <c r="X652" s="104"/>
      <c r="Y652" s="104"/>
      <c r="Z652" s="104"/>
      <c r="AA652" s="235"/>
      <c r="AB652" s="235"/>
      <c r="AC652" s="235"/>
      <c r="AD652" s="235"/>
      <c r="AE652" s="235"/>
      <c r="AF652" s="235"/>
      <c r="AG652" s="235"/>
      <c r="AH652" s="235"/>
      <c r="AI652" s="235"/>
      <c r="AJ652" s="235"/>
      <c r="AK652" s="235"/>
      <c r="AL652" s="235"/>
      <c r="AM652" s="235"/>
      <c r="AN652" s="235"/>
      <c r="AO652" s="235"/>
      <c r="AP652" s="235"/>
      <c r="AQ652" s="235"/>
      <c r="AR652" s="235"/>
      <c r="AS652" s="235"/>
      <c r="AT652" s="235"/>
      <c r="AU652" s="235"/>
      <c r="AV652" s="235"/>
      <c r="AW652" s="235"/>
      <c r="AX652" s="235"/>
      <c r="AY652" s="235"/>
      <c r="AZ652" s="235"/>
      <c r="BA652" s="235"/>
      <c r="BB652" s="235"/>
      <c r="BC652" s="235"/>
      <c r="BD652" s="104"/>
      <c r="BE652" s="104"/>
      <c r="BF652" s="104"/>
      <c r="BG652" s="104"/>
      <c r="BH652" s="104"/>
      <c r="BI652" s="104"/>
      <c r="BJ652" s="104"/>
      <c r="BK652" s="12"/>
      <c r="BL652" s="12"/>
    </row>
    <row r="653" spans="1:64" hidden="1" outlineLevel="1">
      <c r="A653" s="9"/>
      <c r="B653" s="9"/>
      <c r="C653" s="44"/>
      <c r="D653" s="278" t="str">
        <f>Asset24</f>
        <v>Equity Raising</v>
      </c>
      <c r="E653" s="9"/>
      <c r="F653" s="9"/>
      <c r="G653" s="210">
        <f>'Adjustment for previous period'!G517</f>
        <v>0</v>
      </c>
      <c r="H653" s="114"/>
      <c r="I653" s="114"/>
      <c r="J653" s="114"/>
      <c r="K653" s="114"/>
      <c r="L653" s="114"/>
      <c r="M653" s="114"/>
      <c r="N653" s="29"/>
      <c r="O653" s="29"/>
      <c r="P653" s="29"/>
      <c r="Q653" s="29"/>
      <c r="R653" s="29"/>
      <c r="S653" s="104"/>
      <c r="T653" s="104"/>
      <c r="U653" s="104"/>
      <c r="V653" s="104"/>
      <c r="W653" s="104"/>
      <c r="X653" s="104"/>
      <c r="Y653" s="104"/>
      <c r="Z653" s="104"/>
      <c r="AA653" s="235"/>
      <c r="AB653" s="235"/>
      <c r="AC653" s="235"/>
      <c r="AD653" s="235"/>
      <c r="AE653" s="235"/>
      <c r="AF653" s="235"/>
      <c r="AG653" s="235"/>
      <c r="AH653" s="235"/>
      <c r="AI653" s="235"/>
      <c r="AJ653" s="235"/>
      <c r="AK653" s="235"/>
      <c r="AL653" s="235"/>
      <c r="AM653" s="235"/>
      <c r="AN653" s="235"/>
      <c r="AO653" s="235"/>
      <c r="AP653" s="235"/>
      <c r="AQ653" s="235"/>
      <c r="AR653" s="235"/>
      <c r="AS653" s="235"/>
      <c r="AT653" s="235"/>
      <c r="AU653" s="235"/>
      <c r="AV653" s="235"/>
      <c r="AW653" s="235"/>
      <c r="AX653" s="235"/>
      <c r="AY653" s="235"/>
      <c r="AZ653" s="235"/>
      <c r="BA653" s="235"/>
      <c r="BB653" s="235"/>
      <c r="BC653" s="235"/>
      <c r="BD653" s="104"/>
      <c r="BE653" s="104"/>
      <c r="BF653" s="104"/>
      <c r="BG653" s="104"/>
      <c r="BH653" s="104"/>
      <c r="BI653" s="104"/>
      <c r="BJ653" s="104"/>
      <c r="BK653" s="12"/>
      <c r="BL653" s="12"/>
    </row>
    <row r="654" spans="1:64" hidden="1" outlineLevel="1">
      <c r="A654" s="9"/>
      <c r="B654" s="9"/>
      <c r="C654" s="44"/>
      <c r="D654" s="278">
        <f>Asset25</f>
        <v>0</v>
      </c>
      <c r="E654" s="9"/>
      <c r="F654" s="9"/>
      <c r="G654" s="210">
        <f>'Adjustment for previous period'!G518</f>
        <v>0</v>
      </c>
      <c r="H654" s="114"/>
      <c r="I654" s="114"/>
      <c r="J654" s="114"/>
      <c r="K654" s="114"/>
      <c r="L654" s="114"/>
      <c r="M654" s="114"/>
      <c r="N654" s="29"/>
      <c r="O654" s="29"/>
      <c r="P654" s="29"/>
      <c r="Q654" s="29"/>
      <c r="R654" s="29"/>
      <c r="S654" s="104"/>
      <c r="T654" s="104"/>
      <c r="U654" s="104"/>
      <c r="V654" s="104"/>
      <c r="W654" s="104"/>
      <c r="X654" s="104"/>
      <c r="Y654" s="104"/>
      <c r="Z654" s="104"/>
      <c r="AA654" s="235"/>
      <c r="AB654" s="235"/>
      <c r="AC654" s="235"/>
      <c r="AD654" s="235"/>
      <c r="AE654" s="235"/>
      <c r="AF654" s="235"/>
      <c r="AG654" s="235"/>
      <c r="AH654" s="235"/>
      <c r="AI654" s="235"/>
      <c r="AJ654" s="235"/>
      <c r="AK654" s="235"/>
      <c r="AL654" s="235"/>
      <c r="AM654" s="235"/>
      <c r="AN654" s="235"/>
      <c r="AO654" s="235"/>
      <c r="AP654" s="235"/>
      <c r="AQ654" s="235"/>
      <c r="AR654" s="235"/>
      <c r="AS654" s="235"/>
      <c r="AT654" s="235"/>
      <c r="AU654" s="235"/>
      <c r="AV654" s="235"/>
      <c r="AW654" s="235"/>
      <c r="AX654" s="235"/>
      <c r="AY654" s="235"/>
      <c r="AZ654" s="235"/>
      <c r="BA654" s="235"/>
      <c r="BB654" s="235"/>
      <c r="BC654" s="235"/>
      <c r="BD654" s="104"/>
      <c r="BE654" s="104"/>
      <c r="BF654" s="104"/>
      <c r="BG654" s="104"/>
      <c r="BH654" s="104"/>
      <c r="BI654" s="104"/>
      <c r="BJ654" s="104"/>
      <c r="BK654" s="12"/>
      <c r="BL654" s="12"/>
    </row>
    <row r="655" spans="1:64" hidden="1" outlineLevel="1">
      <c r="A655" s="9"/>
      <c r="B655" s="9"/>
      <c r="C655" s="44"/>
      <c r="D655" s="278">
        <f>Asset26</f>
        <v>0</v>
      </c>
      <c r="E655" s="9"/>
      <c r="F655" s="9"/>
      <c r="G655" s="210">
        <f>'Adjustment for previous period'!G519</f>
        <v>0</v>
      </c>
      <c r="H655" s="114"/>
      <c r="I655" s="114"/>
      <c r="J655" s="114"/>
      <c r="K655" s="114"/>
      <c r="L655" s="114"/>
      <c r="M655" s="114"/>
      <c r="N655" s="29"/>
      <c r="O655" s="29"/>
      <c r="P655" s="29"/>
      <c r="Q655" s="29"/>
      <c r="R655" s="29"/>
      <c r="S655" s="104"/>
      <c r="T655" s="104"/>
      <c r="U655" s="104"/>
      <c r="V655" s="104"/>
      <c r="W655" s="104"/>
      <c r="X655" s="104"/>
      <c r="Y655" s="104"/>
      <c r="Z655" s="104"/>
      <c r="AA655" s="235"/>
      <c r="AB655" s="235"/>
      <c r="AC655" s="235"/>
      <c r="AD655" s="235"/>
      <c r="AE655" s="235"/>
      <c r="AF655" s="235"/>
      <c r="AG655" s="235"/>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104"/>
      <c r="BE655" s="104"/>
      <c r="BF655" s="104"/>
      <c r="BG655" s="104"/>
      <c r="BH655" s="104"/>
      <c r="BI655" s="104"/>
      <c r="BJ655" s="104"/>
      <c r="BK655" s="12"/>
      <c r="BL655" s="12"/>
    </row>
    <row r="656" spans="1:64" hidden="1" outlineLevel="1">
      <c r="A656" s="9"/>
      <c r="B656" s="9"/>
      <c r="C656" s="44"/>
      <c r="D656" s="278">
        <f>Asset27</f>
        <v>0</v>
      </c>
      <c r="E656" s="9"/>
      <c r="F656" s="9"/>
      <c r="G656" s="210">
        <f>'Adjustment for previous period'!G520</f>
        <v>0</v>
      </c>
      <c r="H656" s="114"/>
      <c r="I656" s="114"/>
      <c r="J656" s="114"/>
      <c r="K656" s="114"/>
      <c r="L656" s="114"/>
      <c r="M656" s="114"/>
      <c r="N656" s="29"/>
      <c r="O656" s="29"/>
      <c r="P656" s="29"/>
      <c r="Q656" s="29"/>
      <c r="R656" s="29"/>
      <c r="S656" s="104"/>
      <c r="T656" s="104"/>
      <c r="U656" s="104"/>
      <c r="V656" s="104"/>
      <c r="W656" s="104"/>
      <c r="X656" s="104"/>
      <c r="Y656" s="104"/>
      <c r="Z656" s="104"/>
      <c r="AA656" s="235"/>
      <c r="AB656" s="235"/>
      <c r="AC656" s="235"/>
      <c r="AD656" s="235"/>
      <c r="AE656" s="235"/>
      <c r="AF656" s="235"/>
      <c r="AG656" s="235"/>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104"/>
      <c r="BE656" s="104"/>
      <c r="BF656" s="104"/>
      <c r="BG656" s="104"/>
      <c r="BH656" s="104"/>
      <c r="BI656" s="104"/>
      <c r="BJ656" s="104"/>
      <c r="BK656" s="12"/>
      <c r="BL656" s="12"/>
    </row>
    <row r="657" spans="1:64" hidden="1" outlineLevel="1">
      <c r="A657" s="9"/>
      <c r="B657" s="9"/>
      <c r="C657" s="44"/>
      <c r="D657" s="278">
        <f>Asset28</f>
        <v>0</v>
      </c>
      <c r="E657" s="9"/>
      <c r="F657" s="9"/>
      <c r="G657" s="210">
        <f>'Adjustment for previous period'!G521</f>
        <v>0</v>
      </c>
      <c r="H657" s="114"/>
      <c r="I657" s="114"/>
      <c r="J657" s="114"/>
      <c r="K657" s="114"/>
      <c r="L657" s="114"/>
      <c r="M657" s="114"/>
      <c r="N657" s="29"/>
      <c r="O657" s="29"/>
      <c r="P657" s="29"/>
      <c r="Q657" s="29"/>
      <c r="R657" s="29"/>
      <c r="S657" s="104"/>
      <c r="T657" s="104"/>
      <c r="U657" s="104"/>
      <c r="V657" s="104"/>
      <c r="W657" s="104"/>
      <c r="X657" s="104"/>
      <c r="Y657" s="104"/>
      <c r="Z657" s="104"/>
      <c r="AA657" s="235"/>
      <c r="AB657" s="235"/>
      <c r="AC657" s="235"/>
      <c r="AD657" s="235"/>
      <c r="AE657" s="235"/>
      <c r="AF657" s="235"/>
      <c r="AG657" s="235"/>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104"/>
      <c r="BE657" s="104"/>
      <c r="BF657" s="104"/>
      <c r="BG657" s="104"/>
      <c r="BH657" s="104"/>
      <c r="BI657" s="104"/>
      <c r="BJ657" s="104"/>
      <c r="BK657" s="12"/>
      <c r="BL657" s="12"/>
    </row>
    <row r="658" spans="1:64" hidden="1" outlineLevel="1">
      <c r="A658" s="9"/>
      <c r="B658" s="9"/>
      <c r="C658" s="44"/>
      <c r="D658" s="278">
        <f>Asset29</f>
        <v>0</v>
      </c>
      <c r="E658" s="9"/>
      <c r="F658" s="9"/>
      <c r="G658" s="210">
        <f>'Adjustment for previous period'!G522</f>
        <v>0</v>
      </c>
      <c r="H658" s="114"/>
      <c r="I658" s="114"/>
      <c r="J658" s="114"/>
      <c r="K658" s="114"/>
      <c r="L658" s="114"/>
      <c r="M658" s="114"/>
      <c r="N658" s="29"/>
      <c r="O658" s="29"/>
      <c r="P658" s="29"/>
      <c r="Q658" s="29"/>
      <c r="R658" s="29"/>
      <c r="S658" s="104"/>
      <c r="T658" s="104"/>
      <c r="U658" s="104"/>
      <c r="V658" s="104"/>
      <c r="W658" s="104"/>
      <c r="X658" s="104"/>
      <c r="Y658" s="104"/>
      <c r="Z658" s="104"/>
      <c r="AA658" s="235"/>
      <c r="AB658" s="235"/>
      <c r="AC658" s="235"/>
      <c r="AD658" s="235"/>
      <c r="AE658" s="235"/>
      <c r="AF658" s="235"/>
      <c r="AG658" s="235"/>
      <c r="AH658" s="235"/>
      <c r="AI658" s="235"/>
      <c r="AJ658" s="235"/>
      <c r="AK658" s="235"/>
      <c r="AL658" s="235"/>
      <c r="AM658" s="235"/>
      <c r="AN658" s="235"/>
      <c r="AO658" s="235"/>
      <c r="AP658" s="235"/>
      <c r="AQ658" s="235"/>
      <c r="AR658" s="235"/>
      <c r="AS658" s="235"/>
      <c r="AT658" s="235"/>
      <c r="AU658" s="235"/>
      <c r="AV658" s="235"/>
      <c r="AW658" s="235"/>
      <c r="AX658" s="235"/>
      <c r="AY658" s="235"/>
      <c r="AZ658" s="235"/>
      <c r="BA658" s="235"/>
      <c r="BB658" s="235"/>
      <c r="BC658" s="235"/>
      <c r="BD658" s="104"/>
      <c r="BE658" s="104"/>
      <c r="BF658" s="104"/>
      <c r="BG658" s="104"/>
      <c r="BH658" s="104"/>
      <c r="BI658" s="104"/>
      <c r="BJ658" s="104"/>
      <c r="BK658" s="12"/>
      <c r="BL658" s="12"/>
    </row>
    <row r="659" spans="1:64" hidden="1" outlineLevel="1">
      <c r="A659" s="9"/>
      <c r="B659" s="9"/>
      <c r="C659" s="44"/>
      <c r="D659" s="278">
        <f>Asset30</f>
        <v>0</v>
      </c>
      <c r="E659" s="9"/>
      <c r="F659" s="9"/>
      <c r="G659" s="210">
        <f>'Adjustment for previous period'!G523</f>
        <v>0</v>
      </c>
      <c r="H659" s="114"/>
      <c r="I659" s="114"/>
      <c r="J659" s="114"/>
      <c r="K659" s="114"/>
      <c r="L659" s="114"/>
      <c r="M659" s="114"/>
      <c r="N659" s="29"/>
      <c r="O659" s="29"/>
      <c r="P659" s="29"/>
      <c r="Q659" s="29"/>
      <c r="R659" s="29"/>
      <c r="S659" s="104"/>
      <c r="T659" s="104"/>
      <c r="U659" s="104"/>
      <c r="V659" s="104"/>
      <c r="W659" s="104"/>
      <c r="X659" s="104"/>
      <c r="Y659" s="104"/>
      <c r="Z659" s="104"/>
      <c r="AA659" s="235"/>
      <c r="AB659" s="235"/>
      <c r="AC659" s="235"/>
      <c r="AD659" s="235"/>
      <c r="AE659" s="235"/>
      <c r="AF659" s="235"/>
      <c r="AG659" s="235"/>
      <c r="AH659" s="235"/>
      <c r="AI659" s="235"/>
      <c r="AJ659" s="235"/>
      <c r="AK659" s="235"/>
      <c r="AL659" s="235"/>
      <c r="AM659" s="235"/>
      <c r="AN659" s="235"/>
      <c r="AO659" s="235"/>
      <c r="AP659" s="235"/>
      <c r="AQ659" s="235"/>
      <c r="AR659" s="235"/>
      <c r="AS659" s="235"/>
      <c r="AT659" s="235"/>
      <c r="AU659" s="235"/>
      <c r="AV659" s="235"/>
      <c r="AW659" s="235"/>
      <c r="AX659" s="235"/>
      <c r="AY659" s="235"/>
      <c r="AZ659" s="235"/>
      <c r="BA659" s="235"/>
      <c r="BB659" s="235"/>
      <c r="BC659" s="235"/>
      <c r="BD659" s="104"/>
      <c r="BE659" s="104"/>
      <c r="BF659" s="104"/>
      <c r="BG659" s="104"/>
      <c r="BH659" s="104"/>
      <c r="BI659" s="104"/>
      <c r="BJ659" s="104"/>
      <c r="BK659" s="12"/>
      <c r="BL659" s="12"/>
    </row>
    <row r="660" spans="1:64" collapsed="1">
      <c r="A660" s="9"/>
      <c r="B660" s="9"/>
      <c r="C660" s="44"/>
      <c r="D660" s="130"/>
      <c r="E660" s="9"/>
      <c r="F660" s="9"/>
      <c r="G660" s="28"/>
      <c r="H660" s="114"/>
      <c r="I660" s="114"/>
      <c r="J660" s="114"/>
      <c r="K660" s="114"/>
      <c r="L660" s="114"/>
      <c r="M660" s="114"/>
      <c r="N660" s="29"/>
      <c r="O660" s="29"/>
      <c r="P660" s="29"/>
      <c r="Q660" s="29"/>
      <c r="R660" s="29"/>
      <c r="S660" s="104"/>
      <c r="T660" s="104"/>
      <c r="U660" s="104"/>
      <c r="V660" s="104"/>
      <c r="W660" s="104"/>
      <c r="X660" s="104"/>
      <c r="Y660" s="104"/>
      <c r="Z660" s="104"/>
      <c r="AA660" s="235"/>
      <c r="AB660" s="235"/>
      <c r="AC660" s="235"/>
      <c r="AD660" s="235"/>
      <c r="AE660" s="235"/>
      <c r="AF660" s="235"/>
      <c r="AG660" s="235"/>
      <c r="AH660" s="235"/>
      <c r="AI660" s="235"/>
      <c r="AJ660" s="235"/>
      <c r="AK660" s="235"/>
      <c r="AL660" s="235"/>
      <c r="AM660" s="235"/>
      <c r="AN660" s="235"/>
      <c r="AO660" s="235"/>
      <c r="AP660" s="235"/>
      <c r="AQ660" s="235"/>
      <c r="AR660" s="235"/>
      <c r="AS660" s="235"/>
      <c r="AT660" s="235"/>
      <c r="AU660" s="235"/>
      <c r="AV660" s="235"/>
      <c r="AW660" s="235"/>
      <c r="AX660" s="235"/>
      <c r="AY660" s="235"/>
      <c r="AZ660" s="235"/>
      <c r="BA660" s="235"/>
      <c r="BB660" s="235"/>
      <c r="BC660" s="235"/>
      <c r="BD660" s="104"/>
      <c r="BE660" s="104"/>
      <c r="BF660" s="104"/>
      <c r="BG660" s="104"/>
      <c r="BH660" s="104"/>
      <c r="BI660" s="104"/>
      <c r="BJ660" s="104"/>
      <c r="BK660" s="12"/>
      <c r="BL660" s="12"/>
    </row>
    <row r="661" spans="1:64">
      <c r="A661" s="125"/>
      <c r="B661" s="125"/>
      <c r="C661" s="125"/>
      <c r="D661" s="126"/>
      <c r="E661" s="111"/>
      <c r="F661" s="111"/>
      <c r="G661" s="127"/>
      <c r="H661" s="128"/>
      <c r="I661" s="128"/>
      <c r="J661" s="128"/>
      <c r="K661" s="128"/>
      <c r="L661" s="128"/>
      <c r="M661" s="128"/>
      <c r="N661" s="129"/>
      <c r="O661" s="129"/>
      <c r="P661" s="129"/>
      <c r="Q661" s="129"/>
      <c r="R661" s="129"/>
      <c r="S661" s="129"/>
      <c r="T661" s="104"/>
      <c r="U661" s="104"/>
      <c r="V661" s="104"/>
      <c r="W661" s="104"/>
      <c r="X661" s="104"/>
      <c r="Y661" s="104"/>
      <c r="Z661" s="104"/>
      <c r="AA661" s="235"/>
      <c r="AB661" s="235"/>
      <c r="AC661" s="235"/>
      <c r="AD661" s="235"/>
      <c r="AE661" s="235"/>
      <c r="AF661" s="235"/>
      <c r="AG661" s="235"/>
      <c r="AH661" s="235"/>
      <c r="AI661" s="235"/>
      <c r="AJ661" s="235"/>
      <c r="AK661" s="235"/>
      <c r="AL661" s="235"/>
      <c r="AM661" s="235"/>
      <c r="AN661" s="235"/>
      <c r="AO661" s="235"/>
      <c r="AP661" s="235"/>
      <c r="AQ661" s="235"/>
      <c r="AR661" s="235"/>
      <c r="AS661" s="235"/>
      <c r="AT661" s="235"/>
      <c r="AU661" s="235"/>
      <c r="AV661" s="235"/>
      <c r="AW661" s="235"/>
      <c r="AX661" s="235"/>
      <c r="AY661" s="235"/>
      <c r="AZ661" s="235"/>
      <c r="BA661" s="235"/>
      <c r="BB661" s="235"/>
      <c r="BC661" s="235"/>
      <c r="BD661" s="104"/>
      <c r="BE661" s="104"/>
      <c r="BF661" s="104"/>
      <c r="BG661" s="104"/>
      <c r="BH661" s="104"/>
      <c r="BI661" s="104"/>
      <c r="BJ661" s="104"/>
      <c r="BK661" s="12"/>
      <c r="BL661" s="12"/>
    </row>
    <row r="662" spans="1:64">
      <c r="A662" s="9"/>
      <c r="B662" s="12"/>
      <c r="C662" s="94"/>
      <c r="D662" s="116"/>
      <c r="E662" s="12"/>
      <c r="F662" s="12"/>
      <c r="G662" s="143"/>
      <c r="H662" s="144"/>
      <c r="I662" s="144"/>
      <c r="J662" s="144"/>
      <c r="K662" s="144"/>
      <c r="L662" s="144"/>
      <c r="M662" s="144"/>
      <c r="N662" s="104"/>
      <c r="O662" s="104"/>
      <c r="P662" s="104"/>
      <c r="Q662" s="104"/>
      <c r="R662" s="104"/>
      <c r="S662" s="104"/>
      <c r="T662" s="104"/>
      <c r="U662" s="104"/>
      <c r="V662" s="104"/>
      <c r="W662" s="104"/>
      <c r="X662" s="104"/>
      <c r="Y662" s="104"/>
      <c r="Z662" s="104"/>
      <c r="AA662" s="235"/>
      <c r="AB662" s="235"/>
      <c r="AC662" s="235"/>
      <c r="AD662" s="235"/>
      <c r="AE662" s="235"/>
      <c r="AF662" s="235"/>
      <c r="AG662" s="235"/>
      <c r="AH662" s="235"/>
      <c r="AI662" s="235"/>
      <c r="AJ662" s="235"/>
      <c r="AK662" s="235"/>
      <c r="AL662" s="235"/>
      <c r="AM662" s="235"/>
      <c r="AN662" s="235"/>
      <c r="AO662" s="235"/>
      <c r="AP662" s="235"/>
      <c r="AQ662" s="235"/>
      <c r="AR662" s="235"/>
      <c r="AS662" s="235"/>
      <c r="AT662" s="235"/>
      <c r="AU662" s="235"/>
      <c r="AV662" s="235"/>
      <c r="AW662" s="235"/>
      <c r="AX662" s="235"/>
      <c r="AY662" s="235"/>
      <c r="AZ662" s="235"/>
      <c r="BA662" s="235"/>
      <c r="BB662" s="235"/>
      <c r="BC662" s="235"/>
      <c r="BD662" s="104"/>
      <c r="BE662" s="104"/>
      <c r="BF662" s="104"/>
      <c r="BG662" s="104"/>
      <c r="BH662" s="104"/>
      <c r="BI662" s="104"/>
      <c r="BJ662" s="104"/>
      <c r="BK662" s="12"/>
      <c r="BL662" s="12"/>
    </row>
    <row r="663" spans="1:64" s="9" customFormat="1">
      <c r="B663" s="12"/>
      <c r="C663" s="94" t="s">
        <v>29</v>
      </c>
      <c r="D663" s="12"/>
      <c r="E663" s="12"/>
      <c r="F663" s="12"/>
      <c r="G663" s="209">
        <f>SUM(G664:G693)</f>
        <v>-43.23647088820082</v>
      </c>
      <c r="H663" s="118">
        <f>SUM(H664:H693)</f>
        <v>-49.841323965641273</v>
      </c>
      <c r="I663" s="118">
        <f t="shared" ref="I663:P663" si="57">SUM(I664:I693)</f>
        <v>-54.386227852841152</v>
      </c>
      <c r="J663" s="118">
        <f t="shared" si="57"/>
        <v>-49.685944911831363</v>
      </c>
      <c r="K663" s="118">
        <f t="shared" si="57"/>
        <v>-56.340583896433607</v>
      </c>
      <c r="L663" s="118">
        <f>SUM(L664:L693)</f>
        <v>-62.374854266850761</v>
      </c>
      <c r="M663" s="118">
        <f t="shared" si="57"/>
        <v>0</v>
      </c>
      <c r="N663" s="118">
        <f t="shared" si="57"/>
        <v>0</v>
      </c>
      <c r="O663" s="118">
        <f t="shared" si="57"/>
        <v>0</v>
      </c>
      <c r="P663" s="118">
        <f t="shared" si="57"/>
        <v>0</v>
      </c>
      <c r="Q663" s="118">
        <f>SUM(Q664:Q693)</f>
        <v>0</v>
      </c>
      <c r="R663" s="110"/>
      <c r="S663" s="110"/>
      <c r="T663" s="110"/>
      <c r="U663" s="110"/>
      <c r="V663" s="110"/>
      <c r="W663" s="110"/>
      <c r="X663" s="110"/>
      <c r="Y663" s="110"/>
      <c r="Z663" s="110"/>
      <c r="AA663" s="221"/>
      <c r="AB663" s="221"/>
      <c r="AC663" s="221"/>
      <c r="AD663" s="221"/>
      <c r="AE663" s="221"/>
      <c r="AF663" s="221"/>
      <c r="AG663" s="221"/>
      <c r="AH663" s="221"/>
      <c r="AI663" s="221"/>
      <c r="AJ663" s="221"/>
      <c r="AK663" s="221"/>
      <c r="AL663" s="221"/>
      <c r="AM663" s="221"/>
      <c r="AN663" s="221"/>
      <c r="AO663" s="221"/>
      <c r="AP663" s="221"/>
      <c r="AQ663" s="221"/>
      <c r="AR663" s="221"/>
      <c r="AS663" s="221"/>
      <c r="AT663" s="221"/>
      <c r="AU663" s="221"/>
      <c r="AV663" s="221"/>
      <c r="AW663" s="221"/>
      <c r="AX663" s="221"/>
      <c r="AY663" s="221"/>
      <c r="AZ663" s="221"/>
      <c r="BA663" s="221"/>
      <c r="BB663" s="221"/>
      <c r="BC663" s="221"/>
      <c r="BD663" s="110"/>
      <c r="BE663" s="110"/>
      <c r="BF663" s="110"/>
      <c r="BG663" s="110"/>
      <c r="BH663" s="110"/>
      <c r="BI663" s="110"/>
      <c r="BJ663" s="110"/>
      <c r="BK663" s="12"/>
      <c r="BL663" s="12"/>
    </row>
    <row r="664" spans="1:64" ht="12" hidden="1" customHeight="1" outlineLevel="1">
      <c r="A664" s="9"/>
      <c r="B664" s="9"/>
      <c r="C664" s="9"/>
      <c r="D664" s="278" t="str">
        <f>Asset1</f>
        <v>Transmission Lines and Cables</v>
      </c>
      <c r="E664" s="9"/>
      <c r="F664" s="9"/>
      <c r="G664" s="207">
        <f t="shared" ref="G664:G683" si="58">-(G696-G534)</f>
        <v>-14.01180844326684</v>
      </c>
      <c r="H664" s="114">
        <f t="shared" ref="H664:Q664" si="59">H$88*H$7</f>
        <v>-14.303873482433954</v>
      </c>
      <c r="I664" s="114">
        <f t="shared" si="59"/>
        <v>-14.716981741854429</v>
      </c>
      <c r="J664" s="114">
        <f t="shared" si="59"/>
        <v>-15.207547799916242</v>
      </c>
      <c r="K664" s="114">
        <f t="shared" si="59"/>
        <v>-15.448527617911521</v>
      </c>
      <c r="L664" s="114">
        <f t="shared" si="59"/>
        <v>-15.831131167923807</v>
      </c>
      <c r="M664" s="114">
        <f t="shared" si="59"/>
        <v>0</v>
      </c>
      <c r="N664" s="114">
        <f t="shared" si="59"/>
        <v>0</v>
      </c>
      <c r="O664" s="114">
        <f t="shared" si="59"/>
        <v>0</v>
      </c>
      <c r="P664" s="114">
        <f t="shared" si="59"/>
        <v>0</v>
      </c>
      <c r="Q664" s="114">
        <f t="shared" si="59"/>
        <v>0</v>
      </c>
      <c r="R664" s="9"/>
      <c r="S664" s="12"/>
      <c r="T664" s="12"/>
      <c r="U664" s="12"/>
      <c r="V664" s="12"/>
      <c r="W664" s="12"/>
      <c r="X664" s="12"/>
      <c r="Y664" s="12"/>
      <c r="Z664" s="12"/>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12"/>
      <c r="BE664" s="12"/>
      <c r="BF664" s="12"/>
      <c r="BG664" s="12"/>
      <c r="BH664" s="12"/>
      <c r="BI664" s="12"/>
      <c r="BJ664" s="12"/>
      <c r="BK664" s="12"/>
      <c r="BL664" s="12"/>
    </row>
    <row r="665" spans="1:64" ht="12" hidden="1" customHeight="1" outlineLevel="1">
      <c r="A665" s="9"/>
      <c r="B665" s="9"/>
      <c r="C665" s="9"/>
      <c r="D665" s="278" t="str">
        <f>Asset2</f>
        <v>Transmission Substations</v>
      </c>
      <c r="E665" s="9"/>
      <c r="F665" s="9"/>
      <c r="G665" s="207">
        <f t="shared" si="58"/>
        <v>-13.503732363490791</v>
      </c>
      <c r="H665" s="114">
        <f t="shared" ref="H665:Q665" si="60">H$101*H$7</f>
        <v>-14.251866270844609</v>
      </c>
      <c r="I665" s="114">
        <f t="shared" si="60"/>
        <v>-14.663472516933984</v>
      </c>
      <c r="J665" s="114">
        <f t="shared" si="60"/>
        <v>-15.140696967243844</v>
      </c>
      <c r="K665" s="114">
        <f t="shared" si="60"/>
        <v>-15.380617462480307</v>
      </c>
      <c r="L665" s="114">
        <f t="shared" si="60"/>
        <v>-15.765517799379213</v>
      </c>
      <c r="M665" s="114">
        <f t="shared" si="60"/>
        <v>0</v>
      </c>
      <c r="N665" s="114">
        <f t="shared" si="60"/>
        <v>0</v>
      </c>
      <c r="O665" s="114">
        <f t="shared" si="60"/>
        <v>0</v>
      </c>
      <c r="P665" s="114">
        <f t="shared" si="60"/>
        <v>0</v>
      </c>
      <c r="Q665" s="114">
        <f t="shared" si="60"/>
        <v>0</v>
      </c>
      <c r="R665" s="9"/>
      <c r="S665" s="12"/>
      <c r="T665" s="12"/>
      <c r="U665" s="12"/>
      <c r="V665" s="12"/>
      <c r="W665" s="12"/>
      <c r="X665" s="12"/>
      <c r="Y665" s="12"/>
      <c r="Z665" s="12"/>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2"/>
      <c r="BE665" s="12"/>
      <c r="BF665" s="12"/>
      <c r="BG665" s="12"/>
      <c r="BH665" s="12"/>
      <c r="BI665" s="12"/>
      <c r="BJ665" s="12"/>
      <c r="BK665" s="12"/>
      <c r="BL665" s="12"/>
    </row>
    <row r="666" spans="1:64" ht="12" hidden="1" customHeight="1" outlineLevel="1">
      <c r="A666" s="9"/>
      <c r="B666" s="9"/>
      <c r="C666" s="9"/>
      <c r="D666" s="278" t="str">
        <f>Asset3</f>
        <v>Protection and Control</v>
      </c>
      <c r="E666" s="9"/>
      <c r="F666" s="9"/>
      <c r="G666" s="207">
        <f t="shared" si="58"/>
        <v>-6.4737995906506942</v>
      </c>
      <c r="H666" s="114">
        <f t="shared" ref="H666:Q666" si="61">H$114*H$7</f>
        <v>-5.9493556760560367</v>
      </c>
      <c r="I666" s="114">
        <f t="shared" si="61"/>
        <v>-6.1211782226569333</v>
      </c>
      <c r="J666" s="114">
        <f t="shared" si="61"/>
        <v>-6.322025089058517</v>
      </c>
      <c r="K666" s="114">
        <f t="shared" si="61"/>
        <v>-6.4222043208036439</v>
      </c>
      <c r="L666" s="114">
        <f t="shared" si="61"/>
        <v>-6.5829201446475789</v>
      </c>
      <c r="M666" s="114">
        <f t="shared" si="61"/>
        <v>0</v>
      </c>
      <c r="N666" s="114">
        <f t="shared" si="61"/>
        <v>0</v>
      </c>
      <c r="O666" s="114">
        <f t="shared" si="61"/>
        <v>0</v>
      </c>
      <c r="P666" s="114">
        <f t="shared" si="61"/>
        <v>0</v>
      </c>
      <c r="Q666" s="114">
        <f t="shared" si="61"/>
        <v>0</v>
      </c>
      <c r="R666" s="9"/>
      <c r="S666" s="12"/>
      <c r="T666" s="12"/>
      <c r="U666" s="12"/>
      <c r="V666" s="12"/>
      <c r="W666" s="12"/>
      <c r="X666" s="12"/>
      <c r="Y666" s="12"/>
      <c r="Z666" s="12"/>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2"/>
      <c r="BE666" s="12"/>
      <c r="BF666" s="12"/>
      <c r="BG666" s="12"/>
      <c r="BH666" s="12"/>
      <c r="BI666" s="12"/>
      <c r="BJ666" s="12"/>
      <c r="BK666" s="12"/>
      <c r="BL666" s="12"/>
    </row>
    <row r="667" spans="1:64" ht="12" hidden="1" customHeight="1" outlineLevel="1">
      <c r="A667" s="9"/>
      <c r="B667" s="9"/>
      <c r="C667" s="9"/>
      <c r="D667" s="278" t="str">
        <f>Asset4</f>
        <v>Refurbishment</v>
      </c>
      <c r="E667" s="9"/>
      <c r="F667" s="9"/>
      <c r="G667" s="207">
        <f t="shared" si="58"/>
        <v>-4.2298827205207443</v>
      </c>
      <c r="H667" s="114">
        <f t="shared" ref="H667:Q667" si="62">H$127*H$7</f>
        <v>-2.3187315600898057</v>
      </c>
      <c r="I667" s="114">
        <f t="shared" si="62"/>
        <v>-2.3856985365544934</v>
      </c>
      <c r="J667" s="114">
        <f t="shared" si="62"/>
        <v>-2.4652218211063097</v>
      </c>
      <c r="K667" s="114">
        <f t="shared" si="62"/>
        <v>-2.5042858907107108</v>
      </c>
      <c r="L667" s="114">
        <f t="shared" si="62"/>
        <v>-2.5669557077955636</v>
      </c>
      <c r="M667" s="114">
        <f t="shared" si="62"/>
        <v>0</v>
      </c>
      <c r="N667" s="114">
        <f t="shared" si="62"/>
        <v>0</v>
      </c>
      <c r="O667" s="114">
        <f t="shared" si="62"/>
        <v>0</v>
      </c>
      <c r="P667" s="114">
        <f t="shared" si="62"/>
        <v>0</v>
      </c>
      <c r="Q667" s="114">
        <f t="shared" si="62"/>
        <v>0</v>
      </c>
      <c r="R667" s="9"/>
      <c r="S667" s="12"/>
      <c r="T667" s="12"/>
      <c r="U667" s="12"/>
      <c r="V667" s="12"/>
      <c r="W667" s="12"/>
      <c r="X667" s="12"/>
      <c r="Y667" s="12"/>
      <c r="Z667" s="12"/>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2"/>
      <c r="BE667" s="12"/>
      <c r="BF667" s="12"/>
      <c r="BG667" s="12"/>
      <c r="BH667" s="12"/>
      <c r="BI667" s="12"/>
      <c r="BJ667" s="12"/>
      <c r="BK667" s="12"/>
      <c r="BL667" s="12"/>
    </row>
    <row r="668" spans="1:64" ht="12" hidden="1" customHeight="1" outlineLevel="1">
      <c r="A668" s="9"/>
      <c r="B668" s="9"/>
      <c r="C668" s="9"/>
      <c r="D668" s="278" t="str">
        <f>Asset5</f>
        <v>Other</v>
      </c>
      <c r="E668" s="9"/>
      <c r="F668" s="9"/>
      <c r="G668" s="207">
        <f t="shared" si="58"/>
        <v>-1.9334304622623326</v>
      </c>
      <c r="H668" s="114">
        <f t="shared" ref="H668:Q668" si="63">H$140*H$7</f>
        <v>-1.9333957919737768</v>
      </c>
      <c r="I668" s="114">
        <f t="shared" si="63"/>
        <v>-1.9892339375903478</v>
      </c>
      <c r="J668" s="114">
        <f t="shared" si="63"/>
        <v>-2.0555417355100261</v>
      </c>
      <c r="K668" s="114">
        <f t="shared" si="63"/>
        <v>-2.088113987119693</v>
      </c>
      <c r="L668" s="114">
        <f t="shared" si="63"/>
        <v>-2.140369091902468</v>
      </c>
      <c r="M668" s="114">
        <f t="shared" si="63"/>
        <v>0</v>
      </c>
      <c r="N668" s="114">
        <f t="shared" si="63"/>
        <v>0</v>
      </c>
      <c r="O668" s="114">
        <f t="shared" si="63"/>
        <v>0</v>
      </c>
      <c r="P668" s="114">
        <f t="shared" si="63"/>
        <v>0</v>
      </c>
      <c r="Q668" s="114">
        <f t="shared" si="63"/>
        <v>0</v>
      </c>
      <c r="R668" s="9"/>
      <c r="S668" s="12"/>
      <c r="T668" s="12"/>
      <c r="U668" s="12"/>
      <c r="V668" s="12"/>
      <c r="W668" s="12"/>
      <c r="X668" s="12"/>
      <c r="Y668" s="12"/>
      <c r="Z668" s="12"/>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2"/>
      <c r="BE668" s="12"/>
      <c r="BF668" s="12"/>
      <c r="BG668" s="12"/>
      <c r="BH668" s="12"/>
      <c r="BI668" s="12"/>
      <c r="BJ668" s="12"/>
      <c r="BK668" s="12"/>
      <c r="BL668" s="12"/>
    </row>
    <row r="669" spans="1:64" ht="12" hidden="1" customHeight="1" outlineLevel="1">
      <c r="A669" s="9"/>
      <c r="B669" s="9"/>
      <c r="C669" s="9"/>
      <c r="D669" s="278" t="str">
        <f>Asset6</f>
        <v>Other - IT</v>
      </c>
      <c r="E669" s="9"/>
      <c r="F669" s="9"/>
      <c r="G669" s="207">
        <f t="shared" si="58"/>
        <v>-1.3750627988882689</v>
      </c>
      <c r="H669" s="114">
        <f t="shared" ref="H669:Q669" si="64">H$153*H$7</f>
        <v>-11.845727451695508</v>
      </c>
      <c r="I669" s="114">
        <f t="shared" si="64"/>
        <v>-12.18784232394664</v>
      </c>
      <c r="J669" s="114">
        <f t="shared" si="64"/>
        <v>1.8138680039661338E-3</v>
      </c>
      <c r="K669" s="114">
        <f t="shared" si="64"/>
        <v>1.8426106774868199E-3</v>
      </c>
      <c r="L669" s="114">
        <f t="shared" si="64"/>
        <v>1.8887220558023057E-3</v>
      </c>
      <c r="M669" s="114">
        <f t="shared" si="64"/>
        <v>0</v>
      </c>
      <c r="N669" s="114">
        <f t="shared" si="64"/>
        <v>0</v>
      </c>
      <c r="O669" s="114">
        <f t="shared" si="64"/>
        <v>0</v>
      </c>
      <c r="P669" s="114">
        <f t="shared" si="64"/>
        <v>0</v>
      </c>
      <c r="Q669" s="114">
        <f t="shared" si="64"/>
        <v>0</v>
      </c>
      <c r="R669" s="9"/>
      <c r="S669" s="12"/>
      <c r="T669" s="12"/>
      <c r="U669" s="12"/>
      <c r="V669" s="12"/>
      <c r="W669" s="12"/>
      <c r="X669" s="12"/>
      <c r="Y669" s="12"/>
      <c r="Z669" s="12"/>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2"/>
      <c r="BE669" s="12"/>
      <c r="BF669" s="12"/>
      <c r="BG669" s="12"/>
      <c r="BH669" s="12"/>
      <c r="BI669" s="12"/>
      <c r="BJ669" s="12"/>
      <c r="BK669" s="12"/>
      <c r="BL669" s="12"/>
    </row>
    <row r="670" spans="1:64" ht="12" hidden="1" customHeight="1" outlineLevel="1">
      <c r="A670" s="9"/>
      <c r="B670" s="9"/>
      <c r="C670" s="9"/>
      <c r="D670" s="278" t="str">
        <f>Asset7</f>
        <v>Other - General</v>
      </c>
      <c r="E670" s="9"/>
      <c r="F670" s="9"/>
      <c r="G670" s="207">
        <f t="shared" si="58"/>
        <v>-1.5168339794367491</v>
      </c>
      <c r="H670" s="114">
        <f t="shared" ref="H670:Q670" si="65">H$166*H$7</f>
        <v>1.3625367824596395</v>
      </c>
      <c r="I670" s="114">
        <f t="shared" si="65"/>
        <v>1.4018880252743582</v>
      </c>
      <c r="J670" s="114">
        <f t="shared" si="65"/>
        <v>1.4486176261168369</v>
      </c>
      <c r="K670" s="114">
        <f t="shared" si="65"/>
        <v>0</v>
      </c>
      <c r="L670" s="114">
        <f t="shared" si="65"/>
        <v>0</v>
      </c>
      <c r="M670" s="114">
        <f t="shared" si="65"/>
        <v>0</v>
      </c>
      <c r="N670" s="114">
        <f t="shared" si="65"/>
        <v>0</v>
      </c>
      <c r="O670" s="114">
        <f t="shared" si="65"/>
        <v>0</v>
      </c>
      <c r="P670" s="114">
        <f t="shared" si="65"/>
        <v>0</v>
      </c>
      <c r="Q670" s="114">
        <f t="shared" si="65"/>
        <v>0</v>
      </c>
      <c r="R670" s="9"/>
      <c r="S670" s="12"/>
      <c r="T670" s="12"/>
      <c r="U670" s="12"/>
      <c r="V670" s="12"/>
      <c r="W670" s="12"/>
      <c r="X670" s="12"/>
      <c r="Y670" s="12"/>
      <c r="Z670" s="12"/>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2"/>
      <c r="BE670" s="12"/>
      <c r="BF670" s="12"/>
      <c r="BG670" s="12"/>
      <c r="BH670" s="12"/>
      <c r="BI670" s="12"/>
      <c r="BJ670" s="12"/>
      <c r="BK670" s="12"/>
      <c r="BL670" s="12"/>
    </row>
    <row r="671" spans="1:64" ht="12" hidden="1" customHeight="1" outlineLevel="1">
      <c r="A671" s="9"/>
      <c r="B671" s="9"/>
      <c r="C671" s="9"/>
      <c r="D671" s="278" t="str">
        <f>Asset8</f>
        <v>Other - Buildings</v>
      </c>
      <c r="E671" s="9"/>
      <c r="F671" s="9"/>
      <c r="G671" s="207">
        <f t="shared" si="58"/>
        <v>-0.19192052968440543</v>
      </c>
      <c r="H671" s="114">
        <f t="shared" ref="H671:Q671" si="66">H$179*H$7</f>
        <v>-0.6009105150072126</v>
      </c>
      <c r="I671" s="114">
        <f t="shared" si="66"/>
        <v>-0.61826533132511041</v>
      </c>
      <c r="J671" s="114">
        <f t="shared" si="66"/>
        <v>-0.63887417570261407</v>
      </c>
      <c r="K671" s="114">
        <f t="shared" si="66"/>
        <v>-0.64899781855472127</v>
      </c>
      <c r="L671" s="114">
        <f t="shared" si="66"/>
        <v>-0.66523900520523982</v>
      </c>
      <c r="M671" s="114">
        <f t="shared" si="66"/>
        <v>0</v>
      </c>
      <c r="N671" s="114">
        <f t="shared" si="66"/>
        <v>0</v>
      </c>
      <c r="O671" s="114">
        <f t="shared" si="66"/>
        <v>0</v>
      </c>
      <c r="P671" s="114">
        <f t="shared" si="66"/>
        <v>0</v>
      </c>
      <c r="Q671" s="114">
        <f t="shared" si="66"/>
        <v>0</v>
      </c>
      <c r="R671" s="9"/>
      <c r="S671" s="12"/>
      <c r="T671" s="12"/>
      <c r="U671" s="12"/>
      <c r="V671" s="12"/>
      <c r="W671" s="12"/>
      <c r="X671" s="12"/>
      <c r="Y671" s="12"/>
      <c r="Z671" s="12"/>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2"/>
      <c r="BE671" s="12"/>
      <c r="BF671" s="12"/>
      <c r="BG671" s="12"/>
      <c r="BH671" s="12"/>
      <c r="BI671" s="12"/>
      <c r="BJ671" s="12"/>
      <c r="BK671" s="12"/>
      <c r="BL671" s="12"/>
    </row>
    <row r="672" spans="1:64" ht="12" hidden="1" customHeight="1" outlineLevel="1">
      <c r="A672" s="9"/>
      <c r="B672" s="9"/>
      <c r="C672" s="9"/>
      <c r="D672" s="278" t="str">
        <f>Asset9</f>
        <v>Land and Easements</v>
      </c>
      <c r="E672" s="9"/>
      <c r="F672" s="9"/>
      <c r="G672" s="207">
        <f t="shared" si="58"/>
        <v>-3.9968028886505635E-15</v>
      </c>
      <c r="H672" s="114">
        <f t="shared" ref="H672:Q672" si="67">H$192*H$7</f>
        <v>0</v>
      </c>
      <c r="I672" s="114">
        <f t="shared" si="67"/>
        <v>0</v>
      </c>
      <c r="J672" s="114">
        <f t="shared" si="67"/>
        <v>0</v>
      </c>
      <c r="K672" s="114">
        <f t="shared" si="67"/>
        <v>0</v>
      </c>
      <c r="L672" s="114">
        <f t="shared" si="67"/>
        <v>0</v>
      </c>
      <c r="M672" s="114">
        <f t="shared" si="67"/>
        <v>0</v>
      </c>
      <c r="N672" s="114">
        <f t="shared" si="67"/>
        <v>0</v>
      </c>
      <c r="O672" s="114">
        <f t="shared" si="67"/>
        <v>0</v>
      </c>
      <c r="P672" s="114">
        <f t="shared" si="67"/>
        <v>0</v>
      </c>
      <c r="Q672" s="114">
        <f t="shared" si="67"/>
        <v>0</v>
      </c>
      <c r="R672" s="9"/>
      <c r="S672" s="12"/>
      <c r="T672" s="12"/>
      <c r="U672" s="12"/>
      <c r="V672" s="12"/>
      <c r="W672" s="12"/>
      <c r="X672" s="12"/>
      <c r="Y672" s="12"/>
      <c r="Z672" s="12"/>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12"/>
      <c r="BE672" s="12"/>
      <c r="BF672" s="12"/>
      <c r="BG672" s="12"/>
      <c r="BH672" s="12"/>
      <c r="BI672" s="12"/>
      <c r="BJ672" s="12"/>
      <c r="BK672" s="12"/>
      <c r="BL672" s="12"/>
    </row>
    <row r="673" spans="1:64" ht="12" hidden="1" customHeight="1" outlineLevel="1">
      <c r="A673" s="9"/>
      <c r="B673" s="9"/>
      <c r="C673" s="9"/>
      <c r="D673" s="278" t="str">
        <f>Asset10</f>
        <v>Transmission line assets - long life (60)</v>
      </c>
      <c r="E673" s="9"/>
      <c r="F673" s="9"/>
      <c r="G673" s="207">
        <f t="shared" si="58"/>
        <v>0</v>
      </c>
      <c r="H673" s="114">
        <f t="shared" ref="H673:Q673" si="68">H$205*H$7</f>
        <v>0</v>
      </c>
      <c r="I673" s="114">
        <f t="shared" si="68"/>
        <v>-2.1584039640043975E-2</v>
      </c>
      <c r="J673" s="114">
        <f t="shared" si="68"/>
        <v>-2.0295298408169691</v>
      </c>
      <c r="K673" s="114">
        <f t="shared" si="68"/>
        <v>-2.3731794567995919</v>
      </c>
      <c r="L673" s="114">
        <f t="shared" si="68"/>
        <v>-2.6070767954054168</v>
      </c>
      <c r="M673" s="114">
        <f t="shared" si="68"/>
        <v>0</v>
      </c>
      <c r="N673" s="114">
        <f t="shared" si="68"/>
        <v>0</v>
      </c>
      <c r="O673" s="114">
        <f t="shared" si="68"/>
        <v>0</v>
      </c>
      <c r="P673" s="114">
        <f t="shared" si="68"/>
        <v>0</v>
      </c>
      <c r="Q673" s="114">
        <f t="shared" si="68"/>
        <v>0</v>
      </c>
      <c r="R673" s="9"/>
      <c r="S673" s="12"/>
      <c r="T673" s="12"/>
      <c r="U673" s="12"/>
      <c r="V673" s="12"/>
      <c r="W673" s="12"/>
      <c r="X673" s="12"/>
      <c r="Y673" s="12"/>
      <c r="Z673" s="12"/>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12"/>
      <c r="BE673" s="12"/>
      <c r="BF673" s="12"/>
      <c r="BG673" s="12"/>
      <c r="BH673" s="12"/>
      <c r="BI673" s="12"/>
      <c r="BJ673" s="12"/>
      <c r="BK673" s="12"/>
      <c r="BL673" s="12"/>
    </row>
    <row r="674" spans="1:64" ht="12" hidden="1" customHeight="1" outlineLevel="1">
      <c r="A674" s="9"/>
      <c r="B674" s="9"/>
      <c r="C674" s="9"/>
      <c r="D674" s="278" t="str">
        <f>Asset11</f>
        <v>Transmission line assets - medium life (45)</v>
      </c>
      <c r="E674" s="9"/>
      <c r="F674" s="9"/>
      <c r="G674" s="207">
        <f t="shared" si="58"/>
        <v>0</v>
      </c>
      <c r="H674" s="114">
        <f t="shared" ref="H674:Q674" si="69">H$218*H$7</f>
        <v>0</v>
      </c>
      <c r="I674" s="114">
        <f t="shared" si="69"/>
        <v>-3.0888973449487574E-4</v>
      </c>
      <c r="J674" s="114">
        <f t="shared" si="69"/>
        <v>-1.0447332605644918E-3</v>
      </c>
      <c r="K674" s="114">
        <f t="shared" si="69"/>
        <v>-5.5166955268263354E-3</v>
      </c>
      <c r="L674" s="114">
        <f t="shared" si="69"/>
        <v>-1.4758293726833533E-2</v>
      </c>
      <c r="M674" s="114">
        <f t="shared" si="69"/>
        <v>0</v>
      </c>
      <c r="N674" s="114">
        <f t="shared" si="69"/>
        <v>0</v>
      </c>
      <c r="O674" s="114">
        <f t="shared" si="69"/>
        <v>0</v>
      </c>
      <c r="P674" s="114">
        <f t="shared" si="69"/>
        <v>0</v>
      </c>
      <c r="Q674" s="114">
        <f t="shared" si="69"/>
        <v>0</v>
      </c>
      <c r="R674" s="9"/>
      <c r="S674" s="12"/>
      <c r="T674" s="12"/>
      <c r="U674" s="12"/>
      <c r="V674" s="12"/>
      <c r="W674" s="12"/>
      <c r="X674" s="12"/>
      <c r="Y674" s="12"/>
      <c r="Z674" s="12"/>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12"/>
      <c r="BE674" s="12"/>
      <c r="BF674" s="12"/>
      <c r="BG674" s="12"/>
      <c r="BH674" s="12"/>
      <c r="BI674" s="12"/>
      <c r="BJ674" s="12"/>
      <c r="BK674" s="12"/>
      <c r="BL674" s="12"/>
    </row>
    <row r="675" spans="1:64" ht="12" hidden="1" customHeight="1" outlineLevel="1">
      <c r="A675" s="9"/>
      <c r="B675" s="9"/>
      <c r="C675" s="9"/>
      <c r="D675" s="278" t="str">
        <f>Asset12</f>
        <v>Transmission line assets - short life (10)</v>
      </c>
      <c r="E675" s="9"/>
      <c r="F675" s="9"/>
      <c r="G675" s="207">
        <f t="shared" si="58"/>
        <v>0</v>
      </c>
      <c r="H675" s="114">
        <f t="shared" ref="H675:Q675" si="70">H$231*H$7</f>
        <v>0</v>
      </c>
      <c r="I675" s="114">
        <f t="shared" si="70"/>
        <v>-3.8956654293236234E-2</v>
      </c>
      <c r="J675" s="114">
        <f t="shared" si="70"/>
        <v>-8.1937896167485855E-2</v>
      </c>
      <c r="K675" s="114">
        <f t="shared" si="70"/>
        <v>-0.13808023243788781</v>
      </c>
      <c r="L675" s="114">
        <f t="shared" si="70"/>
        <v>-0.2101348308586744</v>
      </c>
      <c r="M675" s="114">
        <f t="shared" si="70"/>
        <v>0</v>
      </c>
      <c r="N675" s="114">
        <f t="shared" si="70"/>
        <v>0</v>
      </c>
      <c r="O675" s="114">
        <f t="shared" si="70"/>
        <v>0</v>
      </c>
      <c r="P675" s="114">
        <f t="shared" si="70"/>
        <v>0</v>
      </c>
      <c r="Q675" s="114">
        <f t="shared" si="70"/>
        <v>0</v>
      </c>
      <c r="R675" s="9"/>
      <c r="S675" s="12"/>
      <c r="T675" s="12"/>
      <c r="U675" s="12"/>
      <c r="V675" s="12"/>
      <c r="W675" s="12"/>
      <c r="X675" s="12"/>
      <c r="Y675" s="12"/>
      <c r="Z675" s="12"/>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12"/>
      <c r="BE675" s="12"/>
      <c r="BF675" s="12"/>
      <c r="BG675" s="12"/>
      <c r="BH675" s="12"/>
      <c r="BI675" s="12"/>
      <c r="BJ675" s="12"/>
      <c r="BK675" s="12"/>
      <c r="BL675" s="12"/>
    </row>
    <row r="676" spans="1:64" ht="12" hidden="1" customHeight="1" outlineLevel="1">
      <c r="A676" s="9"/>
      <c r="B676" s="9"/>
      <c r="C676" s="9"/>
      <c r="D676" s="278" t="str">
        <f>Asset13</f>
        <v>Substation assets - long life (60)</v>
      </c>
      <c r="E676" s="9"/>
      <c r="F676" s="9"/>
      <c r="G676" s="207">
        <f t="shared" si="58"/>
        <v>0</v>
      </c>
      <c r="H676" s="114">
        <f t="shared" ref="H676:Q676" si="71">H$244*H$7</f>
        <v>0</v>
      </c>
      <c r="I676" s="114">
        <f t="shared" si="71"/>
        <v>-4.2824750322569757E-2</v>
      </c>
      <c r="J676" s="114">
        <f t="shared" si="71"/>
        <v>-0.44165258298892901</v>
      </c>
      <c r="K676" s="114">
        <f t="shared" si="71"/>
        <v>-0.64118828564924624</v>
      </c>
      <c r="L676" s="114">
        <f t="shared" si="71"/>
        <v>-0.80031019084069654</v>
      </c>
      <c r="M676" s="114">
        <f t="shared" si="71"/>
        <v>0</v>
      </c>
      <c r="N676" s="114">
        <f t="shared" si="71"/>
        <v>0</v>
      </c>
      <c r="O676" s="114">
        <f t="shared" si="71"/>
        <v>0</v>
      </c>
      <c r="P676" s="114">
        <f t="shared" si="71"/>
        <v>0</v>
      </c>
      <c r="Q676" s="114">
        <f t="shared" si="71"/>
        <v>0</v>
      </c>
      <c r="R676" s="9"/>
      <c r="S676" s="12"/>
      <c r="T676" s="12"/>
      <c r="U676" s="12"/>
      <c r="V676" s="12"/>
      <c r="W676" s="12"/>
      <c r="X676" s="12"/>
      <c r="Y676" s="12"/>
      <c r="Z676" s="12"/>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12"/>
      <c r="BE676" s="12"/>
      <c r="BF676" s="12"/>
      <c r="BG676" s="12"/>
      <c r="BH676" s="12"/>
      <c r="BI676" s="12"/>
      <c r="BJ676" s="12"/>
      <c r="BK676" s="12"/>
      <c r="BL676" s="12"/>
    </row>
    <row r="677" spans="1:64" ht="12" hidden="1" customHeight="1" outlineLevel="1">
      <c r="A677" s="9"/>
      <c r="B677" s="9"/>
      <c r="C677" s="9"/>
      <c r="D677" s="278" t="str">
        <f>Asset14</f>
        <v>Substation assets - medium life (45)</v>
      </c>
      <c r="E677" s="9"/>
      <c r="F677" s="9"/>
      <c r="G677" s="207">
        <f t="shared" si="58"/>
        <v>0</v>
      </c>
      <c r="H677" s="114">
        <f t="shared" ref="H677:Q677" si="72">H$257*H$7</f>
        <v>0</v>
      </c>
      <c r="I677" s="114">
        <f t="shared" si="72"/>
        <v>-0.26918453621027549</v>
      </c>
      <c r="J677" s="114">
        <f t="shared" si="72"/>
        <v>-1.5696313729078388</v>
      </c>
      <c r="K677" s="114">
        <f t="shared" si="72"/>
        <v>-2.6887188994029181</v>
      </c>
      <c r="L677" s="114">
        <f t="shared" si="72"/>
        <v>-3.649752232743837</v>
      </c>
      <c r="M677" s="114">
        <f t="shared" si="72"/>
        <v>0</v>
      </c>
      <c r="N677" s="114">
        <f t="shared" si="72"/>
        <v>0</v>
      </c>
      <c r="O677" s="114">
        <f t="shared" si="72"/>
        <v>0</v>
      </c>
      <c r="P677" s="114">
        <f t="shared" si="72"/>
        <v>0</v>
      </c>
      <c r="Q677" s="114">
        <f t="shared" si="72"/>
        <v>0</v>
      </c>
      <c r="R677" s="9"/>
      <c r="S677" s="12"/>
      <c r="T677" s="12"/>
      <c r="U677" s="12"/>
      <c r="V677" s="12"/>
      <c r="W677" s="12"/>
      <c r="X677" s="12"/>
      <c r="Y677" s="12"/>
      <c r="Z677" s="12"/>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12"/>
      <c r="BE677" s="12"/>
      <c r="BF677" s="12"/>
      <c r="BG677" s="12"/>
      <c r="BH677" s="12"/>
      <c r="BI677" s="12"/>
      <c r="BJ677" s="12"/>
      <c r="BK677" s="12"/>
      <c r="BL677" s="12"/>
    </row>
    <row r="678" spans="1:64" ht="12" hidden="1" customHeight="1" outlineLevel="1">
      <c r="A678" s="9"/>
      <c r="B678" s="9"/>
      <c r="C678" s="9"/>
      <c r="D678" s="278" t="str">
        <f>Asset15</f>
        <v>Substation assets - short life (15)</v>
      </c>
      <c r="E678" s="9"/>
      <c r="F678" s="9"/>
      <c r="G678" s="207">
        <f t="shared" si="58"/>
        <v>0</v>
      </c>
      <c r="H678" s="114">
        <f t="shared" ref="H678:Q678" si="73">H$270*H$7</f>
        <v>0</v>
      </c>
      <c r="I678" s="114">
        <f t="shared" si="73"/>
        <v>-0.84759054800250844</v>
      </c>
      <c r="J678" s="114">
        <f t="shared" si="73"/>
        <v>-0.98728761643293794</v>
      </c>
      <c r="K678" s="114">
        <f t="shared" si="73"/>
        <v>-1.0791692122005407</v>
      </c>
      <c r="L678" s="114">
        <f t="shared" si="73"/>
        <v>-1.3961985510441886</v>
      </c>
      <c r="M678" s="114">
        <f t="shared" si="73"/>
        <v>0</v>
      </c>
      <c r="N678" s="114">
        <f t="shared" si="73"/>
        <v>0</v>
      </c>
      <c r="O678" s="114">
        <f t="shared" si="73"/>
        <v>0</v>
      </c>
      <c r="P678" s="114">
        <f t="shared" si="73"/>
        <v>0</v>
      </c>
      <c r="Q678" s="114">
        <f t="shared" si="73"/>
        <v>0</v>
      </c>
      <c r="R678" s="9"/>
      <c r="S678" s="12"/>
      <c r="T678" s="12"/>
      <c r="U678" s="12"/>
      <c r="V678" s="12"/>
      <c r="W678" s="12"/>
      <c r="X678" s="12"/>
      <c r="Y678" s="12"/>
      <c r="Z678" s="12"/>
      <c r="AA678" s="227"/>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12"/>
      <c r="BE678" s="12"/>
      <c r="BF678" s="12"/>
      <c r="BG678" s="12"/>
      <c r="BH678" s="12"/>
      <c r="BI678" s="12"/>
      <c r="BJ678" s="12"/>
      <c r="BK678" s="12"/>
      <c r="BL678" s="12"/>
    </row>
    <row r="679" spans="1:64" ht="12" hidden="1" customHeight="1" outlineLevel="1">
      <c r="A679" s="9"/>
      <c r="B679" s="9"/>
      <c r="C679" s="9"/>
      <c r="D679" s="278" t="str">
        <f>Asset16</f>
        <v>Protection and control - short life (15)</v>
      </c>
      <c r="E679" s="9"/>
      <c r="F679" s="9"/>
      <c r="G679" s="207">
        <f t="shared" si="58"/>
        <v>0</v>
      </c>
      <c r="H679" s="114">
        <f t="shared" ref="H679:Q679" si="74">H$283*H$7</f>
        <v>0</v>
      </c>
      <c r="I679" s="114">
        <f t="shared" si="74"/>
        <v>-0.75528449160057576</v>
      </c>
      <c r="J679" s="114">
        <f t="shared" si="74"/>
        <v>-1.7656086316346813</v>
      </c>
      <c r="K679" s="114">
        <f t="shared" si="74"/>
        <v>-3.1857245799294915</v>
      </c>
      <c r="L679" s="114">
        <f t="shared" si="74"/>
        <v>-4.5630965079657031</v>
      </c>
      <c r="M679" s="114">
        <f t="shared" si="74"/>
        <v>0</v>
      </c>
      <c r="N679" s="114">
        <f t="shared" si="74"/>
        <v>0</v>
      </c>
      <c r="O679" s="114">
        <f t="shared" si="74"/>
        <v>0</v>
      </c>
      <c r="P679" s="114">
        <f t="shared" si="74"/>
        <v>0</v>
      </c>
      <c r="Q679" s="114">
        <f t="shared" si="74"/>
        <v>0</v>
      </c>
      <c r="R679" s="9"/>
      <c r="S679" s="12"/>
      <c r="T679" s="12"/>
      <c r="U679" s="12"/>
      <c r="V679" s="12"/>
      <c r="W679" s="12"/>
      <c r="X679" s="12"/>
      <c r="Y679" s="12"/>
      <c r="Z679" s="12"/>
      <c r="AA679" s="227"/>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12"/>
      <c r="BE679" s="12"/>
      <c r="BF679" s="12"/>
      <c r="BG679" s="12"/>
      <c r="BH679" s="12"/>
      <c r="BI679" s="12"/>
      <c r="BJ679" s="12"/>
      <c r="BK679" s="12"/>
      <c r="BL679" s="12"/>
    </row>
    <row r="680" spans="1:64" ht="12" hidden="1" customHeight="1" outlineLevel="1">
      <c r="A680" s="9"/>
      <c r="B680" s="9"/>
      <c r="C680" s="9"/>
      <c r="D680" s="278" t="str">
        <f>Asset17</f>
        <v>Protection and control - short life (4)</v>
      </c>
      <c r="E680" s="9"/>
      <c r="F680" s="9"/>
      <c r="G680" s="207">
        <f t="shared" si="58"/>
        <v>0</v>
      </c>
      <c r="H680" s="114">
        <f t="shared" ref="H680:Q680" si="75">H$296*H$7</f>
        <v>0</v>
      </c>
      <c r="I680" s="114">
        <f t="shared" si="75"/>
        <v>-1.1150306681836027E-2</v>
      </c>
      <c r="J680" s="114">
        <f t="shared" si="75"/>
        <v>-3.1383838214659725E-2</v>
      </c>
      <c r="K680" s="114">
        <f t="shared" si="75"/>
        <v>-0.36709751137898561</v>
      </c>
      <c r="L680" s="114">
        <f t="shared" si="75"/>
        <v>-0.45719456008927473</v>
      </c>
      <c r="M680" s="114">
        <f t="shared" si="75"/>
        <v>0</v>
      </c>
      <c r="N680" s="114">
        <f t="shared" si="75"/>
        <v>0</v>
      </c>
      <c r="O680" s="114">
        <f t="shared" si="75"/>
        <v>0</v>
      </c>
      <c r="P680" s="114">
        <f t="shared" si="75"/>
        <v>0</v>
      </c>
      <c r="Q680" s="114">
        <f t="shared" si="75"/>
        <v>0</v>
      </c>
      <c r="R680" s="9"/>
      <c r="S680" s="12"/>
      <c r="T680" s="12"/>
      <c r="U680" s="12"/>
      <c r="V680" s="12"/>
      <c r="W680" s="12"/>
      <c r="X680" s="12"/>
      <c r="Y680" s="12"/>
      <c r="Z680" s="12"/>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12"/>
      <c r="BE680" s="12"/>
      <c r="BF680" s="12"/>
      <c r="BG680" s="12"/>
      <c r="BH680" s="12"/>
      <c r="BI680" s="12"/>
      <c r="BJ680" s="12"/>
      <c r="BK680" s="12"/>
      <c r="BL680" s="12"/>
    </row>
    <row r="681" spans="1:64" ht="12" hidden="1" customHeight="1" outlineLevel="1">
      <c r="A681" s="9"/>
      <c r="B681" s="9"/>
      <c r="C681" s="9"/>
      <c r="D681" s="278" t="str">
        <f>Asset18</f>
        <v>Transmission operations - short life (10)</v>
      </c>
      <c r="E681" s="9"/>
      <c r="F681" s="9"/>
      <c r="G681" s="207">
        <f t="shared" si="58"/>
        <v>0</v>
      </c>
      <c r="H681" s="114">
        <f t="shared" ref="H681:Q681" si="76">H$309*H$7</f>
        <v>0</v>
      </c>
      <c r="I681" s="114">
        <f t="shared" si="76"/>
        <v>-0.12258936087843869</v>
      </c>
      <c r="J681" s="114">
        <f t="shared" si="76"/>
        <v>-0.29971868048608918</v>
      </c>
      <c r="K681" s="114">
        <f t="shared" si="76"/>
        <v>-0.57539924224069106</v>
      </c>
      <c r="L681" s="114">
        <f t="shared" si="76"/>
        <v>-0.78538142906153907</v>
      </c>
      <c r="M681" s="114">
        <f t="shared" si="76"/>
        <v>0</v>
      </c>
      <c r="N681" s="114">
        <f t="shared" si="76"/>
        <v>0</v>
      </c>
      <c r="O681" s="114">
        <f t="shared" si="76"/>
        <v>0</v>
      </c>
      <c r="P681" s="114">
        <f t="shared" si="76"/>
        <v>0</v>
      </c>
      <c r="Q681" s="114">
        <f t="shared" si="76"/>
        <v>0</v>
      </c>
      <c r="R681" s="9"/>
      <c r="S681" s="12"/>
      <c r="T681" s="12"/>
      <c r="U681" s="12"/>
      <c r="V681" s="12"/>
      <c r="W681" s="12"/>
      <c r="X681" s="12"/>
      <c r="Y681" s="12"/>
      <c r="Z681" s="12"/>
      <c r="AA681" s="227"/>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12"/>
      <c r="BE681" s="12"/>
      <c r="BF681" s="12"/>
      <c r="BG681" s="12"/>
      <c r="BH681" s="12"/>
      <c r="BI681" s="12"/>
      <c r="BJ681" s="12"/>
      <c r="BK681" s="12"/>
      <c r="BL681" s="12"/>
    </row>
    <row r="682" spans="1:64" ht="12" hidden="1" customHeight="1" outlineLevel="1">
      <c r="A682" s="9"/>
      <c r="B682" s="9"/>
      <c r="C682" s="9"/>
      <c r="D682" s="278" t="str">
        <f>Asset19</f>
        <v>Transmission operations - short life (4)</v>
      </c>
      <c r="E682" s="9"/>
      <c r="F682" s="9"/>
      <c r="G682" s="207">
        <f t="shared" si="58"/>
        <v>0</v>
      </c>
      <c r="H682" s="114">
        <f t="shared" ref="H682:Q682" si="77">H$322*H$7</f>
        <v>0</v>
      </c>
      <c r="I682" s="114">
        <f t="shared" si="77"/>
        <v>-1.2033724113862797E-2</v>
      </c>
      <c r="J682" s="114">
        <f t="shared" si="77"/>
        <v>-2.9847981089066441E-2</v>
      </c>
      <c r="K682" s="114">
        <f t="shared" si="77"/>
        <v>-3.0320954190647578E-2</v>
      </c>
      <c r="L682" s="114">
        <f t="shared" si="77"/>
        <v>-7.381979484773056E-2</v>
      </c>
      <c r="M682" s="114">
        <f t="shared" si="77"/>
        <v>0</v>
      </c>
      <c r="N682" s="114">
        <f t="shared" si="77"/>
        <v>0</v>
      </c>
      <c r="O682" s="114">
        <f t="shared" si="77"/>
        <v>0</v>
      </c>
      <c r="P682" s="114">
        <f t="shared" si="77"/>
        <v>0</v>
      </c>
      <c r="Q682" s="114">
        <f t="shared" si="77"/>
        <v>0</v>
      </c>
      <c r="R682" s="9"/>
      <c r="S682" s="12"/>
      <c r="T682" s="12"/>
      <c r="U682" s="12"/>
      <c r="V682" s="12"/>
      <c r="W682" s="12"/>
      <c r="X682" s="12"/>
      <c r="Y682" s="12"/>
      <c r="Z682" s="12"/>
      <c r="AA682" s="227"/>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12"/>
      <c r="BE682" s="12"/>
      <c r="BF682" s="12"/>
      <c r="BG682" s="12"/>
      <c r="BH682" s="12"/>
      <c r="BI682" s="12"/>
      <c r="BJ682" s="12"/>
      <c r="BK682" s="12"/>
      <c r="BL682" s="12"/>
    </row>
    <row r="683" spans="1:64" ht="12" hidden="1" customHeight="1" outlineLevel="1">
      <c r="A683" s="9"/>
      <c r="B683" s="9"/>
      <c r="C683" s="9"/>
      <c r="D683" s="278" t="str">
        <f>Asset20</f>
        <v>Other - medium life (40)</v>
      </c>
      <c r="E683" s="9"/>
      <c r="F683" s="9"/>
      <c r="G683" s="207">
        <f t="shared" si="58"/>
        <v>0</v>
      </c>
      <c r="H683" s="114">
        <f>H$335*H$7</f>
        <v>0</v>
      </c>
      <c r="I683" s="114">
        <f t="shared" ref="I683:Q683" si="78">I$335*I$7</f>
        <v>-0.21874540163040687</v>
      </c>
      <c r="J683" s="114">
        <f t="shared" si="78"/>
        <v>-0.61522043394906079</v>
      </c>
      <c r="K683" s="114">
        <f t="shared" si="78"/>
        <v>-0.66827687831459104</v>
      </c>
      <c r="L683" s="114">
        <f t="shared" si="78"/>
        <v>-0.6882530692138964</v>
      </c>
      <c r="M683" s="114">
        <f t="shared" si="78"/>
        <v>0</v>
      </c>
      <c r="N683" s="114">
        <f t="shared" si="78"/>
        <v>0</v>
      </c>
      <c r="O683" s="114">
        <f t="shared" si="78"/>
        <v>0</v>
      </c>
      <c r="P683" s="114">
        <f t="shared" si="78"/>
        <v>0</v>
      </c>
      <c r="Q683" s="114">
        <f t="shared" si="78"/>
        <v>0</v>
      </c>
      <c r="R683" s="9"/>
      <c r="S683" s="12"/>
      <c r="T683" s="12"/>
      <c r="U683" s="12"/>
      <c r="V683" s="12"/>
      <c r="W683" s="12"/>
      <c r="X683" s="12"/>
      <c r="Y683" s="12"/>
      <c r="Z683" s="12"/>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12"/>
      <c r="BE683" s="12"/>
      <c r="BF683" s="12"/>
      <c r="BG683" s="12"/>
      <c r="BH683" s="12"/>
      <c r="BI683" s="12"/>
      <c r="BJ683" s="12"/>
      <c r="BK683" s="12"/>
      <c r="BL683" s="12"/>
    </row>
    <row r="684" spans="1:64" ht="12" hidden="1" customHeight="1" outlineLevel="1">
      <c r="A684" s="9"/>
      <c r="B684" s="9"/>
      <c r="C684" s="9"/>
      <c r="D684" s="278" t="str">
        <f>Asset21</f>
        <v>Other - short life (9)</v>
      </c>
      <c r="E684" s="9"/>
      <c r="F684" s="9"/>
      <c r="G684" s="207">
        <f t="shared" ref="G684:G692" si="79">-(G716-G554)</f>
        <v>0</v>
      </c>
      <c r="H684" s="114">
        <f t="shared" ref="H684:Q684" si="80">H$348*H$7</f>
        <v>0</v>
      </c>
      <c r="I684" s="114">
        <f t="shared" si="80"/>
        <v>-8.3114406190565759E-2</v>
      </c>
      <c r="J684" s="114">
        <f t="shared" si="80"/>
        <v>-0.20680941999466021</v>
      </c>
      <c r="K684" s="114">
        <f t="shared" si="80"/>
        <v>-0.34115566224527444</v>
      </c>
      <c r="L684" s="114">
        <f t="shared" si="80"/>
        <v>-0.37729044525567706</v>
      </c>
      <c r="M684" s="114">
        <f t="shared" si="80"/>
        <v>0</v>
      </c>
      <c r="N684" s="114">
        <f t="shared" si="80"/>
        <v>0</v>
      </c>
      <c r="O684" s="114">
        <f t="shared" si="80"/>
        <v>0</v>
      </c>
      <c r="P684" s="114">
        <f t="shared" si="80"/>
        <v>0</v>
      </c>
      <c r="Q684" s="114">
        <f t="shared" si="80"/>
        <v>0</v>
      </c>
      <c r="R684" s="9"/>
      <c r="S684" s="12"/>
      <c r="T684" s="12"/>
      <c r="U684" s="12"/>
      <c r="V684" s="12"/>
      <c r="W684" s="12"/>
      <c r="X684" s="12"/>
      <c r="Y684" s="12"/>
      <c r="Z684" s="12"/>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12"/>
      <c r="BE684" s="12"/>
      <c r="BF684" s="12"/>
      <c r="BG684" s="12"/>
      <c r="BH684" s="12"/>
      <c r="BI684" s="12"/>
      <c r="BJ684" s="12"/>
      <c r="BK684" s="12"/>
      <c r="BL684" s="12"/>
    </row>
    <row r="685" spans="1:64" ht="12" hidden="1" customHeight="1" outlineLevel="1">
      <c r="A685" s="9"/>
      <c r="B685" s="9"/>
      <c r="C685" s="9"/>
      <c r="D685" s="278" t="str">
        <f>Asset22</f>
        <v>Other - short life (4)</v>
      </c>
      <c r="E685" s="9"/>
      <c r="F685" s="9"/>
      <c r="G685" s="207">
        <f t="shared" si="79"/>
        <v>0</v>
      </c>
      <c r="H685" s="114">
        <f>H$361*H$7</f>
        <v>0</v>
      </c>
      <c r="I685" s="114">
        <f t="shared" ref="I685:Q685" si="81">I$361*I$7</f>
        <v>-0.67109908144085617</v>
      </c>
      <c r="J685" s="114">
        <f t="shared" si="81"/>
        <v>-1.2354528104072988</v>
      </c>
      <c r="K685" s="114">
        <f t="shared" si="81"/>
        <v>-1.7443290785456913</v>
      </c>
      <c r="L685" s="114">
        <f t="shared" si="81"/>
        <v>-3.1895322939580395</v>
      </c>
      <c r="M685" s="114">
        <f t="shared" si="81"/>
        <v>0</v>
      </c>
      <c r="N685" s="114">
        <f t="shared" si="81"/>
        <v>0</v>
      </c>
      <c r="O685" s="114">
        <f t="shared" si="81"/>
        <v>0</v>
      </c>
      <c r="P685" s="114">
        <f t="shared" si="81"/>
        <v>0</v>
      </c>
      <c r="Q685" s="114">
        <f t="shared" si="81"/>
        <v>0</v>
      </c>
      <c r="R685" s="9"/>
      <c r="S685" s="12"/>
      <c r="T685" s="12"/>
      <c r="U685" s="12"/>
      <c r="V685" s="12"/>
      <c r="W685" s="12"/>
      <c r="X685" s="12"/>
      <c r="Y685" s="12"/>
      <c r="Z685" s="12"/>
      <c r="AA685" s="227"/>
      <c r="AB685" s="227"/>
      <c r="AC685" s="227"/>
      <c r="AD685" s="227"/>
      <c r="AE685" s="227"/>
      <c r="AF685" s="227"/>
      <c r="AG685" s="227"/>
      <c r="AH685" s="227"/>
      <c r="AI685" s="227"/>
      <c r="AJ685" s="227"/>
      <c r="AK685" s="227"/>
      <c r="AL685" s="227"/>
      <c r="AM685" s="227"/>
      <c r="AN685" s="227"/>
      <c r="AO685" s="227"/>
      <c r="AP685" s="227"/>
      <c r="AQ685" s="227"/>
      <c r="AR685" s="227"/>
      <c r="AS685" s="227"/>
      <c r="AT685" s="227"/>
      <c r="AU685" s="227"/>
      <c r="AV685" s="227"/>
      <c r="AW685" s="227"/>
      <c r="AX685" s="227"/>
      <c r="AY685" s="227"/>
      <c r="AZ685" s="227"/>
      <c r="BA685" s="227"/>
      <c r="BB685" s="227"/>
      <c r="BC685" s="227"/>
      <c r="BD685" s="12"/>
      <c r="BE685" s="12"/>
      <c r="BF685" s="12"/>
      <c r="BG685" s="12"/>
      <c r="BH685" s="12"/>
      <c r="BI685" s="12"/>
      <c r="BJ685" s="12"/>
      <c r="BK685" s="12"/>
      <c r="BL685" s="12"/>
    </row>
    <row r="686" spans="1:64" ht="12" hidden="1" customHeight="1" outlineLevel="1">
      <c r="A686" s="9"/>
      <c r="B686" s="9"/>
      <c r="C686" s="9"/>
      <c r="D686" s="278" t="str">
        <f>Asset23</f>
        <v>Land and Easements</v>
      </c>
      <c r="E686" s="9"/>
      <c r="F686" s="9"/>
      <c r="G686" s="207">
        <f t="shared" si="79"/>
        <v>0</v>
      </c>
      <c r="H686" s="114">
        <f>H$374*H$7</f>
        <v>0</v>
      </c>
      <c r="I686" s="114">
        <f t="shared" ref="I686:P686" si="82">I$374*I$7</f>
        <v>0</v>
      </c>
      <c r="J686" s="114">
        <f t="shared" si="82"/>
        <v>0</v>
      </c>
      <c r="K686" s="114">
        <f t="shared" si="82"/>
        <v>0</v>
      </c>
      <c r="L686" s="114">
        <f t="shared" si="82"/>
        <v>0</v>
      </c>
      <c r="M686" s="114">
        <f t="shared" si="82"/>
        <v>0</v>
      </c>
      <c r="N686" s="114">
        <f t="shared" si="82"/>
        <v>0</v>
      </c>
      <c r="O686" s="114">
        <f t="shared" si="82"/>
        <v>0</v>
      </c>
      <c r="P686" s="114">
        <f t="shared" si="82"/>
        <v>0</v>
      </c>
      <c r="Q686" s="114">
        <f>Q$374*Q$7</f>
        <v>0</v>
      </c>
      <c r="R686" s="9"/>
      <c r="S686" s="12"/>
      <c r="T686" s="12"/>
      <c r="U686" s="12"/>
      <c r="V686" s="12"/>
      <c r="W686" s="12"/>
      <c r="X686" s="12"/>
      <c r="Y686" s="12"/>
      <c r="Z686" s="12"/>
      <c r="AA686" s="227"/>
      <c r="AB686" s="227"/>
      <c r="AC686" s="227"/>
      <c r="AD686" s="227"/>
      <c r="AE686" s="227"/>
      <c r="AF686" s="227"/>
      <c r="AG686" s="227"/>
      <c r="AH686" s="227"/>
      <c r="AI686" s="227"/>
      <c r="AJ686" s="227"/>
      <c r="AK686" s="227"/>
      <c r="AL686" s="227"/>
      <c r="AM686" s="227"/>
      <c r="AN686" s="227"/>
      <c r="AO686" s="227"/>
      <c r="AP686" s="227"/>
      <c r="AQ686" s="227"/>
      <c r="AR686" s="227"/>
      <c r="AS686" s="227"/>
      <c r="AT686" s="227"/>
      <c r="AU686" s="227"/>
      <c r="AV686" s="227"/>
      <c r="AW686" s="227"/>
      <c r="AX686" s="227"/>
      <c r="AY686" s="227"/>
      <c r="AZ686" s="227"/>
      <c r="BA686" s="227"/>
      <c r="BB686" s="227"/>
      <c r="BC686" s="227"/>
      <c r="BD686" s="12"/>
      <c r="BE686" s="12"/>
      <c r="BF686" s="12"/>
      <c r="BG686" s="12"/>
      <c r="BH686" s="12"/>
      <c r="BI686" s="12"/>
      <c r="BJ686" s="12"/>
      <c r="BK686" s="12"/>
      <c r="BL686" s="12"/>
    </row>
    <row r="687" spans="1:64" ht="12" hidden="1" customHeight="1" outlineLevel="1">
      <c r="A687" s="9"/>
      <c r="B687" s="9"/>
      <c r="C687" s="9"/>
      <c r="D687" s="278" t="str">
        <f>Asset24</f>
        <v>Equity Raising</v>
      </c>
      <c r="E687" s="9"/>
      <c r="F687" s="9"/>
      <c r="G687" s="207">
        <f t="shared" si="79"/>
        <v>0</v>
      </c>
      <c r="H687" s="114">
        <f>H$387*H$7</f>
        <v>0</v>
      </c>
      <c r="I687" s="114">
        <f t="shared" ref="I687:P687" si="83">I$387*I$7</f>
        <v>-1.097707651390554E-2</v>
      </c>
      <c r="J687" s="114">
        <f t="shared" si="83"/>
        <v>-1.1342979064369058E-2</v>
      </c>
      <c r="K687" s="114">
        <f t="shared" si="83"/>
        <v>-1.1522720668105524E-2</v>
      </c>
      <c r="L687" s="114">
        <f t="shared" si="83"/>
        <v>-1.1811077041181237E-2</v>
      </c>
      <c r="M687" s="114">
        <f t="shared" si="83"/>
        <v>0</v>
      </c>
      <c r="N687" s="114">
        <f t="shared" si="83"/>
        <v>0</v>
      </c>
      <c r="O687" s="114">
        <f t="shared" si="83"/>
        <v>0</v>
      </c>
      <c r="P687" s="114">
        <f t="shared" si="83"/>
        <v>0</v>
      </c>
      <c r="Q687" s="114">
        <f>Q$387*Q$7</f>
        <v>0</v>
      </c>
      <c r="R687" s="9"/>
      <c r="S687" s="12"/>
      <c r="T687" s="12"/>
      <c r="U687" s="12"/>
      <c r="V687" s="12"/>
      <c r="W687" s="12"/>
      <c r="X687" s="12"/>
      <c r="Y687" s="12"/>
      <c r="Z687" s="12"/>
      <c r="AA687" s="227"/>
      <c r="AB687" s="227"/>
      <c r="AC687" s="227"/>
      <c r="AD687" s="227"/>
      <c r="AE687" s="227"/>
      <c r="AF687" s="227"/>
      <c r="AG687" s="227"/>
      <c r="AH687" s="227"/>
      <c r="AI687" s="227"/>
      <c r="AJ687" s="227"/>
      <c r="AK687" s="227"/>
      <c r="AL687" s="227"/>
      <c r="AM687" s="227"/>
      <c r="AN687" s="227"/>
      <c r="AO687" s="227"/>
      <c r="AP687" s="227"/>
      <c r="AQ687" s="227"/>
      <c r="AR687" s="227"/>
      <c r="AS687" s="227"/>
      <c r="AT687" s="227"/>
      <c r="AU687" s="227"/>
      <c r="AV687" s="227"/>
      <c r="AW687" s="227"/>
      <c r="AX687" s="227"/>
      <c r="AY687" s="227"/>
      <c r="AZ687" s="227"/>
      <c r="BA687" s="227"/>
      <c r="BB687" s="227"/>
      <c r="BC687" s="227"/>
      <c r="BD687" s="12"/>
      <c r="BE687" s="12"/>
      <c r="BF687" s="12"/>
      <c r="BG687" s="12"/>
      <c r="BH687" s="12"/>
      <c r="BI687" s="12"/>
      <c r="BJ687" s="12"/>
      <c r="BK687" s="12"/>
      <c r="BL687" s="12"/>
    </row>
    <row r="688" spans="1:64" ht="12" hidden="1" customHeight="1" outlineLevel="1">
      <c r="A688" s="9"/>
      <c r="B688" s="9"/>
      <c r="C688" s="9"/>
      <c r="D688" s="278">
        <f>Asset25</f>
        <v>0</v>
      </c>
      <c r="E688" s="9"/>
      <c r="F688" s="9"/>
      <c r="G688" s="207">
        <f t="shared" si="79"/>
        <v>0</v>
      </c>
      <c r="H688" s="114">
        <f>H$400*H$7</f>
        <v>0</v>
      </c>
      <c r="I688" s="114">
        <f t="shared" ref="I688:P688" si="84">I$400*I$7</f>
        <v>0</v>
      </c>
      <c r="J688" s="114">
        <f t="shared" si="84"/>
        <v>0</v>
      </c>
      <c r="K688" s="114">
        <f t="shared" si="84"/>
        <v>0</v>
      </c>
      <c r="L688" s="114">
        <f t="shared" si="84"/>
        <v>0</v>
      </c>
      <c r="M688" s="114">
        <f t="shared" si="84"/>
        <v>0</v>
      </c>
      <c r="N688" s="114">
        <f t="shared" si="84"/>
        <v>0</v>
      </c>
      <c r="O688" s="114">
        <f t="shared" si="84"/>
        <v>0</v>
      </c>
      <c r="P688" s="114">
        <f t="shared" si="84"/>
        <v>0</v>
      </c>
      <c r="Q688" s="114">
        <f>Q$400*Q$7</f>
        <v>0</v>
      </c>
      <c r="R688" s="9"/>
      <c r="S688" s="12"/>
      <c r="T688" s="12"/>
      <c r="U688" s="12"/>
      <c r="V688" s="12"/>
      <c r="W688" s="12"/>
      <c r="X688" s="12"/>
      <c r="Y688" s="12"/>
      <c r="Z688" s="12"/>
      <c r="AA688" s="227"/>
      <c r="AB688" s="227"/>
      <c r="AC688" s="227"/>
      <c r="AD688" s="227"/>
      <c r="AE688" s="227"/>
      <c r="AF688" s="227"/>
      <c r="AG688" s="227"/>
      <c r="AH688" s="227"/>
      <c r="AI688" s="227"/>
      <c r="AJ688" s="227"/>
      <c r="AK688" s="227"/>
      <c r="AL688" s="227"/>
      <c r="AM688" s="227"/>
      <c r="AN688" s="227"/>
      <c r="AO688" s="227"/>
      <c r="AP688" s="227"/>
      <c r="AQ688" s="227"/>
      <c r="AR688" s="227"/>
      <c r="AS688" s="227"/>
      <c r="AT688" s="227"/>
      <c r="AU688" s="227"/>
      <c r="AV688" s="227"/>
      <c r="AW688" s="227"/>
      <c r="AX688" s="227"/>
      <c r="AY688" s="227"/>
      <c r="AZ688" s="227"/>
      <c r="BA688" s="227"/>
      <c r="BB688" s="227"/>
      <c r="BC688" s="227"/>
      <c r="BD688" s="12"/>
      <c r="BE688" s="12"/>
      <c r="BF688" s="12"/>
      <c r="BG688" s="12"/>
      <c r="BH688" s="12"/>
      <c r="BI688" s="12"/>
      <c r="BJ688" s="12"/>
      <c r="BK688" s="12"/>
      <c r="BL688" s="12"/>
    </row>
    <row r="689" spans="1:64" ht="12" hidden="1" customHeight="1" outlineLevel="1">
      <c r="A689" s="9"/>
      <c r="B689" s="9"/>
      <c r="C689" s="9"/>
      <c r="D689" s="278">
        <f>Asset26</f>
        <v>0</v>
      </c>
      <c r="E689" s="9"/>
      <c r="F689" s="9"/>
      <c r="G689" s="207">
        <f t="shared" si="79"/>
        <v>0</v>
      </c>
      <c r="H689" s="114">
        <f>H$413*H$7</f>
        <v>0</v>
      </c>
      <c r="I689" s="114">
        <f t="shared" ref="I689:Q689" si="85">I$413*I$7</f>
        <v>0</v>
      </c>
      <c r="J689" s="114">
        <f t="shared" si="85"/>
        <v>0</v>
      </c>
      <c r="K689" s="114">
        <f t="shared" si="85"/>
        <v>0</v>
      </c>
      <c r="L689" s="114">
        <f t="shared" si="85"/>
        <v>0</v>
      </c>
      <c r="M689" s="114">
        <f t="shared" si="85"/>
        <v>0</v>
      </c>
      <c r="N689" s="114">
        <f t="shared" si="85"/>
        <v>0</v>
      </c>
      <c r="O689" s="114">
        <f t="shared" si="85"/>
        <v>0</v>
      </c>
      <c r="P689" s="114">
        <f t="shared" si="85"/>
        <v>0</v>
      </c>
      <c r="Q689" s="114">
        <f t="shared" si="85"/>
        <v>0</v>
      </c>
      <c r="R689" s="9"/>
      <c r="S689" s="12"/>
      <c r="T689" s="12"/>
      <c r="U689" s="12"/>
      <c r="V689" s="12"/>
      <c r="W689" s="12"/>
      <c r="X689" s="12"/>
      <c r="Y689" s="12"/>
      <c r="Z689" s="12"/>
      <c r="AA689" s="227"/>
      <c r="AB689" s="227"/>
      <c r="AC689" s="227"/>
      <c r="AD689" s="227"/>
      <c r="AE689" s="227"/>
      <c r="AF689" s="227"/>
      <c r="AG689" s="227"/>
      <c r="AH689" s="227"/>
      <c r="AI689" s="227"/>
      <c r="AJ689" s="227"/>
      <c r="AK689" s="227"/>
      <c r="AL689" s="227"/>
      <c r="AM689" s="227"/>
      <c r="AN689" s="227"/>
      <c r="AO689" s="227"/>
      <c r="AP689" s="227"/>
      <c r="AQ689" s="227"/>
      <c r="AR689" s="227"/>
      <c r="AS689" s="227"/>
      <c r="AT689" s="227"/>
      <c r="AU689" s="227"/>
      <c r="AV689" s="227"/>
      <c r="AW689" s="227"/>
      <c r="AX689" s="227"/>
      <c r="AY689" s="227"/>
      <c r="AZ689" s="227"/>
      <c r="BA689" s="227"/>
      <c r="BB689" s="227"/>
      <c r="BC689" s="227"/>
      <c r="BD689" s="12"/>
      <c r="BE689" s="12"/>
      <c r="BF689" s="12"/>
      <c r="BG689" s="12"/>
      <c r="BH689" s="12"/>
      <c r="BI689" s="12"/>
      <c r="BJ689" s="12"/>
      <c r="BK689" s="12"/>
      <c r="BL689" s="12"/>
    </row>
    <row r="690" spans="1:64" ht="12" hidden="1" customHeight="1" outlineLevel="1">
      <c r="A690" s="9"/>
      <c r="B690" s="9"/>
      <c r="C690" s="9"/>
      <c r="D690" s="278">
        <f>Asset27</f>
        <v>0</v>
      </c>
      <c r="E690" s="9"/>
      <c r="F690" s="9"/>
      <c r="G690" s="207">
        <f t="shared" si="79"/>
        <v>0</v>
      </c>
      <c r="H690" s="114">
        <f>H$426*H$7</f>
        <v>0</v>
      </c>
      <c r="I690" s="114">
        <f t="shared" ref="I690:Q690" si="86">I$426*I$7</f>
        <v>0</v>
      </c>
      <c r="J690" s="114">
        <f t="shared" si="86"/>
        <v>0</v>
      </c>
      <c r="K690" s="114">
        <f t="shared" si="86"/>
        <v>0</v>
      </c>
      <c r="L690" s="114">
        <f t="shared" si="86"/>
        <v>0</v>
      </c>
      <c r="M690" s="114">
        <f t="shared" si="86"/>
        <v>0</v>
      </c>
      <c r="N690" s="114">
        <f t="shared" si="86"/>
        <v>0</v>
      </c>
      <c r="O690" s="114">
        <f t="shared" si="86"/>
        <v>0</v>
      </c>
      <c r="P690" s="114">
        <f t="shared" si="86"/>
        <v>0</v>
      </c>
      <c r="Q690" s="114">
        <f t="shared" si="86"/>
        <v>0</v>
      </c>
      <c r="R690" s="9"/>
      <c r="S690" s="12"/>
      <c r="T690" s="12"/>
      <c r="U690" s="12"/>
      <c r="V690" s="12"/>
      <c r="W690" s="12"/>
      <c r="X690" s="12"/>
      <c r="Y690" s="12"/>
      <c r="Z690" s="12"/>
      <c r="AA690" s="227"/>
      <c r="AB690" s="227"/>
      <c r="AC690" s="227"/>
      <c r="AD690" s="227"/>
      <c r="AE690" s="227"/>
      <c r="AF690" s="227"/>
      <c r="AG690" s="227"/>
      <c r="AH690" s="227"/>
      <c r="AI690" s="227"/>
      <c r="AJ690" s="227"/>
      <c r="AK690" s="227"/>
      <c r="AL690" s="227"/>
      <c r="AM690" s="227"/>
      <c r="AN690" s="227"/>
      <c r="AO690" s="227"/>
      <c r="AP690" s="227"/>
      <c r="AQ690" s="227"/>
      <c r="AR690" s="227"/>
      <c r="AS690" s="227"/>
      <c r="AT690" s="227"/>
      <c r="AU690" s="227"/>
      <c r="AV690" s="227"/>
      <c r="AW690" s="227"/>
      <c r="AX690" s="227"/>
      <c r="AY690" s="227"/>
      <c r="AZ690" s="227"/>
      <c r="BA690" s="227"/>
      <c r="BB690" s="227"/>
      <c r="BC690" s="227"/>
      <c r="BD690" s="12"/>
      <c r="BE690" s="12"/>
      <c r="BF690" s="12"/>
      <c r="BG690" s="12"/>
      <c r="BH690" s="12"/>
      <c r="BI690" s="12"/>
      <c r="BJ690" s="12"/>
      <c r="BK690" s="12"/>
      <c r="BL690" s="12"/>
    </row>
    <row r="691" spans="1:64" ht="12" hidden="1" customHeight="1" outlineLevel="1">
      <c r="A691" s="9"/>
      <c r="B691" s="9"/>
      <c r="C691" s="9"/>
      <c r="D691" s="278">
        <f>Asset28</f>
        <v>0</v>
      </c>
      <c r="E691" s="9"/>
      <c r="F691" s="9"/>
      <c r="G691" s="207">
        <f t="shared" si="79"/>
        <v>0</v>
      </c>
      <c r="H691" s="114">
        <f>H$439*H$7</f>
        <v>0</v>
      </c>
      <c r="I691" s="114">
        <f t="shared" ref="I691:Q691" si="87">I$439*I$7</f>
        <v>0</v>
      </c>
      <c r="J691" s="114">
        <f t="shared" si="87"/>
        <v>0</v>
      </c>
      <c r="K691" s="114">
        <f t="shared" si="87"/>
        <v>0</v>
      </c>
      <c r="L691" s="114">
        <f t="shared" si="87"/>
        <v>0</v>
      </c>
      <c r="M691" s="114">
        <f t="shared" si="87"/>
        <v>0</v>
      </c>
      <c r="N691" s="114">
        <f t="shared" si="87"/>
        <v>0</v>
      </c>
      <c r="O691" s="114">
        <f t="shared" si="87"/>
        <v>0</v>
      </c>
      <c r="P691" s="114">
        <f t="shared" si="87"/>
        <v>0</v>
      </c>
      <c r="Q691" s="114">
        <f t="shared" si="87"/>
        <v>0</v>
      </c>
      <c r="R691" s="9"/>
      <c r="S691" s="12"/>
      <c r="T691" s="12"/>
      <c r="U691" s="12"/>
      <c r="V691" s="12"/>
      <c r="W691" s="12"/>
      <c r="X691" s="12"/>
      <c r="Y691" s="12"/>
      <c r="Z691" s="12"/>
      <c r="AA691" s="227"/>
      <c r="AB691" s="227"/>
      <c r="AC691" s="227"/>
      <c r="AD691" s="227"/>
      <c r="AE691" s="227"/>
      <c r="AF691" s="227"/>
      <c r="AG691" s="227"/>
      <c r="AH691" s="227"/>
      <c r="AI691" s="227"/>
      <c r="AJ691" s="227"/>
      <c r="AK691" s="227"/>
      <c r="AL691" s="227"/>
      <c r="AM691" s="227"/>
      <c r="AN691" s="227"/>
      <c r="AO691" s="227"/>
      <c r="AP691" s="227"/>
      <c r="AQ691" s="227"/>
      <c r="AR691" s="227"/>
      <c r="AS691" s="227"/>
      <c r="AT691" s="227"/>
      <c r="AU691" s="227"/>
      <c r="AV691" s="227"/>
      <c r="AW691" s="227"/>
      <c r="AX691" s="227"/>
      <c r="AY691" s="227"/>
      <c r="AZ691" s="227"/>
      <c r="BA691" s="227"/>
      <c r="BB691" s="227"/>
      <c r="BC691" s="227"/>
      <c r="BD691" s="12"/>
      <c r="BE691" s="12"/>
      <c r="BF691" s="12"/>
      <c r="BG691" s="12"/>
      <c r="BH691" s="12"/>
      <c r="BI691" s="12"/>
      <c r="BJ691" s="12"/>
      <c r="BK691" s="12"/>
      <c r="BL691" s="12"/>
    </row>
    <row r="692" spans="1:64" ht="12" hidden="1" customHeight="1" outlineLevel="1">
      <c r="A692" s="9"/>
      <c r="B692" s="9"/>
      <c r="C692" s="9"/>
      <c r="D692" s="278">
        <f>Asset29</f>
        <v>0</v>
      </c>
      <c r="E692" s="9"/>
      <c r="F692" s="9"/>
      <c r="G692" s="207">
        <f t="shared" si="79"/>
        <v>0</v>
      </c>
      <c r="H692" s="114">
        <f>H$452*H$7</f>
        <v>0</v>
      </c>
      <c r="I692" s="114">
        <f t="shared" ref="I692:Q692" si="88">I$452*I$7</f>
        <v>0</v>
      </c>
      <c r="J692" s="114">
        <f t="shared" si="88"/>
        <v>0</v>
      </c>
      <c r="K692" s="114">
        <f t="shared" si="88"/>
        <v>0</v>
      </c>
      <c r="L692" s="114">
        <f t="shared" si="88"/>
        <v>0</v>
      </c>
      <c r="M692" s="114">
        <f t="shared" si="88"/>
        <v>0</v>
      </c>
      <c r="N692" s="114">
        <f t="shared" si="88"/>
        <v>0</v>
      </c>
      <c r="O692" s="114">
        <f t="shared" si="88"/>
        <v>0</v>
      </c>
      <c r="P692" s="114">
        <f t="shared" si="88"/>
        <v>0</v>
      </c>
      <c r="Q692" s="114">
        <f t="shared" si="88"/>
        <v>0</v>
      </c>
      <c r="R692" s="9"/>
      <c r="S692" s="12"/>
      <c r="T692" s="12"/>
      <c r="U692" s="12"/>
      <c r="V692" s="12"/>
      <c r="W692" s="12"/>
      <c r="X692" s="12"/>
      <c r="Y692" s="12"/>
      <c r="Z692" s="12"/>
      <c r="AA692" s="227"/>
      <c r="AB692" s="227"/>
      <c r="AC692" s="227"/>
      <c r="AD692" s="227"/>
      <c r="AE692" s="227"/>
      <c r="AF692" s="227"/>
      <c r="AG692" s="227"/>
      <c r="AH692" s="227"/>
      <c r="AI692" s="227"/>
      <c r="AJ692" s="227"/>
      <c r="AK692" s="227"/>
      <c r="AL692" s="227"/>
      <c r="AM692" s="227"/>
      <c r="AN692" s="227"/>
      <c r="AO692" s="227"/>
      <c r="AP692" s="227"/>
      <c r="AQ692" s="227"/>
      <c r="AR692" s="227"/>
      <c r="AS692" s="227"/>
      <c r="AT692" s="227"/>
      <c r="AU692" s="227"/>
      <c r="AV692" s="227"/>
      <c r="AW692" s="227"/>
      <c r="AX692" s="227"/>
      <c r="AY692" s="227"/>
      <c r="AZ692" s="227"/>
      <c r="BA692" s="227"/>
      <c r="BB692" s="227"/>
      <c r="BC692" s="227"/>
      <c r="BD692" s="12"/>
      <c r="BE692" s="12"/>
      <c r="BF692" s="12"/>
      <c r="BG692" s="12"/>
      <c r="BH692" s="12"/>
      <c r="BI692" s="12"/>
      <c r="BJ692" s="12"/>
      <c r="BK692" s="12"/>
      <c r="BL692" s="12"/>
    </row>
    <row r="693" spans="1:64" ht="12" hidden="1" customHeight="1" outlineLevel="1">
      <c r="A693" s="9"/>
      <c r="B693" s="9"/>
      <c r="C693" s="9"/>
      <c r="D693" s="278">
        <f>Asset30</f>
        <v>0</v>
      </c>
      <c r="E693" s="9"/>
      <c r="F693" s="9"/>
      <c r="G693" s="207">
        <f>-(G725-G563)</f>
        <v>0</v>
      </c>
      <c r="H693" s="114">
        <f>H$465*H$7</f>
        <v>0</v>
      </c>
      <c r="I693" s="114">
        <f t="shared" ref="I693:P693" si="89">I$465*I$7</f>
        <v>0</v>
      </c>
      <c r="J693" s="114">
        <f t="shared" si="89"/>
        <v>0</v>
      </c>
      <c r="K693" s="114">
        <f t="shared" si="89"/>
        <v>0</v>
      </c>
      <c r="L693" s="114">
        <f t="shared" si="89"/>
        <v>0</v>
      </c>
      <c r="M693" s="114">
        <f t="shared" si="89"/>
        <v>0</v>
      </c>
      <c r="N693" s="114">
        <f t="shared" si="89"/>
        <v>0</v>
      </c>
      <c r="O693" s="114">
        <f t="shared" si="89"/>
        <v>0</v>
      </c>
      <c r="P693" s="114">
        <f t="shared" si="89"/>
        <v>0</v>
      </c>
      <c r="Q693" s="114">
        <f>Q$465*Q$7</f>
        <v>0</v>
      </c>
      <c r="R693" s="9"/>
      <c r="S693" s="12"/>
      <c r="T693" s="12"/>
      <c r="U693" s="12"/>
      <c r="V693" s="12"/>
      <c r="W693" s="12"/>
      <c r="X693" s="12"/>
      <c r="Y693" s="12"/>
      <c r="Z693" s="12"/>
      <c r="AA693" s="227"/>
      <c r="AB693" s="227"/>
      <c r="AC693" s="227"/>
      <c r="AD693" s="227"/>
      <c r="AE693" s="227"/>
      <c r="AF693" s="227"/>
      <c r="AG693" s="227"/>
      <c r="AH693" s="227"/>
      <c r="AI693" s="227"/>
      <c r="AJ693" s="227"/>
      <c r="AK693" s="227"/>
      <c r="AL693" s="227"/>
      <c r="AM693" s="227"/>
      <c r="AN693" s="227"/>
      <c r="AO693" s="227"/>
      <c r="AP693" s="227"/>
      <c r="AQ693" s="227"/>
      <c r="AR693" s="227"/>
      <c r="AS693" s="227"/>
      <c r="AT693" s="227"/>
      <c r="AU693" s="227"/>
      <c r="AV693" s="227"/>
      <c r="AW693" s="227"/>
      <c r="AX693" s="227"/>
      <c r="AY693" s="227"/>
      <c r="AZ693" s="227"/>
      <c r="BA693" s="227"/>
      <c r="BB693" s="227"/>
      <c r="BC693" s="227"/>
      <c r="BD693" s="12"/>
      <c r="BE693" s="12"/>
      <c r="BF693" s="12"/>
      <c r="BG693" s="12"/>
      <c r="BH693" s="12"/>
      <c r="BI693" s="12"/>
      <c r="BJ693" s="12"/>
      <c r="BK693" s="12"/>
      <c r="BL693" s="12"/>
    </row>
    <row r="694" spans="1:64" ht="12" customHeight="1" collapsed="1">
      <c r="A694" s="9"/>
      <c r="B694" s="9"/>
      <c r="C694" s="9"/>
      <c r="D694" s="9"/>
      <c r="E694" s="9"/>
      <c r="F694" s="9"/>
      <c r="G694" s="215"/>
      <c r="H694" s="9"/>
      <c r="I694" s="9"/>
      <c r="J694" s="9"/>
      <c r="K694" s="9"/>
      <c r="L694" s="9"/>
      <c r="M694" s="9"/>
      <c r="N694" s="9"/>
      <c r="O694" s="9"/>
      <c r="P694" s="9"/>
      <c r="Q694" s="9"/>
      <c r="R694" s="9"/>
      <c r="S694" s="12"/>
      <c r="T694" s="12"/>
      <c r="U694" s="12"/>
      <c r="V694" s="12"/>
      <c r="W694" s="12"/>
      <c r="X694" s="12"/>
      <c r="Y694" s="12"/>
      <c r="Z694" s="12"/>
      <c r="AA694" s="227"/>
      <c r="AB694" s="227"/>
      <c r="AC694" s="227"/>
      <c r="AD694" s="227"/>
      <c r="AE694" s="227"/>
      <c r="AF694" s="227"/>
      <c r="AG694" s="227"/>
      <c r="AH694" s="227"/>
      <c r="AI694" s="227"/>
      <c r="AJ694" s="227"/>
      <c r="AK694" s="227"/>
      <c r="AL694" s="227"/>
      <c r="AM694" s="227"/>
      <c r="AN694" s="227"/>
      <c r="AO694" s="227"/>
      <c r="AP694" s="227"/>
      <c r="AQ694" s="227"/>
      <c r="AR694" s="227"/>
      <c r="AS694" s="227"/>
      <c r="AT694" s="227"/>
      <c r="AU694" s="227"/>
      <c r="AV694" s="227"/>
      <c r="AW694" s="227"/>
      <c r="AX694" s="227"/>
      <c r="AY694" s="227"/>
      <c r="AZ694" s="227"/>
      <c r="BA694" s="227"/>
      <c r="BB694" s="227"/>
      <c r="BC694" s="227"/>
      <c r="BD694" s="12"/>
      <c r="BE694" s="12"/>
      <c r="BF694" s="12"/>
      <c r="BG694" s="12"/>
      <c r="BH694" s="12"/>
      <c r="BI694" s="12"/>
      <c r="BJ694" s="12"/>
      <c r="BK694" s="12"/>
      <c r="BL694" s="12"/>
    </row>
    <row r="695" spans="1:64" ht="12" customHeight="1">
      <c r="A695" s="9"/>
      <c r="B695" s="12"/>
      <c r="C695" s="94" t="s">
        <v>42</v>
      </c>
      <c r="D695" s="12"/>
      <c r="E695" s="12"/>
      <c r="F695" s="12"/>
      <c r="G695" s="211">
        <f>SUM(G696:G725)</f>
        <v>20.973665849671004</v>
      </c>
      <c r="H695" s="121">
        <f>SUM(H696:H725)</f>
        <v>27.478545647557979</v>
      </c>
      <c r="I695" s="121">
        <f t="shared" ref="I695:P695" si="90">SUM(I696:I725)</f>
        <v>35.620280046891509</v>
      </c>
      <c r="J695" s="121">
        <f t="shared" si="90"/>
        <v>18.554575036845112</v>
      </c>
      <c r="K695" s="121">
        <f t="shared" si="90"/>
        <v>31.806318508180542</v>
      </c>
      <c r="L695" s="121">
        <f t="shared" si="90"/>
        <v>33.387386832236842</v>
      </c>
      <c r="M695" s="121">
        <f t="shared" si="90"/>
        <v>0</v>
      </c>
      <c r="N695" s="121">
        <f t="shared" si="90"/>
        <v>0</v>
      </c>
      <c r="O695" s="121">
        <f t="shared" si="90"/>
        <v>0</v>
      </c>
      <c r="P695" s="121">
        <f t="shared" si="90"/>
        <v>0</v>
      </c>
      <c r="Q695" s="121">
        <f>SUM(Q696:Q725)</f>
        <v>0</v>
      </c>
      <c r="R695" s="9"/>
      <c r="S695" s="12"/>
      <c r="T695" s="12"/>
      <c r="U695" s="12"/>
      <c r="V695" s="12"/>
      <c r="W695" s="12"/>
      <c r="X695" s="12"/>
      <c r="Y695" s="12"/>
      <c r="Z695" s="12"/>
      <c r="AA695" s="227"/>
      <c r="AB695" s="227"/>
      <c r="AC695" s="227"/>
      <c r="AD695" s="227"/>
      <c r="AE695" s="227"/>
      <c r="AF695" s="227"/>
      <c r="AG695" s="227"/>
      <c r="AH695" s="227"/>
      <c r="AI695" s="227"/>
      <c r="AJ695" s="227"/>
      <c r="AK695" s="227"/>
      <c r="AL695" s="227"/>
      <c r="AM695" s="227"/>
      <c r="AN695" s="227"/>
      <c r="AO695" s="227"/>
      <c r="AP695" s="227"/>
      <c r="AQ695" s="227"/>
      <c r="AR695" s="227"/>
      <c r="AS695" s="227"/>
      <c r="AT695" s="227"/>
      <c r="AU695" s="227"/>
      <c r="AV695" s="227"/>
      <c r="AW695" s="227"/>
      <c r="AX695" s="227"/>
      <c r="AY695" s="227"/>
      <c r="AZ695" s="227"/>
      <c r="BA695" s="227"/>
      <c r="BB695" s="227"/>
      <c r="BC695" s="227"/>
      <c r="BD695" s="12"/>
      <c r="BE695" s="12"/>
      <c r="BF695" s="12"/>
      <c r="BG695" s="12"/>
      <c r="BH695" s="12"/>
      <c r="BI695" s="12"/>
      <c r="BJ695" s="12"/>
      <c r="BK695" s="12"/>
      <c r="BL695" s="12"/>
    </row>
    <row r="696" spans="1:64" ht="12" hidden="1" customHeight="1" outlineLevel="1">
      <c r="A696" s="9"/>
      <c r="B696" s="9"/>
      <c r="C696" s="9"/>
      <c r="D696" s="278" t="str">
        <f>Asset1</f>
        <v>Transmission Lines and Cables</v>
      </c>
      <c r="E696" s="9"/>
      <c r="F696" s="9"/>
      <c r="G696" s="207">
        <f>G470*G$6</f>
        <v>7.4409380339197249</v>
      </c>
      <c r="H696" s="114">
        <f>H470*H$6</f>
        <v>8.4821687642375974</v>
      </c>
      <c r="I696" s="114">
        <f t="shared" ref="H696:L705" si="91">I470*I$6</f>
        <v>9.5957796247843241</v>
      </c>
      <c r="J696" s="114">
        <f t="shared" si="91"/>
        <v>4.480510031432356</v>
      </c>
      <c r="K696" s="114">
        <f t="shared" si="91"/>
        <v>6.8074361576070244</v>
      </c>
      <c r="L696" s="114">
        <f t="shared" si="91"/>
        <v>6.5787534212911529</v>
      </c>
      <c r="M696" s="114">
        <f>IF(COUNT($H696:L696)&gt;=Input!$W$7,0,M470*M$6)</f>
        <v>0</v>
      </c>
      <c r="N696" s="114">
        <f>IF(COUNT($H696:M696)&gt;=Input!$W$7,0,N470*N$6)</f>
        <v>0</v>
      </c>
      <c r="O696" s="114">
        <f>IF(COUNT($H696:N696)&gt;=Input!$W$7,0,O470*O$6)</f>
        <v>0</v>
      </c>
      <c r="P696" s="114">
        <f>IF(COUNT($H696:O696)&gt;=Input!$W$7,0,P470*P$6)</f>
        <v>0</v>
      </c>
      <c r="Q696" s="114">
        <f>IF(COUNT($H696:P696)&gt;=Input!$W$7,0,Q470*Q$6)</f>
        <v>0</v>
      </c>
      <c r="R696" s="9"/>
      <c r="S696" s="12"/>
      <c r="T696" s="12"/>
      <c r="U696" s="12"/>
      <c r="V696" s="12"/>
      <c r="W696" s="12"/>
      <c r="X696" s="12"/>
      <c r="Y696" s="12"/>
      <c r="Z696" s="12"/>
      <c r="AA696" s="227"/>
      <c r="AB696" s="227"/>
      <c r="AC696" s="227"/>
      <c r="AD696" s="227"/>
      <c r="AE696" s="227"/>
      <c r="AF696" s="227"/>
      <c r="AG696" s="227"/>
      <c r="AH696" s="227"/>
      <c r="AI696" s="227"/>
      <c r="AJ696" s="227"/>
      <c r="AK696" s="227"/>
      <c r="AL696" s="227"/>
      <c r="AM696" s="227"/>
      <c r="AN696" s="227"/>
      <c r="AO696" s="227"/>
      <c r="AP696" s="227"/>
      <c r="AQ696" s="227"/>
      <c r="AR696" s="227"/>
      <c r="AS696" s="227"/>
      <c r="AT696" s="227"/>
      <c r="AU696" s="227"/>
      <c r="AV696" s="227"/>
      <c r="AW696" s="227"/>
      <c r="AX696" s="227"/>
      <c r="AY696" s="227"/>
      <c r="AZ696" s="227"/>
      <c r="BA696" s="227"/>
      <c r="BB696" s="227"/>
      <c r="BC696" s="227"/>
      <c r="BD696" s="12"/>
      <c r="BE696" s="12"/>
      <c r="BF696" s="12"/>
      <c r="BG696" s="12"/>
      <c r="BH696" s="12"/>
      <c r="BI696" s="12"/>
      <c r="BJ696" s="12"/>
      <c r="BK696" s="12"/>
      <c r="BL696" s="12"/>
    </row>
    <row r="697" spans="1:64" hidden="1" outlineLevel="1">
      <c r="A697" s="9"/>
      <c r="B697" s="9"/>
      <c r="C697" s="9"/>
      <c r="D697" s="278" t="str">
        <f>Asset2</f>
        <v>Transmission Substations</v>
      </c>
      <c r="E697" s="9"/>
      <c r="F697" s="9"/>
      <c r="G697" s="207">
        <f t="shared" ref="G697:G714" si="92">G471*G$6</f>
        <v>8.8885648860530804</v>
      </c>
      <c r="H697" s="114">
        <f t="shared" si="91"/>
        <v>11.309357680296843</v>
      </c>
      <c r="I697" s="114">
        <f t="shared" si="91"/>
        <v>12.954800036324317</v>
      </c>
      <c r="J697" s="114">
        <f t="shared" si="91"/>
        <v>6.1225410413499635</v>
      </c>
      <c r="K697" s="114">
        <f t="shared" si="91"/>
        <v>9.4433912967791453</v>
      </c>
      <c r="L697" s="114">
        <f t="shared" si="91"/>
        <v>9.2855172513398401</v>
      </c>
      <c r="M697" s="114">
        <f>IF(COUNT($H697:L697)&gt;=Input!$W$7,0,M471*M$6)</f>
        <v>0</v>
      </c>
      <c r="N697" s="114">
        <f>IF(COUNT($H697:M697)&gt;=Input!$W$7,0,N471*N$6)</f>
        <v>0</v>
      </c>
      <c r="O697" s="114">
        <f>IF(COUNT($H697:N697)&gt;=Input!$W$7,0,O471*O$6)</f>
        <v>0</v>
      </c>
      <c r="P697" s="114">
        <f>IF(COUNT($H697:O697)&gt;=Input!$W$7,0,P471*P$6)</f>
        <v>0</v>
      </c>
      <c r="Q697" s="114">
        <f>IF(COUNT($H697:P697)&gt;=Input!$W$7,0,Q471*Q$6)</f>
        <v>0</v>
      </c>
      <c r="R697" s="29"/>
      <c r="S697" s="104"/>
      <c r="T697" s="104"/>
      <c r="U697" s="104"/>
      <c r="V697" s="104"/>
      <c r="W697" s="104"/>
      <c r="X697" s="104"/>
      <c r="Y697" s="104"/>
      <c r="Z697" s="104"/>
      <c r="AA697" s="235"/>
      <c r="AB697" s="235"/>
      <c r="AC697" s="235"/>
      <c r="AD697" s="235"/>
      <c r="AE697" s="235"/>
      <c r="AF697" s="235"/>
      <c r="AG697" s="235"/>
      <c r="AH697" s="235"/>
      <c r="AI697" s="235"/>
      <c r="AJ697" s="235"/>
      <c r="AK697" s="235"/>
      <c r="AL697" s="235"/>
      <c r="AM697" s="235"/>
      <c r="AN697" s="235"/>
      <c r="AO697" s="235"/>
      <c r="AP697" s="235"/>
      <c r="AQ697" s="235"/>
      <c r="AR697" s="235"/>
      <c r="AS697" s="235"/>
      <c r="AT697" s="235"/>
      <c r="AU697" s="235"/>
      <c r="AV697" s="235"/>
      <c r="AW697" s="235"/>
      <c r="AX697" s="235"/>
      <c r="AY697" s="235"/>
      <c r="AZ697" s="235"/>
      <c r="BA697" s="235"/>
      <c r="BB697" s="235"/>
      <c r="BC697" s="235"/>
      <c r="BD697" s="104"/>
      <c r="BE697" s="104"/>
      <c r="BF697" s="104"/>
      <c r="BG697" s="104"/>
      <c r="BH697" s="104"/>
      <c r="BI697" s="104"/>
      <c r="BJ697" s="104"/>
      <c r="BK697" s="12"/>
      <c r="BL697" s="12"/>
    </row>
    <row r="698" spans="1:64" ht="12" hidden="1" customHeight="1" outlineLevel="1">
      <c r="A698" s="9"/>
      <c r="B698" s="9"/>
      <c r="C698" s="9"/>
      <c r="D698" s="278" t="str">
        <f>Asset3</f>
        <v>Protection and Control</v>
      </c>
      <c r="E698" s="9"/>
      <c r="F698" s="9"/>
      <c r="G698" s="207">
        <f t="shared" si="92"/>
        <v>0.95889027039944585</v>
      </c>
      <c r="H698" s="114">
        <f t="shared" si="91"/>
        <v>1.4396033732121458</v>
      </c>
      <c r="I698" s="114">
        <f t="shared" si="91"/>
        <v>1.5112171498208851</v>
      </c>
      <c r="J698" s="114">
        <f t="shared" si="91"/>
        <v>0.6446213562856431</v>
      </c>
      <c r="K698" s="114">
        <f t="shared" si="91"/>
        <v>0.87594615333108095</v>
      </c>
      <c r="L698" s="114">
        <f t="shared" si="91"/>
        <v>0.73641375299093614</v>
      </c>
      <c r="M698" s="114">
        <f>IF(COUNT($H698:L698)&gt;=Input!$W$7,0,M472*M$6)</f>
        <v>0</v>
      </c>
      <c r="N698" s="114">
        <f>IF(COUNT($H698:M698)&gt;=Input!$W$7,0,N472*N$6)</f>
        <v>0</v>
      </c>
      <c r="O698" s="114">
        <f>IF(COUNT($H698:N698)&gt;=Input!$W$7,0,O472*O$6)</f>
        <v>0</v>
      </c>
      <c r="P698" s="114">
        <f>IF(COUNT($H698:O698)&gt;=Input!$W$7,0,P472*P$6)</f>
        <v>0</v>
      </c>
      <c r="Q698" s="114">
        <f>IF(COUNT($H698:P698)&gt;=Input!$W$7,0,Q472*Q$6)</f>
        <v>0</v>
      </c>
      <c r="R698" s="9"/>
      <c r="S698" s="12"/>
      <c r="T698" s="12"/>
      <c r="U698" s="12"/>
      <c r="V698" s="12"/>
      <c r="W698" s="12"/>
      <c r="X698" s="12"/>
      <c r="Y698" s="12"/>
      <c r="Z698" s="12"/>
      <c r="AA698" s="227"/>
      <c r="AB698" s="227"/>
      <c r="AC698" s="227"/>
      <c r="AD698" s="227"/>
      <c r="AE698" s="227"/>
      <c r="AF698" s="227"/>
      <c r="AG698" s="227"/>
      <c r="AH698" s="227"/>
      <c r="AI698" s="227"/>
      <c r="AJ698" s="227"/>
      <c r="AK698" s="227"/>
      <c r="AL698" s="227"/>
      <c r="AM698" s="227"/>
      <c r="AN698" s="227"/>
      <c r="AO698" s="227"/>
      <c r="AP698" s="227"/>
      <c r="AQ698" s="227"/>
      <c r="AR698" s="227"/>
      <c r="AS698" s="227"/>
      <c r="AT698" s="227"/>
      <c r="AU698" s="227"/>
      <c r="AV698" s="227"/>
      <c r="AW698" s="227"/>
      <c r="AX698" s="227"/>
      <c r="AY698" s="227"/>
      <c r="AZ698" s="227"/>
      <c r="BA698" s="227"/>
      <c r="BB698" s="227"/>
      <c r="BC698" s="227"/>
      <c r="BD698" s="12"/>
      <c r="BE698" s="12"/>
      <c r="BF698" s="12"/>
      <c r="BG698" s="12"/>
      <c r="BH698" s="12"/>
      <c r="BI698" s="12"/>
      <c r="BJ698" s="12"/>
      <c r="BK698" s="12"/>
      <c r="BL698" s="12"/>
    </row>
    <row r="699" spans="1:64" ht="12" hidden="1" customHeight="1" outlineLevel="1">
      <c r="A699" s="9"/>
      <c r="B699" s="9"/>
      <c r="C699" s="9"/>
      <c r="D699" s="278" t="str">
        <f>Asset4</f>
        <v>Refurbishment</v>
      </c>
      <c r="E699" s="9"/>
      <c r="F699" s="9"/>
      <c r="G699" s="207">
        <f t="shared" si="92"/>
        <v>1.1026856796234739</v>
      </c>
      <c r="H699" s="114">
        <f t="shared" si="91"/>
        <v>0.6545884241330916</v>
      </c>
      <c r="I699" s="114">
        <f t="shared" si="91"/>
        <v>0.70003270165505116</v>
      </c>
      <c r="J699" s="114">
        <f t="shared" si="91"/>
        <v>0.30607177476687369</v>
      </c>
      <c r="K699" s="114">
        <f t="shared" si="91"/>
        <v>0.42933346267299111</v>
      </c>
      <c r="L699" s="114">
        <f t="shared" si="91"/>
        <v>0.3770303185093753</v>
      </c>
      <c r="M699" s="114">
        <f>IF(COUNT($H699:L699)&gt;=Input!$W$7,0,M473*M$6)</f>
        <v>0</v>
      </c>
      <c r="N699" s="114">
        <f>IF(COUNT($H699:M699)&gt;=Input!$W$7,0,N473*N$6)</f>
        <v>0</v>
      </c>
      <c r="O699" s="114">
        <f>IF(COUNT($H699:N699)&gt;=Input!$W$7,0,O473*O$6)</f>
        <v>0</v>
      </c>
      <c r="P699" s="114">
        <f>IF(COUNT($H699:O699)&gt;=Input!$W$7,0,P473*P$6)</f>
        <v>0</v>
      </c>
      <c r="Q699" s="114">
        <f>IF(COUNT($H699:P699)&gt;=Input!$W$7,0,Q473*Q$6)</f>
        <v>0</v>
      </c>
      <c r="R699" s="9"/>
      <c r="S699" s="12"/>
      <c r="T699" s="12"/>
      <c r="U699" s="12"/>
      <c r="V699" s="12"/>
      <c r="W699" s="12"/>
      <c r="X699" s="12"/>
      <c r="Y699" s="12"/>
      <c r="Z699" s="12"/>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7"/>
      <c r="AY699" s="227"/>
      <c r="AZ699" s="227"/>
      <c r="BA699" s="227"/>
      <c r="BB699" s="227"/>
      <c r="BC699" s="227"/>
      <c r="BD699" s="12"/>
      <c r="BE699" s="12"/>
      <c r="BF699" s="12"/>
      <c r="BG699" s="12"/>
      <c r="BH699" s="12"/>
      <c r="BI699" s="12"/>
      <c r="BJ699" s="12"/>
      <c r="BK699" s="12"/>
      <c r="BL699" s="12"/>
    </row>
    <row r="700" spans="1:64" ht="12" hidden="1" customHeight="1" outlineLevel="1">
      <c r="A700" s="9"/>
      <c r="B700" s="9"/>
      <c r="C700" s="9"/>
      <c r="D700" s="278" t="str">
        <f>Asset5</f>
        <v>Other</v>
      </c>
      <c r="E700" s="9"/>
      <c r="F700" s="9"/>
      <c r="G700" s="207">
        <f t="shared" si="92"/>
        <v>0.29771417171209974</v>
      </c>
      <c r="H700" s="114">
        <f t="shared" si="91"/>
        <v>0.28734491740762946</v>
      </c>
      <c r="I700" s="114">
        <f t="shared" si="91"/>
        <v>0.27677556302243345</v>
      </c>
      <c r="J700" s="114">
        <f t="shared" si="91"/>
        <v>0.10443839187942562</v>
      </c>
      <c r="K700" s="114">
        <f t="shared" si="91"/>
        <v>0.11610873804991283</v>
      </c>
      <c r="L700" s="114">
        <f t="shared" si="91"/>
        <v>6.6692498085118457E-2</v>
      </c>
      <c r="M700" s="114">
        <f>IF(COUNT($H700:L700)&gt;=Input!$W$7,0,M474*M$6)</f>
        <v>0</v>
      </c>
      <c r="N700" s="114">
        <f>IF(COUNT($H700:M700)&gt;=Input!$W$7,0,N474*N$6)</f>
        <v>0</v>
      </c>
      <c r="O700" s="114">
        <f>IF(COUNT($H700:N700)&gt;=Input!$W$7,0,O474*O$6)</f>
        <v>0</v>
      </c>
      <c r="P700" s="114">
        <f>IF(COUNT($H700:O700)&gt;=Input!$W$7,0,P474*P$6)</f>
        <v>0</v>
      </c>
      <c r="Q700" s="114">
        <f>IF(COUNT($H700:P700)&gt;=Input!$W$7,0,Q474*Q$6)</f>
        <v>0</v>
      </c>
      <c r="R700" s="9"/>
      <c r="S700" s="12"/>
      <c r="T700" s="12"/>
      <c r="U700" s="12"/>
      <c r="V700" s="12"/>
      <c r="W700" s="12"/>
      <c r="X700" s="12"/>
      <c r="Y700" s="12"/>
      <c r="Z700" s="12"/>
      <c r="AA700" s="227"/>
      <c r="AB700" s="227"/>
      <c r="AC700" s="227"/>
      <c r="AD700" s="227"/>
      <c r="AE700" s="227"/>
      <c r="AF700" s="227"/>
      <c r="AG700" s="227"/>
      <c r="AH700" s="227"/>
      <c r="AI700" s="227"/>
      <c r="AJ700" s="227"/>
      <c r="AK700" s="227"/>
      <c r="AL700" s="227"/>
      <c r="AM700" s="227"/>
      <c r="AN700" s="227"/>
      <c r="AO700" s="227"/>
      <c r="AP700" s="227"/>
      <c r="AQ700" s="227"/>
      <c r="AR700" s="227"/>
      <c r="AS700" s="227"/>
      <c r="AT700" s="227"/>
      <c r="AU700" s="227"/>
      <c r="AV700" s="227"/>
      <c r="AW700" s="227"/>
      <c r="AX700" s="227"/>
      <c r="AY700" s="227"/>
      <c r="AZ700" s="227"/>
      <c r="BA700" s="227"/>
      <c r="BB700" s="227"/>
      <c r="BC700" s="227"/>
      <c r="BD700" s="12"/>
      <c r="BE700" s="12"/>
      <c r="BF700" s="12"/>
      <c r="BG700" s="12"/>
      <c r="BH700" s="12"/>
      <c r="BI700" s="12"/>
      <c r="BJ700" s="12"/>
      <c r="BK700" s="12"/>
      <c r="BL700" s="12"/>
    </row>
    <row r="701" spans="1:64" hidden="1" outlineLevel="1">
      <c r="A701" s="9"/>
      <c r="B701" s="9"/>
      <c r="C701" s="9"/>
      <c r="D701" s="278" t="str">
        <f>Asset6</f>
        <v>Other - IT</v>
      </c>
      <c r="E701" s="9"/>
      <c r="F701" s="9"/>
      <c r="G701" s="207">
        <f t="shared" si="92"/>
        <v>1.4488806654732104E-2</v>
      </c>
      <c r="H701" s="114">
        <f t="shared" si="91"/>
        <v>0.66776212128921575</v>
      </c>
      <c r="I701" s="114">
        <f t="shared" si="91"/>
        <v>0.39810993730775968</v>
      </c>
      <c r="J701" s="114">
        <f t="shared" si="91"/>
        <v>2.3499663822691376E-3</v>
      </c>
      <c r="K701" s="114">
        <f t="shared" si="91"/>
        <v>3.8154028674067934E-3</v>
      </c>
      <c r="L701" s="114">
        <f t="shared" si="91"/>
        <v>3.9530378031617285E-3</v>
      </c>
      <c r="M701" s="114">
        <f>IF(COUNT($H701:L701)&gt;=Input!$W$7,0,M475*M$6)</f>
        <v>0</v>
      </c>
      <c r="N701" s="114">
        <f>IF(COUNT($H701:M701)&gt;=Input!$W$7,0,N475*N$6)</f>
        <v>0</v>
      </c>
      <c r="O701" s="114">
        <f>IF(COUNT($H701:N701)&gt;=Input!$W$7,0,O475*O$6)</f>
        <v>0</v>
      </c>
      <c r="P701" s="114">
        <f>IF(COUNT($H701:O701)&gt;=Input!$W$7,0,P475*P$6)</f>
        <v>0</v>
      </c>
      <c r="Q701" s="114">
        <f>IF(COUNT($H701:P701)&gt;=Input!$W$7,0,Q475*Q$6)</f>
        <v>0</v>
      </c>
      <c r="R701" s="9"/>
      <c r="S701" s="12"/>
      <c r="T701" s="12"/>
      <c r="U701" s="12"/>
      <c r="V701" s="12"/>
      <c r="W701" s="12"/>
      <c r="X701" s="12"/>
      <c r="Y701" s="12"/>
      <c r="Z701" s="12"/>
      <c r="AA701" s="227"/>
      <c r="AB701" s="227"/>
      <c r="AC701" s="227"/>
      <c r="AD701" s="227"/>
      <c r="AE701" s="227"/>
      <c r="AF701" s="227"/>
      <c r="AG701" s="227"/>
      <c r="AH701" s="227"/>
      <c r="AI701" s="227"/>
      <c r="AJ701" s="227"/>
      <c r="AK701" s="227"/>
      <c r="AL701" s="227"/>
      <c r="AM701" s="227"/>
      <c r="AN701" s="227"/>
      <c r="AO701" s="227"/>
      <c r="AP701" s="227"/>
      <c r="AQ701" s="227"/>
      <c r="AR701" s="227"/>
      <c r="AS701" s="227"/>
      <c r="AT701" s="227"/>
      <c r="AU701" s="227"/>
      <c r="AV701" s="227"/>
      <c r="AW701" s="227"/>
      <c r="AX701" s="227"/>
      <c r="AY701" s="227"/>
      <c r="AZ701" s="227"/>
      <c r="BA701" s="227"/>
      <c r="BB701" s="227"/>
      <c r="BC701" s="227"/>
      <c r="BD701" s="12"/>
      <c r="BE701" s="12"/>
      <c r="BF701" s="12"/>
      <c r="BG701" s="12"/>
      <c r="BH701" s="12"/>
      <c r="BI701" s="12"/>
      <c r="BJ701" s="12"/>
      <c r="BK701" s="12"/>
      <c r="BL701" s="12"/>
    </row>
    <row r="702" spans="1:64" hidden="1" outlineLevel="1">
      <c r="A702" s="9"/>
      <c r="B702" s="9"/>
      <c r="C702" s="9"/>
      <c r="D702" s="278" t="str">
        <f>Asset7</f>
        <v>Other - General</v>
      </c>
      <c r="E702" s="9"/>
      <c r="F702" s="9"/>
      <c r="G702" s="207">
        <f t="shared" si="92"/>
        <v>6.2134378572478874E-2</v>
      </c>
      <c r="H702" s="114">
        <f t="shared" si="91"/>
        <v>-0.11521248347558458</v>
      </c>
      <c r="I702" s="114">
        <f t="shared" si="91"/>
        <v>-9.1396931378601859E-2</v>
      </c>
      <c r="J702" s="114">
        <f t="shared" si="91"/>
        <v>-2.2682326954694416E-2</v>
      </c>
      <c r="K702" s="114">
        <f t="shared" si="91"/>
        <v>-1.3717588338755987E-4</v>
      </c>
      <c r="L702" s="114">
        <f t="shared" si="91"/>
        <v>-1.4046810458886135E-4</v>
      </c>
      <c r="M702" s="114">
        <f>IF(COUNT($H702:L702)&gt;=Input!$W$7,0,M476*M$6)</f>
        <v>0</v>
      </c>
      <c r="N702" s="114">
        <f>IF(COUNT($H702:M702)&gt;=Input!$W$7,0,N476*N$6)</f>
        <v>0</v>
      </c>
      <c r="O702" s="114">
        <f>IF(COUNT($H702:N702)&gt;=Input!$W$7,0,O476*O$6)</f>
        <v>0</v>
      </c>
      <c r="P702" s="114">
        <f>IF(COUNT($H702:O702)&gt;=Input!$W$7,0,P476*P$6)</f>
        <v>0</v>
      </c>
      <c r="Q702" s="114">
        <f>IF(COUNT($H702:P702)&gt;=Input!$W$7,0,Q476*Q$6)</f>
        <v>0</v>
      </c>
      <c r="R702" s="9"/>
      <c r="S702" s="9"/>
      <c r="T702" s="9"/>
      <c r="U702" s="9"/>
      <c r="V702" s="9"/>
      <c r="W702" s="9"/>
      <c r="X702" s="9"/>
      <c r="Y702" s="9"/>
      <c r="Z702" s="9"/>
      <c r="AB702" s="204"/>
      <c r="AC702" s="204"/>
      <c r="AD702" s="204"/>
      <c r="AE702" s="204"/>
      <c r="AF702" s="204"/>
      <c r="AG702" s="204"/>
      <c r="AH702" s="204"/>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9"/>
      <c r="BE702" s="9"/>
      <c r="BF702" s="9"/>
      <c r="BG702" s="9"/>
      <c r="BH702" s="9"/>
      <c r="BI702" s="9"/>
      <c r="BJ702" s="9"/>
      <c r="BK702" s="9"/>
      <c r="BL702" s="9"/>
    </row>
    <row r="703" spans="1:64" hidden="1" outlineLevel="1">
      <c r="A703" s="9"/>
      <c r="B703" s="9"/>
      <c r="C703" s="9"/>
      <c r="D703" s="278" t="str">
        <f>Asset8</f>
        <v>Other - Buildings</v>
      </c>
      <c r="E703" s="9"/>
      <c r="F703" s="9"/>
      <c r="G703" s="207">
        <f t="shared" si="92"/>
        <v>0.16228823108042192</v>
      </c>
      <c r="H703" s="114">
        <f t="shared" si="91"/>
        <v>0.61382329835781424</v>
      </c>
      <c r="I703" s="114">
        <f t="shared" si="91"/>
        <v>0.70888481629966227</v>
      </c>
      <c r="J703" s="114">
        <f t="shared" si="91"/>
        <v>0.33842704655971223</v>
      </c>
      <c r="K703" s="114">
        <f t="shared" si="91"/>
        <v>0.52694486598652623</v>
      </c>
      <c r="L703" s="114">
        <f t="shared" si="91"/>
        <v>0.52336659730633495</v>
      </c>
      <c r="M703" s="114">
        <f>IF(COUNT($H703:L703)&gt;=Input!$W$7,0,M477*M$6)</f>
        <v>0</v>
      </c>
      <c r="N703" s="114">
        <f>IF(COUNT($H703:M703)&gt;=Input!$W$7,0,N477*N$6)</f>
        <v>0</v>
      </c>
      <c r="O703" s="114">
        <f>IF(COUNT($H703:N703)&gt;=Input!$W$7,0,O477*O$6)</f>
        <v>0</v>
      </c>
      <c r="P703" s="114">
        <f>IF(COUNT($H703:O703)&gt;=Input!$W$7,0,P477*P$6)</f>
        <v>0</v>
      </c>
      <c r="Q703" s="114">
        <f>IF(COUNT($H703:P703)&gt;=Input!$W$7,0,Q477*Q$6)</f>
        <v>0</v>
      </c>
      <c r="R703" s="9"/>
      <c r="S703" s="9"/>
      <c r="T703" s="9"/>
      <c r="U703" s="9"/>
      <c r="V703" s="9"/>
      <c r="W703" s="9"/>
      <c r="X703" s="9"/>
      <c r="Y703" s="9"/>
      <c r="Z703" s="9"/>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9"/>
      <c r="BE703" s="9"/>
      <c r="BF703" s="9"/>
      <c r="BG703" s="9"/>
      <c r="BH703" s="9"/>
      <c r="BI703" s="9"/>
      <c r="BJ703" s="9"/>
      <c r="BK703" s="9"/>
      <c r="BL703" s="9"/>
    </row>
    <row r="704" spans="1:64" hidden="1" outlineLevel="1">
      <c r="A704" s="9"/>
      <c r="B704" s="9"/>
      <c r="C704" s="9"/>
      <c r="D704" s="278" t="str">
        <f>Asset9</f>
        <v>Land and Easements</v>
      </c>
      <c r="E704" s="9"/>
      <c r="F704" s="9"/>
      <c r="G704" s="207">
        <f t="shared" si="92"/>
        <v>2.0459613916555459</v>
      </c>
      <c r="H704" s="114">
        <f t="shared" si="91"/>
        <v>2.5415827939764806</v>
      </c>
      <c r="I704" s="114">
        <f t="shared" si="91"/>
        <v>3.0181295678470632</v>
      </c>
      <c r="J704" s="114">
        <f t="shared" si="91"/>
        <v>1.4825899631529624</v>
      </c>
      <c r="K704" s="114">
        <f t="shared" si="91"/>
        <v>2.3784936578181233</v>
      </c>
      <c r="L704" s="114">
        <f t="shared" si="91"/>
        <v>2.4355775056057594</v>
      </c>
      <c r="M704" s="114">
        <f>IF(COUNT($H704:L704)&gt;=Input!$W$7,0,M478*M$6)</f>
        <v>0</v>
      </c>
      <c r="N704" s="114">
        <f>IF(COUNT($H704:M704)&gt;=Input!$W$7,0,N478*N$6)</f>
        <v>0</v>
      </c>
      <c r="O704" s="114">
        <f>IF(COUNT($H704:N704)&gt;=Input!$W$7,0,O478*O$6)</f>
        <v>0</v>
      </c>
      <c r="P704" s="114">
        <f>IF(COUNT($H704:O704)&gt;=Input!$W$7,0,P478*P$6)</f>
        <v>0</v>
      </c>
      <c r="Q704" s="114">
        <f>IF(COUNT($H704:P704)&gt;=Input!$W$7,0,Q478*Q$6)</f>
        <v>0</v>
      </c>
      <c r="R704" s="9"/>
      <c r="S704" s="9"/>
      <c r="T704" s="9"/>
      <c r="U704" s="9"/>
      <c r="V704" s="9"/>
      <c r="W704" s="9"/>
      <c r="X704" s="9"/>
      <c r="Y704" s="9"/>
      <c r="Z704" s="9"/>
      <c r="AB704" s="204"/>
      <c r="AC704" s="204"/>
      <c r="AD704" s="204"/>
      <c r="AE704" s="204"/>
      <c r="AF704" s="204"/>
      <c r="AG704" s="204"/>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9"/>
      <c r="BE704" s="9"/>
      <c r="BF704" s="9"/>
      <c r="BG704" s="9"/>
      <c r="BH704" s="9"/>
      <c r="BI704" s="9"/>
      <c r="BJ704" s="9"/>
      <c r="BK704" s="9"/>
      <c r="BL704" s="9"/>
    </row>
    <row r="705" spans="1:64" hidden="1" outlineLevel="1">
      <c r="A705" s="9"/>
      <c r="B705" s="9"/>
      <c r="C705" s="9"/>
      <c r="D705" s="278" t="str">
        <f>Asset10</f>
        <v>Transmission line assets - long life (60)</v>
      </c>
      <c r="E705" s="9"/>
      <c r="F705" s="9"/>
      <c r="G705" s="207">
        <f t="shared" si="92"/>
        <v>0</v>
      </c>
      <c r="H705" s="114">
        <f t="shared" si="91"/>
        <v>0.79904138578616113</v>
      </c>
      <c r="I705" s="114">
        <f t="shared" si="91"/>
        <v>3.0770195320245226</v>
      </c>
      <c r="J705" s="114">
        <f t="shared" si="91"/>
        <v>1.9924955921543492</v>
      </c>
      <c r="K705" s="114">
        <f t="shared" si="91"/>
        <v>3.5980949979254966</v>
      </c>
      <c r="L705" s="114">
        <f t="shared" si="91"/>
        <v>4.1454094364287748</v>
      </c>
      <c r="M705" s="114">
        <f>IF(COUNT($H705:L705)&gt;=Input!$W$7,0,M479*M$6)</f>
        <v>0</v>
      </c>
      <c r="N705" s="114">
        <f>IF(COUNT($H705:M705)&gt;=Input!$W$7,0,N479*N$6)</f>
        <v>0</v>
      </c>
      <c r="O705" s="114">
        <f>IF(COUNT($H705:N705)&gt;=Input!$W$7,0,O479*O$6)</f>
        <v>0</v>
      </c>
      <c r="P705" s="114">
        <f>IF(COUNT($H705:O705)&gt;=Input!$W$7,0,P479*P$6)</f>
        <v>0</v>
      </c>
      <c r="Q705" s="114">
        <f>IF(COUNT($H705:P705)&gt;=Input!$W$7,0,Q479*Q$6)</f>
        <v>0</v>
      </c>
      <c r="R705" s="9"/>
      <c r="S705" s="9"/>
      <c r="T705" s="9"/>
      <c r="U705" s="9"/>
      <c r="V705" s="9"/>
      <c r="W705" s="9"/>
      <c r="X705" s="9"/>
      <c r="Y705" s="9"/>
      <c r="Z705" s="9"/>
      <c r="AB705" s="204"/>
      <c r="AC705" s="204"/>
      <c r="AD705" s="204"/>
      <c r="AE705" s="204"/>
      <c r="AF705" s="204"/>
      <c r="AG705" s="204"/>
      <c r="AH705" s="204"/>
      <c r="AI705" s="204"/>
      <c r="AJ705" s="204"/>
      <c r="AK705" s="204"/>
      <c r="AL705" s="204"/>
      <c r="AM705" s="204"/>
      <c r="AN705" s="204"/>
      <c r="AO705" s="204"/>
      <c r="AP705" s="204"/>
      <c r="AQ705" s="204"/>
      <c r="AR705" s="204"/>
      <c r="AS705" s="204"/>
      <c r="AT705" s="204"/>
      <c r="AU705" s="204"/>
      <c r="AV705" s="204"/>
      <c r="AW705" s="204"/>
      <c r="AX705" s="204"/>
      <c r="AY705" s="204"/>
      <c r="AZ705" s="204"/>
      <c r="BA705" s="204"/>
      <c r="BB705" s="204"/>
      <c r="BC705" s="204"/>
      <c r="BD705" s="9"/>
      <c r="BE705" s="9"/>
      <c r="BF705" s="9"/>
      <c r="BG705" s="9"/>
      <c r="BH705" s="9"/>
      <c r="BI705" s="9"/>
      <c r="BJ705" s="9"/>
      <c r="BK705" s="9"/>
      <c r="BL705" s="9"/>
    </row>
    <row r="706" spans="1:64" hidden="1" outlineLevel="1">
      <c r="A706" s="9"/>
      <c r="B706" s="9"/>
      <c r="C706" s="9"/>
      <c r="D706" s="278" t="str">
        <f>Asset11</f>
        <v>Transmission line assets - medium life (45)</v>
      </c>
      <c r="E706" s="9"/>
      <c r="F706" s="9"/>
      <c r="G706" s="207">
        <f t="shared" si="92"/>
        <v>0</v>
      </c>
      <c r="H706" s="114">
        <f t="shared" ref="H706:L715" si="93">H480*H$6</f>
        <v>2.2841805211554256E-2</v>
      </c>
      <c r="I706" s="114">
        <f t="shared" si="93"/>
        <v>5.1646627564974457E-2</v>
      </c>
      <c r="J706" s="114">
        <f t="shared" si="93"/>
        <v>0.10897874295714439</v>
      </c>
      <c r="K706" s="114">
        <f t="shared" si="93"/>
        <v>0.51296408134253779</v>
      </c>
      <c r="L706" s="114">
        <f t="shared" si="93"/>
        <v>0.56158904618645444</v>
      </c>
      <c r="M706" s="114">
        <f>IF(COUNT($H706:L706)&gt;=Input!$W$7,0,M480*M$6)</f>
        <v>0</v>
      </c>
      <c r="N706" s="114">
        <f>IF(COUNT($H706:M706)&gt;=Input!$W$7,0,N480*N$6)</f>
        <v>0</v>
      </c>
      <c r="O706" s="114">
        <f>IF(COUNT($H706:N706)&gt;=Input!$W$7,0,O480*O$6)</f>
        <v>0</v>
      </c>
      <c r="P706" s="114">
        <f>IF(COUNT($H706:O706)&gt;=Input!$W$7,0,P480*P$6)</f>
        <v>0</v>
      </c>
      <c r="Q706" s="114">
        <f>IF(COUNT($H706:P706)&gt;=Input!$W$7,0,Q480*Q$6)</f>
        <v>0</v>
      </c>
      <c r="R706" s="9"/>
      <c r="S706" s="9"/>
      <c r="T706" s="9"/>
      <c r="U706" s="9"/>
      <c r="V706" s="9"/>
      <c r="W706" s="9"/>
      <c r="X706" s="9"/>
      <c r="Y706" s="9"/>
      <c r="Z706" s="9"/>
      <c r="AB706" s="204"/>
      <c r="AC706" s="204"/>
      <c r="AD706" s="204"/>
      <c r="AE706" s="204"/>
      <c r="AF706" s="204"/>
      <c r="AG706" s="204"/>
      <c r="AH706" s="204"/>
      <c r="AI706" s="204"/>
      <c r="AJ706" s="204"/>
      <c r="AK706" s="204"/>
      <c r="AL706" s="204"/>
      <c r="AM706" s="204"/>
      <c r="AN706" s="204"/>
      <c r="AO706" s="204"/>
      <c r="AP706" s="204"/>
      <c r="AQ706" s="204"/>
      <c r="AR706" s="204"/>
      <c r="AS706" s="204"/>
      <c r="AT706" s="204"/>
      <c r="AU706" s="204"/>
      <c r="AV706" s="204"/>
      <c r="AW706" s="204"/>
      <c r="AX706" s="204"/>
      <c r="AY706" s="204"/>
      <c r="AZ706" s="204"/>
      <c r="BA706" s="204"/>
      <c r="BB706" s="204"/>
      <c r="BC706" s="204"/>
      <c r="BD706" s="9"/>
      <c r="BE706" s="9"/>
      <c r="BF706" s="9"/>
      <c r="BG706" s="9"/>
      <c r="BH706" s="9"/>
      <c r="BI706" s="9"/>
      <c r="BJ706" s="9"/>
      <c r="BK706" s="9"/>
      <c r="BL706" s="9"/>
    </row>
    <row r="707" spans="1:64" hidden="1" outlineLevel="1">
      <c r="A707" s="9"/>
      <c r="B707" s="9"/>
      <c r="C707" s="9"/>
      <c r="D707" s="278" t="str">
        <f>Asset12</f>
        <v>Transmission line assets - short life (10)</v>
      </c>
      <c r="E707" s="9"/>
      <c r="F707" s="9"/>
      <c r="G707" s="207">
        <f t="shared" si="92"/>
        <v>0</v>
      </c>
      <c r="H707" s="114">
        <f t="shared" si="93"/>
        <v>6.014290000540997E-2</v>
      </c>
      <c r="I707" s="114">
        <f t="shared" si="93"/>
        <v>0.22906101867519885</v>
      </c>
      <c r="J707" s="114">
        <f t="shared" si="93"/>
        <v>0.1514575199073204</v>
      </c>
      <c r="K707" s="114">
        <f t="shared" si="93"/>
        <v>0.27673204144710095</v>
      </c>
      <c r="L707" s="114">
        <f t="shared" si="93"/>
        <v>0.33341912860996853</v>
      </c>
      <c r="M707" s="114">
        <f>IF(COUNT($H707:L707)&gt;=Input!$W$7,0,M481*M$6)</f>
        <v>0</v>
      </c>
      <c r="N707" s="114">
        <f>IF(COUNT($H707:M707)&gt;=Input!$W$7,0,N481*N$6)</f>
        <v>0</v>
      </c>
      <c r="O707" s="114">
        <f>IF(COUNT($H707:N707)&gt;=Input!$W$7,0,O481*O$6)</f>
        <v>0</v>
      </c>
      <c r="P707" s="114">
        <f>IF(COUNT($H707:O707)&gt;=Input!$W$7,0,P481*P$6)</f>
        <v>0</v>
      </c>
      <c r="Q707" s="114">
        <f>IF(COUNT($H707:P707)&gt;=Input!$W$7,0,Q481*Q$6)</f>
        <v>0</v>
      </c>
      <c r="R707" s="9"/>
      <c r="S707" s="9"/>
      <c r="T707" s="9"/>
      <c r="U707" s="9"/>
      <c r="V707" s="9"/>
      <c r="W707" s="9"/>
      <c r="X707" s="9"/>
      <c r="Y707" s="9"/>
      <c r="Z707" s="9"/>
      <c r="AB707" s="204"/>
      <c r="AC707" s="204"/>
      <c r="AD707" s="204"/>
      <c r="AE707" s="204"/>
      <c r="AF707" s="204"/>
      <c r="AG707" s="204"/>
      <c r="AH707" s="204"/>
      <c r="AI707" s="204"/>
      <c r="AJ707" s="204"/>
      <c r="AK707" s="204"/>
      <c r="AL707" s="204"/>
      <c r="AM707" s="204"/>
      <c r="AN707" s="204"/>
      <c r="AO707" s="204"/>
      <c r="AP707" s="204"/>
      <c r="AQ707" s="204"/>
      <c r="AR707" s="204"/>
      <c r="AS707" s="204"/>
      <c r="AT707" s="204"/>
      <c r="AU707" s="204"/>
      <c r="AV707" s="204"/>
      <c r="AW707" s="204"/>
      <c r="AX707" s="204"/>
      <c r="AY707" s="204"/>
      <c r="AZ707" s="204"/>
      <c r="BA707" s="204"/>
      <c r="BB707" s="204"/>
      <c r="BC707" s="204"/>
      <c r="BD707" s="9"/>
      <c r="BE707" s="9"/>
      <c r="BF707" s="9"/>
      <c r="BG707" s="9"/>
      <c r="BH707" s="9"/>
      <c r="BI707" s="9"/>
      <c r="BJ707" s="9"/>
      <c r="BK707" s="9"/>
      <c r="BL707" s="9"/>
    </row>
    <row r="708" spans="1:64" hidden="1" outlineLevel="1">
      <c r="A708" s="9"/>
      <c r="B708" s="9"/>
      <c r="C708" s="9"/>
      <c r="D708" s="278" t="str">
        <f>Asset13</f>
        <v>Substation assets - long life (60)</v>
      </c>
      <c r="E708" s="9"/>
      <c r="F708" s="9"/>
      <c r="G708" s="207">
        <f t="shared" si="92"/>
        <v>0</v>
      </c>
      <c r="H708" s="114">
        <f t="shared" si="93"/>
        <v>0.10507457731724984</v>
      </c>
      <c r="I708" s="114">
        <f t="shared" si="93"/>
        <v>0.432001487128157</v>
      </c>
      <c r="J708" s="114">
        <f t="shared" si="93"/>
        <v>0.41781233055829103</v>
      </c>
      <c r="K708" s="114">
        <f t="shared" si="93"/>
        <v>1.0431265618445433</v>
      </c>
      <c r="L708" s="114">
        <f t="shared" si="93"/>
        <v>1.3219796969644331</v>
      </c>
      <c r="M708" s="114">
        <f>IF(COUNT($H708:L708)&gt;=Input!$W$7,0,M482*M$6)</f>
        <v>0</v>
      </c>
      <c r="N708" s="114">
        <f>IF(COUNT($H708:M708)&gt;=Input!$W$7,0,N482*N$6)</f>
        <v>0</v>
      </c>
      <c r="O708" s="114">
        <f>IF(COUNT($H708:N708)&gt;=Input!$W$7,0,O482*O$6)</f>
        <v>0</v>
      </c>
      <c r="P708" s="114">
        <f>IF(COUNT($H708:O708)&gt;=Input!$W$7,0,P482*P$6)</f>
        <v>0</v>
      </c>
      <c r="Q708" s="114">
        <f>IF(COUNT($H708:P708)&gt;=Input!$W$7,0,Q482*Q$6)</f>
        <v>0</v>
      </c>
      <c r="R708" s="9"/>
      <c r="S708" s="9"/>
      <c r="T708" s="9"/>
      <c r="U708" s="9"/>
      <c r="V708" s="9"/>
      <c r="W708" s="9"/>
      <c r="X708" s="9"/>
      <c r="Y708" s="9"/>
      <c r="Z708" s="9"/>
      <c r="AB708" s="204"/>
      <c r="AC708" s="204"/>
      <c r="AD708" s="204"/>
      <c r="AE708" s="204"/>
      <c r="AF708" s="204"/>
      <c r="AG708" s="204"/>
      <c r="AH708" s="204"/>
      <c r="AI708" s="204"/>
      <c r="AJ708" s="204"/>
      <c r="AK708" s="204"/>
      <c r="AL708" s="204"/>
      <c r="AM708" s="204"/>
      <c r="AN708" s="204"/>
      <c r="AO708" s="204"/>
      <c r="AP708" s="204"/>
      <c r="AQ708" s="204"/>
      <c r="AR708" s="204"/>
      <c r="AS708" s="204"/>
      <c r="AT708" s="204"/>
      <c r="AU708" s="204"/>
      <c r="AV708" s="204"/>
      <c r="AW708" s="204"/>
      <c r="AX708" s="204"/>
      <c r="AY708" s="204"/>
      <c r="AZ708" s="204"/>
      <c r="BA708" s="204"/>
      <c r="BB708" s="204"/>
      <c r="BC708" s="204"/>
      <c r="BD708" s="9"/>
      <c r="BE708" s="9"/>
      <c r="BF708" s="9"/>
      <c r="BG708" s="9"/>
      <c r="BH708" s="9"/>
      <c r="BI708" s="9"/>
      <c r="BJ708" s="9"/>
      <c r="BK708" s="9"/>
      <c r="BL708" s="9"/>
    </row>
    <row r="709" spans="1:64" hidden="1" outlineLevel="1">
      <c r="A709" s="9"/>
      <c r="B709" s="9"/>
      <c r="C709" s="9"/>
      <c r="D709" s="278" t="str">
        <f>Asset14</f>
        <v>Substation assets - medium life (45)</v>
      </c>
      <c r="E709" s="9"/>
      <c r="F709" s="9"/>
      <c r="G709" s="207">
        <f t="shared" si="92"/>
        <v>0</v>
      </c>
      <c r="H709" s="114">
        <f t="shared" si="93"/>
        <v>0.26456294906478223</v>
      </c>
      <c r="I709" s="114">
        <f t="shared" si="93"/>
        <v>1.2172781367713197</v>
      </c>
      <c r="J709" s="114">
        <f t="shared" si="93"/>
        <v>1.1494491741237609</v>
      </c>
      <c r="K709" s="114">
        <f t="shared" si="93"/>
        <v>2.7243722268507242</v>
      </c>
      <c r="L709" s="114">
        <f t="shared" si="93"/>
        <v>3.4418710911170702</v>
      </c>
      <c r="M709" s="114">
        <f>IF(COUNT($H709:L709)&gt;=Input!$W$7,0,M483*M$6)</f>
        <v>0</v>
      </c>
      <c r="N709" s="114">
        <f>IF(COUNT($H709:M709)&gt;=Input!$W$7,0,N483*N$6)</f>
        <v>0</v>
      </c>
      <c r="O709" s="114">
        <f>IF(COUNT($H709:N709)&gt;=Input!$W$7,0,O483*O$6)</f>
        <v>0</v>
      </c>
      <c r="P709" s="114">
        <f>IF(COUNT($H709:O709)&gt;=Input!$W$7,0,P483*P$6)</f>
        <v>0</v>
      </c>
      <c r="Q709" s="114">
        <f>IF(COUNT($H709:P709)&gt;=Input!$W$7,0,Q483*Q$6)</f>
        <v>0</v>
      </c>
      <c r="R709" s="9"/>
      <c r="S709" s="9"/>
      <c r="T709" s="9"/>
      <c r="U709" s="9"/>
      <c r="V709" s="9"/>
      <c r="W709" s="9"/>
      <c r="X709" s="9"/>
      <c r="Y709" s="9"/>
      <c r="Z709" s="9"/>
      <c r="AB709" s="204"/>
      <c r="AC709" s="204"/>
      <c r="AD709" s="204"/>
      <c r="AE709" s="204"/>
      <c r="AF709" s="204"/>
      <c r="AG709" s="204"/>
      <c r="AH709" s="204"/>
      <c r="AI709" s="204"/>
      <c r="AJ709" s="204"/>
      <c r="AK709" s="204"/>
      <c r="AL709" s="204"/>
      <c r="AM709" s="204"/>
      <c r="AN709" s="204"/>
      <c r="AO709" s="204"/>
      <c r="AP709" s="204"/>
      <c r="AQ709" s="204"/>
      <c r="AR709" s="204"/>
      <c r="AS709" s="204"/>
      <c r="AT709" s="204"/>
      <c r="AU709" s="204"/>
      <c r="AV709" s="204"/>
      <c r="AW709" s="204"/>
      <c r="AX709" s="204"/>
      <c r="AY709" s="204"/>
      <c r="AZ709" s="204"/>
      <c r="BA709" s="204"/>
      <c r="BB709" s="204"/>
      <c r="BC709" s="204"/>
      <c r="BD709" s="9"/>
      <c r="BE709" s="9"/>
      <c r="BF709" s="9"/>
      <c r="BG709" s="9"/>
      <c r="BH709" s="9"/>
      <c r="BI709" s="9"/>
      <c r="BJ709" s="9"/>
      <c r="BK709" s="9"/>
      <c r="BL709" s="9"/>
    </row>
    <row r="710" spans="1:64" hidden="1" outlineLevel="1">
      <c r="A710" s="9"/>
      <c r="B710" s="9"/>
      <c r="C710" s="9"/>
      <c r="D710" s="278" t="str">
        <f>Asset15</f>
        <v>Substation assets - short life (15)</v>
      </c>
      <c r="E710" s="9"/>
      <c r="F710" s="9"/>
      <c r="G710" s="207">
        <f t="shared" si="92"/>
        <v>0</v>
      </c>
      <c r="H710" s="114">
        <f t="shared" si="93"/>
        <v>1.061006129414897E-2</v>
      </c>
      <c r="I710" s="114">
        <f t="shared" si="93"/>
        <v>0.13976344988794678</v>
      </c>
      <c r="J710" s="114">
        <f t="shared" si="93"/>
        <v>0.10028584796019999</v>
      </c>
      <c r="K710" s="114">
        <f t="shared" si="93"/>
        <v>0.21353284322472482</v>
      </c>
      <c r="L710" s="114">
        <f t="shared" si="93"/>
        <v>0.26091049101239028</v>
      </c>
      <c r="M710" s="114">
        <f>IF(COUNT($H710:L710)&gt;=Input!$W$7,0,M484*M$6)</f>
        <v>0</v>
      </c>
      <c r="N710" s="114">
        <f>IF(COUNT($H710:M710)&gt;=Input!$W$7,0,N484*N$6)</f>
        <v>0</v>
      </c>
      <c r="O710" s="114">
        <f>IF(COUNT($H710:N710)&gt;=Input!$W$7,0,O484*O$6)</f>
        <v>0</v>
      </c>
      <c r="P710" s="114">
        <f>IF(COUNT($H710:O710)&gt;=Input!$W$7,0,P484*P$6)</f>
        <v>0</v>
      </c>
      <c r="Q710" s="114">
        <f>IF(COUNT($H710:P710)&gt;=Input!$W$7,0,Q484*Q$6)</f>
        <v>0</v>
      </c>
      <c r="R710" s="9"/>
      <c r="S710" s="9"/>
      <c r="T710" s="9"/>
      <c r="U710" s="9"/>
      <c r="V710" s="9"/>
      <c r="W710" s="9"/>
      <c r="X710" s="9"/>
      <c r="Y710" s="9"/>
      <c r="Z710" s="9"/>
      <c r="AB710" s="204"/>
      <c r="AC710" s="204"/>
      <c r="AD710" s="204"/>
      <c r="AE710" s="204"/>
      <c r="AF710" s="204"/>
      <c r="AG710" s="204"/>
      <c r="AH710" s="204"/>
      <c r="AI710" s="204"/>
      <c r="AJ710" s="204"/>
      <c r="AK710" s="204"/>
      <c r="AL710" s="204"/>
      <c r="AM710" s="204"/>
      <c r="AN710" s="204"/>
      <c r="AO710" s="204"/>
      <c r="AP710" s="204"/>
      <c r="AQ710" s="204"/>
      <c r="AR710" s="204"/>
      <c r="AS710" s="204"/>
      <c r="AT710" s="204"/>
      <c r="AU710" s="204"/>
      <c r="AV710" s="204"/>
      <c r="AW710" s="204"/>
      <c r="AX710" s="204"/>
      <c r="AY710" s="204"/>
      <c r="AZ710" s="204"/>
      <c r="BA710" s="204"/>
      <c r="BB710" s="204"/>
      <c r="BC710" s="204"/>
      <c r="BD710" s="9"/>
      <c r="BE710" s="9"/>
      <c r="BF710" s="9"/>
      <c r="BG710" s="9"/>
      <c r="BH710" s="9"/>
      <c r="BI710" s="9"/>
      <c r="BJ710" s="9"/>
      <c r="BK710" s="9"/>
      <c r="BL710" s="9"/>
    </row>
    <row r="711" spans="1:64" hidden="1" outlineLevel="1">
      <c r="A711" s="9"/>
      <c r="B711" s="9"/>
      <c r="C711" s="9"/>
      <c r="D711" s="278" t="str">
        <f>Asset16</f>
        <v>Protection and control - short life (15)</v>
      </c>
      <c r="E711" s="9"/>
      <c r="F711" s="9"/>
      <c r="G711" s="207">
        <f t="shared" si="92"/>
        <v>0</v>
      </c>
      <c r="H711" s="114">
        <f t="shared" si="93"/>
        <v>0.11817431913286813</v>
      </c>
      <c r="I711" s="114">
        <f t="shared" si="93"/>
        <v>0.55615478770047067</v>
      </c>
      <c r="J711" s="114">
        <f t="shared" si="93"/>
        <v>0.49521446070796671</v>
      </c>
      <c r="K711" s="114">
        <f t="shared" si="93"/>
        <v>1.5225279058871048</v>
      </c>
      <c r="L711" s="114">
        <f t="shared" si="93"/>
        <v>1.911339294431883</v>
      </c>
      <c r="M711" s="114">
        <f>IF(COUNT($H711:L711)&gt;=Input!$W$7,0,M485*M$6)</f>
        <v>0</v>
      </c>
      <c r="N711" s="114">
        <f>IF(COUNT($H711:M711)&gt;=Input!$W$7,0,N485*N$6)</f>
        <v>0</v>
      </c>
      <c r="O711" s="114">
        <f>IF(COUNT($H711:N711)&gt;=Input!$W$7,0,O485*O$6)</f>
        <v>0</v>
      </c>
      <c r="P711" s="114">
        <f>IF(COUNT($H711:O711)&gt;=Input!$W$7,0,P485*P$6)</f>
        <v>0</v>
      </c>
      <c r="Q711" s="114">
        <f>IF(COUNT($H711:P711)&gt;=Input!$W$7,0,Q485*Q$6)</f>
        <v>0</v>
      </c>
      <c r="R711" s="9"/>
      <c r="S711" s="9"/>
      <c r="T711" s="9"/>
      <c r="U711" s="9"/>
      <c r="V711" s="9"/>
      <c r="W711" s="9"/>
      <c r="X711" s="9"/>
      <c r="Y711" s="9"/>
      <c r="Z711" s="9"/>
      <c r="AB711" s="204"/>
      <c r="AC711" s="204"/>
      <c r="AD711" s="204"/>
      <c r="AE711" s="204"/>
      <c r="AF711" s="204"/>
      <c r="AG711" s="204"/>
      <c r="AH711" s="204"/>
      <c r="AI711" s="204"/>
      <c r="AJ711" s="204"/>
      <c r="AK711" s="204"/>
      <c r="AL711" s="204"/>
      <c r="AM711" s="204"/>
      <c r="AN711" s="204"/>
      <c r="AO711" s="204"/>
      <c r="AP711" s="204"/>
      <c r="AQ711" s="204"/>
      <c r="AR711" s="204"/>
      <c r="AS711" s="204"/>
      <c r="AT711" s="204"/>
      <c r="AU711" s="204"/>
      <c r="AV711" s="204"/>
      <c r="AW711" s="204"/>
      <c r="AX711" s="204"/>
      <c r="AY711" s="204"/>
      <c r="AZ711" s="204"/>
      <c r="BA711" s="204"/>
      <c r="BB711" s="204"/>
      <c r="BC711" s="204"/>
      <c r="BD711" s="9"/>
      <c r="BE711" s="9"/>
      <c r="BF711" s="9"/>
      <c r="BG711" s="9"/>
      <c r="BH711" s="9"/>
      <c r="BI711" s="9"/>
      <c r="BJ711" s="9"/>
      <c r="BK711" s="9"/>
      <c r="BL711" s="9"/>
    </row>
    <row r="712" spans="1:64" hidden="1" outlineLevel="1">
      <c r="A712" s="9"/>
      <c r="B712" s="9"/>
      <c r="C712" s="9"/>
      <c r="D712" s="278" t="str">
        <f>Asset17</f>
        <v>Protection and control - short life (4)</v>
      </c>
      <c r="E712" s="9"/>
      <c r="F712" s="9"/>
      <c r="G712" s="207">
        <f t="shared" si="92"/>
        <v>0</v>
      </c>
      <c r="H712" s="114">
        <f t="shared" si="93"/>
        <v>0</v>
      </c>
      <c r="I712" s="114">
        <f t="shared" si="93"/>
        <v>8.7578513843763715E-3</v>
      </c>
      <c r="J712" s="114">
        <f t="shared" si="93"/>
        <v>1.0300452821997855E-2</v>
      </c>
      <c r="K712" s="114">
        <f t="shared" si="93"/>
        <v>4.0565549874050671E-2</v>
      </c>
      <c r="L712" s="114">
        <f t="shared" si="93"/>
        <v>3.2361685286553261E-2</v>
      </c>
      <c r="M712" s="114">
        <f>IF(COUNT($H712:L712)&gt;=Input!$W$7,0,M486*M$6)</f>
        <v>0</v>
      </c>
      <c r="N712" s="114">
        <f>IF(COUNT($H712:M712)&gt;=Input!$W$7,0,N486*N$6)</f>
        <v>0</v>
      </c>
      <c r="O712" s="114">
        <f>IF(COUNT($H712:N712)&gt;=Input!$W$7,0,O486*O$6)</f>
        <v>0</v>
      </c>
      <c r="P712" s="114">
        <f>IF(COUNT($H712:O712)&gt;=Input!$W$7,0,P486*P$6)</f>
        <v>0</v>
      </c>
      <c r="Q712" s="114">
        <f>IF(COUNT($H712:P712)&gt;=Input!$W$7,0,Q486*Q$6)</f>
        <v>0</v>
      </c>
      <c r="R712" s="9"/>
      <c r="S712" s="9"/>
      <c r="T712" s="9"/>
      <c r="U712" s="9"/>
      <c r="V712" s="9"/>
      <c r="W712" s="9"/>
      <c r="X712" s="9"/>
      <c r="Y712" s="9"/>
      <c r="Z712" s="9"/>
      <c r="AB712" s="204"/>
      <c r="AC712" s="204"/>
      <c r="AD712" s="204"/>
      <c r="AE712" s="204"/>
      <c r="AF712" s="204"/>
      <c r="AG712" s="204"/>
      <c r="AH712" s="204"/>
      <c r="AI712" s="204"/>
      <c r="AJ712" s="204"/>
      <c r="AK712" s="204"/>
      <c r="AL712" s="204"/>
      <c r="AM712" s="204"/>
      <c r="AN712" s="204"/>
      <c r="AO712" s="204"/>
      <c r="AP712" s="204"/>
      <c r="AQ712" s="204"/>
      <c r="AR712" s="204"/>
      <c r="AS712" s="204"/>
      <c r="AT712" s="204"/>
      <c r="AU712" s="204"/>
      <c r="AV712" s="204"/>
      <c r="AW712" s="204"/>
      <c r="AX712" s="204"/>
      <c r="AY712" s="204"/>
      <c r="AZ712" s="204"/>
      <c r="BA712" s="204"/>
      <c r="BB712" s="204"/>
      <c r="BC712" s="204"/>
      <c r="BD712" s="9"/>
      <c r="BE712" s="9"/>
      <c r="BF712" s="9"/>
      <c r="BG712" s="9"/>
      <c r="BH712" s="9"/>
      <c r="BI712" s="9"/>
      <c r="BJ712" s="9"/>
      <c r="BK712" s="9"/>
      <c r="BL712" s="9"/>
    </row>
    <row r="713" spans="1:64" hidden="1" outlineLevel="1">
      <c r="A713" s="9"/>
      <c r="B713" s="9"/>
      <c r="C713" s="9"/>
      <c r="D713" s="278" t="str">
        <f>Asset18</f>
        <v>Transmission operations - short life (10)</v>
      </c>
      <c r="E713" s="9"/>
      <c r="F713" s="9"/>
      <c r="G713" s="207">
        <f t="shared" si="92"/>
        <v>0</v>
      </c>
      <c r="H713" s="114">
        <f t="shared" si="93"/>
        <v>0</v>
      </c>
      <c r="I713" s="114">
        <f t="shared" si="93"/>
        <v>4.2037686645006574E-2</v>
      </c>
      <c r="J713" s="114">
        <f t="shared" si="93"/>
        <v>5.2586799920025087E-2</v>
      </c>
      <c r="K713" s="114">
        <f t="shared" si="93"/>
        <v>0.13174236225667096</v>
      </c>
      <c r="L713" s="114">
        <f t="shared" si="93"/>
        <v>0.17375447910929473</v>
      </c>
      <c r="M713" s="114">
        <f>IF(COUNT($H713:L713)&gt;=Input!$W$7,0,M487*M$6)</f>
        <v>0</v>
      </c>
      <c r="N713" s="114">
        <f>IF(COUNT($H713:M713)&gt;=Input!$W$7,0,N487*N$6)</f>
        <v>0</v>
      </c>
      <c r="O713" s="114">
        <f>IF(COUNT($H713:N713)&gt;=Input!$W$7,0,O487*O$6)</f>
        <v>0</v>
      </c>
      <c r="P713" s="114">
        <f>IF(COUNT($H713:O713)&gt;=Input!$W$7,0,P487*P$6)</f>
        <v>0</v>
      </c>
      <c r="Q713" s="114">
        <f>IF(COUNT($H713:P713)&gt;=Input!$W$7,0,Q487*Q$6)</f>
        <v>0</v>
      </c>
      <c r="R713" s="9"/>
      <c r="S713" s="9"/>
      <c r="T713" s="9"/>
      <c r="U713" s="9"/>
      <c r="V713" s="9"/>
      <c r="W713" s="9"/>
      <c r="X713" s="9"/>
      <c r="Y713" s="9"/>
      <c r="Z713" s="9"/>
      <c r="AB713" s="204"/>
      <c r="AC713" s="204"/>
      <c r="AD713" s="204"/>
      <c r="AE713" s="204"/>
      <c r="AF713" s="204"/>
      <c r="AG713" s="204"/>
      <c r="AH713" s="204"/>
      <c r="AI713" s="204"/>
      <c r="AJ713" s="204"/>
      <c r="AK713" s="204"/>
      <c r="AL713" s="204"/>
      <c r="AM713" s="204"/>
      <c r="AN713" s="204"/>
      <c r="AO713" s="204"/>
      <c r="AP713" s="204"/>
      <c r="AQ713" s="204"/>
      <c r="AR713" s="204"/>
      <c r="AS713" s="204"/>
      <c r="AT713" s="204"/>
      <c r="AU713" s="204"/>
      <c r="AV713" s="204"/>
      <c r="AW713" s="204"/>
      <c r="AX713" s="204"/>
      <c r="AY713" s="204"/>
      <c r="AZ713" s="204"/>
      <c r="BA713" s="204"/>
      <c r="BB713" s="204"/>
      <c r="BC713" s="204"/>
      <c r="BD713" s="9"/>
      <c r="BE713" s="9"/>
      <c r="BF713" s="9"/>
      <c r="BG713" s="9"/>
      <c r="BH713" s="9"/>
      <c r="BI713" s="9"/>
      <c r="BJ713" s="9"/>
      <c r="BK713" s="9"/>
      <c r="BL713" s="9"/>
    </row>
    <row r="714" spans="1:64" hidden="1" outlineLevel="1">
      <c r="A714" s="9"/>
      <c r="B714" s="9"/>
      <c r="C714" s="9"/>
      <c r="D714" s="278" t="str">
        <f>Asset19</f>
        <v>Transmission operations - short life (4)</v>
      </c>
      <c r="E714" s="9"/>
      <c r="F714" s="9"/>
      <c r="G714" s="207">
        <f t="shared" si="92"/>
        <v>0</v>
      </c>
      <c r="H714" s="114">
        <f>H488*H$6</f>
        <v>0</v>
      </c>
      <c r="I714" s="114">
        <f t="shared" si="93"/>
        <v>3.5031405537505486E-4</v>
      </c>
      <c r="J714" s="114">
        <f t="shared" si="93"/>
        <v>-1.8603098541375192E-5</v>
      </c>
      <c r="K714" s="114">
        <f t="shared" si="93"/>
        <v>2.8817907784734718E-3</v>
      </c>
      <c r="L714" s="114">
        <f t="shared" si="93"/>
        <v>2.1929299023906472E-3</v>
      </c>
      <c r="M714" s="114">
        <f>IF(COUNT($H714:L714)&gt;=Input!$W$7,0,M488*M$6)</f>
        <v>0</v>
      </c>
      <c r="N714" s="114">
        <f>IF(COUNT($H714:M714)&gt;=Input!$W$7,0,N488*N$6)</f>
        <v>0</v>
      </c>
      <c r="O714" s="114">
        <f>IF(COUNT($H714:N714)&gt;=Input!$W$7,0,O488*O$6)</f>
        <v>0</v>
      </c>
      <c r="P714" s="114">
        <f>IF(COUNT($H714:O714)&gt;=Input!$W$7,0,P488*P$6)</f>
        <v>0</v>
      </c>
      <c r="Q714" s="114">
        <f>IF(COUNT($H714:P714)&gt;=Input!$W$7,0,Q488*Q$6)</f>
        <v>0</v>
      </c>
      <c r="R714" s="9"/>
      <c r="S714" s="9"/>
      <c r="T714" s="9"/>
      <c r="U714" s="9"/>
      <c r="V714" s="9"/>
      <c r="W714" s="9"/>
      <c r="X714" s="9"/>
      <c r="Y714" s="9"/>
      <c r="Z714" s="9"/>
      <c r="AB714" s="204"/>
      <c r="AC714" s="204"/>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9"/>
      <c r="BE714" s="9"/>
      <c r="BF714" s="9"/>
      <c r="BG714" s="9"/>
      <c r="BH714" s="9"/>
      <c r="BI714" s="9"/>
      <c r="BJ714" s="9"/>
      <c r="BK714" s="9"/>
      <c r="BL714" s="9"/>
    </row>
    <row r="715" spans="1:64" hidden="1" outlineLevel="1">
      <c r="A715" s="9"/>
      <c r="B715" s="9"/>
      <c r="C715" s="9"/>
      <c r="D715" s="278" t="str">
        <f>Asset20</f>
        <v>Other - medium life (40)</v>
      </c>
      <c r="E715" s="9"/>
      <c r="F715" s="9"/>
      <c r="G715" s="207">
        <f>G489*G$6</f>
        <v>0</v>
      </c>
      <c r="H715" s="114">
        <f>H489*H$6</f>
        <v>0.19816857761732828</v>
      </c>
      <c r="I715" s="114">
        <f t="shared" si="93"/>
        <v>0.62102096088851211</v>
      </c>
      <c r="J715" s="114">
        <f t="shared" si="93"/>
        <v>0.45780846858358765</v>
      </c>
      <c r="K715" s="114">
        <f t="shared" si="93"/>
        <v>0.73706381935446574</v>
      </c>
      <c r="L715" s="114">
        <f t="shared" si="93"/>
        <v>0.74355352711777878</v>
      </c>
      <c r="M715" s="114">
        <f>IF(COUNT($H715:L715)&gt;=Input!$W$7,0,M489*M$6)</f>
        <v>0</v>
      </c>
      <c r="N715" s="114">
        <f>IF(COUNT($H715:M715)&gt;=Input!$W$7,0,N489*N$6)</f>
        <v>0</v>
      </c>
      <c r="O715" s="114">
        <f>IF(COUNT($H715:N715)&gt;=Input!$W$7,0,O489*O$6)</f>
        <v>0</v>
      </c>
      <c r="P715" s="114">
        <f>IF(COUNT($H715:O715)&gt;=Input!$W$7,0,P489*P$6)</f>
        <v>0</v>
      </c>
      <c r="Q715" s="114">
        <f>IF(COUNT($H715:P715)&gt;=Input!$W$7,0,Q489*Q$6)</f>
        <v>0</v>
      </c>
      <c r="R715" s="9"/>
      <c r="S715" s="9"/>
      <c r="T715" s="9"/>
      <c r="U715" s="9"/>
      <c r="V715" s="9"/>
      <c r="W715" s="9"/>
      <c r="X715" s="9"/>
      <c r="Y715" s="9"/>
      <c r="Z715" s="9"/>
      <c r="AB715" s="204"/>
      <c r="AC715" s="204"/>
      <c r="AD715" s="204"/>
      <c r="AE715" s="204"/>
      <c r="AF715" s="204"/>
      <c r="AG715" s="204"/>
      <c r="AH715" s="204"/>
      <c r="AI715" s="204"/>
      <c r="AJ715" s="204"/>
      <c r="AK715" s="204"/>
      <c r="AL715" s="204"/>
      <c r="AM715" s="204"/>
      <c r="AN715" s="204"/>
      <c r="AO715" s="204"/>
      <c r="AP715" s="204"/>
      <c r="AQ715" s="204"/>
      <c r="AR715" s="204"/>
      <c r="AS715" s="204"/>
      <c r="AT715" s="204"/>
      <c r="AU715" s="204"/>
      <c r="AV715" s="204"/>
      <c r="AW715" s="204"/>
      <c r="AX715" s="204"/>
      <c r="AY715" s="204"/>
      <c r="AZ715" s="204"/>
      <c r="BA715" s="204"/>
      <c r="BB715" s="204"/>
      <c r="BC715" s="204"/>
      <c r="BD715" s="9"/>
      <c r="BE715" s="9"/>
      <c r="BF715" s="9"/>
      <c r="BG715" s="9"/>
      <c r="BH715" s="9"/>
      <c r="BI715" s="9"/>
      <c r="BJ715" s="9"/>
      <c r="BK715" s="9"/>
      <c r="BL715" s="9"/>
    </row>
    <row r="716" spans="1:64" hidden="1" outlineLevel="1">
      <c r="A716" s="9"/>
      <c r="B716" s="9"/>
      <c r="C716" s="9"/>
      <c r="D716" s="278" t="str">
        <f>Asset21</f>
        <v>Other - short life (9)</v>
      </c>
      <c r="E716" s="9"/>
      <c r="F716" s="9"/>
      <c r="G716" s="207">
        <f t="shared" ref="G716:L724" si="94">G490*G$6</f>
        <v>0</v>
      </c>
      <c r="H716" s="114">
        <f t="shared" si="94"/>
        <v>0</v>
      </c>
      <c r="I716" s="114">
        <f t="shared" si="94"/>
        <v>1.3311934104252087E-2</v>
      </c>
      <c r="J716" s="114">
        <f t="shared" si="94"/>
        <v>1.3233020534591149E-2</v>
      </c>
      <c r="K716" s="114">
        <f t="shared" si="94"/>
        <v>3.4137944642287206E-2</v>
      </c>
      <c r="L716" s="114">
        <f t="shared" si="94"/>
        <v>3.1804340431939006E-2</v>
      </c>
      <c r="M716" s="114">
        <f>IF(COUNT($H716:L716)&gt;=Input!$W$7,0,M490*M$6)</f>
        <v>0</v>
      </c>
      <c r="N716" s="114">
        <f>IF(COUNT($H716:M716)&gt;=Input!$W$7,0,N490*N$6)</f>
        <v>0</v>
      </c>
      <c r="O716" s="114">
        <f>IF(COUNT($H716:N716)&gt;=Input!$W$7,0,O490*O$6)</f>
        <v>0</v>
      </c>
      <c r="P716" s="114">
        <f>IF(COUNT($H716:O716)&gt;=Input!$W$7,0,P490*P$6)</f>
        <v>0</v>
      </c>
      <c r="Q716" s="114">
        <f>IF(COUNT($H716:P716)&gt;=Input!$W$7,0,Q490*Q$6)</f>
        <v>0</v>
      </c>
      <c r="R716" s="9"/>
      <c r="S716" s="9"/>
      <c r="T716" s="9"/>
      <c r="U716" s="9"/>
      <c r="V716" s="9"/>
      <c r="W716" s="9"/>
      <c r="X716" s="9"/>
      <c r="Y716" s="9"/>
      <c r="Z716" s="9"/>
      <c r="AB716" s="204"/>
      <c r="AC716" s="204"/>
      <c r="AD716" s="204"/>
      <c r="AE716" s="204"/>
      <c r="AF716" s="204"/>
      <c r="AG716" s="204"/>
      <c r="AH716" s="204"/>
      <c r="AI716" s="204"/>
      <c r="AJ716" s="204"/>
      <c r="AK716" s="204"/>
      <c r="AL716" s="204"/>
      <c r="AM716" s="204"/>
      <c r="AN716" s="204"/>
      <c r="AO716" s="204"/>
      <c r="AP716" s="204"/>
      <c r="AQ716" s="204"/>
      <c r="AR716" s="204"/>
      <c r="AS716" s="204"/>
      <c r="AT716" s="204"/>
      <c r="AU716" s="204"/>
      <c r="AV716" s="204"/>
      <c r="AW716" s="204"/>
      <c r="AX716" s="204"/>
      <c r="AY716" s="204"/>
      <c r="AZ716" s="204"/>
      <c r="BA716" s="204"/>
      <c r="BB716" s="204"/>
      <c r="BC716" s="204"/>
      <c r="BD716" s="9"/>
      <c r="BE716" s="9"/>
      <c r="BF716" s="9"/>
      <c r="BG716" s="9"/>
      <c r="BH716" s="9"/>
      <c r="BI716" s="9"/>
      <c r="BJ716" s="9"/>
      <c r="BK716" s="9"/>
      <c r="BL716" s="9"/>
    </row>
    <row r="717" spans="1:64" hidden="1" outlineLevel="1">
      <c r="A717" s="9"/>
      <c r="B717" s="9"/>
      <c r="C717" s="9"/>
      <c r="D717" s="278" t="str">
        <f>Asset22</f>
        <v>Other - short life (4)</v>
      </c>
      <c r="E717" s="9"/>
      <c r="F717" s="9"/>
      <c r="G717" s="207">
        <f t="shared" si="94"/>
        <v>0</v>
      </c>
      <c r="H717" s="114">
        <f t="shared" si="94"/>
        <v>1.5355494584837528E-2</v>
      </c>
      <c r="I717" s="114">
        <f t="shared" si="94"/>
        <v>0.12192761021051074</v>
      </c>
      <c r="J717" s="114">
        <f t="shared" si="94"/>
        <v>0.10560304136908223</v>
      </c>
      <c r="K717" s="114">
        <f t="shared" si="94"/>
        <v>0.26236904063878413</v>
      </c>
      <c r="L717" s="114">
        <f t="shared" si="94"/>
        <v>0.27593276698352348</v>
      </c>
      <c r="M717" s="114">
        <f>IF(COUNT($H717:L717)&gt;=Input!$W$7,0,M491*M$6)</f>
        <v>0</v>
      </c>
      <c r="N717" s="114">
        <f>IF(COUNT($H717:M717)&gt;=Input!$W$7,0,N491*N$6)</f>
        <v>0</v>
      </c>
      <c r="O717" s="114">
        <f>IF(COUNT($H717:N717)&gt;=Input!$W$7,0,O491*O$6)</f>
        <v>0</v>
      </c>
      <c r="P717" s="114">
        <f>IF(COUNT($H717:O717)&gt;=Input!$W$7,0,P491*P$6)</f>
        <v>0</v>
      </c>
      <c r="Q717" s="114">
        <f>IF(COUNT($H717:P717)&gt;=Input!$W$7,0,Q491*Q$6)</f>
        <v>0</v>
      </c>
      <c r="R717" s="9"/>
      <c r="S717" s="9"/>
      <c r="T717" s="9"/>
      <c r="U717" s="9"/>
      <c r="V717" s="9"/>
      <c r="W717" s="9"/>
      <c r="X717" s="9"/>
      <c r="Y717" s="9"/>
      <c r="Z717" s="9"/>
      <c r="AB717" s="204"/>
      <c r="AC717" s="204"/>
      <c r="AD717" s="204"/>
      <c r="AE717" s="204"/>
      <c r="AF717" s="204"/>
      <c r="AG717" s="204"/>
      <c r="AH717" s="204"/>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204"/>
      <c r="BD717" s="9"/>
      <c r="BE717" s="9"/>
      <c r="BF717" s="9"/>
      <c r="BG717" s="9"/>
      <c r="BH717" s="9"/>
      <c r="BI717" s="9"/>
      <c r="BJ717" s="9"/>
      <c r="BK717" s="9"/>
      <c r="BL717" s="9"/>
    </row>
    <row r="718" spans="1:64" hidden="1" outlineLevel="1">
      <c r="A718" s="9"/>
      <c r="B718" s="9"/>
      <c r="C718" s="9"/>
      <c r="D718" s="278" t="str">
        <f>Asset23</f>
        <v>Land and Easements</v>
      </c>
      <c r="E718" s="9"/>
      <c r="F718" s="9"/>
      <c r="G718" s="207">
        <f t="shared" si="94"/>
        <v>0</v>
      </c>
      <c r="H718" s="114">
        <f t="shared" si="94"/>
        <v>3.5546881084015506E-3</v>
      </c>
      <c r="I718" s="114">
        <f t="shared" si="94"/>
        <v>2.2787837063604741E-2</v>
      </c>
      <c r="J718" s="114">
        <f t="shared" si="94"/>
        <v>3.3390786646331022E-2</v>
      </c>
      <c r="K718" s="114">
        <f t="shared" si="94"/>
        <v>0.1137519385028201</v>
      </c>
      <c r="L718" s="114">
        <f t="shared" si="94"/>
        <v>0.13300327919689914</v>
      </c>
      <c r="M718" s="114">
        <f>IF(COUNT($H718:L718)&gt;=Input!$W$7,0,M492*M$6)</f>
        <v>0</v>
      </c>
      <c r="N718" s="114">
        <f>IF(COUNT($H718:M718)&gt;=Input!$W$7,0,N492*N$6)</f>
        <v>0</v>
      </c>
      <c r="O718" s="114">
        <f>IF(COUNT($H718:N718)&gt;=Input!$W$7,0,O492*O$6)</f>
        <v>0</v>
      </c>
      <c r="P718" s="114">
        <f>IF(COUNT($H718:O718)&gt;=Input!$W$7,0,P492*P$6)</f>
        <v>0</v>
      </c>
      <c r="Q718" s="114">
        <f>IF(COUNT($H718:P718)&gt;=Input!$W$7,0,Q492*Q$6)</f>
        <v>0</v>
      </c>
      <c r="R718" s="9"/>
      <c r="S718" s="9"/>
      <c r="T718" s="9"/>
      <c r="U718" s="9"/>
      <c r="V718" s="9"/>
      <c r="W718" s="9"/>
      <c r="X718" s="9"/>
      <c r="Y718" s="9"/>
      <c r="Z718" s="9"/>
      <c r="AB718" s="204"/>
      <c r="AC718" s="204"/>
      <c r="AD718" s="204"/>
      <c r="AE718" s="204"/>
      <c r="AF718" s="204"/>
      <c r="AG718" s="204"/>
      <c r="AH718" s="204"/>
      <c r="AI718" s="204"/>
      <c r="AJ718" s="204"/>
      <c r="AK718" s="204"/>
      <c r="AL718" s="204"/>
      <c r="AM718" s="204"/>
      <c r="AN718" s="204"/>
      <c r="AO718" s="204"/>
      <c r="AP718" s="204"/>
      <c r="AQ718" s="204"/>
      <c r="AR718" s="204"/>
      <c r="AS718" s="204"/>
      <c r="AT718" s="204"/>
      <c r="AU718" s="204"/>
      <c r="AV718" s="204"/>
      <c r="AW718" s="204"/>
      <c r="AX718" s="204"/>
      <c r="AY718" s="204"/>
      <c r="AZ718" s="204"/>
      <c r="BA718" s="204"/>
      <c r="BB718" s="204"/>
      <c r="BC718" s="204"/>
      <c r="BD718" s="9"/>
      <c r="BE718" s="9"/>
      <c r="BF718" s="9"/>
      <c r="BG718" s="9"/>
      <c r="BH718" s="9"/>
      <c r="BI718" s="9"/>
      <c r="BJ718" s="9"/>
      <c r="BK718" s="9"/>
      <c r="BL718" s="9"/>
    </row>
    <row r="719" spans="1:64" hidden="1" outlineLevel="1">
      <c r="A719" s="9"/>
      <c r="B719" s="9"/>
      <c r="C719" s="9"/>
      <c r="D719" s="278" t="str">
        <f>Asset24</f>
        <v>Equity Raising</v>
      </c>
      <c r="E719" s="9"/>
      <c r="F719" s="9"/>
      <c r="G719" s="207">
        <f t="shared" si="94"/>
        <v>0</v>
      </c>
      <c r="H719" s="114">
        <f t="shared" si="94"/>
        <v>0</v>
      </c>
      <c r="I719" s="114">
        <f t="shared" si="94"/>
        <v>1.4828347104386968E-2</v>
      </c>
      <c r="J719" s="114">
        <f t="shared" si="94"/>
        <v>7.1101568444927529E-3</v>
      </c>
      <c r="K719" s="114">
        <f t="shared" si="94"/>
        <v>1.1122844381937325E-2</v>
      </c>
      <c r="L719" s="114">
        <f t="shared" si="94"/>
        <v>1.1101724630401188E-2</v>
      </c>
      <c r="M719" s="114">
        <f>IF(COUNT($H719:L719)&gt;=Input!$W$7,0,M493*M$6)</f>
        <v>0</v>
      </c>
      <c r="N719" s="114">
        <f>IF(COUNT($H719:M719)&gt;=Input!$W$7,0,N493*N$6)</f>
        <v>0</v>
      </c>
      <c r="O719" s="114">
        <f>IF(COUNT($H719:N719)&gt;=Input!$W$7,0,O493*O$6)</f>
        <v>0</v>
      </c>
      <c r="P719" s="114">
        <f>IF(COUNT($H719:O719)&gt;=Input!$W$7,0,P493*P$6)</f>
        <v>0</v>
      </c>
      <c r="Q719" s="114">
        <f>IF(COUNT($H719:P719)&gt;=Input!$W$7,0,Q493*Q$6)</f>
        <v>0</v>
      </c>
      <c r="R719" s="9"/>
      <c r="S719" s="9"/>
      <c r="T719" s="9"/>
      <c r="U719" s="9"/>
      <c r="V719" s="9"/>
      <c r="W719" s="9"/>
      <c r="X719" s="9"/>
      <c r="Y719" s="9"/>
      <c r="Z719" s="9"/>
      <c r="AB719" s="204"/>
      <c r="AC719" s="204"/>
      <c r="AD719" s="204"/>
      <c r="AE719" s="204"/>
      <c r="AF719" s="204"/>
      <c r="AG719" s="204"/>
      <c r="AH719" s="204"/>
      <c r="AI719" s="204"/>
      <c r="AJ719" s="204"/>
      <c r="AK719" s="204"/>
      <c r="AL719" s="204"/>
      <c r="AM719" s="204"/>
      <c r="AN719" s="204"/>
      <c r="AO719" s="204"/>
      <c r="AP719" s="204"/>
      <c r="AQ719" s="204"/>
      <c r="AR719" s="204"/>
      <c r="AS719" s="204"/>
      <c r="AT719" s="204"/>
      <c r="AU719" s="204"/>
      <c r="AV719" s="204"/>
      <c r="AW719" s="204"/>
      <c r="AX719" s="204"/>
      <c r="AY719" s="204"/>
      <c r="AZ719" s="204"/>
      <c r="BA719" s="204"/>
      <c r="BB719" s="204"/>
      <c r="BC719" s="204"/>
      <c r="BD719" s="9"/>
      <c r="BE719" s="9"/>
      <c r="BF719" s="9"/>
      <c r="BG719" s="9"/>
      <c r="BH719" s="9"/>
      <c r="BI719" s="9"/>
      <c r="BJ719" s="9"/>
      <c r="BK719" s="9"/>
      <c r="BL719" s="9"/>
    </row>
    <row r="720" spans="1:64" hidden="1" outlineLevel="1">
      <c r="A720" s="9"/>
      <c r="B720" s="9"/>
      <c r="C720" s="9"/>
      <c r="D720" s="278">
        <f>Asset25</f>
        <v>0</v>
      </c>
      <c r="E720" s="9"/>
      <c r="F720" s="9"/>
      <c r="G720" s="207">
        <f t="shared" si="94"/>
        <v>0</v>
      </c>
      <c r="H720" s="114">
        <f t="shared" si="94"/>
        <v>0</v>
      </c>
      <c r="I720" s="114">
        <f t="shared" si="94"/>
        <v>0</v>
      </c>
      <c r="J720" s="114">
        <f t="shared" si="94"/>
        <v>0</v>
      </c>
      <c r="K720" s="114">
        <f t="shared" si="94"/>
        <v>0</v>
      </c>
      <c r="L720" s="114">
        <f t="shared" si="94"/>
        <v>0</v>
      </c>
      <c r="M720" s="114">
        <f>IF(COUNT($H720:L720)&gt;=Input!$W$7,0,M494*M$6)</f>
        <v>0</v>
      </c>
      <c r="N720" s="114">
        <f>IF(COUNT($H720:M720)&gt;=Input!$W$7,0,N494*N$6)</f>
        <v>0</v>
      </c>
      <c r="O720" s="114">
        <f>IF(COUNT($H720:N720)&gt;=Input!$W$7,0,O494*O$6)</f>
        <v>0</v>
      </c>
      <c r="P720" s="114">
        <f>IF(COUNT($H720:O720)&gt;=Input!$W$7,0,P494*P$6)</f>
        <v>0</v>
      </c>
      <c r="Q720" s="114">
        <f>IF(COUNT($H720:P720)&gt;=Input!$W$7,0,Q494*Q$6)</f>
        <v>0</v>
      </c>
      <c r="R720" s="9"/>
      <c r="S720" s="9"/>
      <c r="T720" s="9"/>
      <c r="U720" s="9"/>
      <c r="V720" s="9"/>
      <c r="W720" s="9"/>
      <c r="X720" s="9"/>
      <c r="Y720" s="9"/>
      <c r="Z720" s="9"/>
      <c r="AB720" s="204"/>
      <c r="AC720" s="204"/>
      <c r="AD720" s="204"/>
      <c r="AE720" s="204"/>
      <c r="AF720" s="204"/>
      <c r="AG720" s="204"/>
      <c r="AH720" s="204"/>
      <c r="AI720" s="204"/>
      <c r="AJ720" s="204"/>
      <c r="AK720" s="204"/>
      <c r="AL720" s="204"/>
      <c r="AM720" s="204"/>
      <c r="AN720" s="204"/>
      <c r="AO720" s="204"/>
      <c r="AP720" s="204"/>
      <c r="AQ720" s="204"/>
      <c r="AR720" s="204"/>
      <c r="AS720" s="204"/>
      <c r="AT720" s="204"/>
      <c r="AU720" s="204"/>
      <c r="AV720" s="204"/>
      <c r="AW720" s="204"/>
      <c r="AX720" s="204"/>
      <c r="AY720" s="204"/>
      <c r="AZ720" s="204"/>
      <c r="BA720" s="204"/>
      <c r="BB720" s="204"/>
      <c r="BC720" s="204"/>
      <c r="BD720" s="9"/>
      <c r="BE720" s="9"/>
      <c r="BF720" s="9"/>
      <c r="BG720" s="9"/>
      <c r="BH720" s="9"/>
      <c r="BI720" s="9"/>
      <c r="BJ720" s="9"/>
      <c r="BK720" s="9"/>
      <c r="BL720" s="9"/>
    </row>
    <row r="721" spans="1:64" hidden="1" outlineLevel="1">
      <c r="A721" s="9"/>
      <c r="B721" s="9"/>
      <c r="C721" s="9"/>
      <c r="D721" s="278">
        <f>Asset26</f>
        <v>0</v>
      </c>
      <c r="E721" s="9"/>
      <c r="F721" s="9"/>
      <c r="G721" s="207">
        <f t="shared" si="94"/>
        <v>0</v>
      </c>
      <c r="H721" s="114">
        <f t="shared" si="94"/>
        <v>0</v>
      </c>
      <c r="I721" s="114">
        <f t="shared" si="94"/>
        <v>0</v>
      </c>
      <c r="J721" s="114">
        <f t="shared" si="94"/>
        <v>0</v>
      </c>
      <c r="K721" s="114">
        <f t="shared" si="94"/>
        <v>0</v>
      </c>
      <c r="L721" s="114">
        <f t="shared" si="94"/>
        <v>0</v>
      </c>
      <c r="M721" s="114">
        <f>IF(COUNT($H721:L721)&gt;=Input!$W$7,0,M495*M$6)</f>
        <v>0</v>
      </c>
      <c r="N721" s="114">
        <f>IF(COUNT($H721:M721)&gt;=Input!$W$7,0,N495*N$6)</f>
        <v>0</v>
      </c>
      <c r="O721" s="114">
        <f>IF(COUNT($H721:N721)&gt;=Input!$W$7,0,O495*O$6)</f>
        <v>0</v>
      </c>
      <c r="P721" s="114">
        <f>IF(COUNT($H721:O721)&gt;=Input!$W$7,0,P495*P$6)</f>
        <v>0</v>
      </c>
      <c r="Q721" s="114">
        <f>IF(COUNT($H721:P721)&gt;=Input!$W$7,0,Q495*Q$6)</f>
        <v>0</v>
      </c>
      <c r="R721" s="9"/>
      <c r="S721" s="9"/>
      <c r="T721" s="9"/>
      <c r="U721" s="9"/>
      <c r="V721" s="9"/>
      <c r="W721" s="9"/>
      <c r="X721" s="9"/>
      <c r="Y721" s="9"/>
      <c r="Z721" s="9"/>
      <c r="AB721" s="204"/>
      <c r="AC721" s="204"/>
      <c r="AD721" s="204"/>
      <c r="AE721" s="204"/>
      <c r="AF721" s="204"/>
      <c r="AG721" s="204"/>
      <c r="AH721" s="204"/>
      <c r="AI721" s="204"/>
      <c r="AJ721" s="204"/>
      <c r="AK721" s="204"/>
      <c r="AL721" s="204"/>
      <c r="AM721" s="204"/>
      <c r="AN721" s="204"/>
      <c r="AO721" s="204"/>
      <c r="AP721" s="204"/>
      <c r="AQ721" s="204"/>
      <c r="AR721" s="204"/>
      <c r="AS721" s="204"/>
      <c r="AT721" s="204"/>
      <c r="AU721" s="204"/>
      <c r="AV721" s="204"/>
      <c r="AW721" s="204"/>
      <c r="AX721" s="204"/>
      <c r="AY721" s="204"/>
      <c r="AZ721" s="204"/>
      <c r="BA721" s="204"/>
      <c r="BB721" s="204"/>
      <c r="BC721" s="204"/>
      <c r="BD721" s="9"/>
      <c r="BE721" s="9"/>
      <c r="BF721" s="9"/>
      <c r="BG721" s="9"/>
      <c r="BH721" s="9"/>
      <c r="BI721" s="9"/>
      <c r="BJ721" s="9"/>
      <c r="BK721" s="9"/>
      <c r="BL721" s="9"/>
    </row>
    <row r="722" spans="1:64" hidden="1" outlineLevel="1">
      <c r="A722" s="9"/>
      <c r="B722" s="9"/>
      <c r="C722" s="9"/>
      <c r="D722" s="278">
        <f>Asset27</f>
        <v>0</v>
      </c>
      <c r="E722" s="9"/>
      <c r="F722" s="9"/>
      <c r="G722" s="207">
        <f t="shared" si="94"/>
        <v>0</v>
      </c>
      <c r="H722" s="114">
        <f t="shared" si="94"/>
        <v>0</v>
      </c>
      <c r="I722" s="114">
        <f t="shared" si="94"/>
        <v>0</v>
      </c>
      <c r="J722" s="114">
        <f t="shared" si="94"/>
        <v>0</v>
      </c>
      <c r="K722" s="114">
        <f t="shared" si="94"/>
        <v>0</v>
      </c>
      <c r="L722" s="114">
        <f t="shared" si="94"/>
        <v>0</v>
      </c>
      <c r="M722" s="114">
        <f>IF(COUNT($H722:L722)&gt;=Input!$W$7,0,M496*M$6)</f>
        <v>0</v>
      </c>
      <c r="N722" s="114">
        <f>IF(COUNT($H722:M722)&gt;=Input!$W$7,0,N496*N$6)</f>
        <v>0</v>
      </c>
      <c r="O722" s="114">
        <f>IF(COUNT($H722:N722)&gt;=Input!$W$7,0,O496*O$6)</f>
        <v>0</v>
      </c>
      <c r="P722" s="114">
        <f>IF(COUNT($H722:O722)&gt;=Input!$W$7,0,P496*P$6)</f>
        <v>0</v>
      </c>
      <c r="Q722" s="114">
        <f>IF(COUNT($H722:P722)&gt;=Input!$W$7,0,Q496*Q$6)</f>
        <v>0</v>
      </c>
      <c r="R722" s="9"/>
      <c r="S722" s="9"/>
      <c r="T722" s="9"/>
      <c r="U722" s="9"/>
      <c r="V722" s="9"/>
      <c r="W722" s="9"/>
      <c r="X722" s="9"/>
      <c r="Y722" s="9"/>
      <c r="Z722" s="9"/>
      <c r="AB722" s="204"/>
      <c r="AC722" s="204"/>
      <c r="AD722" s="204"/>
      <c r="AE722" s="204"/>
      <c r="AF722" s="204"/>
      <c r="AG722" s="204"/>
      <c r="AH722" s="204"/>
      <c r="AI722" s="204"/>
      <c r="AJ722" s="204"/>
      <c r="AK722" s="204"/>
      <c r="AL722" s="204"/>
      <c r="AM722" s="204"/>
      <c r="AN722" s="204"/>
      <c r="AO722" s="204"/>
      <c r="AP722" s="204"/>
      <c r="AQ722" s="204"/>
      <c r="AR722" s="204"/>
      <c r="AS722" s="204"/>
      <c r="AT722" s="204"/>
      <c r="AU722" s="204"/>
      <c r="AV722" s="204"/>
      <c r="AW722" s="204"/>
      <c r="AX722" s="204"/>
      <c r="AY722" s="204"/>
      <c r="AZ722" s="204"/>
      <c r="BA722" s="204"/>
      <c r="BB722" s="204"/>
      <c r="BC722" s="204"/>
      <c r="BD722" s="9"/>
      <c r="BE722" s="9"/>
      <c r="BF722" s="9"/>
      <c r="BG722" s="9"/>
      <c r="BH722" s="9"/>
      <c r="BI722" s="9"/>
      <c r="BJ722" s="9"/>
      <c r="BK722" s="9"/>
      <c r="BL722" s="9"/>
    </row>
    <row r="723" spans="1:64" hidden="1" outlineLevel="1">
      <c r="A723" s="9"/>
      <c r="B723" s="9"/>
      <c r="C723" s="9"/>
      <c r="D723" s="278">
        <f>Asset28</f>
        <v>0</v>
      </c>
      <c r="E723" s="9"/>
      <c r="F723" s="9"/>
      <c r="G723" s="207">
        <f t="shared" si="94"/>
        <v>0</v>
      </c>
      <c r="H723" s="114">
        <f t="shared" si="94"/>
        <v>0</v>
      </c>
      <c r="I723" s="114">
        <f t="shared" si="94"/>
        <v>0</v>
      </c>
      <c r="J723" s="114">
        <f t="shared" si="94"/>
        <v>0</v>
      </c>
      <c r="K723" s="114">
        <f t="shared" si="94"/>
        <v>0</v>
      </c>
      <c r="L723" s="114">
        <f t="shared" si="94"/>
        <v>0</v>
      </c>
      <c r="M723" s="114">
        <f>IF(COUNT($H723:L723)&gt;=Input!$W$7,0,M497*M$6)</f>
        <v>0</v>
      </c>
      <c r="N723" s="114">
        <f>IF(COUNT($H723:M723)&gt;=Input!$W$7,0,N497*N$6)</f>
        <v>0</v>
      </c>
      <c r="O723" s="114">
        <f>IF(COUNT($H723:N723)&gt;=Input!$W$7,0,O497*O$6)</f>
        <v>0</v>
      </c>
      <c r="P723" s="114">
        <f>IF(COUNT($H723:O723)&gt;=Input!$W$7,0,P497*P$6)</f>
        <v>0</v>
      </c>
      <c r="Q723" s="114">
        <f>IF(COUNT($H723:P723)&gt;=Input!$W$7,0,Q497*Q$6)</f>
        <v>0</v>
      </c>
      <c r="R723" s="9"/>
      <c r="S723" s="9"/>
      <c r="T723" s="9"/>
      <c r="U723" s="9"/>
      <c r="V723" s="9"/>
      <c r="W723" s="9"/>
      <c r="X723" s="9"/>
      <c r="Y723" s="9"/>
      <c r="Z723" s="9"/>
      <c r="AB723" s="204"/>
      <c r="AC723" s="204"/>
      <c r="AD723" s="204"/>
      <c r="AE723" s="204"/>
      <c r="AF723" s="204"/>
      <c r="AG723" s="204"/>
      <c r="AH723" s="204"/>
      <c r="AI723" s="204"/>
      <c r="AJ723" s="204"/>
      <c r="AK723" s="204"/>
      <c r="AL723" s="204"/>
      <c r="AM723" s="204"/>
      <c r="AN723" s="204"/>
      <c r="AO723" s="204"/>
      <c r="AP723" s="204"/>
      <c r="AQ723" s="204"/>
      <c r="AR723" s="204"/>
      <c r="AS723" s="204"/>
      <c r="AT723" s="204"/>
      <c r="AU723" s="204"/>
      <c r="AV723" s="204"/>
      <c r="AW723" s="204"/>
      <c r="AX723" s="204"/>
      <c r="AY723" s="204"/>
      <c r="AZ723" s="204"/>
      <c r="BA723" s="204"/>
      <c r="BB723" s="204"/>
      <c r="BC723" s="204"/>
      <c r="BD723" s="9"/>
      <c r="BE723" s="9"/>
      <c r="BF723" s="9"/>
      <c r="BG723" s="9"/>
      <c r="BH723" s="9"/>
      <c r="BI723" s="9"/>
      <c r="BJ723" s="9"/>
      <c r="BK723" s="9"/>
      <c r="BL723" s="9"/>
    </row>
    <row r="724" spans="1:64" hidden="1" outlineLevel="1">
      <c r="A724" s="9"/>
      <c r="B724" s="9"/>
      <c r="C724" s="9"/>
      <c r="D724" s="278">
        <f>Asset29</f>
        <v>0</v>
      </c>
      <c r="E724" s="9"/>
      <c r="F724" s="9"/>
      <c r="G724" s="207">
        <f t="shared" si="94"/>
        <v>0</v>
      </c>
      <c r="H724" s="114">
        <f t="shared" si="94"/>
        <v>0</v>
      </c>
      <c r="I724" s="114">
        <f t="shared" si="94"/>
        <v>0</v>
      </c>
      <c r="J724" s="114">
        <f t="shared" si="94"/>
        <v>0</v>
      </c>
      <c r="K724" s="114">
        <f t="shared" si="94"/>
        <v>0</v>
      </c>
      <c r="L724" s="114">
        <f t="shared" si="94"/>
        <v>0</v>
      </c>
      <c r="M724" s="114">
        <f>IF(COUNT($H724:L724)&gt;=Input!$W$7,0,M498*M$6)</f>
        <v>0</v>
      </c>
      <c r="N724" s="114">
        <f>IF(COUNT($H724:M724)&gt;=Input!$W$7,0,N498*N$6)</f>
        <v>0</v>
      </c>
      <c r="O724" s="114">
        <f>IF(COUNT($H724:N724)&gt;=Input!$W$7,0,O498*O$6)</f>
        <v>0</v>
      </c>
      <c r="P724" s="114">
        <f>IF(COUNT($H724:O724)&gt;=Input!$W$7,0,P498*P$6)</f>
        <v>0</v>
      </c>
      <c r="Q724" s="114">
        <f>IF(COUNT($H724:P724)&gt;=Input!$W$7,0,Q498*Q$6)</f>
        <v>0</v>
      </c>
      <c r="R724" s="9"/>
      <c r="S724" s="9"/>
      <c r="T724" s="9"/>
      <c r="U724" s="9"/>
      <c r="V724" s="9"/>
      <c r="W724" s="9"/>
      <c r="X724" s="9"/>
      <c r="Y724" s="9"/>
      <c r="Z724" s="9"/>
      <c r="AB724" s="204"/>
      <c r="AC724" s="204"/>
      <c r="AD724" s="204"/>
      <c r="AE724" s="204"/>
      <c r="AF724" s="204"/>
      <c r="AG724" s="204"/>
      <c r="AH724" s="204"/>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4"/>
      <c r="BD724" s="9"/>
      <c r="BE724" s="9"/>
      <c r="BF724" s="9"/>
      <c r="BG724" s="9"/>
      <c r="BH724" s="9"/>
      <c r="BI724" s="9"/>
      <c r="BJ724" s="9"/>
      <c r="BK724" s="9"/>
      <c r="BL724" s="9"/>
    </row>
    <row r="725" spans="1:64" hidden="1" outlineLevel="1">
      <c r="A725" s="9"/>
      <c r="B725" s="9"/>
      <c r="C725" s="9"/>
      <c r="D725" s="278">
        <f>Asset30</f>
        <v>0</v>
      </c>
      <c r="E725" s="9"/>
      <c r="F725" s="9"/>
      <c r="G725" s="207">
        <f t="shared" ref="G725:L725" si="95">G499*G$6</f>
        <v>0</v>
      </c>
      <c r="H725" s="114">
        <f t="shared" si="95"/>
        <v>0</v>
      </c>
      <c r="I725" s="114">
        <f t="shared" si="95"/>
        <v>0</v>
      </c>
      <c r="J725" s="114">
        <f t="shared" si="95"/>
        <v>0</v>
      </c>
      <c r="K725" s="114">
        <f t="shared" si="95"/>
        <v>0</v>
      </c>
      <c r="L725" s="114">
        <f t="shared" si="95"/>
        <v>0</v>
      </c>
      <c r="M725" s="114">
        <f>IF(COUNT($H725:L725)&gt;=Input!$W$7,0,M499*M$6)</f>
        <v>0</v>
      </c>
      <c r="N725" s="114">
        <f>IF(COUNT($H725:M725)&gt;=Input!$W$7,0,N499*N$6)</f>
        <v>0</v>
      </c>
      <c r="O725" s="114">
        <f>IF(COUNT($H725:N725)&gt;=Input!$W$7,0,O499*O$6)</f>
        <v>0</v>
      </c>
      <c r="P725" s="114">
        <f>IF(COUNT($H725:O725)&gt;=Input!$W$7,0,P499*P$6)</f>
        <v>0</v>
      </c>
      <c r="Q725" s="114">
        <f>IF(COUNT($H725:P725)&gt;=Input!$W$7,0,Q499*Q$6)</f>
        <v>0</v>
      </c>
      <c r="R725" s="9"/>
      <c r="S725" s="9"/>
      <c r="T725" s="9"/>
      <c r="U725" s="9"/>
      <c r="V725" s="9"/>
      <c r="W725" s="9"/>
      <c r="X725" s="9"/>
      <c r="Y725" s="9"/>
      <c r="Z725" s="9"/>
      <c r="AB725" s="204"/>
      <c r="AC725" s="204"/>
      <c r="AD725" s="204"/>
      <c r="AE725" s="204"/>
      <c r="AF725" s="204"/>
      <c r="AG725" s="204"/>
      <c r="AH725" s="204"/>
      <c r="AI725" s="204"/>
      <c r="AJ725" s="204"/>
      <c r="AK725" s="204"/>
      <c r="AL725" s="204"/>
      <c r="AM725" s="204"/>
      <c r="AN725" s="204"/>
      <c r="AO725" s="204"/>
      <c r="AP725" s="204"/>
      <c r="AQ725" s="204"/>
      <c r="AR725" s="204"/>
      <c r="AS725" s="204"/>
      <c r="AT725" s="204"/>
      <c r="AU725" s="204"/>
      <c r="AV725" s="204"/>
      <c r="AW725" s="204"/>
      <c r="AX725" s="204"/>
      <c r="AY725" s="204"/>
      <c r="AZ725" s="204"/>
      <c r="BA725" s="204"/>
      <c r="BB725" s="204"/>
      <c r="BC725" s="204"/>
      <c r="BD725" s="9"/>
      <c r="BE725" s="9"/>
      <c r="BF725" s="9"/>
      <c r="BG725" s="9"/>
      <c r="BH725" s="9"/>
      <c r="BI725" s="9"/>
      <c r="BJ725" s="9"/>
      <c r="BK725" s="9"/>
      <c r="BL725" s="9"/>
    </row>
    <row r="726" spans="1:64" collapsed="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B726" s="204"/>
      <c r="AC726" s="204"/>
      <c r="AD726" s="204"/>
      <c r="AE726" s="204"/>
      <c r="AF726" s="204"/>
      <c r="AG726" s="204"/>
      <c r="AH726" s="204"/>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9"/>
      <c r="BE726" s="9"/>
      <c r="BF726" s="9"/>
      <c r="BG726" s="9"/>
      <c r="BH726" s="9"/>
      <c r="BI726" s="9"/>
      <c r="BJ726" s="9"/>
      <c r="BK726" s="9"/>
      <c r="BL726" s="9"/>
    </row>
    <row r="727" spans="1:64" s="12" customFormat="1">
      <c r="A727" s="78"/>
      <c r="B727" s="78"/>
      <c r="C727" s="85" t="s">
        <v>96</v>
      </c>
      <c r="D727" s="78"/>
      <c r="E727" s="78"/>
      <c r="F727" s="78"/>
      <c r="G727" s="88"/>
      <c r="H727" s="120"/>
      <c r="I727" s="120"/>
      <c r="J727" s="120"/>
      <c r="K727" s="120"/>
      <c r="L727" s="120"/>
      <c r="M727" s="120"/>
      <c r="N727" s="89"/>
      <c r="O727" s="89"/>
      <c r="P727" s="89"/>
      <c r="Q727" s="89"/>
      <c r="R727" s="89"/>
      <c r="S727" s="89"/>
      <c r="T727" s="110"/>
      <c r="U727" s="110"/>
      <c r="V727" s="110"/>
      <c r="W727" s="110"/>
      <c r="X727" s="110"/>
      <c r="Y727" s="110"/>
      <c r="Z727" s="110"/>
      <c r="AA727" s="221"/>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0"/>
      <c r="AY727" s="110"/>
      <c r="AZ727" s="110"/>
      <c r="BA727" s="110"/>
      <c r="BB727" s="110"/>
      <c r="BC727" s="110"/>
      <c r="BD727" s="110"/>
      <c r="BE727" s="110"/>
      <c r="BF727" s="110"/>
      <c r="BG727" s="110"/>
      <c r="BH727" s="110"/>
      <c r="BI727" s="110"/>
      <c r="BJ727" s="110"/>
    </row>
    <row r="728" spans="1:64">
      <c r="A728" s="9"/>
      <c r="B728" s="9"/>
      <c r="C728" s="9"/>
      <c r="D728" s="9"/>
      <c r="E728" s="9"/>
      <c r="F728" s="9"/>
      <c r="G728" s="9"/>
      <c r="H728" s="9"/>
      <c r="I728" s="9"/>
      <c r="J728" s="9"/>
      <c r="K728" s="9"/>
      <c r="L728" s="9"/>
      <c r="M728" s="9"/>
      <c r="N728" s="9"/>
      <c r="O728" s="9"/>
      <c r="P728" s="9"/>
      <c r="Q728" s="9"/>
      <c r="R728" s="9"/>
      <c r="S728" s="9"/>
      <c r="T728" s="110"/>
      <c r="U728" s="110"/>
      <c r="V728" s="110"/>
      <c r="W728" s="110"/>
      <c r="X728" s="110"/>
      <c r="Y728" s="110"/>
      <c r="Z728" s="110"/>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110"/>
      <c r="BE728" s="110"/>
      <c r="BF728" s="110"/>
      <c r="BG728" s="110"/>
      <c r="BH728" s="110"/>
      <c r="BI728" s="110"/>
      <c r="BJ728" s="110"/>
      <c r="BK728" s="12"/>
      <c r="BL728" s="12"/>
    </row>
    <row r="729" spans="1:64">
      <c r="A729" s="9"/>
      <c r="B729" s="9"/>
      <c r="C729" s="44" t="s">
        <v>85</v>
      </c>
      <c r="D729" s="9"/>
      <c r="E729" s="9"/>
      <c r="F729" s="9"/>
      <c r="G729" s="320">
        <f>SUM(G730:G759)</f>
        <v>850.48215020415546</v>
      </c>
      <c r="H729" s="321">
        <f>SUM(H730:H759)</f>
        <v>896.13027904669582</v>
      </c>
      <c r="I729" s="321">
        <f t="shared" ref="I729:Q729" si="96">SUM(I730:I759)</f>
        <v>925.02642735980635</v>
      </c>
      <c r="J729" s="321">
        <f t="shared" si="96"/>
        <v>1134.8602458966684</v>
      </c>
      <c r="K729" s="321">
        <f t="shared" si="96"/>
        <v>1213.0807569399738</v>
      </c>
      <c r="L729" s="321">
        <f t="shared" si="96"/>
        <v>1278.5783153475738</v>
      </c>
      <c r="M729" s="321">
        <f t="shared" si="96"/>
        <v>1372.7205228898174</v>
      </c>
      <c r="N729" s="321">
        <f t="shared" si="96"/>
        <v>0</v>
      </c>
      <c r="O729" s="321">
        <f t="shared" si="96"/>
        <v>0</v>
      </c>
      <c r="P729" s="321">
        <f t="shared" si="96"/>
        <v>0</v>
      </c>
      <c r="Q729" s="321">
        <f t="shared" si="96"/>
        <v>0</v>
      </c>
      <c r="R729" s="321">
        <f>SUM(R730:R759)</f>
        <v>0</v>
      </c>
      <c r="S729" s="288"/>
      <c r="T729" s="103"/>
      <c r="U729" s="103"/>
      <c r="V729" s="103"/>
      <c r="W729" s="103"/>
      <c r="X729" s="103"/>
      <c r="Y729" s="103"/>
      <c r="Z729" s="103"/>
      <c r="AA729" s="237"/>
      <c r="AB729" s="237"/>
      <c r="AC729" s="237"/>
      <c r="AD729" s="237"/>
      <c r="AE729" s="237"/>
      <c r="AF729" s="237"/>
      <c r="AG729" s="237"/>
      <c r="AH729" s="237"/>
      <c r="AI729" s="237"/>
      <c r="AJ729" s="237"/>
      <c r="AK729" s="237"/>
      <c r="AL729" s="237"/>
      <c r="AM729" s="237"/>
      <c r="AN729" s="237"/>
      <c r="AO729" s="237"/>
      <c r="AP729" s="237"/>
      <c r="AQ729" s="237"/>
      <c r="AR729" s="237"/>
      <c r="AS729" s="237"/>
      <c r="AT729" s="237"/>
      <c r="AU729" s="237"/>
      <c r="AV729" s="237"/>
      <c r="AW729" s="237"/>
      <c r="AX729" s="237"/>
      <c r="AY729" s="237"/>
      <c r="AZ729" s="237"/>
      <c r="BA729" s="237"/>
      <c r="BB729" s="237"/>
      <c r="BC729" s="237"/>
      <c r="BD729" s="103"/>
      <c r="BE729" s="103"/>
      <c r="BF729" s="103"/>
      <c r="BG729" s="103"/>
      <c r="BH729" s="103"/>
      <c r="BI729" s="103"/>
      <c r="BJ729" s="103"/>
      <c r="BK729" s="12"/>
      <c r="BL729" s="12"/>
    </row>
    <row r="730" spans="1:64" ht="12.75" customHeight="1" outlineLevel="1">
      <c r="A730" s="9"/>
      <c r="B730" s="9"/>
      <c r="C730" s="9"/>
      <c r="D730" s="278" t="str">
        <f>Asset1</f>
        <v>Transmission Lines and Cables</v>
      </c>
      <c r="E730" s="9"/>
      <c r="F730" s="9"/>
      <c r="G730" s="207">
        <f>Input!J7</f>
        <v>301.73003727544352</v>
      </c>
      <c r="H730" s="114">
        <f>G730+G762+G794+G826+G858</f>
        <v>293.69509346172714</v>
      </c>
      <c r="I730" s="114">
        <f t="shared" ref="I730:M739" si="97">H730+H762+H794</f>
        <v>287.87338874353077</v>
      </c>
      <c r="J730" s="114">
        <f t="shared" si="97"/>
        <v>282.75218662646068</v>
      </c>
      <c r="K730" s="114">
        <f t="shared" si="97"/>
        <v>272.02514885797677</v>
      </c>
      <c r="L730" s="114">
        <f t="shared" si="97"/>
        <v>263.1501368516461</v>
      </c>
      <c r="M730" s="114">
        <f t="shared" si="97"/>
        <v>253.89775910501345</v>
      </c>
      <c r="N730" s="114">
        <f>IF(COUNT($H730:M730)&gt;Input!$W$7,0, M730+M762+M794)</f>
        <v>0</v>
      </c>
      <c r="O730" s="114">
        <f>IF(COUNT($H730:N730)&gt;Input!$W$7,0, N730+N762+N794)</f>
        <v>0</v>
      </c>
      <c r="P730" s="114">
        <f>IF(COUNT($H730:O730)&gt;Input!$W$7,0, O730+O762+O794)</f>
        <v>0</v>
      </c>
      <c r="Q730" s="114">
        <f>IF(COUNT($H730:P730)&gt;Input!$W$7,0, P730+P762+P794)</f>
        <v>0</v>
      </c>
      <c r="R730" s="114">
        <f>IF(COUNT($H730:Q730)&gt;Input!$W$7,0, Q730+Q762+Q794)</f>
        <v>0</v>
      </c>
      <c r="S730" s="9"/>
      <c r="T730" s="9"/>
      <c r="U730" s="9"/>
      <c r="V730" s="9"/>
      <c r="W730" s="9"/>
      <c r="X730" s="9"/>
      <c r="Y730" s="9"/>
      <c r="Z730" s="9"/>
      <c r="AB730" s="204"/>
      <c r="AC730" s="204"/>
      <c r="AD730" s="204"/>
      <c r="AE730" s="204"/>
      <c r="AF730" s="204"/>
      <c r="AG730" s="204"/>
      <c r="AH730" s="204"/>
      <c r="AI730" s="204"/>
      <c r="AJ730" s="204"/>
      <c r="AK730" s="204"/>
      <c r="AL730" s="204"/>
      <c r="AM730" s="204"/>
      <c r="AN730" s="204"/>
      <c r="AO730" s="204"/>
      <c r="AP730" s="204"/>
      <c r="AQ730" s="204"/>
      <c r="AR730" s="204"/>
      <c r="AS730" s="204"/>
      <c r="AT730" s="204"/>
      <c r="AU730" s="204"/>
      <c r="AV730" s="204"/>
      <c r="AW730" s="204"/>
      <c r="AX730" s="204"/>
      <c r="AY730" s="204"/>
      <c r="AZ730" s="204"/>
      <c r="BA730" s="204"/>
      <c r="BB730" s="204"/>
      <c r="BC730" s="204"/>
      <c r="BD730" s="9"/>
      <c r="BE730" s="9"/>
      <c r="BF730" s="9"/>
      <c r="BG730" s="9"/>
      <c r="BH730" s="9"/>
      <c r="BI730" s="9"/>
      <c r="BJ730" s="9"/>
      <c r="BK730" s="9"/>
      <c r="BL730" s="9"/>
    </row>
    <row r="731" spans="1:64" ht="12.75" customHeight="1" outlineLevel="1">
      <c r="A731" s="9"/>
      <c r="B731" s="9"/>
      <c r="C731" s="44"/>
      <c r="D731" s="278" t="str">
        <f>Asset2</f>
        <v>Transmission Substations</v>
      </c>
      <c r="E731" s="9"/>
      <c r="F731" s="9"/>
      <c r="G731" s="207">
        <f>Input!J8</f>
        <v>360.43130612945083</v>
      </c>
      <c r="H731" s="114">
        <f t="shared" ref="H731:H749" si="98">G731+G763+G795+G827+G859</f>
        <v>391.58650968027865</v>
      </c>
      <c r="I731" s="114">
        <f t="shared" si="97"/>
        <v>388.64400108973086</v>
      </c>
      <c r="J731" s="114">
        <f t="shared" si="97"/>
        <v>386.37607214518869</v>
      </c>
      <c r="K731" s="114">
        <f t="shared" si="97"/>
        <v>377.35791621929479</v>
      </c>
      <c r="L731" s="114">
        <f t="shared" si="97"/>
        <v>371.4206900535936</v>
      </c>
      <c r="M731" s="114">
        <f t="shared" si="97"/>
        <v>364.94068950555425</v>
      </c>
      <c r="N731" s="114">
        <f>IF(COUNT($H731:M731)&gt;Input!$W$7,0, M731+M763+M795)</f>
        <v>0</v>
      </c>
      <c r="O731" s="114">
        <f>IF(COUNT($H731:N731)&gt;Input!$W$7,0, N731+N763+N795)</f>
        <v>0</v>
      </c>
      <c r="P731" s="114">
        <f>IF(COUNT($H731:O731)&gt;Input!$W$7,0, O731+O763+O795)</f>
        <v>0</v>
      </c>
      <c r="Q731" s="114">
        <f>IF(COUNT($H731:P731)&gt;Input!$W$7,0, P731+P763+P795)</f>
        <v>0</v>
      </c>
      <c r="R731" s="114">
        <f>IF(COUNT($H731:Q731)&gt;Input!$W$7,0, Q731+Q763+Q795)</f>
        <v>0</v>
      </c>
      <c r="S731" s="104"/>
      <c r="T731" s="104"/>
      <c r="U731" s="104"/>
      <c r="V731" s="104"/>
      <c r="W731" s="104"/>
      <c r="X731" s="104"/>
      <c r="Y731" s="104"/>
      <c r="Z731" s="104"/>
      <c r="AA731" s="235"/>
      <c r="AB731" s="235"/>
      <c r="AC731" s="235"/>
      <c r="AD731" s="235"/>
      <c r="AE731" s="235"/>
      <c r="AF731" s="235"/>
      <c r="AG731" s="235"/>
      <c r="AH731" s="235"/>
      <c r="AI731" s="235"/>
      <c r="AJ731" s="235"/>
      <c r="AK731" s="235"/>
      <c r="AL731" s="235"/>
      <c r="AM731" s="235"/>
      <c r="AN731" s="235"/>
      <c r="AO731" s="235"/>
      <c r="AP731" s="235"/>
      <c r="AQ731" s="235"/>
      <c r="AR731" s="235"/>
      <c r="AS731" s="235"/>
      <c r="AT731" s="235"/>
      <c r="AU731" s="235"/>
      <c r="AV731" s="235"/>
      <c r="AW731" s="235"/>
      <c r="AX731" s="235"/>
      <c r="AY731" s="235"/>
      <c r="AZ731" s="235"/>
      <c r="BA731" s="235"/>
      <c r="BB731" s="235"/>
      <c r="BC731" s="235"/>
      <c r="BD731" s="104"/>
      <c r="BE731" s="104"/>
      <c r="BF731" s="104"/>
      <c r="BG731" s="104"/>
      <c r="BH731" s="104"/>
      <c r="BI731" s="104"/>
      <c r="BJ731" s="104"/>
      <c r="BK731" s="12"/>
      <c r="BL731" s="12"/>
    </row>
    <row r="732" spans="1:64" ht="12.75" customHeight="1" outlineLevel="1">
      <c r="A732" s="9"/>
      <c r="B732" s="9"/>
      <c r="C732" s="44"/>
      <c r="D732" s="278" t="str">
        <f>Asset3</f>
        <v>Protection and Control</v>
      </c>
      <c r="E732" s="9"/>
      <c r="F732" s="9"/>
      <c r="G732" s="207">
        <f>Input!J9</f>
        <v>38.883000464697361</v>
      </c>
      <c r="H732" s="114">
        <f t="shared" si="98"/>
        <v>49.846266797470605</v>
      </c>
      <c r="I732" s="114">
        <f t="shared" si="97"/>
        <v>45.336514494626712</v>
      </c>
      <c r="J732" s="114">
        <f t="shared" si="97"/>
        <v>40.68021201988288</v>
      </c>
      <c r="K732" s="114">
        <f t="shared" si="97"/>
        <v>35.002808287110007</v>
      </c>
      <c r="L732" s="114">
        <f t="shared" si="97"/>
        <v>29.456550119637445</v>
      </c>
      <c r="M732" s="114">
        <f t="shared" si="97"/>
        <v>23.610043727980802</v>
      </c>
      <c r="N732" s="114">
        <f>IF(COUNT($H732:M732)&gt;Input!$W$7,0, M732+M764+M796)</f>
        <v>0</v>
      </c>
      <c r="O732" s="114">
        <f>IF(COUNT($H732:N732)&gt;Input!$W$7,0, N732+N764+N796)</f>
        <v>0</v>
      </c>
      <c r="P732" s="114">
        <f>IF(COUNT($H732:O732)&gt;Input!$W$7,0, O732+O764+O796)</f>
        <v>0</v>
      </c>
      <c r="Q732" s="114">
        <f>IF(COUNT($H732:P732)&gt;Input!$W$7,0, P732+P764+P796)</f>
        <v>0</v>
      </c>
      <c r="R732" s="114">
        <f>IF(COUNT($H732:Q732)&gt;Input!$W$7,0, Q732+Q764+Q796)</f>
        <v>0</v>
      </c>
      <c r="S732" s="104"/>
      <c r="T732" s="104"/>
      <c r="U732" s="104"/>
      <c r="V732" s="104"/>
      <c r="W732" s="104"/>
      <c r="X732" s="104"/>
      <c r="Y732" s="104"/>
      <c r="Z732" s="104"/>
      <c r="AA732" s="235"/>
      <c r="AB732" s="235"/>
      <c r="AC732" s="235"/>
      <c r="AD732" s="235"/>
      <c r="AE732" s="235"/>
      <c r="AF732" s="235"/>
      <c r="AG732" s="235"/>
      <c r="AH732" s="235"/>
      <c r="AI732" s="235"/>
      <c r="AJ732" s="235"/>
      <c r="AK732" s="235"/>
      <c r="AL732" s="235"/>
      <c r="AM732" s="235"/>
      <c r="AN732" s="235"/>
      <c r="AO732" s="235"/>
      <c r="AP732" s="235"/>
      <c r="AQ732" s="235"/>
      <c r="AR732" s="235"/>
      <c r="AS732" s="235"/>
      <c r="AT732" s="235"/>
      <c r="AU732" s="235"/>
      <c r="AV732" s="235"/>
      <c r="AW732" s="235"/>
      <c r="AX732" s="235"/>
      <c r="AY732" s="235"/>
      <c r="AZ732" s="235"/>
      <c r="BA732" s="235"/>
      <c r="BB732" s="235"/>
      <c r="BC732" s="235"/>
      <c r="BD732" s="104"/>
      <c r="BE732" s="104"/>
      <c r="BF732" s="104"/>
      <c r="BG732" s="104"/>
      <c r="BH732" s="104"/>
      <c r="BI732" s="104"/>
      <c r="BJ732" s="104"/>
      <c r="BK732" s="12"/>
      <c r="BL732" s="12"/>
    </row>
    <row r="733" spans="1:64" ht="12.75" customHeight="1" outlineLevel="1">
      <c r="A733" s="9"/>
      <c r="B733" s="9"/>
      <c r="C733" s="44"/>
      <c r="D733" s="278" t="str">
        <f>Asset4</f>
        <v>Refurbishment</v>
      </c>
      <c r="E733" s="9"/>
      <c r="F733" s="9"/>
      <c r="G733" s="207">
        <f>Input!J10</f>
        <v>44.713904308731671</v>
      </c>
      <c r="H733" s="114">
        <f t="shared" si="98"/>
        <v>22.665124185608324</v>
      </c>
      <c r="I733" s="114">
        <f t="shared" si="97"/>
        <v>21.00098104965161</v>
      </c>
      <c r="J733" s="114">
        <f t="shared" si="97"/>
        <v>19.315315214752168</v>
      </c>
      <c r="K733" s="114">
        <f t="shared" si="97"/>
        <v>17.156165168412731</v>
      </c>
      <c r="L733" s="114">
        <f t="shared" si="97"/>
        <v>15.081212740375012</v>
      </c>
      <c r="M733" s="114">
        <f t="shared" si="97"/>
        <v>12.891287351088824</v>
      </c>
      <c r="N733" s="114">
        <f>IF(COUNT($H733:M733)&gt;Input!$W$7,0, M733+M765+M797)</f>
        <v>0</v>
      </c>
      <c r="O733" s="114">
        <f>IF(COUNT($H733:N733)&gt;Input!$W$7,0, N733+N765+N797)</f>
        <v>0</v>
      </c>
      <c r="P733" s="114">
        <f>IF(COUNT($H733:O733)&gt;Input!$W$7,0, O733+O765+O797)</f>
        <v>0</v>
      </c>
      <c r="Q733" s="114">
        <f>IF(COUNT($H733:P733)&gt;Input!$W$7,0, P733+P765+P797)</f>
        <v>0</v>
      </c>
      <c r="R733" s="114">
        <f>IF(COUNT($H733:Q733)&gt;Input!$W$7,0, Q733+Q765+Q797)</f>
        <v>0</v>
      </c>
      <c r="S733" s="104"/>
      <c r="T733" s="104"/>
      <c r="U733" s="104"/>
      <c r="V733" s="104"/>
      <c r="W733" s="104"/>
      <c r="X733" s="104"/>
      <c r="Y733" s="104"/>
      <c r="Z733" s="104"/>
      <c r="AA733" s="235"/>
      <c r="AB733" s="235"/>
      <c r="AC733" s="235"/>
      <c r="AD733" s="235"/>
      <c r="AE733" s="235"/>
      <c r="AF733" s="235"/>
      <c r="AG733" s="235"/>
      <c r="AH733" s="235"/>
      <c r="AI733" s="235"/>
      <c r="AJ733" s="235"/>
      <c r="AK733" s="235"/>
      <c r="AL733" s="235"/>
      <c r="AM733" s="235"/>
      <c r="AN733" s="235"/>
      <c r="AO733" s="235"/>
      <c r="AP733" s="235"/>
      <c r="AQ733" s="235"/>
      <c r="AR733" s="235"/>
      <c r="AS733" s="235"/>
      <c r="AT733" s="235"/>
      <c r="AU733" s="235"/>
      <c r="AV733" s="235"/>
      <c r="AW733" s="235"/>
      <c r="AX733" s="235"/>
      <c r="AY733" s="235"/>
      <c r="AZ733" s="235"/>
      <c r="BA733" s="235"/>
      <c r="BB733" s="235"/>
      <c r="BC733" s="235"/>
      <c r="BD733" s="104"/>
      <c r="BE733" s="104"/>
      <c r="BF733" s="104"/>
      <c r="BG733" s="104"/>
      <c r="BH733" s="104"/>
      <c r="BI733" s="104"/>
      <c r="BJ733" s="104"/>
      <c r="BK733" s="12"/>
      <c r="BL733" s="12"/>
    </row>
    <row r="734" spans="1:64" ht="12.75" customHeight="1" outlineLevel="1">
      <c r="A734" s="9"/>
      <c r="B734" s="9"/>
      <c r="C734" s="44"/>
      <c r="D734" s="278" t="str">
        <f>Asset5</f>
        <v>Other</v>
      </c>
      <c r="E734" s="9"/>
      <c r="F734" s="9"/>
      <c r="G734" s="207">
        <f>Input!J11</f>
        <v>12.072309662925591</v>
      </c>
      <c r="H734" s="114">
        <f t="shared" si="98"/>
        <v>9.9493177652391811</v>
      </c>
      <c r="I734" s="114">
        <f t="shared" si="97"/>
        <v>8.3032668906730329</v>
      </c>
      <c r="J734" s="114">
        <f t="shared" si="97"/>
        <v>6.5908085161051186</v>
      </c>
      <c r="K734" s="114">
        <f t="shared" si="97"/>
        <v>4.6397051724745184</v>
      </c>
      <c r="L734" s="114">
        <f t="shared" si="97"/>
        <v>2.6676999234047383</v>
      </c>
      <c r="M734" s="114">
        <f t="shared" si="97"/>
        <v>0.59402332958738846</v>
      </c>
      <c r="N734" s="114">
        <f>IF(COUNT($H734:M734)&gt;Input!$W$7,0, M734+M766+M798)</f>
        <v>0</v>
      </c>
      <c r="O734" s="114">
        <f>IF(COUNT($H734:N734)&gt;Input!$W$7,0, N734+N766+N798)</f>
        <v>0</v>
      </c>
      <c r="P734" s="114">
        <f>IF(COUNT($H734:O734)&gt;Input!$W$7,0, O734+O766+O798)</f>
        <v>0</v>
      </c>
      <c r="Q734" s="114">
        <f>IF(COUNT($H734:P734)&gt;Input!$W$7,0, P734+P766+P798)</f>
        <v>0</v>
      </c>
      <c r="R734" s="114">
        <f>IF(COUNT($H734:Q734)&gt;Input!$W$7,0, Q734+Q766+Q798)</f>
        <v>0</v>
      </c>
      <c r="S734" s="104"/>
      <c r="T734" s="104"/>
      <c r="U734" s="104"/>
      <c r="V734" s="104"/>
      <c r="W734" s="104"/>
      <c r="X734" s="104"/>
      <c r="Y734" s="104"/>
      <c r="Z734" s="104"/>
      <c r="AA734" s="235"/>
      <c r="AB734" s="235"/>
      <c r="AC734" s="235"/>
      <c r="AD734" s="235"/>
      <c r="AE734" s="235"/>
      <c r="AF734" s="235"/>
      <c r="AG734" s="235"/>
      <c r="AH734" s="235"/>
      <c r="AI734" s="235"/>
      <c r="AJ734" s="235"/>
      <c r="AK734" s="235"/>
      <c r="AL734" s="235"/>
      <c r="AM734" s="235"/>
      <c r="AN734" s="235"/>
      <c r="AO734" s="235"/>
      <c r="AP734" s="235"/>
      <c r="AQ734" s="235"/>
      <c r="AR734" s="235"/>
      <c r="AS734" s="235"/>
      <c r="AT734" s="235"/>
      <c r="AU734" s="235"/>
      <c r="AV734" s="235"/>
      <c r="AW734" s="235"/>
      <c r="AX734" s="235"/>
      <c r="AY734" s="235"/>
      <c r="AZ734" s="235"/>
      <c r="BA734" s="235"/>
      <c r="BB734" s="235"/>
      <c r="BC734" s="235"/>
      <c r="BD734" s="104"/>
      <c r="BE734" s="104"/>
      <c r="BF734" s="104"/>
      <c r="BG734" s="104"/>
      <c r="BH734" s="104"/>
      <c r="BI734" s="104"/>
      <c r="BJ734" s="104"/>
      <c r="BK734" s="12"/>
      <c r="BL734" s="12"/>
    </row>
    <row r="735" spans="1:64" ht="12.75" customHeight="1" outlineLevel="1">
      <c r="A735" s="9"/>
      <c r="B735" s="9"/>
      <c r="C735" s="44"/>
      <c r="D735" s="278" t="str">
        <f>Asset6</f>
        <v>Other - IT</v>
      </c>
      <c r="E735" s="9"/>
      <c r="F735" s="9"/>
      <c r="G735" s="207">
        <f>Input!J12</f>
        <v>0.58752110984938422</v>
      </c>
      <c r="H735" s="114">
        <f t="shared" si="98"/>
        <v>23.121263449639123</v>
      </c>
      <c r="I735" s="114">
        <f t="shared" si="97"/>
        <v>11.943298119232832</v>
      </c>
      <c r="J735" s="114">
        <f t="shared" si="97"/>
        <v>0.14829966419534024</v>
      </c>
      <c r="K735" s="114">
        <f t="shared" si="97"/>
        <v>0.15246349858157551</v>
      </c>
      <c r="L735" s="114">
        <f t="shared" si="97"/>
        <v>0.15812151212646913</v>
      </c>
      <c r="M735" s="114">
        <f t="shared" si="97"/>
        <v>0.16396327198543317</v>
      </c>
      <c r="N735" s="114">
        <f>IF(COUNT($H735:M735)&gt;Input!$W$7,0, M735+M767+M799)</f>
        <v>0</v>
      </c>
      <c r="O735" s="114">
        <f>IF(COUNT($H735:N735)&gt;Input!$W$7,0, N735+N767+N799)</f>
        <v>0</v>
      </c>
      <c r="P735" s="114">
        <f>IF(COUNT($H735:O735)&gt;Input!$W$7,0, O735+O767+O799)</f>
        <v>0</v>
      </c>
      <c r="Q735" s="114">
        <f>IF(COUNT($H735:P735)&gt;Input!$W$7,0, P735+P767+P799)</f>
        <v>0</v>
      </c>
      <c r="R735" s="114">
        <f>IF(COUNT($H735:Q735)&gt;Input!$W$7,0, Q735+Q767+Q799)</f>
        <v>0</v>
      </c>
      <c r="S735" s="104"/>
      <c r="T735" s="104"/>
      <c r="U735" s="104"/>
      <c r="V735" s="104"/>
      <c r="W735" s="104"/>
      <c r="X735" s="104"/>
      <c r="Y735" s="104"/>
      <c r="Z735" s="104"/>
      <c r="AA735" s="235"/>
      <c r="AB735" s="235"/>
      <c r="AC735" s="235"/>
      <c r="AD735" s="235"/>
      <c r="AE735" s="235"/>
      <c r="AF735" s="235"/>
      <c r="AG735" s="235"/>
      <c r="AH735" s="235"/>
      <c r="AI735" s="235"/>
      <c r="AJ735" s="235"/>
      <c r="AK735" s="235"/>
      <c r="AL735" s="235"/>
      <c r="AM735" s="235"/>
      <c r="AN735" s="235"/>
      <c r="AO735" s="235"/>
      <c r="AP735" s="235"/>
      <c r="AQ735" s="235"/>
      <c r="AR735" s="235"/>
      <c r="AS735" s="235"/>
      <c r="AT735" s="235"/>
      <c r="AU735" s="235"/>
      <c r="AV735" s="235"/>
      <c r="AW735" s="235"/>
      <c r="AX735" s="235"/>
      <c r="AY735" s="235"/>
      <c r="AZ735" s="235"/>
      <c r="BA735" s="235"/>
      <c r="BB735" s="235"/>
      <c r="BC735" s="235"/>
      <c r="BD735" s="104"/>
      <c r="BE735" s="104"/>
      <c r="BF735" s="104"/>
      <c r="BG735" s="104"/>
      <c r="BH735" s="104"/>
      <c r="BI735" s="104"/>
      <c r="BJ735" s="104"/>
      <c r="BK735" s="12"/>
      <c r="BL735" s="12"/>
    </row>
    <row r="736" spans="1:64" ht="12.75" customHeight="1" outlineLevel="1">
      <c r="A736" s="9"/>
      <c r="B736" s="9"/>
      <c r="C736" s="44"/>
      <c r="D736" s="278" t="str">
        <f>Asset7</f>
        <v>Other - General</v>
      </c>
      <c r="E736" s="9"/>
      <c r="F736" s="9"/>
      <c r="G736" s="207">
        <f>Input!J13</f>
        <v>2.5195490511140073</v>
      </c>
      <c r="H736" s="114">
        <f t="shared" si="98"/>
        <v>-3.9892322403421208</v>
      </c>
      <c r="I736" s="114">
        <f t="shared" si="97"/>
        <v>-2.7419079413580656</v>
      </c>
      <c r="J736" s="114">
        <f t="shared" si="97"/>
        <v>-1.4314168474623092</v>
      </c>
      <c r="K736" s="114">
        <f t="shared" si="97"/>
        <v>-5.4815483001668941E-3</v>
      </c>
      <c r="L736" s="114">
        <f t="shared" si="97"/>
        <v>-5.618724183554454E-3</v>
      </c>
      <c r="M736" s="114">
        <f t="shared" si="97"/>
        <v>-5.7591922881433154E-3</v>
      </c>
      <c r="N736" s="114">
        <f>IF(COUNT($H736:M736)&gt;Input!$W$7,0, M736+M768+M800)</f>
        <v>0</v>
      </c>
      <c r="O736" s="114">
        <f>IF(COUNT($H736:N736)&gt;Input!$W$7,0, N736+N768+N800)</f>
        <v>0</v>
      </c>
      <c r="P736" s="114">
        <f>IF(COUNT($H736:O736)&gt;Input!$W$7,0, O736+O768+O800)</f>
        <v>0</v>
      </c>
      <c r="Q736" s="114">
        <f>IF(COUNT($H736:P736)&gt;Input!$W$7,0, P736+P768+P800)</f>
        <v>0</v>
      </c>
      <c r="R736" s="114">
        <f>IF(COUNT($H736:Q736)&gt;Input!$W$7,0, Q736+Q768+Q800)</f>
        <v>0</v>
      </c>
      <c r="S736" s="104"/>
      <c r="T736" s="104"/>
      <c r="U736" s="104"/>
      <c r="V736" s="104"/>
      <c r="W736" s="104"/>
      <c r="X736" s="104"/>
      <c r="Y736" s="104"/>
      <c r="Z736" s="104"/>
      <c r="AA736" s="235"/>
      <c r="AB736" s="235"/>
      <c r="AC736" s="235"/>
      <c r="AD736" s="235"/>
      <c r="AE736" s="235"/>
      <c r="AF736" s="235"/>
      <c r="AG736" s="235"/>
      <c r="AH736" s="235"/>
      <c r="AI736" s="235"/>
      <c r="AJ736" s="235"/>
      <c r="AK736" s="235"/>
      <c r="AL736" s="235"/>
      <c r="AM736" s="235"/>
      <c r="AN736" s="235"/>
      <c r="AO736" s="235"/>
      <c r="AP736" s="235"/>
      <c r="AQ736" s="235"/>
      <c r="AR736" s="235"/>
      <c r="AS736" s="235"/>
      <c r="AT736" s="235"/>
      <c r="AU736" s="235"/>
      <c r="AV736" s="235"/>
      <c r="AW736" s="235"/>
      <c r="AX736" s="235"/>
      <c r="AY736" s="235"/>
      <c r="AZ736" s="235"/>
      <c r="BA736" s="235"/>
      <c r="BB736" s="235"/>
      <c r="BC736" s="235"/>
      <c r="BD736" s="104"/>
      <c r="BE736" s="104"/>
      <c r="BF736" s="104"/>
      <c r="BG736" s="104"/>
      <c r="BH736" s="104"/>
      <c r="BI736" s="104"/>
      <c r="BJ736" s="104"/>
      <c r="BK736" s="12"/>
      <c r="BL736" s="12"/>
    </row>
    <row r="737" spans="1:64" ht="12.75" customHeight="1" outlineLevel="1">
      <c r="A737" s="9"/>
      <c r="B737" s="9"/>
      <c r="C737" s="44"/>
      <c r="D737" s="278" t="str">
        <f>Asset8</f>
        <v>Other - Buildings</v>
      </c>
      <c r="E737" s="9"/>
      <c r="F737" s="9"/>
      <c r="G737" s="207">
        <f>Input!J14</f>
        <v>6.5807877703110798</v>
      </c>
      <c r="H737" s="114">
        <f t="shared" si="98"/>
        <v>21.253631705639343</v>
      </c>
      <c r="I737" s="114">
        <f t="shared" si="97"/>
        <v>21.266544488989943</v>
      </c>
      <c r="J737" s="114">
        <f t="shared" si="97"/>
        <v>21.357163973964497</v>
      </c>
      <c r="K737" s="114">
        <f t="shared" si="97"/>
        <v>21.056716844821594</v>
      </c>
      <c r="L737" s="114">
        <f t="shared" si="97"/>
        <v>20.934663892253397</v>
      </c>
      <c r="M737" s="114">
        <f t="shared" si="97"/>
        <v>20.792791484354492</v>
      </c>
      <c r="N737" s="114">
        <f>IF(COUNT($H737:M737)&gt;Input!$W$7,0, M737+M769+M801)</f>
        <v>0</v>
      </c>
      <c r="O737" s="114">
        <f>IF(COUNT($H737:N737)&gt;Input!$W$7,0, N737+N769+N801)</f>
        <v>0</v>
      </c>
      <c r="P737" s="114">
        <f>IF(COUNT($H737:O737)&gt;Input!$W$7,0, O737+O769+O801)</f>
        <v>0</v>
      </c>
      <c r="Q737" s="114">
        <f>IF(COUNT($H737:P737)&gt;Input!$W$7,0, P737+P769+P801)</f>
        <v>0</v>
      </c>
      <c r="R737" s="114">
        <f>IF(COUNT($H737:Q737)&gt;Input!$W$7,0, Q737+Q769+Q801)</f>
        <v>0</v>
      </c>
      <c r="S737" s="104"/>
      <c r="T737" s="104"/>
      <c r="U737" s="104"/>
      <c r="V737" s="104"/>
      <c r="W737" s="104"/>
      <c r="X737" s="104"/>
      <c r="Y737" s="104"/>
      <c r="Z737" s="104"/>
      <c r="AA737" s="235"/>
      <c r="AB737" s="235"/>
      <c r="AC737" s="235"/>
      <c r="AD737" s="235"/>
      <c r="AE737" s="235"/>
      <c r="AF737" s="235"/>
      <c r="AG737" s="235"/>
      <c r="AH737" s="235"/>
      <c r="AI737" s="235"/>
      <c r="AJ737" s="235"/>
      <c r="AK737" s="235"/>
      <c r="AL737" s="235"/>
      <c r="AM737" s="235"/>
      <c r="AN737" s="235"/>
      <c r="AO737" s="235"/>
      <c r="AP737" s="235"/>
      <c r="AQ737" s="235"/>
      <c r="AR737" s="235"/>
      <c r="AS737" s="235"/>
      <c r="AT737" s="235"/>
      <c r="AU737" s="235"/>
      <c r="AV737" s="235"/>
      <c r="AW737" s="235"/>
      <c r="AX737" s="235"/>
      <c r="AY737" s="235"/>
      <c r="AZ737" s="235"/>
      <c r="BA737" s="235"/>
      <c r="BB737" s="235"/>
      <c r="BC737" s="235"/>
      <c r="BD737" s="104"/>
      <c r="BE737" s="104"/>
      <c r="BF737" s="104"/>
      <c r="BG737" s="104"/>
      <c r="BH737" s="104"/>
      <c r="BI737" s="104"/>
      <c r="BJ737" s="104"/>
      <c r="BK737" s="12"/>
      <c r="BL737" s="12"/>
    </row>
    <row r="738" spans="1:64" ht="12.75" customHeight="1" outlineLevel="1">
      <c r="A738" s="9"/>
      <c r="B738" s="9"/>
      <c r="C738" s="44"/>
      <c r="D738" s="278" t="str">
        <f>Asset9</f>
        <v>Land and Easements</v>
      </c>
      <c r="E738" s="9"/>
      <c r="F738" s="9"/>
      <c r="G738" s="207">
        <f>Input!J15</f>
        <v>82.96373443163202</v>
      </c>
      <c r="H738" s="114">
        <f t="shared" si="98"/>
        <v>88.002304241435738</v>
      </c>
      <c r="I738" s="114">
        <f t="shared" si="97"/>
        <v>90.543887035412212</v>
      </c>
      <c r="J738" s="114">
        <f t="shared" si="97"/>
        <v>93.562016603259281</v>
      </c>
      <c r="K738" s="114">
        <f t="shared" si="97"/>
        <v>95.044606566412241</v>
      </c>
      <c r="L738" s="114">
        <f t="shared" si="97"/>
        <v>97.423100224230367</v>
      </c>
      <c r="M738" s="114">
        <f t="shared" si="97"/>
        <v>99.858677729836131</v>
      </c>
      <c r="N738" s="114">
        <f>IF(COUNT($H738:M738)&gt;Input!$W$7,0, M738+M770+M802)</f>
        <v>0</v>
      </c>
      <c r="O738" s="114">
        <f>IF(COUNT($H738:N738)&gt;Input!$W$7,0, N738+N770+N802)</f>
        <v>0</v>
      </c>
      <c r="P738" s="114">
        <f>IF(COUNT($H738:O738)&gt;Input!$W$7,0, O738+O770+O802)</f>
        <v>0</v>
      </c>
      <c r="Q738" s="114">
        <f>IF(COUNT($H738:P738)&gt;Input!$W$7,0, P738+P770+P802)</f>
        <v>0</v>
      </c>
      <c r="R738" s="114">
        <f>IF(COUNT($H738:Q738)&gt;Input!$W$7,0, Q738+Q770+Q802)</f>
        <v>0</v>
      </c>
      <c r="S738" s="104"/>
      <c r="T738" s="104"/>
      <c r="U738" s="104"/>
      <c r="V738" s="104"/>
      <c r="W738" s="104"/>
      <c r="X738" s="104"/>
      <c r="Y738" s="104"/>
      <c r="Z738" s="104"/>
      <c r="AA738" s="235"/>
      <c r="AB738" s="235"/>
      <c r="AC738" s="235"/>
      <c r="AD738" s="235"/>
      <c r="AE738" s="235"/>
      <c r="AF738" s="235"/>
      <c r="AG738" s="235"/>
      <c r="AH738" s="235"/>
      <c r="AI738" s="235"/>
      <c r="AJ738" s="235"/>
      <c r="AK738" s="235"/>
      <c r="AL738" s="235"/>
      <c r="AM738" s="235"/>
      <c r="AN738" s="235"/>
      <c r="AO738" s="235"/>
      <c r="AP738" s="235"/>
      <c r="AQ738" s="235"/>
      <c r="AR738" s="235"/>
      <c r="AS738" s="235"/>
      <c r="AT738" s="235"/>
      <c r="AU738" s="235"/>
      <c r="AV738" s="235"/>
      <c r="AW738" s="235"/>
      <c r="AX738" s="235"/>
      <c r="AY738" s="235"/>
      <c r="AZ738" s="235"/>
      <c r="BA738" s="235"/>
      <c r="BB738" s="235"/>
      <c r="BC738" s="235"/>
      <c r="BD738" s="104"/>
      <c r="BE738" s="104"/>
      <c r="BF738" s="104"/>
      <c r="BG738" s="104"/>
      <c r="BH738" s="104"/>
      <c r="BI738" s="104"/>
      <c r="BJ738" s="104"/>
      <c r="BK738" s="12"/>
      <c r="BL738" s="12"/>
    </row>
    <row r="739" spans="1:64" ht="12.75" customHeight="1" outlineLevel="1">
      <c r="A739" s="9"/>
      <c r="B739" s="9"/>
      <c r="C739" s="44"/>
      <c r="D739" s="278" t="str">
        <f>Asset10</f>
        <v>Transmission line assets - long life (60)</v>
      </c>
      <c r="E739" s="9"/>
      <c r="F739" s="9"/>
      <c r="G739" s="207">
        <f>Input!J16</f>
        <v>0</v>
      </c>
      <c r="H739" s="114">
        <f t="shared" si="98"/>
        <v>0</v>
      </c>
      <c r="I739" s="114">
        <f t="shared" si="97"/>
        <v>1.2586903116404593</v>
      </c>
      <c r="J739" s="114">
        <f t="shared" si="97"/>
        <v>117.82768841378831</v>
      </c>
      <c r="K739" s="114">
        <f t="shared" si="97"/>
        <v>136.0631036321505</v>
      </c>
      <c r="L739" s="114">
        <f t="shared" si="97"/>
        <v>147.30978691555791</v>
      </c>
      <c r="M739" s="114">
        <f t="shared" si="97"/>
        <v>191.71628498863174</v>
      </c>
      <c r="N739" s="114">
        <f>IF(COUNT($H739:M739)&gt;Input!$W$7,0, M739+M771+M803)</f>
        <v>0</v>
      </c>
      <c r="O739" s="114">
        <f>IF(COUNT($H739:N739)&gt;Input!$W$7,0, N739+N771+N803)</f>
        <v>0</v>
      </c>
      <c r="P739" s="114">
        <f>IF(COUNT($H739:O739)&gt;Input!$W$7,0, O739+O771+O803)</f>
        <v>0</v>
      </c>
      <c r="Q739" s="114">
        <f>IF(COUNT($H739:P739)&gt;Input!$W$7,0, P739+P771+P803)</f>
        <v>0</v>
      </c>
      <c r="R739" s="114">
        <f>IF(COUNT($H739:Q739)&gt;Input!$W$7,0, Q739+Q771+Q803)</f>
        <v>0</v>
      </c>
      <c r="S739" s="104"/>
      <c r="T739" s="104"/>
      <c r="U739" s="104"/>
      <c r="V739" s="104"/>
      <c r="W739" s="104"/>
      <c r="X739" s="104"/>
      <c r="Y739" s="104"/>
      <c r="Z739" s="104"/>
      <c r="AA739" s="235"/>
      <c r="AB739" s="235"/>
      <c r="AC739" s="235"/>
      <c r="AD739" s="235"/>
      <c r="AE739" s="235"/>
      <c r="AF739" s="235"/>
      <c r="AG739" s="235"/>
      <c r="AH739" s="235"/>
      <c r="AI739" s="235"/>
      <c r="AJ739" s="235"/>
      <c r="AK739" s="235"/>
      <c r="AL739" s="235"/>
      <c r="AM739" s="235"/>
      <c r="AN739" s="235"/>
      <c r="AO739" s="235"/>
      <c r="AP739" s="235"/>
      <c r="AQ739" s="235"/>
      <c r="AR739" s="235"/>
      <c r="AS739" s="235"/>
      <c r="AT739" s="235"/>
      <c r="AU739" s="235"/>
      <c r="AV739" s="235"/>
      <c r="AW739" s="235"/>
      <c r="AX739" s="235"/>
      <c r="AY739" s="235"/>
      <c r="AZ739" s="235"/>
      <c r="BA739" s="235"/>
      <c r="BB739" s="235"/>
      <c r="BC739" s="235"/>
      <c r="BD739" s="104"/>
      <c r="BE739" s="104"/>
      <c r="BF739" s="104"/>
      <c r="BG739" s="104"/>
      <c r="BH739" s="104"/>
      <c r="BI739" s="104"/>
      <c r="BJ739" s="104"/>
      <c r="BK739" s="12"/>
      <c r="BL739" s="12"/>
    </row>
    <row r="740" spans="1:64" ht="12.75" customHeight="1" outlineLevel="1">
      <c r="A740" s="9"/>
      <c r="B740" s="9"/>
      <c r="C740" s="44"/>
      <c r="D740" s="278" t="str">
        <f>Asset11</f>
        <v>Transmission line assets - medium life (45)</v>
      </c>
      <c r="E740" s="9"/>
      <c r="F740" s="9"/>
      <c r="G740" s="207">
        <f>Input!J17</f>
        <v>0</v>
      </c>
      <c r="H740" s="114">
        <f t="shared" si="98"/>
        <v>0</v>
      </c>
      <c r="I740" s="114">
        <f t="shared" ref="I740:M749" si="99">H740+H772+H804</f>
        <v>1.3509861545539041E-2</v>
      </c>
      <c r="J740" s="114">
        <f t="shared" si="99"/>
        <v>4.5247710920896939E-2</v>
      </c>
      <c r="K740" s="114">
        <f t="shared" si="99"/>
        <v>0.24228583423428965</v>
      </c>
      <c r="L740" s="114">
        <f t="shared" si="99"/>
        <v>0.64249032102789727</v>
      </c>
      <c r="M740" s="114">
        <f t="shared" si="99"/>
        <v>0.80306705758188679</v>
      </c>
      <c r="N740" s="114">
        <f>IF(COUNT($H740:M740)&gt;Input!$W$7,0, M740+M772+M804)</f>
        <v>0</v>
      </c>
      <c r="O740" s="114">
        <f>IF(COUNT($H740:N740)&gt;Input!$W$7,0, N740+N772+N804)</f>
        <v>0</v>
      </c>
      <c r="P740" s="114">
        <f>IF(COUNT($H740:O740)&gt;Input!$W$7,0, O740+O772+O804)</f>
        <v>0</v>
      </c>
      <c r="Q740" s="114">
        <f>IF(COUNT($H740:P740)&gt;Input!$W$7,0, P740+P772+P804)</f>
        <v>0</v>
      </c>
      <c r="R740" s="114">
        <f>IF(COUNT($H740:Q740)&gt;Input!$W$7,0, Q740+Q772+Q804)</f>
        <v>0</v>
      </c>
      <c r="S740" s="104"/>
      <c r="T740" s="104"/>
      <c r="U740" s="104"/>
      <c r="V740" s="104"/>
      <c r="W740" s="104"/>
      <c r="X740" s="104"/>
      <c r="Y740" s="104"/>
      <c r="Z740" s="104"/>
      <c r="AA740" s="235"/>
      <c r="AB740" s="235"/>
      <c r="AC740" s="235"/>
      <c r="AD740" s="235"/>
      <c r="AE740" s="235"/>
      <c r="AF740" s="235"/>
      <c r="AG740" s="235"/>
      <c r="AH740" s="235"/>
      <c r="AI740" s="235"/>
      <c r="AJ740" s="235"/>
      <c r="AK740" s="235"/>
      <c r="AL740" s="235"/>
      <c r="AM740" s="235"/>
      <c r="AN740" s="235"/>
      <c r="AO740" s="235"/>
      <c r="AP740" s="235"/>
      <c r="AQ740" s="235"/>
      <c r="AR740" s="235"/>
      <c r="AS740" s="235"/>
      <c r="AT740" s="235"/>
      <c r="AU740" s="235"/>
      <c r="AV740" s="235"/>
      <c r="AW740" s="235"/>
      <c r="AX740" s="235"/>
      <c r="AY740" s="235"/>
      <c r="AZ740" s="235"/>
      <c r="BA740" s="235"/>
      <c r="BB740" s="235"/>
      <c r="BC740" s="235"/>
      <c r="BD740" s="104"/>
      <c r="BE740" s="104"/>
      <c r="BF740" s="104"/>
      <c r="BG740" s="104"/>
      <c r="BH740" s="104"/>
      <c r="BI740" s="104"/>
      <c r="BJ740" s="104"/>
      <c r="BK740" s="12"/>
      <c r="BL740" s="12"/>
    </row>
    <row r="741" spans="1:64" ht="12.75" customHeight="1" outlineLevel="1">
      <c r="A741" s="9"/>
      <c r="B741" s="9"/>
      <c r="C741" s="44"/>
      <c r="D741" s="278" t="str">
        <f>Asset12</f>
        <v>Transmission line assets - short life (10)</v>
      </c>
      <c r="E741" s="9"/>
      <c r="F741" s="9"/>
      <c r="G741" s="207">
        <f>Input!J18</f>
        <v>0</v>
      </c>
      <c r="H741" s="114">
        <f t="shared" si="98"/>
        <v>0</v>
      </c>
      <c r="I741" s="114">
        <f t="shared" si="99"/>
        <v>0.37863134172724339</v>
      </c>
      <c r="J741" s="114">
        <f t="shared" si="99"/>
        <v>0.7556765714918785</v>
      </c>
      <c r="K741" s="114">
        <f t="shared" si="99"/>
        <v>1.2255975616823438</v>
      </c>
      <c r="L741" s="114">
        <f t="shared" si="99"/>
        <v>1.7874314741639259</v>
      </c>
      <c r="M741" s="114">
        <f t="shared" si="99"/>
        <v>5.3086605257542301</v>
      </c>
      <c r="N741" s="114">
        <f>IF(COUNT($H741:M741)&gt;Input!$W$7,0, M741+M773+M805)</f>
        <v>0</v>
      </c>
      <c r="O741" s="114">
        <f>IF(COUNT($H741:N741)&gt;Input!$W$7,0, N741+N773+N805)</f>
        <v>0</v>
      </c>
      <c r="P741" s="114">
        <f>IF(COUNT($H741:O741)&gt;Input!$W$7,0, O741+O773+O805)</f>
        <v>0</v>
      </c>
      <c r="Q741" s="114">
        <f>IF(COUNT($H741:P741)&gt;Input!$W$7,0, P741+P773+P805)</f>
        <v>0</v>
      </c>
      <c r="R741" s="114">
        <f>IF(COUNT($H741:Q741)&gt;Input!$W$7,0, Q741+Q773+Q805)</f>
        <v>0</v>
      </c>
      <c r="S741" s="104"/>
      <c r="T741" s="104"/>
      <c r="U741" s="104"/>
      <c r="V741" s="104"/>
      <c r="W741" s="104"/>
      <c r="X741" s="104"/>
      <c r="Y741" s="104"/>
      <c r="Z741" s="104"/>
      <c r="AA741" s="235"/>
      <c r="AB741" s="235"/>
      <c r="AC741" s="235"/>
      <c r="AD741" s="235"/>
      <c r="AE741" s="235"/>
      <c r="AF741" s="235"/>
      <c r="AG741" s="235"/>
      <c r="AH741" s="235"/>
      <c r="AI741" s="235"/>
      <c r="AJ741" s="235"/>
      <c r="AK741" s="235"/>
      <c r="AL741" s="235"/>
      <c r="AM741" s="235"/>
      <c r="AN741" s="235"/>
      <c r="AO741" s="235"/>
      <c r="AP741" s="235"/>
      <c r="AQ741" s="235"/>
      <c r="AR741" s="235"/>
      <c r="AS741" s="235"/>
      <c r="AT741" s="235"/>
      <c r="AU741" s="235"/>
      <c r="AV741" s="235"/>
      <c r="AW741" s="235"/>
      <c r="AX741" s="235"/>
      <c r="AY741" s="235"/>
      <c r="AZ741" s="235"/>
      <c r="BA741" s="235"/>
      <c r="BB741" s="235"/>
      <c r="BC741" s="235"/>
      <c r="BD741" s="104"/>
      <c r="BE741" s="104"/>
      <c r="BF741" s="104"/>
      <c r="BG741" s="104"/>
      <c r="BH741" s="104"/>
      <c r="BI741" s="104"/>
      <c r="BJ741" s="104"/>
      <c r="BK741" s="12"/>
      <c r="BL741" s="12"/>
    </row>
    <row r="742" spans="1:64" ht="12.75" customHeight="1" outlineLevel="1">
      <c r="A742" s="9"/>
      <c r="B742" s="9"/>
      <c r="C742" s="44"/>
      <c r="D742" s="278" t="str">
        <f>Asset13</f>
        <v>Substation assets - long life (60)</v>
      </c>
      <c r="E742" s="9"/>
      <c r="F742" s="9"/>
      <c r="G742" s="207">
        <f>Input!J19</f>
        <v>0</v>
      </c>
      <c r="H742" s="114">
        <f t="shared" si="98"/>
        <v>0</v>
      </c>
      <c r="I742" s="114">
        <f t="shared" si="99"/>
        <v>2.4973591240740682</v>
      </c>
      <c r="J742" s="114">
        <f t="shared" si="99"/>
        <v>25.612638186922545</v>
      </c>
      <c r="K742" s="114">
        <f t="shared" si="99"/>
        <v>36.948877968258167</v>
      </c>
      <c r="L742" s="114">
        <f t="shared" si="99"/>
        <v>45.607321208783894</v>
      </c>
      <c r="M742" s="114">
        <f t="shared" si="99"/>
        <v>56.281024861000837</v>
      </c>
      <c r="N742" s="114">
        <f>IF(COUNT($H742:M742)&gt;Input!$W$7,0, M742+M774+M806)</f>
        <v>0</v>
      </c>
      <c r="O742" s="114">
        <f>IF(COUNT($H742:N742)&gt;Input!$W$7,0, N742+N774+N806)</f>
        <v>0</v>
      </c>
      <c r="P742" s="114">
        <f>IF(COUNT($H742:O742)&gt;Input!$W$7,0, O742+O774+O806)</f>
        <v>0</v>
      </c>
      <c r="Q742" s="114">
        <f>IF(COUNT($H742:P742)&gt;Input!$W$7,0, P742+P774+P806)</f>
        <v>0</v>
      </c>
      <c r="R742" s="114">
        <f>IF(COUNT($H742:Q742)&gt;Input!$W$7,0, Q742+Q774+Q806)</f>
        <v>0</v>
      </c>
      <c r="S742" s="104"/>
      <c r="T742" s="104"/>
      <c r="U742" s="104"/>
      <c r="V742" s="104"/>
      <c r="W742" s="104"/>
      <c r="X742" s="104"/>
      <c r="Y742" s="104"/>
      <c r="Z742" s="104"/>
      <c r="AA742" s="235"/>
      <c r="AB742" s="235"/>
      <c r="AC742" s="235"/>
      <c r="AD742" s="235"/>
      <c r="AE742" s="235"/>
      <c r="AF742" s="235"/>
      <c r="AG742" s="235"/>
      <c r="AH742" s="235"/>
      <c r="AI742" s="235"/>
      <c r="AJ742" s="235"/>
      <c r="AK742" s="235"/>
      <c r="AL742" s="235"/>
      <c r="AM742" s="235"/>
      <c r="AN742" s="235"/>
      <c r="AO742" s="235"/>
      <c r="AP742" s="235"/>
      <c r="AQ742" s="235"/>
      <c r="AR742" s="235"/>
      <c r="AS742" s="235"/>
      <c r="AT742" s="235"/>
      <c r="AU742" s="235"/>
      <c r="AV742" s="235"/>
      <c r="AW742" s="235"/>
      <c r="AX742" s="235"/>
      <c r="AY742" s="235"/>
      <c r="AZ742" s="235"/>
      <c r="BA742" s="235"/>
      <c r="BB742" s="235"/>
      <c r="BC742" s="235"/>
      <c r="BD742" s="104"/>
      <c r="BE742" s="104"/>
      <c r="BF742" s="104"/>
      <c r="BG742" s="104"/>
      <c r="BH742" s="104"/>
      <c r="BI742" s="104"/>
      <c r="BJ742" s="104"/>
      <c r="BK742" s="12"/>
      <c r="BL742" s="12"/>
    </row>
    <row r="743" spans="1:64" ht="12.75" customHeight="1" outlineLevel="1">
      <c r="A743" s="9"/>
      <c r="B743" s="9"/>
      <c r="C743" s="44"/>
      <c r="D743" s="278" t="str">
        <f>Asset14</f>
        <v>Substation assets - medium life (45)</v>
      </c>
      <c r="E743" s="9"/>
      <c r="F743" s="9"/>
      <c r="G743" s="207">
        <f>Input!J20</f>
        <v>0</v>
      </c>
      <c r="H743" s="114">
        <f t="shared" si="98"/>
        <v>0</v>
      </c>
      <c r="I743" s="114">
        <f t="shared" si="99"/>
        <v>11.773281557407312</v>
      </c>
      <c r="J743" s="114">
        <f t="shared" si="99"/>
        <v>68.138150236946572</v>
      </c>
      <c r="K743" s="114">
        <f t="shared" si="99"/>
        <v>116.1198333782651</v>
      </c>
      <c r="L743" s="114">
        <f t="shared" si="99"/>
        <v>155.57377865500885</v>
      </c>
      <c r="M743" s="114">
        <f t="shared" si="99"/>
        <v>187.24014483773325</v>
      </c>
      <c r="N743" s="114">
        <f>IF(COUNT($H743:M743)&gt;Input!$W$7,0, M743+M775+M807)</f>
        <v>0</v>
      </c>
      <c r="O743" s="114">
        <f>IF(COUNT($H743:N743)&gt;Input!$W$7,0, N743+N775+N807)</f>
        <v>0</v>
      </c>
      <c r="P743" s="114">
        <f>IF(COUNT($H743:O743)&gt;Input!$W$7,0, O743+O775+O807)</f>
        <v>0</v>
      </c>
      <c r="Q743" s="114">
        <f>IF(COUNT($H743:P743)&gt;Input!$W$7,0, P743+P775+P807)</f>
        <v>0</v>
      </c>
      <c r="R743" s="114">
        <f>IF(COUNT($H743:Q743)&gt;Input!$W$7,0, Q743+Q775+Q807)</f>
        <v>0</v>
      </c>
      <c r="S743" s="104"/>
      <c r="T743" s="104"/>
      <c r="U743" s="104"/>
      <c r="V743" s="104"/>
      <c r="W743" s="104"/>
      <c r="X743" s="104"/>
      <c r="Y743" s="104"/>
      <c r="Z743" s="104"/>
      <c r="AA743" s="235"/>
      <c r="AB743" s="235"/>
      <c r="AC743" s="235"/>
      <c r="AD743" s="235"/>
      <c r="AE743" s="235"/>
      <c r="AF743" s="235"/>
      <c r="AG743" s="235"/>
      <c r="AH743" s="235"/>
      <c r="AI743" s="235"/>
      <c r="AJ743" s="235"/>
      <c r="AK743" s="235"/>
      <c r="AL743" s="235"/>
      <c r="AM743" s="235"/>
      <c r="AN743" s="235"/>
      <c r="AO743" s="235"/>
      <c r="AP743" s="235"/>
      <c r="AQ743" s="235"/>
      <c r="AR743" s="235"/>
      <c r="AS743" s="235"/>
      <c r="AT743" s="235"/>
      <c r="AU743" s="235"/>
      <c r="AV743" s="235"/>
      <c r="AW743" s="235"/>
      <c r="AX743" s="235"/>
      <c r="AY743" s="235"/>
      <c r="AZ743" s="235"/>
      <c r="BA743" s="235"/>
      <c r="BB743" s="235"/>
      <c r="BC743" s="235"/>
      <c r="BD743" s="104"/>
      <c r="BE743" s="104"/>
      <c r="BF743" s="104"/>
      <c r="BG743" s="104"/>
      <c r="BH743" s="104"/>
      <c r="BI743" s="104"/>
      <c r="BJ743" s="104"/>
      <c r="BK743" s="12"/>
      <c r="BL743" s="12"/>
    </row>
    <row r="744" spans="1:64" ht="12.75" customHeight="1" outlineLevel="1">
      <c r="A744" s="9"/>
      <c r="B744" s="9"/>
      <c r="C744" s="44"/>
      <c r="D744" s="278" t="str">
        <f>Asset15</f>
        <v>Substation assets - short life (15)</v>
      </c>
      <c r="E744" s="9"/>
      <c r="F744" s="9"/>
      <c r="G744" s="207">
        <f>Input!J21</f>
        <v>0</v>
      </c>
      <c r="H744" s="114">
        <f t="shared" si="98"/>
        <v>0</v>
      </c>
      <c r="I744" s="114">
        <f t="shared" si="99"/>
        <v>12.356977989299727</v>
      </c>
      <c r="J744" s="114">
        <f t="shared" si="99"/>
        <v>13.539022919660617</v>
      </c>
      <c r="K744" s="114">
        <f t="shared" si="99"/>
        <v>13.89199194165994</v>
      </c>
      <c r="L744" s="114">
        <f t="shared" si="99"/>
        <v>17.404607077787567</v>
      </c>
      <c r="M744" s="114">
        <f t="shared" si="99"/>
        <v>21.700033489063532</v>
      </c>
      <c r="N744" s="114">
        <f>IF(COUNT($H744:M744)&gt;Input!$W$7,0, M744+M776+M808)</f>
        <v>0</v>
      </c>
      <c r="O744" s="114">
        <f>IF(COUNT($H744:N744)&gt;Input!$W$7,0, N744+N776+N808)</f>
        <v>0</v>
      </c>
      <c r="P744" s="114">
        <f>IF(COUNT($H744:O744)&gt;Input!$W$7,0, O744+O776+O808)</f>
        <v>0</v>
      </c>
      <c r="Q744" s="114">
        <f>IF(COUNT($H744:P744)&gt;Input!$W$7,0, P744+P776+P808)</f>
        <v>0</v>
      </c>
      <c r="R744" s="114">
        <f>IF(COUNT($H744:Q744)&gt;Input!$W$7,0, Q744+Q776+Q808)</f>
        <v>0</v>
      </c>
      <c r="S744" s="104"/>
      <c r="T744" s="104"/>
      <c r="U744" s="104"/>
      <c r="V744" s="104"/>
      <c r="W744" s="104"/>
      <c r="X744" s="104"/>
      <c r="Y744" s="104"/>
      <c r="Z744" s="104"/>
      <c r="AA744" s="235"/>
      <c r="AB744" s="235"/>
      <c r="AC744" s="235"/>
      <c r="AD744" s="235"/>
      <c r="AE744" s="235"/>
      <c r="AF744" s="235"/>
      <c r="AG744" s="235"/>
      <c r="AH744" s="235"/>
      <c r="AI744" s="235"/>
      <c r="AJ744" s="235"/>
      <c r="AK744" s="235"/>
      <c r="AL744" s="235"/>
      <c r="AM744" s="235"/>
      <c r="AN744" s="235"/>
      <c r="AO744" s="235"/>
      <c r="AP744" s="235"/>
      <c r="AQ744" s="235"/>
      <c r="AR744" s="235"/>
      <c r="AS744" s="235"/>
      <c r="AT744" s="235"/>
      <c r="AU744" s="235"/>
      <c r="AV744" s="235"/>
      <c r="AW744" s="235"/>
      <c r="AX744" s="235"/>
      <c r="AY744" s="235"/>
      <c r="AZ744" s="235"/>
      <c r="BA744" s="235"/>
      <c r="BB744" s="235"/>
      <c r="BC744" s="235"/>
      <c r="BD744" s="104"/>
      <c r="BE744" s="104"/>
      <c r="BF744" s="104"/>
      <c r="BG744" s="104"/>
      <c r="BH744" s="104"/>
      <c r="BI744" s="104"/>
      <c r="BJ744" s="104"/>
      <c r="BK744" s="12"/>
      <c r="BL744" s="12"/>
    </row>
    <row r="745" spans="1:64" ht="12.75" customHeight="1" outlineLevel="1">
      <c r="A745" s="9"/>
      <c r="B745" s="9"/>
      <c r="C745" s="44"/>
      <c r="D745" s="278" t="str">
        <f>Asset16</f>
        <v>Protection and control - short life (15)</v>
      </c>
      <c r="E745" s="9"/>
      <c r="F745" s="9"/>
      <c r="G745" s="207">
        <f>Input!J22</f>
        <v>0</v>
      </c>
      <c r="H745" s="114">
        <f t="shared" si="98"/>
        <v>0</v>
      </c>
      <c r="I745" s="114">
        <f t="shared" si="99"/>
        <v>11.011252851229447</v>
      </c>
      <c r="J745" s="114">
        <f t="shared" si="99"/>
        <v>24.923545464605517</v>
      </c>
      <c r="K745" s="114">
        <f t="shared" si="99"/>
        <v>44.109209914820063</v>
      </c>
      <c r="L745" s="114">
        <f t="shared" si="99"/>
        <v>61.016842487301105</v>
      </c>
      <c r="M745" s="114">
        <f t="shared" si="99"/>
        <v>78.989744924493067</v>
      </c>
      <c r="N745" s="114">
        <f>IF(COUNT($H745:M745)&gt;Input!$W$7,0, M745+M777+M809)</f>
        <v>0</v>
      </c>
      <c r="O745" s="114">
        <f>IF(COUNT($H745:N745)&gt;Input!$W$7,0, N745+N777+N809)</f>
        <v>0</v>
      </c>
      <c r="P745" s="114">
        <f>IF(COUNT($H745:O745)&gt;Input!$W$7,0, O745+O777+O809)</f>
        <v>0</v>
      </c>
      <c r="Q745" s="114">
        <f>IF(COUNT($H745:P745)&gt;Input!$W$7,0, P745+P777+P809)</f>
        <v>0</v>
      </c>
      <c r="R745" s="114">
        <f>IF(COUNT($H745:Q745)&gt;Input!$W$7,0, Q745+Q777+Q809)</f>
        <v>0</v>
      </c>
      <c r="S745" s="104"/>
      <c r="T745" s="104"/>
      <c r="U745" s="104"/>
      <c r="V745" s="104"/>
      <c r="W745" s="104"/>
      <c r="X745" s="104"/>
      <c r="Y745" s="104"/>
      <c r="Z745" s="104"/>
      <c r="AA745" s="235"/>
      <c r="AB745" s="235"/>
      <c r="AC745" s="235"/>
      <c r="AD745" s="235"/>
      <c r="AE745" s="235"/>
      <c r="AF745" s="235"/>
      <c r="AG745" s="235"/>
      <c r="AH745" s="235"/>
      <c r="AI745" s="235"/>
      <c r="AJ745" s="235"/>
      <c r="AK745" s="235"/>
      <c r="AL745" s="235"/>
      <c r="AM745" s="235"/>
      <c r="AN745" s="235"/>
      <c r="AO745" s="235"/>
      <c r="AP745" s="235"/>
      <c r="AQ745" s="235"/>
      <c r="AR745" s="235"/>
      <c r="AS745" s="235"/>
      <c r="AT745" s="235"/>
      <c r="AU745" s="235"/>
      <c r="AV745" s="235"/>
      <c r="AW745" s="235"/>
      <c r="AX745" s="235"/>
      <c r="AY745" s="235"/>
      <c r="AZ745" s="235"/>
      <c r="BA745" s="235"/>
      <c r="BB745" s="235"/>
      <c r="BC745" s="235"/>
      <c r="BD745" s="104"/>
      <c r="BE745" s="104"/>
      <c r="BF745" s="104"/>
      <c r="BG745" s="104"/>
      <c r="BH745" s="104"/>
      <c r="BI745" s="104"/>
      <c r="BJ745" s="104"/>
      <c r="BK745" s="12"/>
      <c r="BL745" s="12"/>
    </row>
    <row r="746" spans="1:64" ht="12.75" customHeight="1" outlineLevel="1">
      <c r="A746" s="9"/>
      <c r="B746" s="9"/>
      <c r="C746" s="44"/>
      <c r="D746" s="278" t="str">
        <f>Asset17</f>
        <v>Protection and control - short life (4)</v>
      </c>
      <c r="E746" s="9"/>
      <c r="F746" s="9"/>
      <c r="G746" s="207">
        <f>Input!J23</f>
        <v>0</v>
      </c>
      <c r="H746" s="114">
        <f t="shared" si="98"/>
        <v>0</v>
      </c>
      <c r="I746" s="114">
        <f t="shared" si="99"/>
        <v>4.3349262468330943E-2</v>
      </c>
      <c r="J746" s="114">
        <f t="shared" si="99"/>
        <v>0.11052852982183174</v>
      </c>
      <c r="K746" s="114">
        <f t="shared" si="99"/>
        <v>1.4008455781082494</v>
      </c>
      <c r="L746" s="114">
        <f t="shared" si="99"/>
        <v>1.3845445509600567</v>
      </c>
      <c r="M746" s="114">
        <f t="shared" si="99"/>
        <v>0.96196360464478337</v>
      </c>
      <c r="N746" s="114">
        <f>IF(COUNT($H746:M746)&gt;Input!$W$7,0, M746+M778+M810)</f>
        <v>0</v>
      </c>
      <c r="O746" s="114">
        <f>IF(COUNT($H746:N746)&gt;Input!$W$7,0, N746+N778+N810)</f>
        <v>0</v>
      </c>
      <c r="P746" s="114">
        <f>IF(COUNT($H746:O746)&gt;Input!$W$7,0, O746+O778+O810)</f>
        <v>0</v>
      </c>
      <c r="Q746" s="114">
        <f>IF(COUNT($H746:P746)&gt;Input!$W$7,0, P746+P778+P810)</f>
        <v>0</v>
      </c>
      <c r="R746" s="114">
        <f>IF(COUNT($H746:Q746)&gt;Input!$W$7,0, Q746+Q778+Q810)</f>
        <v>0</v>
      </c>
      <c r="S746" s="104"/>
      <c r="T746" s="104"/>
      <c r="U746" s="104"/>
      <c r="V746" s="104"/>
      <c r="W746" s="104"/>
      <c r="X746" s="104"/>
      <c r="Y746" s="104"/>
      <c r="Z746" s="104"/>
      <c r="AA746" s="235"/>
      <c r="AB746" s="235"/>
      <c r="AC746" s="235"/>
      <c r="AD746" s="235"/>
      <c r="AE746" s="235"/>
      <c r="AF746" s="235"/>
      <c r="AG746" s="235"/>
      <c r="AH746" s="235"/>
      <c r="AI746" s="235"/>
      <c r="AJ746" s="235"/>
      <c r="AK746" s="235"/>
      <c r="AL746" s="235"/>
      <c r="AM746" s="235"/>
      <c r="AN746" s="235"/>
      <c r="AO746" s="235"/>
      <c r="AP746" s="235"/>
      <c r="AQ746" s="235"/>
      <c r="AR746" s="235"/>
      <c r="AS746" s="235"/>
      <c r="AT746" s="235"/>
      <c r="AU746" s="235"/>
      <c r="AV746" s="235"/>
      <c r="AW746" s="235"/>
      <c r="AX746" s="235"/>
      <c r="AY746" s="235"/>
      <c r="AZ746" s="235"/>
      <c r="BA746" s="235"/>
      <c r="BB746" s="235"/>
      <c r="BC746" s="235"/>
      <c r="BD746" s="104"/>
      <c r="BE746" s="104"/>
      <c r="BF746" s="104"/>
      <c r="BG746" s="104"/>
      <c r="BH746" s="104"/>
      <c r="BI746" s="104"/>
      <c r="BJ746" s="104"/>
      <c r="BK746" s="12"/>
      <c r="BL746" s="12"/>
    </row>
    <row r="747" spans="1:64" ht="12.75" customHeight="1" outlineLevel="1">
      <c r="A747" s="9"/>
      <c r="B747" s="9"/>
      <c r="C747" s="44"/>
      <c r="D747" s="278" t="str">
        <f>Asset18</f>
        <v>Transmission operations - short life (10)</v>
      </c>
      <c r="E747" s="9"/>
      <c r="F747" s="9"/>
      <c r="G747" s="207">
        <f>Input!J24</f>
        <v>0</v>
      </c>
      <c r="H747" s="114">
        <f t="shared" si="98"/>
        <v>0</v>
      </c>
      <c r="I747" s="114">
        <f t="shared" si="99"/>
        <v>1.1914825601167549</v>
      </c>
      <c r="J747" s="114">
        <f t="shared" si="99"/>
        <v>2.783219035333953</v>
      </c>
      <c r="K747" s="114">
        <f t="shared" si="99"/>
        <v>5.1946531764348123</v>
      </c>
      <c r="L747" s="114">
        <f t="shared" si="99"/>
        <v>6.6573286151847322</v>
      </c>
      <c r="M747" s="114">
        <f t="shared" si="99"/>
        <v>7.6111988859128124</v>
      </c>
      <c r="N747" s="114">
        <f>IF(COUNT($H747:M747)&gt;Input!$W$7,0, M747+M779+M811)</f>
        <v>0</v>
      </c>
      <c r="O747" s="114">
        <f>IF(COUNT($H747:N747)&gt;Input!$W$7,0, N747+N779+N811)</f>
        <v>0</v>
      </c>
      <c r="P747" s="114">
        <f>IF(COUNT($H747:O747)&gt;Input!$W$7,0, O747+O779+O811)</f>
        <v>0</v>
      </c>
      <c r="Q747" s="114">
        <f>IF(COUNT($H747:P747)&gt;Input!$W$7,0, P747+P779+P811)</f>
        <v>0</v>
      </c>
      <c r="R747" s="114">
        <f>IF(COUNT($H747:Q747)&gt;Input!$W$7,0, Q747+Q779+Q811)</f>
        <v>0</v>
      </c>
      <c r="S747" s="104"/>
      <c r="T747" s="104"/>
      <c r="U747" s="104"/>
      <c r="V747" s="104"/>
      <c r="W747" s="104"/>
      <c r="X747" s="104"/>
      <c r="Y747" s="104"/>
      <c r="Z747" s="104"/>
      <c r="AA747" s="235"/>
      <c r="AB747" s="235"/>
      <c r="AC747" s="235"/>
      <c r="AD747" s="235"/>
      <c r="AE747" s="235"/>
      <c r="AF747" s="235"/>
      <c r="AG747" s="235"/>
      <c r="AH747" s="235"/>
      <c r="AI747" s="235"/>
      <c r="AJ747" s="235"/>
      <c r="AK747" s="235"/>
      <c r="AL747" s="235"/>
      <c r="AM747" s="235"/>
      <c r="AN747" s="235"/>
      <c r="AO747" s="235"/>
      <c r="AP747" s="235"/>
      <c r="AQ747" s="235"/>
      <c r="AR747" s="235"/>
      <c r="AS747" s="235"/>
      <c r="AT747" s="235"/>
      <c r="AU747" s="235"/>
      <c r="AV747" s="235"/>
      <c r="AW747" s="235"/>
      <c r="AX747" s="235"/>
      <c r="AY747" s="235"/>
      <c r="AZ747" s="235"/>
      <c r="BA747" s="235"/>
      <c r="BB747" s="235"/>
      <c r="BC747" s="235"/>
      <c r="BD747" s="104"/>
      <c r="BE747" s="104"/>
      <c r="BF747" s="104"/>
      <c r="BG747" s="104"/>
      <c r="BH747" s="104"/>
      <c r="BI747" s="104"/>
      <c r="BJ747" s="104"/>
      <c r="BK747" s="12"/>
      <c r="BL747" s="12"/>
    </row>
    <row r="748" spans="1:64" ht="12.75" customHeight="1" outlineLevel="1">
      <c r="A748" s="9"/>
      <c r="B748" s="9"/>
      <c r="C748" s="44"/>
      <c r="D748" s="278" t="str">
        <f>Asset19</f>
        <v>Transmission operations - short life (4)</v>
      </c>
      <c r="E748" s="9"/>
      <c r="F748" s="9"/>
      <c r="G748" s="207">
        <f>Input!J25</f>
        <v>0</v>
      </c>
      <c r="H748" s="114">
        <f t="shared" si="98"/>
        <v>0</v>
      </c>
      <c r="I748" s="114">
        <f t="shared" si="99"/>
        <v>4.6783741467227996E-2</v>
      </c>
      <c r="J748" s="114">
        <f t="shared" si="99"/>
        <v>0.10371515090449816</v>
      </c>
      <c r="K748" s="114">
        <f t="shared" si="99"/>
        <v>7.551064702274693E-2</v>
      </c>
      <c r="L748" s="114">
        <f t="shared" si="99"/>
        <v>0.21386574695123262</v>
      </c>
      <c r="M748" s="114">
        <f t="shared" si="99"/>
        <v>0.14539259577728286</v>
      </c>
      <c r="N748" s="114">
        <f>IF(COUNT($H748:M748)&gt;Input!$W$7,0, M748+M780+M812)</f>
        <v>0</v>
      </c>
      <c r="O748" s="114">
        <f>IF(COUNT($H748:N748)&gt;Input!$W$7,0, N748+N780+N812)</f>
        <v>0</v>
      </c>
      <c r="P748" s="114">
        <f>IF(COUNT($H748:O748)&gt;Input!$W$7,0, O748+O780+O812)</f>
        <v>0</v>
      </c>
      <c r="Q748" s="114">
        <f>IF(COUNT($H748:P748)&gt;Input!$W$7,0, P748+P780+P812)</f>
        <v>0</v>
      </c>
      <c r="R748" s="114">
        <f>IF(COUNT($H748:Q748)&gt;Input!$W$7,0, Q748+Q780+Q812)</f>
        <v>0</v>
      </c>
      <c r="S748" s="104"/>
      <c r="T748" s="104"/>
      <c r="U748" s="104"/>
      <c r="V748" s="104"/>
      <c r="W748" s="104"/>
      <c r="X748" s="104"/>
      <c r="Y748" s="104"/>
      <c r="Z748" s="104"/>
      <c r="AA748" s="235"/>
      <c r="AB748" s="235"/>
      <c r="AC748" s="235"/>
      <c r="AD748" s="235"/>
      <c r="AE748" s="235"/>
      <c r="AF748" s="235"/>
      <c r="AG748" s="235"/>
      <c r="AH748" s="235"/>
      <c r="AI748" s="235"/>
      <c r="AJ748" s="235"/>
      <c r="AK748" s="235"/>
      <c r="AL748" s="235"/>
      <c r="AM748" s="235"/>
      <c r="AN748" s="235"/>
      <c r="AO748" s="235"/>
      <c r="AP748" s="235"/>
      <c r="AQ748" s="235"/>
      <c r="AR748" s="235"/>
      <c r="AS748" s="235"/>
      <c r="AT748" s="235"/>
      <c r="AU748" s="235"/>
      <c r="AV748" s="235"/>
      <c r="AW748" s="235"/>
      <c r="AX748" s="235"/>
      <c r="AY748" s="235"/>
      <c r="AZ748" s="235"/>
      <c r="BA748" s="235"/>
      <c r="BB748" s="235"/>
      <c r="BC748" s="235"/>
      <c r="BD748" s="104"/>
      <c r="BE748" s="104"/>
      <c r="BF748" s="104"/>
      <c r="BG748" s="104"/>
      <c r="BH748" s="104"/>
      <c r="BI748" s="104"/>
      <c r="BJ748" s="104"/>
      <c r="BK748" s="12"/>
      <c r="BL748" s="12"/>
    </row>
    <row r="749" spans="1:64" ht="12.75" customHeight="1" outlineLevel="1">
      <c r="A749" s="9"/>
      <c r="B749" s="9"/>
      <c r="C749" s="44"/>
      <c r="D749" s="278" t="str">
        <f>Asset20</f>
        <v>Other - medium life (40)</v>
      </c>
      <c r="E749" s="9"/>
      <c r="F749" s="9"/>
      <c r="G749" s="207">
        <f>Input!J26</f>
        <v>0</v>
      </c>
      <c r="H749" s="114">
        <f t="shared" si="98"/>
        <v>0</v>
      </c>
      <c r="I749" s="114">
        <f t="shared" si="99"/>
        <v>8.5042071932102044</v>
      </c>
      <c r="J749" s="114">
        <f t="shared" si="99"/>
        <v>23.634103839434172</v>
      </c>
      <c r="K749" s="114">
        <f t="shared" si="99"/>
        <v>25.098673779687388</v>
      </c>
      <c r="L749" s="114">
        <f t="shared" si="99"/>
        <v>25.185417338872437</v>
      </c>
      <c r="M749" s="114">
        <f t="shared" si="99"/>
        <v>28.803918489884531</v>
      </c>
      <c r="N749" s="114">
        <f>IF(COUNT($H749:M749)&gt;Input!$W$7,0, M749+M781+M813)</f>
        <v>0</v>
      </c>
      <c r="O749" s="114">
        <f>IF(COUNT($H749:N749)&gt;Input!$W$7,0, N749+N781+N813)</f>
        <v>0</v>
      </c>
      <c r="P749" s="114">
        <f>IF(COUNT($H749:O749)&gt;Input!$W$7,0, O749+O781+O813)</f>
        <v>0</v>
      </c>
      <c r="Q749" s="114">
        <f>IF(COUNT($H749:P749)&gt;Input!$W$7,0, P749+P781+P813)</f>
        <v>0</v>
      </c>
      <c r="R749" s="114">
        <f>IF(COUNT($H749:Q749)&gt;Input!$W$7,0, Q749+Q781+Q813)</f>
        <v>0</v>
      </c>
      <c r="S749" s="104"/>
      <c r="T749" s="104"/>
      <c r="U749" s="104"/>
      <c r="V749" s="104"/>
      <c r="W749" s="104"/>
      <c r="X749" s="104"/>
      <c r="Y749" s="104"/>
      <c r="Z749" s="104"/>
      <c r="AA749" s="235"/>
      <c r="AB749" s="235"/>
      <c r="AC749" s="235"/>
      <c r="AD749" s="235"/>
      <c r="AE749" s="235"/>
      <c r="AF749" s="235"/>
      <c r="AG749" s="235"/>
      <c r="AH749" s="235"/>
      <c r="AI749" s="235"/>
      <c r="AJ749" s="235"/>
      <c r="AK749" s="235"/>
      <c r="AL749" s="235"/>
      <c r="AM749" s="235"/>
      <c r="AN749" s="235"/>
      <c r="AO749" s="235"/>
      <c r="AP749" s="235"/>
      <c r="AQ749" s="235"/>
      <c r="AR749" s="235"/>
      <c r="AS749" s="235"/>
      <c r="AT749" s="235"/>
      <c r="AU749" s="235"/>
      <c r="AV749" s="235"/>
      <c r="AW749" s="235"/>
      <c r="AX749" s="235"/>
      <c r="AY749" s="235"/>
      <c r="AZ749" s="235"/>
      <c r="BA749" s="235"/>
      <c r="BB749" s="235"/>
      <c r="BC749" s="235"/>
      <c r="BD749" s="104"/>
      <c r="BE749" s="104"/>
      <c r="BF749" s="104"/>
      <c r="BG749" s="104"/>
      <c r="BH749" s="104"/>
      <c r="BI749" s="104"/>
      <c r="BJ749" s="104"/>
      <c r="BK749" s="12"/>
      <c r="BL749" s="12"/>
    </row>
    <row r="750" spans="1:64" ht="12.75" customHeight="1" outlineLevel="1">
      <c r="A750" s="9"/>
      <c r="B750" s="9"/>
      <c r="C750" s="44"/>
      <c r="D750" s="278" t="str">
        <f>Asset21</f>
        <v>Other - short life (9)</v>
      </c>
      <c r="E750" s="9"/>
      <c r="F750" s="9"/>
      <c r="G750" s="207">
        <f>Input!J27</f>
        <v>0</v>
      </c>
      <c r="H750" s="114">
        <f>G750+G782+G814+G846+G878</f>
        <v>0</v>
      </c>
      <c r="I750" s="114">
        <f>H750+H782+H814</f>
        <v>0.72703233204589635</v>
      </c>
      <c r="J750" s="114">
        <f>I750+I782+I814</f>
        <v>1.7213660166457985</v>
      </c>
      <c r="K750" s="114">
        <f>J750+J782+J814</f>
        <v>2.7030548238393339</v>
      </c>
      <c r="L750" s="114">
        <f>K750+K782+K814</f>
        <v>2.6718554906981526</v>
      </c>
      <c r="M750" s="114">
        <f>L750+L782+L814</f>
        <v>2.8901245049736608</v>
      </c>
      <c r="N750" s="114">
        <f>IF(COUNT($H750:M750)&gt;Input!$W$7,0, M750+M782+M814)</f>
        <v>0</v>
      </c>
      <c r="O750" s="114">
        <f>IF(COUNT($H750:N750)&gt;Input!$W$7,0, N750+N782+N814)</f>
        <v>0</v>
      </c>
      <c r="P750" s="114">
        <f>IF(COUNT($H750:O750)&gt;Input!$W$7,0, O750+O782+O814)</f>
        <v>0</v>
      </c>
      <c r="Q750" s="114">
        <f>IF(COUNT($H750:P750)&gt;Input!$W$7,0, P750+P782+P814)</f>
        <v>0</v>
      </c>
      <c r="R750" s="114">
        <f>IF(COUNT($H750:Q750)&gt;Input!$W$7,0, Q750+Q782+Q814)</f>
        <v>0</v>
      </c>
      <c r="S750" s="104"/>
      <c r="T750" s="104"/>
      <c r="U750" s="104"/>
      <c r="V750" s="104"/>
      <c r="W750" s="104"/>
      <c r="X750" s="104"/>
      <c r="Y750" s="104"/>
      <c r="Z750" s="104"/>
      <c r="AA750" s="235"/>
      <c r="AB750" s="235"/>
      <c r="AC750" s="235"/>
      <c r="AD750" s="235"/>
      <c r="AE750" s="235"/>
      <c r="AF750" s="235"/>
      <c r="AG750" s="235"/>
      <c r="AH750" s="235"/>
      <c r="AI750" s="235"/>
      <c r="AJ750" s="235"/>
      <c r="AK750" s="235"/>
      <c r="AL750" s="235"/>
      <c r="AM750" s="235"/>
      <c r="AN750" s="235"/>
      <c r="AO750" s="235"/>
      <c r="AP750" s="235"/>
      <c r="AQ750" s="235"/>
      <c r="AR750" s="235"/>
      <c r="AS750" s="235"/>
      <c r="AT750" s="235"/>
      <c r="AU750" s="235"/>
      <c r="AV750" s="235"/>
      <c r="AW750" s="235"/>
      <c r="AX750" s="235"/>
      <c r="AY750" s="235"/>
      <c r="AZ750" s="235"/>
      <c r="BA750" s="235"/>
      <c r="BB750" s="235"/>
      <c r="BC750" s="235"/>
      <c r="BD750" s="104"/>
      <c r="BE750" s="104"/>
      <c r="BF750" s="104"/>
      <c r="BG750" s="104"/>
      <c r="BH750" s="104"/>
      <c r="BI750" s="104"/>
      <c r="BJ750" s="104"/>
      <c r="BK750" s="12"/>
      <c r="BL750" s="12"/>
    </row>
    <row r="751" spans="1:64" ht="12.75" customHeight="1" outlineLevel="1">
      <c r="A751" s="9"/>
      <c r="B751" s="9"/>
      <c r="C751" s="44"/>
      <c r="D751" s="278" t="str">
        <f>Asset22</f>
        <v>Other - short life (4)</v>
      </c>
      <c r="E751" s="9"/>
      <c r="F751" s="9"/>
      <c r="G751" s="207">
        <f>Input!J28</f>
        <v>0</v>
      </c>
      <c r="H751" s="114">
        <f t="shared" ref="H751:H758" si="100">G751+G783+G815+G847+G879</f>
        <v>0</v>
      </c>
      <c r="I751" s="114">
        <f t="shared" ref="I751:I759" si="101">H751+H783+H815</f>
        <v>2.6090448499525216</v>
      </c>
      <c r="J751" s="114">
        <f t="shared" ref="J751:M759" si="102">I751+I783+I815</f>
        <v>4.1229155801835145</v>
      </c>
      <c r="K751" s="114">
        <f t="shared" si="102"/>
        <v>4.8794614776084133</v>
      </c>
      <c r="L751" s="114">
        <f t="shared" si="102"/>
        <v>8.7265761432160716</v>
      </c>
      <c r="M751" s="114">
        <f t="shared" si="102"/>
        <v>8.2661121698126649</v>
      </c>
      <c r="N751" s="114">
        <f>IF(COUNT($H751:M751)&gt;Input!$W$7,0, M751+M783+M815)</f>
        <v>0</v>
      </c>
      <c r="O751" s="114">
        <f>IF(COUNT($H751:N751)&gt;Input!$W$7,0, N751+N783+N815)</f>
        <v>0</v>
      </c>
      <c r="P751" s="114">
        <f>IF(COUNT($H751:O751)&gt;Input!$W$7,0, O751+O783+O815)</f>
        <v>0</v>
      </c>
      <c r="Q751" s="114">
        <f>IF(COUNT($H751:P751)&gt;Input!$W$7,0, P751+P783+P815)</f>
        <v>0</v>
      </c>
      <c r="R751" s="114">
        <f>IF(COUNT($H751:Q751)&gt;Input!$W$7,0, Q751+Q783+Q815)</f>
        <v>0</v>
      </c>
      <c r="S751" s="104"/>
      <c r="T751" s="104"/>
      <c r="U751" s="104"/>
      <c r="V751" s="104"/>
      <c r="W751" s="104"/>
      <c r="X751" s="104"/>
      <c r="Y751" s="104"/>
      <c r="Z751" s="104"/>
      <c r="AA751" s="235"/>
      <c r="AB751" s="235"/>
      <c r="AC751" s="235"/>
      <c r="AD751" s="235"/>
      <c r="AE751" s="235"/>
      <c r="AF751" s="235"/>
      <c r="AG751" s="235"/>
      <c r="AH751" s="235"/>
      <c r="AI751" s="235"/>
      <c r="AJ751" s="235"/>
      <c r="AK751" s="235"/>
      <c r="AL751" s="235"/>
      <c r="AM751" s="235"/>
      <c r="AN751" s="235"/>
      <c r="AO751" s="235"/>
      <c r="AP751" s="235"/>
      <c r="AQ751" s="235"/>
      <c r="AR751" s="235"/>
      <c r="AS751" s="235"/>
      <c r="AT751" s="235"/>
      <c r="AU751" s="235"/>
      <c r="AV751" s="235"/>
      <c r="AW751" s="235"/>
      <c r="AX751" s="235"/>
      <c r="AY751" s="235"/>
      <c r="AZ751" s="235"/>
      <c r="BA751" s="235"/>
      <c r="BB751" s="235"/>
      <c r="BC751" s="235"/>
      <c r="BD751" s="104"/>
      <c r="BE751" s="104"/>
      <c r="BF751" s="104"/>
      <c r="BG751" s="104"/>
      <c r="BH751" s="104"/>
      <c r="BI751" s="104"/>
      <c r="BJ751" s="104"/>
      <c r="BK751" s="12"/>
      <c r="BL751" s="12"/>
    </row>
    <row r="752" spans="1:64" ht="12.75" customHeight="1" outlineLevel="1">
      <c r="A752" s="9"/>
      <c r="B752" s="9"/>
      <c r="C752" s="44"/>
      <c r="D752" s="278" t="str">
        <f>Asset23</f>
        <v>Land and Easements</v>
      </c>
      <c r="E752" s="9"/>
      <c r="F752" s="9"/>
      <c r="G752" s="207">
        <f>Input!J29</f>
        <v>0</v>
      </c>
      <c r="H752" s="114">
        <f t="shared" si="100"/>
        <v>0</v>
      </c>
      <c r="I752" s="114">
        <f t="shared" si="101"/>
        <v>0</v>
      </c>
      <c r="J752" s="114">
        <f t="shared" si="102"/>
        <v>1.743068639940359</v>
      </c>
      <c r="K752" s="114">
        <f t="shared" si="102"/>
        <v>2.2531392979164462</v>
      </c>
      <c r="L752" s="114">
        <f t="shared" si="102"/>
        <v>3.6658437437602203</v>
      </c>
      <c r="M752" s="114">
        <f t="shared" si="102"/>
        <v>4.8160160086349917</v>
      </c>
      <c r="N752" s="114">
        <f>IF(COUNT($H752:M752)&gt;Input!$W$7,0, M752+M784+M816)</f>
        <v>0</v>
      </c>
      <c r="O752" s="114">
        <f>IF(COUNT($H752:N752)&gt;Input!$W$7,0, N752+N784+N816)</f>
        <v>0</v>
      </c>
      <c r="P752" s="114">
        <f>IF(COUNT($H752:O752)&gt;Input!$W$7,0, O752+O784+O816)</f>
        <v>0</v>
      </c>
      <c r="Q752" s="114">
        <f>IF(COUNT($H752:P752)&gt;Input!$W$7,0, P752+P784+P816)</f>
        <v>0</v>
      </c>
      <c r="R752" s="114">
        <f>IF(COUNT($H752:Q752)&gt;Input!$W$7,0, Q752+Q784+Q816)</f>
        <v>0</v>
      </c>
      <c r="S752" s="104"/>
      <c r="T752" s="104"/>
      <c r="U752" s="104"/>
      <c r="V752" s="104"/>
      <c r="W752" s="104"/>
      <c r="X752" s="104"/>
      <c r="Y752" s="104"/>
      <c r="Z752" s="104"/>
      <c r="AA752" s="235"/>
      <c r="AB752" s="235"/>
      <c r="AC752" s="235"/>
      <c r="AD752" s="235"/>
      <c r="AE752" s="235"/>
      <c r="AF752" s="235"/>
      <c r="AG752" s="235"/>
      <c r="AH752" s="235"/>
      <c r="AI752" s="235"/>
      <c r="AJ752" s="235"/>
      <c r="AK752" s="235"/>
      <c r="AL752" s="235"/>
      <c r="AM752" s="235"/>
      <c r="AN752" s="235"/>
      <c r="AO752" s="235"/>
      <c r="AP752" s="235"/>
      <c r="AQ752" s="235"/>
      <c r="AR752" s="235"/>
      <c r="AS752" s="235"/>
      <c r="AT752" s="235"/>
      <c r="AU752" s="235"/>
      <c r="AV752" s="235"/>
      <c r="AW752" s="235"/>
      <c r="AX752" s="235"/>
      <c r="AY752" s="235"/>
      <c r="AZ752" s="235"/>
      <c r="BA752" s="235"/>
      <c r="BB752" s="235"/>
      <c r="BC752" s="235"/>
      <c r="BD752" s="104"/>
      <c r="BE752" s="104"/>
      <c r="BF752" s="104"/>
      <c r="BG752" s="104"/>
      <c r="BH752" s="104"/>
      <c r="BI752" s="104"/>
      <c r="BJ752" s="104"/>
      <c r="BK752" s="12"/>
      <c r="BL752" s="12"/>
    </row>
    <row r="753" spans="1:64" ht="12.75" customHeight="1" outlineLevel="1">
      <c r="A753" s="9"/>
      <c r="B753" s="9"/>
      <c r="C753" s="44"/>
      <c r="D753" s="278" t="str">
        <f>Asset24</f>
        <v>Equity Raising</v>
      </c>
      <c r="E753" s="9"/>
      <c r="F753" s="9"/>
      <c r="G753" s="207">
        <f>Input!J30</f>
        <v>0</v>
      </c>
      <c r="H753" s="114">
        <f t="shared" si="100"/>
        <v>0</v>
      </c>
      <c r="I753" s="114">
        <f t="shared" si="101"/>
        <v>0.44485041313161061</v>
      </c>
      <c r="J753" s="114">
        <f t="shared" si="102"/>
        <v>0.44870168372209202</v>
      </c>
      <c r="K753" s="114">
        <f t="shared" si="102"/>
        <v>0.44446886150221571</v>
      </c>
      <c r="L753" s="114">
        <f t="shared" si="102"/>
        <v>0.44406898521604748</v>
      </c>
      <c r="M753" s="114">
        <f t="shared" si="102"/>
        <v>0.44335963280526741</v>
      </c>
      <c r="N753" s="114">
        <f>IF(COUNT($H753:M753)&gt;Input!$W$7,0, M753+M785+M817)</f>
        <v>0</v>
      </c>
      <c r="O753" s="114">
        <f>IF(COUNT($H753:N753)&gt;Input!$W$7,0, N753+N785+N817)</f>
        <v>0</v>
      </c>
      <c r="P753" s="114">
        <f>IF(COUNT($H753:O753)&gt;Input!$W$7,0, O753+O785+O817)</f>
        <v>0</v>
      </c>
      <c r="Q753" s="114">
        <f>IF(COUNT($H753:P753)&gt;Input!$W$7,0, P753+P785+P817)</f>
        <v>0</v>
      </c>
      <c r="R753" s="114">
        <f>IF(COUNT($H753:Q753)&gt;Input!$W$7,0, Q753+Q785+Q817)</f>
        <v>0</v>
      </c>
      <c r="S753" s="104"/>
      <c r="T753" s="104"/>
      <c r="U753" s="104"/>
      <c r="V753" s="104"/>
      <c r="W753" s="104"/>
      <c r="X753" s="104"/>
      <c r="Y753" s="104"/>
      <c r="Z753" s="104"/>
      <c r="AA753" s="235"/>
      <c r="AB753" s="235"/>
      <c r="AC753" s="235"/>
      <c r="AD753" s="235"/>
      <c r="AE753" s="235"/>
      <c r="AF753" s="235"/>
      <c r="AG753" s="235"/>
      <c r="AH753" s="235"/>
      <c r="AI753" s="235"/>
      <c r="AJ753" s="235"/>
      <c r="AK753" s="235"/>
      <c r="AL753" s="235"/>
      <c r="AM753" s="235"/>
      <c r="AN753" s="235"/>
      <c r="AO753" s="235"/>
      <c r="AP753" s="235"/>
      <c r="AQ753" s="235"/>
      <c r="AR753" s="235"/>
      <c r="AS753" s="235"/>
      <c r="AT753" s="235"/>
      <c r="AU753" s="235"/>
      <c r="AV753" s="235"/>
      <c r="AW753" s="235"/>
      <c r="AX753" s="235"/>
      <c r="AY753" s="235"/>
      <c r="AZ753" s="235"/>
      <c r="BA753" s="235"/>
      <c r="BB753" s="235"/>
      <c r="BC753" s="235"/>
      <c r="BD753" s="104"/>
      <c r="BE753" s="104"/>
      <c r="BF753" s="104"/>
      <c r="BG753" s="104"/>
      <c r="BH753" s="104"/>
      <c r="BI753" s="104"/>
      <c r="BJ753" s="104"/>
      <c r="BK753" s="12"/>
      <c r="BL753" s="12"/>
    </row>
    <row r="754" spans="1:64" ht="12.75" customHeight="1" outlineLevel="1">
      <c r="A754" s="9"/>
      <c r="B754" s="9"/>
      <c r="C754" s="44"/>
      <c r="D754" s="278">
        <f>Asset25</f>
        <v>0</v>
      </c>
      <c r="E754" s="9"/>
      <c r="F754" s="9"/>
      <c r="G754" s="207">
        <f>Input!J31</f>
        <v>0</v>
      </c>
      <c r="H754" s="114">
        <f t="shared" si="100"/>
        <v>0</v>
      </c>
      <c r="I754" s="114">
        <f t="shared" si="101"/>
        <v>0</v>
      </c>
      <c r="J754" s="114">
        <f t="shared" si="102"/>
        <v>0</v>
      </c>
      <c r="K754" s="114">
        <f t="shared" si="102"/>
        <v>0</v>
      </c>
      <c r="L754" s="114">
        <f t="shared" si="102"/>
        <v>0</v>
      </c>
      <c r="M754" s="114">
        <f t="shared" si="102"/>
        <v>0</v>
      </c>
      <c r="N754" s="114">
        <f>IF(COUNT($H754:M754)&gt;Input!$W$7,0, M754+M786+M818)</f>
        <v>0</v>
      </c>
      <c r="O754" s="114">
        <f>IF(COUNT($H754:N754)&gt;Input!$W$7,0, N754+N786+N818)</f>
        <v>0</v>
      </c>
      <c r="P754" s="114">
        <f>IF(COUNT($H754:O754)&gt;Input!$W$7,0, O754+O786+O818)</f>
        <v>0</v>
      </c>
      <c r="Q754" s="114">
        <f>IF(COUNT($H754:P754)&gt;Input!$W$7,0, P754+P786+P818)</f>
        <v>0</v>
      </c>
      <c r="R754" s="114">
        <f>IF(COUNT($H754:Q754)&gt;Input!$W$7,0, Q754+Q786+Q818)</f>
        <v>0</v>
      </c>
      <c r="S754" s="104"/>
      <c r="T754" s="104"/>
      <c r="U754" s="104"/>
      <c r="V754" s="104"/>
      <c r="W754" s="104"/>
      <c r="X754" s="104"/>
      <c r="Y754" s="104"/>
      <c r="Z754" s="104"/>
      <c r="AA754" s="235"/>
      <c r="AB754" s="235"/>
      <c r="AC754" s="235"/>
      <c r="AD754" s="235"/>
      <c r="AE754" s="235"/>
      <c r="AF754" s="235"/>
      <c r="AG754" s="235"/>
      <c r="AH754" s="235"/>
      <c r="AI754" s="235"/>
      <c r="AJ754" s="235"/>
      <c r="AK754" s="235"/>
      <c r="AL754" s="235"/>
      <c r="AM754" s="235"/>
      <c r="AN754" s="235"/>
      <c r="AO754" s="235"/>
      <c r="AP754" s="235"/>
      <c r="AQ754" s="235"/>
      <c r="AR754" s="235"/>
      <c r="AS754" s="235"/>
      <c r="AT754" s="235"/>
      <c r="AU754" s="235"/>
      <c r="AV754" s="235"/>
      <c r="AW754" s="235"/>
      <c r="AX754" s="235"/>
      <c r="AY754" s="235"/>
      <c r="AZ754" s="235"/>
      <c r="BA754" s="235"/>
      <c r="BB754" s="235"/>
      <c r="BC754" s="235"/>
      <c r="BD754" s="104"/>
      <c r="BE754" s="104"/>
      <c r="BF754" s="104"/>
      <c r="BG754" s="104"/>
      <c r="BH754" s="104"/>
      <c r="BI754" s="104"/>
      <c r="BJ754" s="104"/>
      <c r="BK754" s="12"/>
      <c r="BL754" s="12"/>
    </row>
    <row r="755" spans="1:64" ht="12.75" customHeight="1" outlineLevel="1">
      <c r="A755" s="9"/>
      <c r="B755" s="9"/>
      <c r="C755" s="44"/>
      <c r="D755" s="278">
        <f>Asset26</f>
        <v>0</v>
      </c>
      <c r="E755" s="9"/>
      <c r="F755" s="9"/>
      <c r="G755" s="207">
        <f>Input!J32</f>
        <v>0</v>
      </c>
      <c r="H755" s="114">
        <f t="shared" si="100"/>
        <v>0</v>
      </c>
      <c r="I755" s="114">
        <f t="shared" si="101"/>
        <v>0</v>
      </c>
      <c r="J755" s="114">
        <f t="shared" si="102"/>
        <v>0</v>
      </c>
      <c r="K755" s="114">
        <f t="shared" si="102"/>
        <v>0</v>
      </c>
      <c r="L755" s="114">
        <f t="shared" si="102"/>
        <v>0</v>
      </c>
      <c r="M755" s="114">
        <f t="shared" si="102"/>
        <v>0</v>
      </c>
      <c r="N755" s="114">
        <f>IF(COUNT($H755:M755)&gt;Input!$W$7,0, M755+M787+M819)</f>
        <v>0</v>
      </c>
      <c r="O755" s="114">
        <f>IF(COUNT($H755:N755)&gt;Input!$W$7,0, N755+N787+N819)</f>
        <v>0</v>
      </c>
      <c r="P755" s="114">
        <f>IF(COUNT($H755:O755)&gt;Input!$W$7,0, O755+O787+O819)</f>
        <v>0</v>
      </c>
      <c r="Q755" s="114">
        <f>IF(COUNT($H755:P755)&gt;Input!$W$7,0, P755+P787+P819)</f>
        <v>0</v>
      </c>
      <c r="R755" s="114">
        <f>IF(COUNT($H755:Q755)&gt;Input!$W$7,0, Q755+Q787+Q819)</f>
        <v>0</v>
      </c>
      <c r="S755" s="104"/>
      <c r="T755" s="104"/>
      <c r="U755" s="104"/>
      <c r="V755" s="104"/>
      <c r="W755" s="104"/>
      <c r="X755" s="104"/>
      <c r="Y755" s="104"/>
      <c r="Z755" s="104"/>
      <c r="AA755" s="235"/>
      <c r="AB755" s="235"/>
      <c r="AC755" s="235"/>
      <c r="AD755" s="235"/>
      <c r="AE755" s="235"/>
      <c r="AF755" s="235"/>
      <c r="AG755" s="235"/>
      <c r="AH755" s="235"/>
      <c r="AI755" s="235"/>
      <c r="AJ755" s="235"/>
      <c r="AK755" s="235"/>
      <c r="AL755" s="235"/>
      <c r="AM755" s="235"/>
      <c r="AN755" s="235"/>
      <c r="AO755" s="235"/>
      <c r="AP755" s="235"/>
      <c r="AQ755" s="235"/>
      <c r="AR755" s="235"/>
      <c r="AS755" s="235"/>
      <c r="AT755" s="235"/>
      <c r="AU755" s="235"/>
      <c r="AV755" s="235"/>
      <c r="AW755" s="235"/>
      <c r="AX755" s="235"/>
      <c r="AY755" s="235"/>
      <c r="AZ755" s="235"/>
      <c r="BA755" s="235"/>
      <c r="BB755" s="235"/>
      <c r="BC755" s="235"/>
      <c r="BD755" s="104"/>
      <c r="BE755" s="104"/>
      <c r="BF755" s="104"/>
      <c r="BG755" s="104"/>
      <c r="BH755" s="104"/>
      <c r="BI755" s="104"/>
      <c r="BJ755" s="104"/>
      <c r="BK755" s="12"/>
      <c r="BL755" s="12"/>
    </row>
    <row r="756" spans="1:64" ht="12.75" customHeight="1" outlineLevel="1">
      <c r="A756" s="9"/>
      <c r="B756" s="9"/>
      <c r="C756" s="44"/>
      <c r="D756" s="278">
        <f>Asset27</f>
        <v>0</v>
      </c>
      <c r="E756" s="9"/>
      <c r="F756" s="9"/>
      <c r="G756" s="207">
        <f>Input!J33</f>
        <v>0</v>
      </c>
      <c r="H756" s="114">
        <f t="shared" si="100"/>
        <v>0</v>
      </c>
      <c r="I756" s="114">
        <f t="shared" si="101"/>
        <v>0</v>
      </c>
      <c r="J756" s="114">
        <f t="shared" si="102"/>
        <v>0</v>
      </c>
      <c r="K756" s="114">
        <f t="shared" si="102"/>
        <v>0</v>
      </c>
      <c r="L756" s="114">
        <f t="shared" si="102"/>
        <v>0</v>
      </c>
      <c r="M756" s="114">
        <f t="shared" si="102"/>
        <v>0</v>
      </c>
      <c r="N756" s="114">
        <f>IF(COUNT($H756:M756)&gt;Input!$W$7,0, M756+M788+M820)</f>
        <v>0</v>
      </c>
      <c r="O756" s="114">
        <f>IF(COUNT($H756:N756)&gt;Input!$W$7,0, N756+N788+N820)</f>
        <v>0</v>
      </c>
      <c r="P756" s="114">
        <f>IF(COUNT($H756:O756)&gt;Input!$W$7,0, O756+O788+O820)</f>
        <v>0</v>
      </c>
      <c r="Q756" s="114">
        <f>IF(COUNT($H756:P756)&gt;Input!$W$7,0, P756+P788+P820)</f>
        <v>0</v>
      </c>
      <c r="R756" s="114">
        <f>IF(COUNT($H756:Q756)&gt;Input!$W$7,0, Q756+Q788+Q820)</f>
        <v>0</v>
      </c>
      <c r="S756" s="104"/>
      <c r="T756" s="104"/>
      <c r="U756" s="104"/>
      <c r="V756" s="104"/>
      <c r="W756" s="104"/>
      <c r="X756" s="104"/>
      <c r="Y756" s="104"/>
      <c r="Z756" s="104"/>
      <c r="AA756" s="235"/>
      <c r="AB756" s="235"/>
      <c r="AC756" s="235"/>
      <c r="AD756" s="235"/>
      <c r="AE756" s="235"/>
      <c r="AF756" s="235"/>
      <c r="AG756" s="235"/>
      <c r="AH756" s="235"/>
      <c r="AI756" s="235"/>
      <c r="AJ756" s="235"/>
      <c r="AK756" s="235"/>
      <c r="AL756" s="235"/>
      <c r="AM756" s="235"/>
      <c r="AN756" s="235"/>
      <c r="AO756" s="235"/>
      <c r="AP756" s="235"/>
      <c r="AQ756" s="235"/>
      <c r="AR756" s="235"/>
      <c r="AS756" s="235"/>
      <c r="AT756" s="235"/>
      <c r="AU756" s="235"/>
      <c r="AV756" s="235"/>
      <c r="AW756" s="235"/>
      <c r="AX756" s="235"/>
      <c r="AY756" s="235"/>
      <c r="AZ756" s="235"/>
      <c r="BA756" s="235"/>
      <c r="BB756" s="235"/>
      <c r="BC756" s="235"/>
      <c r="BD756" s="104"/>
      <c r="BE756" s="104"/>
      <c r="BF756" s="104"/>
      <c r="BG756" s="104"/>
      <c r="BH756" s="104"/>
      <c r="BI756" s="104"/>
      <c r="BJ756" s="104"/>
      <c r="BK756" s="12"/>
      <c r="BL756" s="12"/>
    </row>
    <row r="757" spans="1:64" ht="12.75" customHeight="1" outlineLevel="1">
      <c r="A757" s="9"/>
      <c r="B757" s="9"/>
      <c r="C757" s="44"/>
      <c r="D757" s="278">
        <f>Asset28</f>
        <v>0</v>
      </c>
      <c r="E757" s="9"/>
      <c r="F757" s="9"/>
      <c r="G757" s="207">
        <f>Input!J34</f>
        <v>0</v>
      </c>
      <c r="H757" s="114">
        <f t="shared" si="100"/>
        <v>0</v>
      </c>
      <c r="I757" s="114">
        <f t="shared" si="101"/>
        <v>0</v>
      </c>
      <c r="J757" s="114">
        <f t="shared" si="102"/>
        <v>0</v>
      </c>
      <c r="K757" s="114">
        <f t="shared" si="102"/>
        <v>0</v>
      </c>
      <c r="L757" s="114">
        <f t="shared" si="102"/>
        <v>0</v>
      </c>
      <c r="M757" s="114">
        <f t="shared" si="102"/>
        <v>0</v>
      </c>
      <c r="N757" s="114">
        <f>IF(COUNT($H757:M757)&gt;Input!$W$7,0, M757+M789+M821)</f>
        <v>0</v>
      </c>
      <c r="O757" s="114">
        <f>IF(COUNT($H757:N757)&gt;Input!$W$7,0, N757+N789+N821)</f>
        <v>0</v>
      </c>
      <c r="P757" s="114">
        <f>IF(COUNT($H757:O757)&gt;Input!$W$7,0, O757+O789+O821)</f>
        <v>0</v>
      </c>
      <c r="Q757" s="114">
        <f>IF(COUNT($H757:P757)&gt;Input!$W$7,0, P757+P789+P821)</f>
        <v>0</v>
      </c>
      <c r="R757" s="114">
        <f>IF(COUNT($H757:Q757)&gt;Input!$W$7,0, Q757+Q789+Q821)</f>
        <v>0</v>
      </c>
      <c r="S757" s="104"/>
      <c r="T757" s="104"/>
      <c r="U757" s="104"/>
      <c r="V757" s="104"/>
      <c r="W757" s="104"/>
      <c r="X757" s="104"/>
      <c r="Y757" s="104"/>
      <c r="Z757" s="104"/>
      <c r="AA757" s="235"/>
      <c r="AB757" s="235"/>
      <c r="AC757" s="235"/>
      <c r="AD757" s="235"/>
      <c r="AE757" s="235"/>
      <c r="AF757" s="235"/>
      <c r="AG757" s="235"/>
      <c r="AH757" s="235"/>
      <c r="AI757" s="235"/>
      <c r="AJ757" s="235"/>
      <c r="AK757" s="235"/>
      <c r="AL757" s="235"/>
      <c r="AM757" s="235"/>
      <c r="AN757" s="235"/>
      <c r="AO757" s="235"/>
      <c r="AP757" s="235"/>
      <c r="AQ757" s="235"/>
      <c r="AR757" s="235"/>
      <c r="AS757" s="235"/>
      <c r="AT757" s="235"/>
      <c r="AU757" s="235"/>
      <c r="AV757" s="235"/>
      <c r="AW757" s="235"/>
      <c r="AX757" s="235"/>
      <c r="AY757" s="235"/>
      <c r="AZ757" s="235"/>
      <c r="BA757" s="235"/>
      <c r="BB757" s="235"/>
      <c r="BC757" s="235"/>
      <c r="BD757" s="104"/>
      <c r="BE757" s="104"/>
      <c r="BF757" s="104"/>
      <c r="BG757" s="104"/>
      <c r="BH757" s="104"/>
      <c r="BI757" s="104"/>
      <c r="BJ757" s="104"/>
      <c r="BK757" s="12"/>
      <c r="BL757" s="12"/>
    </row>
    <row r="758" spans="1:64" ht="12.75" customHeight="1" outlineLevel="1">
      <c r="A758" s="9"/>
      <c r="B758" s="9"/>
      <c r="C758" s="44"/>
      <c r="D758" s="278">
        <f>Asset29</f>
        <v>0</v>
      </c>
      <c r="E758" s="9"/>
      <c r="F758" s="9"/>
      <c r="G758" s="207">
        <f>Input!J35</f>
        <v>0</v>
      </c>
      <c r="H758" s="114">
        <f t="shared" si="100"/>
        <v>0</v>
      </c>
      <c r="I758" s="114">
        <f t="shared" si="101"/>
        <v>0</v>
      </c>
      <c r="J758" s="114">
        <f t="shared" si="102"/>
        <v>0</v>
      </c>
      <c r="K758" s="114">
        <f t="shared" si="102"/>
        <v>0</v>
      </c>
      <c r="L758" s="114">
        <f t="shared" si="102"/>
        <v>0</v>
      </c>
      <c r="M758" s="114">
        <f t="shared" si="102"/>
        <v>0</v>
      </c>
      <c r="N758" s="114">
        <f>IF(COUNT($H758:M758)&gt;Input!$W$7,0, M758+M790+M822)</f>
        <v>0</v>
      </c>
      <c r="O758" s="114">
        <f>IF(COUNT($H758:N758)&gt;Input!$W$7,0, N758+N790+N822)</f>
        <v>0</v>
      </c>
      <c r="P758" s="114">
        <f>IF(COUNT($H758:O758)&gt;Input!$W$7,0, O758+O790+O822)</f>
        <v>0</v>
      </c>
      <c r="Q758" s="114">
        <f>IF(COUNT($H758:P758)&gt;Input!$W$7,0, P758+P790+P822)</f>
        <v>0</v>
      </c>
      <c r="R758" s="114">
        <f>IF(COUNT($H758:Q758)&gt;Input!$W$7,0, Q758+Q790+Q822)</f>
        <v>0</v>
      </c>
      <c r="S758" s="104"/>
      <c r="T758" s="104"/>
      <c r="U758" s="104"/>
      <c r="V758" s="104"/>
      <c r="W758" s="104"/>
      <c r="X758" s="104"/>
      <c r="Y758" s="104"/>
      <c r="Z758" s="104"/>
      <c r="AA758" s="235"/>
      <c r="AB758" s="235"/>
      <c r="AC758" s="235"/>
      <c r="AD758" s="235"/>
      <c r="AE758" s="235"/>
      <c r="AF758" s="235"/>
      <c r="AG758" s="235"/>
      <c r="AH758" s="235"/>
      <c r="AI758" s="235"/>
      <c r="AJ758" s="235"/>
      <c r="AK758" s="235"/>
      <c r="AL758" s="235"/>
      <c r="AM758" s="235"/>
      <c r="AN758" s="235"/>
      <c r="AO758" s="235"/>
      <c r="AP758" s="235"/>
      <c r="AQ758" s="235"/>
      <c r="AR758" s="235"/>
      <c r="AS758" s="235"/>
      <c r="AT758" s="235"/>
      <c r="AU758" s="235"/>
      <c r="AV758" s="235"/>
      <c r="AW758" s="235"/>
      <c r="AX758" s="235"/>
      <c r="AY758" s="235"/>
      <c r="AZ758" s="235"/>
      <c r="BA758" s="235"/>
      <c r="BB758" s="235"/>
      <c r="BC758" s="235"/>
      <c r="BD758" s="104"/>
      <c r="BE758" s="104"/>
      <c r="BF758" s="104"/>
      <c r="BG758" s="104"/>
      <c r="BH758" s="104"/>
      <c r="BI758" s="104"/>
      <c r="BJ758" s="104"/>
      <c r="BK758" s="12"/>
      <c r="BL758" s="12"/>
    </row>
    <row r="759" spans="1:64" ht="12.75" customHeight="1" outlineLevel="1">
      <c r="A759" s="9"/>
      <c r="B759" s="9"/>
      <c r="C759" s="44"/>
      <c r="D759" s="278">
        <f>Asset30</f>
        <v>0</v>
      </c>
      <c r="E759" s="9"/>
      <c r="F759" s="9"/>
      <c r="G759" s="207">
        <f>Input!J36</f>
        <v>0</v>
      </c>
      <c r="H759" s="114">
        <f>G759+G791+G823+G855+G887</f>
        <v>0</v>
      </c>
      <c r="I759" s="114">
        <f t="shared" si="101"/>
        <v>0</v>
      </c>
      <c r="J759" s="114">
        <f t="shared" si="102"/>
        <v>0</v>
      </c>
      <c r="K759" s="114">
        <f t="shared" si="102"/>
        <v>0</v>
      </c>
      <c r="L759" s="114">
        <f>K759+K791+K823</f>
        <v>0</v>
      </c>
      <c r="M759" s="114">
        <f>L759+L791+L823</f>
        <v>0</v>
      </c>
      <c r="N759" s="114">
        <f>IF(COUNT($H759:M759)&gt;Input!$W$7,0, M759+M791+M823)</f>
        <v>0</v>
      </c>
      <c r="O759" s="114">
        <f>IF(COUNT($H759:N759)&gt;Input!$W$7,0, N759+N791+N823)</f>
        <v>0</v>
      </c>
      <c r="P759" s="114">
        <f>IF(COUNT($H759:O759)&gt;Input!$W$7,0, O759+O791+O823)</f>
        <v>0</v>
      </c>
      <c r="Q759" s="114">
        <f>IF(COUNT($H759:P759)&gt;Input!$W$7,0, P759+P791+P823)</f>
        <v>0</v>
      </c>
      <c r="R759" s="114">
        <f>IF(COUNT($H759:Q759)&gt;Input!$W$7,0, Q759+Q791+Q823)</f>
        <v>0</v>
      </c>
      <c r="S759" s="104"/>
      <c r="T759" s="104"/>
      <c r="U759" s="104"/>
      <c r="V759" s="104"/>
      <c r="W759" s="104"/>
      <c r="X759" s="104"/>
      <c r="Y759" s="104"/>
      <c r="Z759" s="104"/>
      <c r="AA759" s="235"/>
      <c r="AB759" s="235"/>
      <c r="AC759" s="235"/>
      <c r="AD759" s="235"/>
      <c r="AE759" s="235"/>
      <c r="AF759" s="235"/>
      <c r="AG759" s="235"/>
      <c r="AH759" s="235"/>
      <c r="AI759" s="235"/>
      <c r="AJ759" s="235"/>
      <c r="AK759" s="235"/>
      <c r="AL759" s="235"/>
      <c r="AM759" s="235"/>
      <c r="AN759" s="235"/>
      <c r="AO759" s="235"/>
      <c r="AP759" s="235"/>
      <c r="AQ759" s="235"/>
      <c r="AR759" s="235"/>
      <c r="AS759" s="235"/>
      <c r="AT759" s="235"/>
      <c r="AU759" s="235"/>
      <c r="AV759" s="235"/>
      <c r="AW759" s="235"/>
      <c r="AX759" s="235"/>
      <c r="AY759" s="235"/>
      <c r="AZ759" s="235"/>
      <c r="BA759" s="235"/>
      <c r="BB759" s="235"/>
      <c r="BC759" s="235"/>
      <c r="BD759" s="104"/>
      <c r="BE759" s="104"/>
      <c r="BF759" s="104"/>
      <c r="BG759" s="104"/>
      <c r="BH759" s="104"/>
      <c r="BI759" s="104"/>
      <c r="BJ759" s="104"/>
      <c r="BK759" s="12"/>
      <c r="BL759" s="12"/>
    </row>
    <row r="760" spans="1:64">
      <c r="A760" s="9"/>
      <c r="B760" s="9"/>
      <c r="C760" s="44"/>
      <c r="D760" s="278"/>
      <c r="E760" s="9"/>
      <c r="F760" s="9"/>
      <c r="G760" s="289"/>
      <c r="H760" s="35"/>
      <c r="I760" s="35"/>
      <c r="J760" s="35"/>
      <c r="K760" s="35"/>
      <c r="L760" s="35"/>
      <c r="M760" s="35"/>
      <c r="N760" s="29"/>
      <c r="O760" s="29"/>
      <c r="P760" s="29"/>
      <c r="Q760" s="29"/>
      <c r="R760" s="29"/>
      <c r="S760" s="104"/>
      <c r="T760" s="104"/>
      <c r="U760" s="104"/>
      <c r="V760" s="104"/>
      <c r="W760" s="104"/>
      <c r="X760" s="104"/>
      <c r="Y760" s="104"/>
      <c r="Z760" s="104"/>
      <c r="AA760" s="235"/>
      <c r="AB760" s="235"/>
      <c r="AC760" s="235"/>
      <c r="AD760" s="235"/>
      <c r="AE760" s="235"/>
      <c r="AF760" s="235"/>
      <c r="AG760" s="235"/>
      <c r="AH760" s="235"/>
      <c r="AI760" s="235"/>
      <c r="AJ760" s="235"/>
      <c r="AK760" s="235"/>
      <c r="AL760" s="235"/>
      <c r="AM760" s="235"/>
      <c r="AN760" s="235"/>
      <c r="AO760" s="235"/>
      <c r="AP760" s="235"/>
      <c r="AQ760" s="235"/>
      <c r="AR760" s="235"/>
      <c r="AS760" s="235"/>
      <c r="AT760" s="235"/>
      <c r="AU760" s="235"/>
      <c r="AV760" s="235"/>
      <c r="AW760" s="235"/>
      <c r="AX760" s="235"/>
      <c r="AY760" s="235"/>
      <c r="AZ760" s="235"/>
      <c r="BA760" s="235"/>
      <c r="BB760" s="235"/>
      <c r="BC760" s="235"/>
      <c r="BD760" s="104"/>
      <c r="BE760" s="104"/>
      <c r="BF760" s="104"/>
      <c r="BG760" s="104"/>
      <c r="BH760" s="104"/>
      <c r="BI760" s="104"/>
      <c r="BJ760" s="104"/>
      <c r="BK760" s="12"/>
      <c r="BL760" s="12"/>
    </row>
    <row r="761" spans="1:64">
      <c r="A761" s="9"/>
      <c r="B761" s="9"/>
      <c r="C761" s="44" t="s">
        <v>31</v>
      </c>
      <c r="D761" s="9"/>
      <c r="E761" s="9"/>
      <c r="F761" s="9"/>
      <c r="G761" s="208">
        <f>SUM(G762:G791)</f>
        <v>83.128654385774468</v>
      </c>
      <c r="H761" s="35">
        <f>SUM(H762:H791)</f>
        <v>52.85645338931635</v>
      </c>
      <c r="I761" s="35">
        <f t="shared" ref="I761:P761" si="103">SUM(I762:I791)</f>
        <v>233.38583214437696</v>
      </c>
      <c r="J761" s="35">
        <f t="shared" si="103"/>
        <v>109.92338471285758</v>
      </c>
      <c r="K761" s="35">
        <f t="shared" si="103"/>
        <v>91.480766004234042</v>
      </c>
      <c r="L761" s="35">
        <f t="shared" si="103"/>
        <v>124.55260392540487</v>
      </c>
      <c r="M761" s="35">
        <f t="shared" si="103"/>
        <v>0</v>
      </c>
      <c r="N761" s="35">
        <f t="shared" si="103"/>
        <v>0</v>
      </c>
      <c r="O761" s="35">
        <f t="shared" si="103"/>
        <v>0</v>
      </c>
      <c r="P761" s="35">
        <f t="shared" si="103"/>
        <v>0</v>
      </c>
      <c r="Q761" s="35">
        <f>SUM(Q762:Q791)</f>
        <v>0</v>
      </c>
      <c r="R761" s="29"/>
      <c r="S761" s="104"/>
      <c r="T761" s="104"/>
      <c r="U761" s="104"/>
      <c r="V761" s="104"/>
      <c r="W761" s="104"/>
      <c r="X761" s="104"/>
      <c r="Y761" s="104"/>
      <c r="Z761" s="104"/>
      <c r="AA761" s="235"/>
      <c r="AB761" s="235"/>
      <c r="AC761" s="235"/>
      <c r="AD761" s="235"/>
      <c r="AE761" s="235"/>
      <c r="AF761" s="235"/>
      <c r="AG761" s="235"/>
      <c r="AH761" s="235"/>
      <c r="AI761" s="235"/>
      <c r="AJ761" s="235"/>
      <c r="AK761" s="235"/>
      <c r="AL761" s="235"/>
      <c r="AM761" s="235"/>
      <c r="AN761" s="235"/>
      <c r="AO761" s="235"/>
      <c r="AP761" s="235"/>
      <c r="AQ761" s="235"/>
      <c r="AR761" s="235"/>
      <c r="AS761" s="235"/>
      <c r="AT761" s="235"/>
      <c r="AU761" s="235"/>
      <c r="AV761" s="235"/>
      <c r="AW761" s="235"/>
      <c r="AX761" s="235"/>
      <c r="AY761" s="235"/>
      <c r="AZ761" s="235"/>
      <c r="BA761" s="235"/>
      <c r="BB761" s="235"/>
      <c r="BC761" s="235"/>
      <c r="BD761" s="104"/>
      <c r="BE761" s="104"/>
      <c r="BF761" s="104"/>
      <c r="BG761" s="104"/>
      <c r="BH761" s="104"/>
      <c r="BI761" s="104"/>
      <c r="BJ761" s="104"/>
      <c r="BK761" s="12"/>
      <c r="BL761" s="12"/>
    </row>
    <row r="762" spans="1:64" hidden="1" outlineLevel="1">
      <c r="A762" s="9"/>
      <c r="B762" s="9"/>
      <c r="C762" s="44"/>
      <c r="D762" s="278" t="str">
        <f>Asset1</f>
        <v>Transmission Lines and Cables</v>
      </c>
      <c r="E762" s="9"/>
      <c r="F762" s="9"/>
      <c r="G762" s="210">
        <f>'Adjustment for previous period'!G366</f>
        <v>3.4044998441965704</v>
      </c>
      <c r="H762" s="114">
        <f>H44*H$7</f>
        <v>0</v>
      </c>
      <c r="I762" s="114">
        <f t="shared" ref="I762:Q762" si="104">I44*I$7</f>
        <v>0</v>
      </c>
      <c r="J762" s="114">
        <f t="shared" si="104"/>
        <v>0</v>
      </c>
      <c r="K762" s="114">
        <f t="shared" si="104"/>
        <v>-0.23392054602619189</v>
      </c>
      <c r="L762" s="114">
        <f t="shared" si="104"/>
        <v>0</v>
      </c>
      <c r="M762" s="114">
        <f t="shared" si="104"/>
        <v>0</v>
      </c>
      <c r="N762" s="114">
        <f t="shared" si="104"/>
        <v>0</v>
      </c>
      <c r="O762" s="114">
        <f t="shared" si="104"/>
        <v>0</v>
      </c>
      <c r="P762" s="114">
        <f t="shared" si="104"/>
        <v>0</v>
      </c>
      <c r="Q762" s="114">
        <f t="shared" si="104"/>
        <v>0</v>
      </c>
      <c r="R762" s="29"/>
      <c r="S762" s="104"/>
      <c r="T762" s="104"/>
      <c r="U762" s="104"/>
      <c r="V762" s="104"/>
      <c r="W762" s="104"/>
      <c r="X762" s="104"/>
      <c r="Y762" s="104"/>
      <c r="Z762" s="104"/>
      <c r="AA762" s="235"/>
      <c r="AB762" s="235"/>
      <c r="AC762" s="235"/>
      <c r="AD762" s="235"/>
      <c r="AE762" s="235"/>
      <c r="AF762" s="235"/>
      <c r="AG762" s="235"/>
      <c r="AH762" s="235"/>
      <c r="AI762" s="235"/>
      <c r="AJ762" s="235"/>
      <c r="AK762" s="235"/>
      <c r="AL762" s="235"/>
      <c r="AM762" s="235"/>
      <c r="AN762" s="235"/>
      <c r="AO762" s="235"/>
      <c r="AP762" s="235"/>
      <c r="AQ762" s="235"/>
      <c r="AR762" s="235"/>
      <c r="AS762" s="235"/>
      <c r="AT762" s="235"/>
      <c r="AU762" s="235"/>
      <c r="AV762" s="235"/>
      <c r="AW762" s="235"/>
      <c r="AX762" s="235"/>
      <c r="AY762" s="235"/>
      <c r="AZ762" s="235"/>
      <c r="BA762" s="235"/>
      <c r="BB762" s="235"/>
      <c r="BC762" s="235"/>
      <c r="BD762" s="104"/>
      <c r="BE762" s="104"/>
      <c r="BF762" s="104"/>
      <c r="BG762" s="104"/>
      <c r="BH762" s="104"/>
      <c r="BI762" s="104"/>
      <c r="BJ762" s="104"/>
      <c r="BK762" s="12"/>
      <c r="BL762" s="12"/>
    </row>
    <row r="763" spans="1:64" hidden="1" outlineLevel="1">
      <c r="A763" s="9"/>
      <c r="B763" s="9"/>
      <c r="C763" s="44"/>
      <c r="D763" s="278" t="str">
        <f>Asset2</f>
        <v>Transmission Substations</v>
      </c>
      <c r="E763" s="9"/>
      <c r="F763" s="9"/>
      <c r="G763" s="210">
        <f>'Adjustment for previous period'!G367</f>
        <v>62.450138395488089</v>
      </c>
      <c r="H763" s="114">
        <f t="shared" ref="H763:Q763" si="105">H45*H$7</f>
        <v>0</v>
      </c>
      <c r="I763" s="114">
        <f t="shared" si="105"/>
        <v>-0.55925646393252604</v>
      </c>
      <c r="J763" s="114">
        <f t="shared" si="105"/>
        <v>0</v>
      </c>
      <c r="K763" s="114">
        <f t="shared" si="105"/>
        <v>0</v>
      </c>
      <c r="L763" s="114">
        <f t="shared" si="105"/>
        <v>0</v>
      </c>
      <c r="M763" s="114">
        <f t="shared" si="105"/>
        <v>0</v>
      </c>
      <c r="N763" s="114">
        <f t="shared" si="105"/>
        <v>0</v>
      </c>
      <c r="O763" s="114">
        <f t="shared" si="105"/>
        <v>0</v>
      </c>
      <c r="P763" s="114">
        <f t="shared" si="105"/>
        <v>0</v>
      </c>
      <c r="Q763" s="114">
        <f t="shared" si="105"/>
        <v>0</v>
      </c>
      <c r="R763" s="29"/>
      <c r="S763" s="104"/>
      <c r="T763" s="104"/>
      <c r="U763" s="104"/>
      <c r="V763" s="104"/>
      <c r="W763" s="104"/>
      <c r="X763" s="104"/>
      <c r="Y763" s="104"/>
      <c r="Z763" s="104"/>
      <c r="AA763" s="235"/>
      <c r="AB763" s="235"/>
      <c r="AC763" s="235"/>
      <c r="AD763" s="235"/>
      <c r="AE763" s="235"/>
      <c r="AF763" s="235"/>
      <c r="AG763" s="235"/>
      <c r="AH763" s="235"/>
      <c r="AI763" s="235"/>
      <c r="AJ763" s="235"/>
      <c r="AK763" s="235"/>
      <c r="AL763" s="235"/>
      <c r="AM763" s="235"/>
      <c r="AN763" s="235"/>
      <c r="AO763" s="235"/>
      <c r="AP763" s="235"/>
      <c r="AQ763" s="235"/>
      <c r="AR763" s="235"/>
      <c r="AS763" s="235"/>
      <c r="AT763" s="235"/>
      <c r="AU763" s="235"/>
      <c r="AV763" s="235"/>
      <c r="AW763" s="235"/>
      <c r="AX763" s="235"/>
      <c r="AY763" s="235"/>
      <c r="AZ763" s="235"/>
      <c r="BA763" s="235"/>
      <c r="BB763" s="235"/>
      <c r="BC763" s="235"/>
      <c r="BD763" s="104"/>
      <c r="BE763" s="104"/>
      <c r="BF763" s="104"/>
      <c r="BG763" s="104"/>
      <c r="BH763" s="104"/>
      <c r="BI763" s="104"/>
      <c r="BJ763" s="104"/>
      <c r="BK763" s="12"/>
      <c r="BL763" s="12"/>
    </row>
    <row r="764" spans="1:64" hidden="1" outlineLevel="1">
      <c r="A764" s="9"/>
      <c r="B764" s="9"/>
      <c r="C764" s="44"/>
      <c r="D764" s="278" t="str">
        <f>Asset3</f>
        <v>Protection and Control</v>
      </c>
      <c r="E764" s="9"/>
      <c r="F764" s="9"/>
      <c r="G764" s="210">
        <f>'Adjustment for previous period'!G368</f>
        <v>9.4118856801581483</v>
      </c>
      <c r="H764" s="114">
        <f t="shared" ref="H764:Q764" si="106">H46*H$7</f>
        <v>0</v>
      </c>
      <c r="I764" s="114">
        <f t="shared" si="106"/>
        <v>-4.6341401907779946E-2</v>
      </c>
      <c r="J764" s="114">
        <f t="shared" si="106"/>
        <v>0</v>
      </c>
      <c r="K764" s="114">
        <f t="shared" si="106"/>
        <v>0</v>
      </c>
      <c r="L764" s="114">
        <f t="shared" si="106"/>
        <v>0</v>
      </c>
      <c r="M764" s="114">
        <f t="shared" si="106"/>
        <v>0</v>
      </c>
      <c r="N764" s="114">
        <f t="shared" si="106"/>
        <v>0</v>
      </c>
      <c r="O764" s="114">
        <f t="shared" si="106"/>
        <v>0</v>
      </c>
      <c r="P764" s="114">
        <f t="shared" si="106"/>
        <v>0</v>
      </c>
      <c r="Q764" s="114">
        <f t="shared" si="106"/>
        <v>0</v>
      </c>
      <c r="R764" s="29"/>
      <c r="S764" s="104"/>
      <c r="T764" s="104"/>
      <c r="U764" s="104"/>
      <c r="V764" s="104"/>
      <c r="W764" s="104"/>
      <c r="X764" s="104"/>
      <c r="Y764" s="104"/>
      <c r="Z764" s="104"/>
      <c r="AA764" s="235"/>
      <c r="AB764" s="235"/>
      <c r="AC764" s="235"/>
      <c r="AD764" s="235"/>
      <c r="AE764" s="235"/>
      <c r="AF764" s="235"/>
      <c r="AG764" s="235"/>
      <c r="AH764" s="235"/>
      <c r="AI764" s="235"/>
      <c r="AJ764" s="235"/>
      <c r="AK764" s="235"/>
      <c r="AL764" s="235"/>
      <c r="AM764" s="235"/>
      <c r="AN764" s="235"/>
      <c r="AO764" s="235"/>
      <c r="AP764" s="235"/>
      <c r="AQ764" s="235"/>
      <c r="AR764" s="235"/>
      <c r="AS764" s="235"/>
      <c r="AT764" s="235"/>
      <c r="AU764" s="235"/>
      <c r="AV764" s="235"/>
      <c r="AW764" s="235"/>
      <c r="AX764" s="235"/>
      <c r="AY764" s="235"/>
      <c r="AZ764" s="235"/>
      <c r="BA764" s="235"/>
      <c r="BB764" s="235"/>
      <c r="BC764" s="235"/>
      <c r="BD764" s="104"/>
      <c r="BE764" s="104"/>
      <c r="BF764" s="104"/>
      <c r="BG764" s="104"/>
      <c r="BH764" s="104"/>
      <c r="BI764" s="104"/>
      <c r="BJ764" s="104"/>
      <c r="BK764" s="12"/>
      <c r="BL764" s="12"/>
    </row>
    <row r="765" spans="1:64" hidden="1" outlineLevel="1">
      <c r="A765" s="9"/>
      <c r="B765" s="9"/>
      <c r="C765" s="44"/>
      <c r="D765" s="278" t="str">
        <f>Asset4</f>
        <v>Refurbishment</v>
      </c>
      <c r="E765" s="9"/>
      <c r="F765" s="9"/>
      <c r="G765" s="210">
        <f>'Adjustment for previous period'!G369</f>
        <v>0</v>
      </c>
      <c r="H765" s="114">
        <f t="shared" ref="H765:Q765" si="107">H47*H$7</f>
        <v>0</v>
      </c>
      <c r="I765" s="114">
        <f t="shared" si="107"/>
        <v>0</v>
      </c>
      <c r="J765" s="114">
        <f t="shared" si="107"/>
        <v>0</v>
      </c>
      <c r="K765" s="114">
        <f t="shared" si="107"/>
        <v>0</v>
      </c>
      <c r="L765" s="114">
        <f t="shared" si="107"/>
        <v>0</v>
      </c>
      <c r="M765" s="114">
        <f t="shared" si="107"/>
        <v>0</v>
      </c>
      <c r="N765" s="114">
        <f t="shared" si="107"/>
        <v>0</v>
      </c>
      <c r="O765" s="114">
        <f t="shared" si="107"/>
        <v>0</v>
      </c>
      <c r="P765" s="114">
        <f t="shared" si="107"/>
        <v>0</v>
      </c>
      <c r="Q765" s="114">
        <f t="shared" si="107"/>
        <v>0</v>
      </c>
      <c r="R765" s="29"/>
      <c r="S765" s="104"/>
      <c r="T765" s="104"/>
      <c r="U765" s="104"/>
      <c r="V765" s="104"/>
      <c r="W765" s="104"/>
      <c r="X765" s="104"/>
      <c r="Y765" s="104"/>
      <c r="Z765" s="104"/>
      <c r="AA765" s="235"/>
      <c r="AB765" s="235"/>
      <c r="AC765" s="235"/>
      <c r="AD765" s="235"/>
      <c r="AE765" s="235"/>
      <c r="AF765" s="235"/>
      <c r="AG765" s="235"/>
      <c r="AH765" s="235"/>
      <c r="AI765" s="235"/>
      <c r="AJ765" s="235"/>
      <c r="AK765" s="235"/>
      <c r="AL765" s="235"/>
      <c r="AM765" s="235"/>
      <c r="AN765" s="235"/>
      <c r="AO765" s="235"/>
      <c r="AP765" s="235"/>
      <c r="AQ765" s="235"/>
      <c r="AR765" s="235"/>
      <c r="AS765" s="235"/>
      <c r="AT765" s="235"/>
      <c r="AU765" s="235"/>
      <c r="AV765" s="235"/>
      <c r="AW765" s="235"/>
      <c r="AX765" s="235"/>
      <c r="AY765" s="235"/>
      <c r="AZ765" s="235"/>
      <c r="BA765" s="235"/>
      <c r="BB765" s="235"/>
      <c r="BC765" s="235"/>
      <c r="BD765" s="104"/>
      <c r="BE765" s="104"/>
      <c r="BF765" s="104"/>
      <c r="BG765" s="104"/>
      <c r="BH765" s="104"/>
      <c r="BI765" s="104"/>
      <c r="BJ765" s="104"/>
      <c r="BK765" s="12"/>
      <c r="BL765" s="12"/>
    </row>
    <row r="766" spans="1:64" hidden="1" outlineLevel="1">
      <c r="A766" s="9"/>
      <c r="B766" s="9"/>
      <c r="C766" s="44"/>
      <c r="D766" s="278" t="str">
        <f>Asset5</f>
        <v>Other</v>
      </c>
      <c r="E766" s="9"/>
      <c r="F766" s="9"/>
      <c r="G766" s="210">
        <f>'Adjustment for previous period'!G370</f>
        <v>0</v>
      </c>
      <c r="H766" s="114">
        <f t="shared" ref="H766:Q766" si="108">H48*H$7</f>
        <v>0</v>
      </c>
      <c r="I766" s="114">
        <f t="shared" si="108"/>
        <v>0</v>
      </c>
      <c r="J766" s="114">
        <f t="shared" si="108"/>
        <v>0</v>
      </c>
      <c r="K766" s="114">
        <f t="shared" si="108"/>
        <v>0</v>
      </c>
      <c r="L766" s="114">
        <f t="shared" si="108"/>
        <v>0</v>
      </c>
      <c r="M766" s="114">
        <f t="shared" si="108"/>
        <v>0</v>
      </c>
      <c r="N766" s="114">
        <f t="shared" si="108"/>
        <v>0</v>
      </c>
      <c r="O766" s="114">
        <f t="shared" si="108"/>
        <v>0</v>
      </c>
      <c r="P766" s="114">
        <f t="shared" si="108"/>
        <v>0</v>
      </c>
      <c r="Q766" s="114">
        <f t="shared" si="108"/>
        <v>0</v>
      </c>
      <c r="R766" s="29"/>
      <c r="S766" s="104"/>
      <c r="T766" s="104"/>
      <c r="U766" s="104"/>
      <c r="V766" s="104"/>
      <c r="W766" s="104"/>
      <c r="X766" s="104"/>
      <c r="Y766" s="104"/>
      <c r="Z766" s="104"/>
      <c r="AA766" s="235"/>
      <c r="AB766" s="235"/>
      <c r="AC766" s="235"/>
      <c r="AD766" s="235"/>
      <c r="AE766" s="235"/>
      <c r="AF766" s="235"/>
      <c r="AG766" s="235"/>
      <c r="AH766" s="235"/>
      <c r="AI766" s="235"/>
      <c r="AJ766" s="235"/>
      <c r="AK766" s="235"/>
      <c r="AL766" s="235"/>
      <c r="AM766" s="235"/>
      <c r="AN766" s="235"/>
      <c r="AO766" s="235"/>
      <c r="AP766" s="235"/>
      <c r="AQ766" s="235"/>
      <c r="AR766" s="235"/>
      <c r="AS766" s="235"/>
      <c r="AT766" s="235"/>
      <c r="AU766" s="235"/>
      <c r="AV766" s="235"/>
      <c r="AW766" s="235"/>
      <c r="AX766" s="235"/>
      <c r="AY766" s="235"/>
      <c r="AZ766" s="235"/>
      <c r="BA766" s="235"/>
      <c r="BB766" s="235"/>
      <c r="BC766" s="235"/>
      <c r="BD766" s="104"/>
      <c r="BE766" s="104"/>
      <c r="BF766" s="104"/>
      <c r="BG766" s="104"/>
      <c r="BH766" s="104"/>
      <c r="BI766" s="104"/>
      <c r="BJ766" s="104"/>
      <c r="BK766" s="12"/>
      <c r="BL766" s="12"/>
    </row>
    <row r="767" spans="1:64" hidden="1" outlineLevel="1">
      <c r="A767" s="9"/>
      <c r="B767" s="9"/>
      <c r="C767" s="44"/>
      <c r="D767" s="278" t="str">
        <f>Asset6</f>
        <v>Other - IT</v>
      </c>
      <c r="E767" s="9"/>
      <c r="F767" s="9"/>
      <c r="G767" s="210">
        <f>'Adjustment for previous period'!G371</f>
        <v>4.7021850436574333</v>
      </c>
      <c r="H767" s="114">
        <f t="shared" ref="H767:Q767" si="109">H49*H$7</f>
        <v>0</v>
      </c>
      <c r="I767" s="114">
        <f t="shared" si="109"/>
        <v>-5.2660683986113562E-3</v>
      </c>
      <c r="J767" s="114">
        <f t="shared" si="109"/>
        <v>0</v>
      </c>
      <c r="K767" s="114">
        <f t="shared" si="109"/>
        <v>0</v>
      </c>
      <c r="L767" s="114">
        <f t="shared" si="109"/>
        <v>0</v>
      </c>
      <c r="M767" s="114">
        <f t="shared" si="109"/>
        <v>0</v>
      </c>
      <c r="N767" s="114">
        <f t="shared" si="109"/>
        <v>0</v>
      </c>
      <c r="O767" s="114">
        <f t="shared" si="109"/>
        <v>0</v>
      </c>
      <c r="P767" s="114">
        <f t="shared" si="109"/>
        <v>0</v>
      </c>
      <c r="Q767" s="114">
        <f t="shared" si="109"/>
        <v>0</v>
      </c>
      <c r="R767" s="29"/>
      <c r="S767" s="104"/>
      <c r="T767" s="104"/>
      <c r="U767" s="104"/>
      <c r="V767" s="104"/>
      <c r="W767" s="104"/>
      <c r="X767" s="104"/>
      <c r="Y767" s="104"/>
      <c r="Z767" s="104"/>
      <c r="AA767" s="235"/>
      <c r="AB767" s="235"/>
      <c r="AC767" s="235"/>
      <c r="AD767" s="235"/>
      <c r="AE767" s="235"/>
      <c r="AF767" s="235"/>
      <c r="AG767" s="235"/>
      <c r="AH767" s="235"/>
      <c r="AI767" s="235"/>
      <c r="AJ767" s="235"/>
      <c r="AK767" s="235"/>
      <c r="AL767" s="235"/>
      <c r="AM767" s="235"/>
      <c r="AN767" s="235"/>
      <c r="AO767" s="235"/>
      <c r="AP767" s="235"/>
      <c r="AQ767" s="235"/>
      <c r="AR767" s="235"/>
      <c r="AS767" s="235"/>
      <c r="AT767" s="235"/>
      <c r="AU767" s="235"/>
      <c r="AV767" s="235"/>
      <c r="AW767" s="235"/>
      <c r="AX767" s="235"/>
      <c r="AY767" s="235"/>
      <c r="AZ767" s="235"/>
      <c r="BA767" s="235"/>
      <c r="BB767" s="235"/>
      <c r="BC767" s="235"/>
      <c r="BD767" s="104"/>
      <c r="BE767" s="104"/>
      <c r="BF767" s="104"/>
      <c r="BG767" s="104"/>
      <c r="BH767" s="104"/>
      <c r="BI767" s="104"/>
      <c r="BJ767" s="104"/>
      <c r="BK767" s="12"/>
      <c r="BL767" s="12"/>
    </row>
    <row r="768" spans="1:64" hidden="1" outlineLevel="1">
      <c r="A768" s="9"/>
      <c r="B768" s="9"/>
      <c r="C768" s="44"/>
      <c r="D768" s="278" t="str">
        <f>Asset7</f>
        <v>Other - General</v>
      </c>
      <c r="E768" s="9"/>
      <c r="F768" s="9"/>
      <c r="G768" s="210">
        <f>'Adjustment for previous period'!G372</f>
        <v>0</v>
      </c>
      <c r="H768" s="114">
        <f t="shared" ref="H768:Q768" si="110">H50*H$7</f>
        <v>0</v>
      </c>
      <c r="I768" s="114">
        <f t="shared" si="110"/>
        <v>0</v>
      </c>
      <c r="J768" s="114">
        <f t="shared" si="110"/>
        <v>0</v>
      </c>
      <c r="K768" s="114">
        <f t="shared" si="110"/>
        <v>0</v>
      </c>
      <c r="L768" s="114">
        <f t="shared" si="110"/>
        <v>0</v>
      </c>
      <c r="M768" s="114">
        <f t="shared" si="110"/>
        <v>0</v>
      </c>
      <c r="N768" s="114">
        <f t="shared" si="110"/>
        <v>0</v>
      </c>
      <c r="O768" s="114">
        <f t="shared" si="110"/>
        <v>0</v>
      </c>
      <c r="P768" s="114">
        <f t="shared" si="110"/>
        <v>0</v>
      </c>
      <c r="Q768" s="114">
        <f t="shared" si="110"/>
        <v>0</v>
      </c>
      <c r="R768" s="29"/>
      <c r="S768" s="104"/>
      <c r="T768" s="104"/>
      <c r="U768" s="104"/>
      <c r="V768" s="104"/>
      <c r="W768" s="104"/>
      <c r="X768" s="104"/>
      <c r="Y768" s="104"/>
      <c r="Z768" s="104"/>
      <c r="AA768" s="235"/>
      <c r="AB768" s="235"/>
      <c r="AC768" s="235"/>
      <c r="AD768" s="235"/>
      <c r="AE768" s="235"/>
      <c r="AF768" s="235"/>
      <c r="AG768" s="235"/>
      <c r="AH768" s="235"/>
      <c r="AI768" s="235"/>
      <c r="AJ768" s="235"/>
      <c r="AK768" s="235"/>
      <c r="AL768" s="235"/>
      <c r="AM768" s="235"/>
      <c r="AN768" s="235"/>
      <c r="AO768" s="235"/>
      <c r="AP768" s="235"/>
      <c r="AQ768" s="235"/>
      <c r="AR768" s="235"/>
      <c r="AS768" s="235"/>
      <c r="AT768" s="235"/>
      <c r="AU768" s="235"/>
      <c r="AV768" s="235"/>
      <c r="AW768" s="235"/>
      <c r="AX768" s="235"/>
      <c r="AY768" s="235"/>
      <c r="AZ768" s="235"/>
      <c r="BA768" s="235"/>
      <c r="BB768" s="235"/>
      <c r="BC768" s="235"/>
      <c r="BD768" s="104"/>
      <c r="BE768" s="104"/>
      <c r="BF768" s="104"/>
      <c r="BG768" s="104"/>
      <c r="BH768" s="104"/>
      <c r="BI768" s="104"/>
      <c r="BJ768" s="104"/>
      <c r="BK768" s="12"/>
      <c r="BL768" s="12"/>
    </row>
    <row r="769" spans="1:64" hidden="1" outlineLevel="1">
      <c r="A769" s="9"/>
      <c r="B769" s="9"/>
      <c r="C769" s="44"/>
      <c r="D769" s="278" t="str">
        <f>Asset8</f>
        <v>Other - Buildings</v>
      </c>
      <c r="E769" s="9"/>
      <c r="F769" s="9"/>
      <c r="G769" s="210">
        <f>'Adjustment for previous period'!G373</f>
        <v>3.149271747091551</v>
      </c>
      <c r="H769" s="114">
        <f t="shared" ref="H769:Q769" si="111">H51*H$7</f>
        <v>0</v>
      </c>
      <c r="I769" s="114">
        <f t="shared" si="111"/>
        <v>0</v>
      </c>
      <c r="J769" s="114">
        <f t="shared" si="111"/>
        <v>0</v>
      </c>
      <c r="K769" s="114">
        <f t="shared" si="111"/>
        <v>0</v>
      </c>
      <c r="L769" s="114">
        <f t="shared" si="111"/>
        <v>0</v>
      </c>
      <c r="M769" s="114">
        <f t="shared" si="111"/>
        <v>0</v>
      </c>
      <c r="N769" s="114">
        <f t="shared" si="111"/>
        <v>0</v>
      </c>
      <c r="O769" s="114">
        <f t="shared" si="111"/>
        <v>0</v>
      </c>
      <c r="P769" s="114">
        <f t="shared" si="111"/>
        <v>0</v>
      </c>
      <c r="Q769" s="114">
        <f t="shared" si="111"/>
        <v>0</v>
      </c>
      <c r="R769" s="29"/>
      <c r="S769" s="104"/>
      <c r="T769" s="104"/>
      <c r="U769" s="104"/>
      <c r="V769" s="104"/>
      <c r="W769" s="104"/>
      <c r="X769" s="104"/>
      <c r="Y769" s="104"/>
      <c r="Z769" s="104"/>
      <c r="AA769" s="235"/>
      <c r="AB769" s="235"/>
      <c r="AC769" s="235"/>
      <c r="AD769" s="235"/>
      <c r="AE769" s="235"/>
      <c r="AF769" s="235"/>
      <c r="AG769" s="235"/>
      <c r="AH769" s="235"/>
      <c r="AI769" s="235"/>
      <c r="AJ769" s="235"/>
      <c r="AK769" s="235"/>
      <c r="AL769" s="235"/>
      <c r="AM769" s="235"/>
      <c r="AN769" s="235"/>
      <c r="AO769" s="235"/>
      <c r="AP769" s="235"/>
      <c r="AQ769" s="235"/>
      <c r="AR769" s="235"/>
      <c r="AS769" s="235"/>
      <c r="AT769" s="235"/>
      <c r="AU769" s="235"/>
      <c r="AV769" s="235"/>
      <c r="AW769" s="235"/>
      <c r="AX769" s="235"/>
      <c r="AY769" s="235"/>
      <c r="AZ769" s="235"/>
      <c r="BA769" s="235"/>
      <c r="BB769" s="235"/>
      <c r="BC769" s="235"/>
      <c r="BD769" s="104"/>
      <c r="BE769" s="104"/>
      <c r="BF769" s="104"/>
      <c r="BG769" s="104"/>
      <c r="BH769" s="104"/>
      <c r="BI769" s="104"/>
      <c r="BJ769" s="104"/>
      <c r="BK769" s="12"/>
      <c r="BL769" s="12"/>
    </row>
    <row r="770" spans="1:64" hidden="1" outlineLevel="1">
      <c r="A770" s="9"/>
      <c r="B770" s="9"/>
      <c r="C770" s="44"/>
      <c r="D770" s="278" t="str">
        <f>Asset9</f>
        <v>Land and Easements</v>
      </c>
      <c r="E770" s="9"/>
      <c r="F770" s="9"/>
      <c r="G770" s="210">
        <f>'Adjustment for previous period'!G374</f>
        <v>1.0673675182676838E-2</v>
      </c>
      <c r="H770" s="114">
        <f t="shared" ref="H770:Q770" si="112">H52*H$7</f>
        <v>0</v>
      </c>
      <c r="I770" s="114">
        <f t="shared" si="112"/>
        <v>0</v>
      </c>
      <c r="J770" s="114">
        <f t="shared" si="112"/>
        <v>0</v>
      </c>
      <c r="K770" s="114">
        <f t="shared" si="112"/>
        <v>0</v>
      </c>
      <c r="L770" s="114">
        <f t="shared" si="112"/>
        <v>0</v>
      </c>
      <c r="M770" s="114">
        <f t="shared" si="112"/>
        <v>0</v>
      </c>
      <c r="N770" s="114">
        <f t="shared" si="112"/>
        <v>0</v>
      </c>
      <c r="O770" s="114">
        <f t="shared" si="112"/>
        <v>0</v>
      </c>
      <c r="P770" s="114">
        <f t="shared" si="112"/>
        <v>0</v>
      </c>
      <c r="Q770" s="114">
        <f t="shared" si="112"/>
        <v>0</v>
      </c>
      <c r="R770" s="29"/>
      <c r="S770" s="104"/>
      <c r="T770" s="104"/>
      <c r="U770" s="104"/>
      <c r="V770" s="104"/>
      <c r="W770" s="104"/>
      <c r="X770" s="104"/>
      <c r="Y770" s="104"/>
      <c r="Z770" s="104"/>
      <c r="AA770" s="235"/>
      <c r="AB770" s="235"/>
      <c r="AC770" s="235"/>
      <c r="AD770" s="235"/>
      <c r="AE770" s="235"/>
      <c r="AF770" s="235"/>
      <c r="AG770" s="235"/>
      <c r="AH770" s="235"/>
      <c r="AI770" s="235"/>
      <c r="AJ770" s="235"/>
      <c r="AK770" s="235"/>
      <c r="AL770" s="235"/>
      <c r="AM770" s="235"/>
      <c r="AN770" s="235"/>
      <c r="AO770" s="235"/>
      <c r="AP770" s="235"/>
      <c r="AQ770" s="235"/>
      <c r="AR770" s="235"/>
      <c r="AS770" s="235"/>
      <c r="AT770" s="235"/>
      <c r="AU770" s="235"/>
      <c r="AV770" s="235"/>
      <c r="AW770" s="235"/>
      <c r="AX770" s="235"/>
      <c r="AY770" s="235"/>
      <c r="AZ770" s="235"/>
      <c r="BA770" s="235"/>
      <c r="BB770" s="235"/>
      <c r="BC770" s="235"/>
      <c r="BD770" s="104"/>
      <c r="BE770" s="104"/>
      <c r="BF770" s="104"/>
      <c r="BG770" s="104"/>
      <c r="BH770" s="104"/>
      <c r="BI770" s="104"/>
      <c r="BJ770" s="104"/>
      <c r="BK770" s="12"/>
      <c r="BL770" s="12"/>
    </row>
    <row r="771" spans="1:64" hidden="1" outlineLevel="1">
      <c r="A771" s="9"/>
      <c r="B771" s="9"/>
      <c r="C771" s="44"/>
      <c r="D771" s="278" t="str">
        <f>Asset10</f>
        <v>Transmission line assets - long life (60)</v>
      </c>
      <c r="E771" s="9"/>
      <c r="F771" s="9"/>
      <c r="G771" s="210">
        <f>'Adjustment for previous period'!G375</f>
        <v>0</v>
      </c>
      <c r="H771" s="114">
        <f t="shared" ref="H771:Q771" si="113">H53*H$7</f>
        <v>1.2586903116404593</v>
      </c>
      <c r="I771" s="114">
        <f t="shared" si="113"/>
        <v>116.54862579806654</v>
      </c>
      <c r="J771" s="114">
        <f t="shared" si="113"/>
        <v>18.397839640058564</v>
      </c>
      <c r="K771" s="114">
        <f t="shared" si="113"/>
        <v>10.214880166829849</v>
      </c>
      <c r="L771" s="114">
        <f t="shared" si="113"/>
        <v>43.330830195590302</v>
      </c>
      <c r="M771" s="114">
        <f t="shared" si="113"/>
        <v>0</v>
      </c>
      <c r="N771" s="114">
        <f t="shared" si="113"/>
        <v>0</v>
      </c>
      <c r="O771" s="114">
        <f t="shared" si="113"/>
        <v>0</v>
      </c>
      <c r="P771" s="114">
        <f t="shared" si="113"/>
        <v>0</v>
      </c>
      <c r="Q771" s="114">
        <f t="shared" si="113"/>
        <v>0</v>
      </c>
      <c r="R771" s="29"/>
      <c r="S771" s="104"/>
      <c r="T771" s="104"/>
      <c r="U771" s="104"/>
      <c r="V771" s="104"/>
      <c r="W771" s="104"/>
      <c r="X771" s="104"/>
      <c r="Y771" s="104"/>
      <c r="Z771" s="104"/>
      <c r="AA771" s="235"/>
      <c r="AB771" s="235"/>
      <c r="AC771" s="235"/>
      <c r="AD771" s="235"/>
      <c r="AE771" s="235"/>
      <c r="AF771" s="235"/>
      <c r="AG771" s="235"/>
      <c r="AH771" s="235"/>
      <c r="AI771" s="235"/>
      <c r="AJ771" s="235"/>
      <c r="AK771" s="235"/>
      <c r="AL771" s="235"/>
      <c r="AM771" s="235"/>
      <c r="AN771" s="235"/>
      <c r="AO771" s="235"/>
      <c r="AP771" s="235"/>
      <c r="AQ771" s="235"/>
      <c r="AR771" s="235"/>
      <c r="AS771" s="235"/>
      <c r="AT771" s="235"/>
      <c r="AU771" s="235"/>
      <c r="AV771" s="235"/>
      <c r="AW771" s="235"/>
      <c r="AX771" s="235"/>
      <c r="AY771" s="235"/>
      <c r="AZ771" s="235"/>
      <c r="BA771" s="235"/>
      <c r="BB771" s="235"/>
      <c r="BC771" s="235"/>
      <c r="BD771" s="104"/>
      <c r="BE771" s="104"/>
      <c r="BF771" s="104"/>
      <c r="BG771" s="104"/>
      <c r="BH771" s="104"/>
      <c r="BI771" s="104"/>
      <c r="BJ771" s="104"/>
      <c r="BK771" s="12"/>
      <c r="BL771" s="12"/>
    </row>
    <row r="772" spans="1:64" hidden="1" outlineLevel="1">
      <c r="A772" s="9"/>
      <c r="B772" s="9"/>
      <c r="C772" s="44"/>
      <c r="D772" s="278" t="str">
        <f>Asset11</f>
        <v>Transmission line assets - medium life (45)</v>
      </c>
      <c r="E772" s="9"/>
      <c r="F772" s="9"/>
      <c r="G772" s="210">
        <f>'Adjustment for previous period'!G376</f>
        <v>0</v>
      </c>
      <c r="H772" s="114">
        <f t="shared" ref="H772:Q772" si="114">H54*H$7</f>
        <v>1.3509861545539041E-2</v>
      </c>
      <c r="I772" s="114">
        <f t="shared" si="114"/>
        <v>3.1596410391668141E-2</v>
      </c>
      <c r="J772" s="114">
        <f t="shared" si="114"/>
        <v>0.19736585832506917</v>
      </c>
      <c r="K772" s="114">
        <f t="shared" si="114"/>
        <v>0.39965797325551172</v>
      </c>
      <c r="L772" s="114">
        <f t="shared" si="114"/>
        <v>0.15927277225512557</v>
      </c>
      <c r="M772" s="114">
        <f t="shared" si="114"/>
        <v>0</v>
      </c>
      <c r="N772" s="114">
        <f t="shared" si="114"/>
        <v>0</v>
      </c>
      <c r="O772" s="114">
        <f t="shared" si="114"/>
        <v>0</v>
      </c>
      <c r="P772" s="114">
        <f t="shared" si="114"/>
        <v>0</v>
      </c>
      <c r="Q772" s="114">
        <f t="shared" si="114"/>
        <v>0</v>
      </c>
      <c r="R772" s="29"/>
      <c r="S772" s="104"/>
      <c r="T772" s="104"/>
      <c r="U772" s="104"/>
      <c r="V772" s="104"/>
      <c r="W772" s="104"/>
      <c r="X772" s="104"/>
      <c r="Y772" s="104"/>
      <c r="Z772" s="104"/>
      <c r="AA772" s="235"/>
      <c r="AB772" s="235"/>
      <c r="AC772" s="235"/>
      <c r="AD772" s="235"/>
      <c r="AE772" s="235"/>
      <c r="AF772" s="235"/>
      <c r="AG772" s="235"/>
      <c r="AH772" s="235"/>
      <c r="AI772" s="235"/>
      <c r="AJ772" s="235"/>
      <c r="AK772" s="235"/>
      <c r="AL772" s="235"/>
      <c r="AM772" s="235"/>
      <c r="AN772" s="235"/>
      <c r="AO772" s="235"/>
      <c r="AP772" s="235"/>
      <c r="AQ772" s="235"/>
      <c r="AR772" s="235"/>
      <c r="AS772" s="235"/>
      <c r="AT772" s="235"/>
      <c r="AU772" s="235"/>
      <c r="AV772" s="235"/>
      <c r="AW772" s="235"/>
      <c r="AX772" s="235"/>
      <c r="AY772" s="235"/>
      <c r="AZ772" s="235"/>
      <c r="BA772" s="235"/>
      <c r="BB772" s="235"/>
      <c r="BC772" s="235"/>
      <c r="BD772" s="104"/>
      <c r="BE772" s="104"/>
      <c r="BF772" s="104"/>
      <c r="BG772" s="104"/>
      <c r="BH772" s="104"/>
      <c r="BI772" s="104"/>
      <c r="BJ772" s="104"/>
      <c r="BK772" s="12"/>
      <c r="BL772" s="12"/>
    </row>
    <row r="773" spans="1:64" hidden="1" outlineLevel="1">
      <c r="A773" s="9"/>
      <c r="B773" s="9"/>
      <c r="C773" s="44"/>
      <c r="D773" s="278" t="str">
        <f>Asset12</f>
        <v>Transmission line assets - short life (10)</v>
      </c>
      <c r="E773" s="9"/>
      <c r="F773" s="9"/>
      <c r="G773" s="210">
        <f>'Adjustment for previous period'!G377</f>
        <v>0</v>
      </c>
      <c r="H773" s="114">
        <f t="shared" ref="H773:Q773" si="115">H55*H$7</f>
        <v>0.37863134172724339</v>
      </c>
      <c r="I773" s="114">
        <f t="shared" si="115"/>
        <v>0.40338083933362995</v>
      </c>
      <c r="J773" s="114">
        <f t="shared" si="115"/>
        <v>0.53988438494212043</v>
      </c>
      <c r="K773" s="114">
        <f t="shared" si="115"/>
        <v>0.6692435352677597</v>
      </c>
      <c r="L773" s="114">
        <f t="shared" si="115"/>
        <v>3.686678095594881</v>
      </c>
      <c r="M773" s="114">
        <f t="shared" si="115"/>
        <v>0</v>
      </c>
      <c r="N773" s="114">
        <f t="shared" si="115"/>
        <v>0</v>
      </c>
      <c r="O773" s="114">
        <f t="shared" si="115"/>
        <v>0</v>
      </c>
      <c r="P773" s="114">
        <f t="shared" si="115"/>
        <v>0</v>
      </c>
      <c r="Q773" s="114">
        <f t="shared" si="115"/>
        <v>0</v>
      </c>
      <c r="R773" s="29"/>
      <c r="S773" s="104"/>
      <c r="T773" s="104"/>
      <c r="U773" s="104"/>
      <c r="V773" s="104"/>
      <c r="W773" s="104"/>
      <c r="X773" s="104"/>
      <c r="Y773" s="104"/>
      <c r="Z773" s="104"/>
      <c r="AA773" s="235"/>
      <c r="AB773" s="235"/>
      <c r="AC773" s="235"/>
      <c r="AD773" s="235"/>
      <c r="AE773" s="235"/>
      <c r="AF773" s="235"/>
      <c r="AG773" s="235"/>
      <c r="AH773" s="235"/>
      <c r="AI773" s="235"/>
      <c r="AJ773" s="235"/>
      <c r="AK773" s="235"/>
      <c r="AL773" s="235"/>
      <c r="AM773" s="235"/>
      <c r="AN773" s="235"/>
      <c r="AO773" s="235"/>
      <c r="AP773" s="235"/>
      <c r="AQ773" s="235"/>
      <c r="AR773" s="235"/>
      <c r="AS773" s="235"/>
      <c r="AT773" s="235"/>
      <c r="AU773" s="235"/>
      <c r="AV773" s="235"/>
      <c r="AW773" s="235"/>
      <c r="AX773" s="235"/>
      <c r="AY773" s="235"/>
      <c r="AZ773" s="235"/>
      <c r="BA773" s="235"/>
      <c r="BB773" s="235"/>
      <c r="BC773" s="235"/>
      <c r="BD773" s="104"/>
      <c r="BE773" s="104"/>
      <c r="BF773" s="104"/>
      <c r="BG773" s="104"/>
      <c r="BH773" s="104"/>
      <c r="BI773" s="104"/>
      <c r="BJ773" s="104"/>
      <c r="BK773" s="12"/>
      <c r="BL773" s="12"/>
    </row>
    <row r="774" spans="1:64" hidden="1" outlineLevel="1">
      <c r="A774" s="9"/>
      <c r="B774" s="9"/>
      <c r="C774" s="44"/>
      <c r="D774" s="278" t="str">
        <f>Asset13</f>
        <v>Substation assets - long life (60)</v>
      </c>
      <c r="E774" s="9"/>
      <c r="F774" s="9"/>
      <c r="G774" s="210">
        <f>'Adjustment for previous period'!G378</f>
        <v>0</v>
      </c>
      <c r="H774" s="114">
        <f t="shared" ref="H774:Q774" si="116">H56*H$7</f>
        <v>2.4973591240740682</v>
      </c>
      <c r="I774" s="114">
        <f t="shared" si="116"/>
        <v>23.074858509035245</v>
      </c>
      <c r="J774" s="114">
        <f t="shared" si="116"/>
        <v>11.372032789206369</v>
      </c>
      <c r="K774" s="114">
        <f t="shared" si="116"/>
        <v>8.3749849303727171</v>
      </c>
      <c r="L774" s="114">
        <f t="shared" si="116"/>
        <v>10.333830812838043</v>
      </c>
      <c r="M774" s="114">
        <f t="shared" si="116"/>
        <v>0</v>
      </c>
      <c r="N774" s="114">
        <f t="shared" si="116"/>
        <v>0</v>
      </c>
      <c r="O774" s="114">
        <f t="shared" si="116"/>
        <v>0</v>
      </c>
      <c r="P774" s="114">
        <f t="shared" si="116"/>
        <v>0</v>
      </c>
      <c r="Q774" s="114">
        <f t="shared" si="116"/>
        <v>0</v>
      </c>
      <c r="R774" s="29"/>
      <c r="S774" s="104"/>
      <c r="T774" s="104"/>
      <c r="U774" s="104"/>
      <c r="V774" s="104"/>
      <c r="W774" s="104"/>
      <c r="X774" s="104"/>
      <c r="Y774" s="104"/>
      <c r="Z774" s="104"/>
      <c r="AA774" s="235"/>
      <c r="AB774" s="235"/>
      <c r="AC774" s="235"/>
      <c r="AD774" s="235"/>
      <c r="AE774" s="235"/>
      <c r="AF774" s="235"/>
      <c r="AG774" s="235"/>
      <c r="AH774" s="235"/>
      <c r="AI774" s="235"/>
      <c r="AJ774" s="235"/>
      <c r="AK774" s="235"/>
      <c r="AL774" s="235"/>
      <c r="AM774" s="235"/>
      <c r="AN774" s="235"/>
      <c r="AO774" s="235"/>
      <c r="AP774" s="235"/>
      <c r="AQ774" s="235"/>
      <c r="AR774" s="235"/>
      <c r="AS774" s="235"/>
      <c r="AT774" s="235"/>
      <c r="AU774" s="235"/>
      <c r="AV774" s="235"/>
      <c r="AW774" s="235"/>
      <c r="AX774" s="235"/>
      <c r="AY774" s="235"/>
      <c r="AZ774" s="235"/>
      <c r="BA774" s="235"/>
      <c r="BB774" s="235"/>
      <c r="BC774" s="235"/>
      <c r="BD774" s="104"/>
      <c r="BE774" s="104"/>
      <c r="BF774" s="104"/>
      <c r="BG774" s="104"/>
      <c r="BH774" s="104"/>
      <c r="BI774" s="104"/>
      <c r="BJ774" s="104"/>
      <c r="BK774" s="12"/>
      <c r="BL774" s="12"/>
    </row>
    <row r="775" spans="1:64" hidden="1" outlineLevel="1">
      <c r="A775" s="9"/>
      <c r="B775" s="9"/>
      <c r="C775" s="44"/>
      <c r="D775" s="278" t="str">
        <f>Asset14</f>
        <v>Substation assets - medium life (45)</v>
      </c>
      <c r="E775" s="9"/>
      <c r="F775" s="9"/>
      <c r="G775" s="210">
        <f>'Adjustment for previous period'!G379</f>
        <v>0</v>
      </c>
      <c r="H775" s="114">
        <f t="shared" ref="H775:Q775" si="117">H57*H$7</f>
        <v>11.773281557407312</v>
      </c>
      <c r="I775" s="114">
        <f t="shared" si="117"/>
        <v>56.24161049716929</v>
      </c>
      <c r="J775" s="114">
        <f t="shared" si="117"/>
        <v>48.471592835316066</v>
      </c>
      <c r="K775" s="114">
        <f t="shared" si="117"/>
        <v>39.23676243995385</v>
      </c>
      <c r="L775" s="114">
        <f t="shared" si="117"/>
        <v>31.426773949093029</v>
      </c>
      <c r="M775" s="114">
        <f t="shared" si="117"/>
        <v>0</v>
      </c>
      <c r="N775" s="114">
        <f t="shared" si="117"/>
        <v>0</v>
      </c>
      <c r="O775" s="114">
        <f t="shared" si="117"/>
        <v>0</v>
      </c>
      <c r="P775" s="114">
        <f t="shared" si="117"/>
        <v>0</v>
      </c>
      <c r="Q775" s="114">
        <f t="shared" si="117"/>
        <v>0</v>
      </c>
      <c r="R775" s="29"/>
      <c r="S775" s="104"/>
      <c r="T775" s="104"/>
      <c r="U775" s="104"/>
      <c r="V775" s="104"/>
      <c r="W775" s="104"/>
      <c r="X775" s="104"/>
      <c r="Y775" s="104"/>
      <c r="Z775" s="104"/>
      <c r="AA775" s="235"/>
      <c r="AB775" s="235"/>
      <c r="AC775" s="235"/>
      <c r="AD775" s="235"/>
      <c r="AE775" s="235"/>
      <c r="AF775" s="235"/>
      <c r="AG775" s="235"/>
      <c r="AH775" s="235"/>
      <c r="AI775" s="235"/>
      <c r="AJ775" s="235"/>
      <c r="AK775" s="235"/>
      <c r="AL775" s="235"/>
      <c r="AM775" s="235"/>
      <c r="AN775" s="235"/>
      <c r="AO775" s="235"/>
      <c r="AP775" s="235"/>
      <c r="AQ775" s="235"/>
      <c r="AR775" s="235"/>
      <c r="AS775" s="235"/>
      <c r="AT775" s="235"/>
      <c r="AU775" s="235"/>
      <c r="AV775" s="235"/>
      <c r="AW775" s="235"/>
      <c r="AX775" s="235"/>
      <c r="AY775" s="235"/>
      <c r="AZ775" s="235"/>
      <c r="BA775" s="235"/>
      <c r="BB775" s="235"/>
      <c r="BC775" s="235"/>
      <c r="BD775" s="104"/>
      <c r="BE775" s="104"/>
      <c r="BF775" s="104"/>
      <c r="BG775" s="104"/>
      <c r="BH775" s="104"/>
      <c r="BI775" s="104"/>
      <c r="BJ775" s="104"/>
      <c r="BK775" s="12"/>
      <c r="BL775" s="12"/>
    </row>
    <row r="776" spans="1:64" hidden="1" outlineLevel="1">
      <c r="A776" s="9"/>
      <c r="B776" s="9"/>
      <c r="C776" s="44"/>
      <c r="D776" s="278" t="str">
        <f>Asset15</f>
        <v>Substation assets - short life (15)</v>
      </c>
      <c r="E776" s="9"/>
      <c r="F776" s="9"/>
      <c r="G776" s="210">
        <f>'Adjustment for previous period'!G380</f>
        <v>0</v>
      </c>
      <c r="H776" s="114">
        <f t="shared" ref="H776:Q776" si="118">H58*H$7</f>
        <v>12.356977989299727</v>
      </c>
      <c r="I776" s="114">
        <f t="shared" si="118"/>
        <v>1.6177362120534089</v>
      </c>
      <c r="J776" s="114">
        <f t="shared" si="118"/>
        <v>1.1257163771133576</v>
      </c>
      <c r="K776" s="114">
        <f t="shared" si="118"/>
        <v>4.2441369023406832</v>
      </c>
      <c r="L776" s="114">
        <f t="shared" si="118"/>
        <v>5.2565097853754628</v>
      </c>
      <c r="M776" s="114">
        <f t="shared" si="118"/>
        <v>0</v>
      </c>
      <c r="N776" s="114">
        <f t="shared" si="118"/>
        <v>0</v>
      </c>
      <c r="O776" s="114">
        <f t="shared" si="118"/>
        <v>0</v>
      </c>
      <c r="P776" s="114">
        <f t="shared" si="118"/>
        <v>0</v>
      </c>
      <c r="Q776" s="114">
        <f t="shared" si="118"/>
        <v>0</v>
      </c>
      <c r="R776" s="29"/>
      <c r="S776" s="104"/>
      <c r="T776" s="104"/>
      <c r="U776" s="104"/>
      <c r="V776" s="104"/>
      <c r="W776" s="104"/>
      <c r="X776" s="104"/>
      <c r="Y776" s="104"/>
      <c r="Z776" s="104"/>
      <c r="AA776" s="235"/>
      <c r="AB776" s="235"/>
      <c r="AC776" s="235"/>
      <c r="AD776" s="235"/>
      <c r="AE776" s="235"/>
      <c r="AF776" s="235"/>
      <c r="AG776" s="235"/>
      <c r="AH776" s="235"/>
      <c r="AI776" s="235"/>
      <c r="AJ776" s="235"/>
      <c r="AK776" s="235"/>
      <c r="AL776" s="235"/>
      <c r="AM776" s="235"/>
      <c r="AN776" s="235"/>
      <c r="AO776" s="235"/>
      <c r="AP776" s="235"/>
      <c r="AQ776" s="235"/>
      <c r="AR776" s="235"/>
      <c r="AS776" s="235"/>
      <c r="AT776" s="235"/>
      <c r="AU776" s="235"/>
      <c r="AV776" s="235"/>
      <c r="AW776" s="235"/>
      <c r="AX776" s="235"/>
      <c r="AY776" s="235"/>
      <c r="AZ776" s="235"/>
      <c r="BA776" s="235"/>
      <c r="BB776" s="235"/>
      <c r="BC776" s="235"/>
      <c r="BD776" s="104"/>
      <c r="BE776" s="104"/>
      <c r="BF776" s="104"/>
      <c r="BG776" s="104"/>
      <c r="BH776" s="104"/>
      <c r="BI776" s="104"/>
      <c r="BJ776" s="104"/>
      <c r="BK776" s="12"/>
      <c r="BL776" s="12"/>
    </row>
    <row r="777" spans="1:64" hidden="1" outlineLevel="1">
      <c r="A777" s="9"/>
      <c r="B777" s="9"/>
      <c r="C777" s="44"/>
      <c r="D777" s="278" t="str">
        <f>Asset16</f>
        <v>Protection and control - short life (15)</v>
      </c>
      <c r="E777" s="9"/>
      <c r="F777" s="9"/>
      <c r="G777" s="210">
        <f>'Adjustment for previous period'!G381</f>
        <v>0</v>
      </c>
      <c r="H777" s="114">
        <f t="shared" ref="H777:Q777" si="119">H59*H$7</f>
        <v>11.011252851229447</v>
      </c>
      <c r="I777" s="114">
        <f t="shared" si="119"/>
        <v>14.300535343268999</v>
      </c>
      <c r="J777" s="114">
        <f t="shared" si="119"/>
        <v>20.556332916026388</v>
      </c>
      <c r="K777" s="114">
        <f t="shared" si="119"/>
        <v>18.989523070458077</v>
      </c>
      <c r="L777" s="114">
        <f t="shared" si="119"/>
        <v>21.010577882975134</v>
      </c>
      <c r="M777" s="114">
        <f t="shared" si="119"/>
        <v>0</v>
      </c>
      <c r="N777" s="114">
        <f t="shared" si="119"/>
        <v>0</v>
      </c>
      <c r="O777" s="114">
        <f t="shared" si="119"/>
        <v>0</v>
      </c>
      <c r="P777" s="114">
        <f t="shared" si="119"/>
        <v>0</v>
      </c>
      <c r="Q777" s="114">
        <f t="shared" si="119"/>
        <v>0</v>
      </c>
      <c r="R777" s="29"/>
      <c r="S777" s="104"/>
      <c r="T777" s="104"/>
      <c r="U777" s="104"/>
      <c r="V777" s="104"/>
      <c r="W777" s="104"/>
      <c r="X777" s="104"/>
      <c r="Y777" s="104"/>
      <c r="Z777" s="104"/>
      <c r="AA777" s="235"/>
      <c r="AB777" s="235"/>
      <c r="AC777" s="235"/>
      <c r="AD777" s="235"/>
      <c r="AE777" s="235"/>
      <c r="AF777" s="235"/>
      <c r="AG777" s="235"/>
      <c r="AH777" s="235"/>
      <c r="AI777" s="235"/>
      <c r="AJ777" s="235"/>
      <c r="AK777" s="235"/>
      <c r="AL777" s="235"/>
      <c r="AM777" s="235"/>
      <c r="AN777" s="235"/>
      <c r="AO777" s="235"/>
      <c r="AP777" s="235"/>
      <c r="AQ777" s="235"/>
      <c r="AR777" s="235"/>
      <c r="AS777" s="235"/>
      <c r="AT777" s="235"/>
      <c r="AU777" s="235"/>
      <c r="AV777" s="235"/>
      <c r="AW777" s="235"/>
      <c r="AX777" s="235"/>
      <c r="AY777" s="235"/>
      <c r="AZ777" s="235"/>
      <c r="BA777" s="235"/>
      <c r="BB777" s="235"/>
      <c r="BC777" s="235"/>
      <c r="BD777" s="104"/>
      <c r="BE777" s="104"/>
      <c r="BF777" s="104"/>
      <c r="BG777" s="104"/>
      <c r="BH777" s="104"/>
      <c r="BI777" s="104"/>
      <c r="BJ777" s="104"/>
      <c r="BK777" s="12"/>
      <c r="BL777" s="12"/>
    </row>
    <row r="778" spans="1:64" hidden="1" outlineLevel="1">
      <c r="A778" s="9"/>
      <c r="B778" s="9"/>
      <c r="C778" s="44"/>
      <c r="D778" s="278" t="str">
        <f>Asset17</f>
        <v>Protection and control - short life (4)</v>
      </c>
      <c r="E778" s="9"/>
      <c r="F778" s="9"/>
      <c r="G778" s="210">
        <f>'Adjustment for previous period'!G382</f>
        <v>0</v>
      </c>
      <c r="H778" s="114">
        <f t="shared" ref="H778:Q778" si="120">H60*H$7</f>
        <v>4.3349262468330943E-2</v>
      </c>
      <c r="I778" s="114">
        <f t="shared" si="120"/>
        <v>7.6884598619725797E-2</v>
      </c>
      <c r="J778" s="114">
        <f t="shared" si="120"/>
        <v>1.3199494440364417</v>
      </c>
      <c r="K778" s="114">
        <f t="shared" si="120"/>
        <v>0.31574028858243836</v>
      </c>
      <c r="L778" s="114">
        <f t="shared" si="120"/>
        <v>0</v>
      </c>
      <c r="M778" s="114">
        <f t="shared" si="120"/>
        <v>0</v>
      </c>
      <c r="N778" s="114">
        <f t="shared" si="120"/>
        <v>0</v>
      </c>
      <c r="O778" s="114">
        <f t="shared" si="120"/>
        <v>0</v>
      </c>
      <c r="P778" s="114">
        <f t="shared" si="120"/>
        <v>0</v>
      </c>
      <c r="Q778" s="114">
        <f t="shared" si="120"/>
        <v>0</v>
      </c>
      <c r="R778" s="29"/>
      <c r="S778" s="104"/>
      <c r="T778" s="104"/>
      <c r="U778" s="104"/>
      <c r="V778" s="104"/>
      <c r="W778" s="104"/>
      <c r="X778" s="104"/>
      <c r="Y778" s="104"/>
      <c r="Z778" s="104"/>
      <c r="AA778" s="235"/>
      <c r="AB778" s="235"/>
      <c r="AC778" s="235"/>
      <c r="AD778" s="235"/>
      <c r="AE778" s="235"/>
      <c r="AF778" s="235"/>
      <c r="AG778" s="235"/>
      <c r="AH778" s="235"/>
      <c r="AI778" s="235"/>
      <c r="AJ778" s="235"/>
      <c r="AK778" s="235"/>
      <c r="AL778" s="235"/>
      <c r="AM778" s="235"/>
      <c r="AN778" s="235"/>
      <c r="AO778" s="235"/>
      <c r="AP778" s="235"/>
      <c r="AQ778" s="235"/>
      <c r="AR778" s="235"/>
      <c r="AS778" s="235"/>
      <c r="AT778" s="235"/>
      <c r="AU778" s="235"/>
      <c r="AV778" s="235"/>
      <c r="AW778" s="235"/>
      <c r="AX778" s="235"/>
      <c r="AY778" s="235"/>
      <c r="AZ778" s="235"/>
      <c r="BA778" s="235"/>
      <c r="BB778" s="235"/>
      <c r="BC778" s="235"/>
      <c r="BD778" s="104"/>
      <c r="BE778" s="104"/>
      <c r="BF778" s="104"/>
      <c r="BG778" s="104"/>
      <c r="BH778" s="104"/>
      <c r="BI778" s="104"/>
      <c r="BJ778" s="104"/>
      <c r="BK778" s="12"/>
      <c r="BL778" s="12"/>
    </row>
    <row r="779" spans="1:64" hidden="1" outlineLevel="1">
      <c r="A779" s="9"/>
      <c r="B779" s="9"/>
      <c r="C779" s="44"/>
      <c r="D779" s="278" t="str">
        <f>Asset18</f>
        <v>Transmission operations - short life (10)</v>
      </c>
      <c r="E779" s="9"/>
      <c r="F779" s="9"/>
      <c r="G779" s="210">
        <f>'Adjustment for previous period'!G383</f>
        <v>0</v>
      </c>
      <c r="H779" s="114">
        <f t="shared" ref="H779:Q779" si="121">H61*H$7</f>
        <v>1.1914825601167549</v>
      </c>
      <c r="I779" s="114">
        <f t="shared" si="121"/>
        <v>1.6746097507584115</v>
      </c>
      <c r="J779" s="114">
        <f t="shared" si="121"/>
        <v>2.667049746890088</v>
      </c>
      <c r="K779" s="114">
        <f t="shared" si="121"/>
        <v>1.9080783552540042</v>
      </c>
      <c r="L779" s="114">
        <f t="shared" si="121"/>
        <v>1.572818484410001</v>
      </c>
      <c r="M779" s="114">
        <f t="shared" si="121"/>
        <v>0</v>
      </c>
      <c r="N779" s="114">
        <f t="shared" si="121"/>
        <v>0</v>
      </c>
      <c r="O779" s="114">
        <f t="shared" si="121"/>
        <v>0</v>
      </c>
      <c r="P779" s="114">
        <f t="shared" si="121"/>
        <v>0</v>
      </c>
      <c r="Q779" s="114">
        <f t="shared" si="121"/>
        <v>0</v>
      </c>
      <c r="R779" s="29"/>
      <c r="S779" s="104"/>
      <c r="T779" s="104"/>
      <c r="U779" s="104"/>
      <c r="V779" s="104"/>
      <c r="W779" s="104"/>
      <c r="X779" s="104"/>
      <c r="Y779" s="104"/>
      <c r="Z779" s="104"/>
      <c r="AA779" s="235"/>
      <c r="AB779" s="235"/>
      <c r="AC779" s="235"/>
      <c r="AD779" s="235"/>
      <c r="AE779" s="235"/>
      <c r="AF779" s="235"/>
      <c r="AG779" s="235"/>
      <c r="AH779" s="235"/>
      <c r="AI779" s="235"/>
      <c r="AJ779" s="235"/>
      <c r="AK779" s="235"/>
      <c r="AL779" s="235"/>
      <c r="AM779" s="235"/>
      <c r="AN779" s="235"/>
      <c r="AO779" s="235"/>
      <c r="AP779" s="235"/>
      <c r="AQ779" s="235"/>
      <c r="AR779" s="235"/>
      <c r="AS779" s="235"/>
      <c r="AT779" s="235"/>
      <c r="AU779" s="235"/>
      <c r="AV779" s="235"/>
      <c r="AW779" s="235"/>
      <c r="AX779" s="235"/>
      <c r="AY779" s="235"/>
      <c r="AZ779" s="235"/>
      <c r="BA779" s="235"/>
      <c r="BB779" s="235"/>
      <c r="BC779" s="235"/>
      <c r="BD779" s="104"/>
      <c r="BE779" s="104"/>
      <c r="BF779" s="104"/>
      <c r="BG779" s="104"/>
      <c r="BH779" s="104"/>
      <c r="BI779" s="104"/>
      <c r="BJ779" s="104"/>
      <c r="BK779" s="12"/>
      <c r="BL779" s="12"/>
    </row>
    <row r="780" spans="1:64" hidden="1" outlineLevel="1">
      <c r="A780" s="9"/>
      <c r="B780" s="9"/>
      <c r="C780" s="44"/>
      <c r="D780" s="278" t="str">
        <f>Asset19</f>
        <v>Transmission operations - short life (4)</v>
      </c>
      <c r="E780" s="9"/>
      <c r="F780" s="9"/>
      <c r="G780" s="210">
        <f>'Adjustment for previous period'!G384</f>
        <v>0</v>
      </c>
      <c r="H780" s="114">
        <f t="shared" ref="H780:Q780" si="122">H62*H$7</f>
        <v>4.6783741467227996E-2</v>
      </c>
      <c r="I780" s="114">
        <f t="shared" si="122"/>
        <v>6.7405675502225371E-2</v>
      </c>
      <c r="J780" s="114">
        <f t="shared" si="122"/>
        <v>0</v>
      </c>
      <c r="K780" s="114">
        <f t="shared" si="122"/>
        <v>0.1667863982877332</v>
      </c>
      <c r="L780" s="114">
        <f t="shared" si="122"/>
        <v>0</v>
      </c>
      <c r="M780" s="114">
        <f t="shared" si="122"/>
        <v>0</v>
      </c>
      <c r="N780" s="114">
        <f t="shared" si="122"/>
        <v>0</v>
      </c>
      <c r="O780" s="114">
        <f t="shared" si="122"/>
        <v>0</v>
      </c>
      <c r="P780" s="114">
        <f t="shared" si="122"/>
        <v>0</v>
      </c>
      <c r="Q780" s="114">
        <f t="shared" si="122"/>
        <v>0</v>
      </c>
      <c r="R780" s="29"/>
      <c r="S780" s="104"/>
      <c r="T780" s="104"/>
      <c r="U780" s="104"/>
      <c r="V780" s="104"/>
      <c r="W780" s="104"/>
      <c r="X780" s="104"/>
      <c r="Y780" s="104"/>
      <c r="Z780" s="104"/>
      <c r="AA780" s="235"/>
      <c r="AB780" s="235"/>
      <c r="AC780" s="235"/>
      <c r="AD780" s="235"/>
      <c r="AE780" s="235"/>
      <c r="AF780" s="235"/>
      <c r="AG780" s="235"/>
      <c r="AH780" s="235"/>
      <c r="AI780" s="235"/>
      <c r="AJ780" s="235"/>
      <c r="AK780" s="235"/>
      <c r="AL780" s="235"/>
      <c r="AM780" s="235"/>
      <c r="AN780" s="235"/>
      <c r="AO780" s="235"/>
      <c r="AP780" s="235"/>
      <c r="AQ780" s="235"/>
      <c r="AR780" s="235"/>
      <c r="AS780" s="235"/>
      <c r="AT780" s="235"/>
      <c r="AU780" s="235"/>
      <c r="AV780" s="235"/>
      <c r="AW780" s="235"/>
      <c r="AX780" s="235"/>
      <c r="AY780" s="235"/>
      <c r="AZ780" s="235"/>
      <c r="BA780" s="235"/>
      <c r="BB780" s="235"/>
      <c r="BC780" s="235"/>
      <c r="BD780" s="104"/>
      <c r="BE780" s="104"/>
      <c r="BF780" s="104"/>
      <c r="BG780" s="104"/>
      <c r="BH780" s="104"/>
      <c r="BI780" s="104"/>
      <c r="BJ780" s="104"/>
      <c r="BK780" s="12"/>
      <c r="BL780" s="12"/>
    </row>
    <row r="781" spans="1:64" hidden="1" outlineLevel="1">
      <c r="A781" s="9"/>
      <c r="B781" s="9"/>
      <c r="C781" s="44"/>
      <c r="D781" s="278" t="str">
        <f>Asset20</f>
        <v>Other - medium life (40)</v>
      </c>
      <c r="E781" s="9"/>
      <c r="F781" s="9"/>
      <c r="G781" s="210">
        <f>'Adjustment for previous period'!G385</f>
        <v>0</v>
      </c>
      <c r="H781" s="114">
        <f t="shared" ref="H781:Q781" si="123">H63*H$7</f>
        <v>8.5042071932102044</v>
      </c>
      <c r="I781" s="114">
        <f t="shared" si="123"/>
        <v>15.065168474747368</v>
      </c>
      <c r="J781" s="114">
        <f t="shared" si="123"/>
        <v>1.7052827864806241</v>
      </c>
      <c r="K781" s="114">
        <f t="shared" si="123"/>
        <v>0.12692549806802339</v>
      </c>
      <c r="L781" s="114">
        <f t="shared" si="123"/>
        <v>3.6771187867541784</v>
      </c>
      <c r="M781" s="114">
        <f t="shared" si="123"/>
        <v>0</v>
      </c>
      <c r="N781" s="114">
        <f t="shared" si="123"/>
        <v>0</v>
      </c>
      <c r="O781" s="114">
        <f t="shared" si="123"/>
        <v>0</v>
      </c>
      <c r="P781" s="114">
        <f t="shared" si="123"/>
        <v>0</v>
      </c>
      <c r="Q781" s="114">
        <f t="shared" si="123"/>
        <v>0</v>
      </c>
      <c r="R781" s="29"/>
      <c r="S781" s="104"/>
      <c r="T781" s="104"/>
      <c r="U781" s="104"/>
      <c r="V781" s="104"/>
      <c r="W781" s="104"/>
      <c r="X781" s="104"/>
      <c r="Y781" s="104"/>
      <c r="Z781" s="104"/>
      <c r="AA781" s="235"/>
      <c r="AB781" s="235"/>
      <c r="AC781" s="235"/>
      <c r="AD781" s="235"/>
      <c r="AE781" s="235"/>
      <c r="AF781" s="235"/>
      <c r="AG781" s="235"/>
      <c r="AH781" s="235"/>
      <c r="AI781" s="235"/>
      <c r="AJ781" s="235"/>
      <c r="AK781" s="235"/>
      <c r="AL781" s="235"/>
      <c r="AM781" s="235"/>
      <c r="AN781" s="235"/>
      <c r="AO781" s="235"/>
      <c r="AP781" s="235"/>
      <c r="AQ781" s="235"/>
      <c r="AR781" s="235"/>
      <c r="AS781" s="235"/>
      <c r="AT781" s="235"/>
      <c r="AU781" s="235"/>
      <c r="AV781" s="235"/>
      <c r="AW781" s="235"/>
      <c r="AX781" s="235"/>
      <c r="AY781" s="235"/>
      <c r="AZ781" s="235"/>
      <c r="BA781" s="235"/>
      <c r="BB781" s="235"/>
      <c r="BC781" s="235"/>
      <c r="BD781" s="104"/>
      <c r="BE781" s="104"/>
      <c r="BF781" s="104"/>
      <c r="BG781" s="104"/>
      <c r="BH781" s="104"/>
      <c r="BI781" s="104"/>
      <c r="BJ781" s="104"/>
      <c r="BK781" s="12"/>
      <c r="BL781" s="12"/>
    </row>
    <row r="782" spans="1:64" hidden="1" outlineLevel="1">
      <c r="A782" s="9"/>
      <c r="B782" s="9"/>
      <c r="C782" s="44"/>
      <c r="D782" s="278" t="str">
        <f>Asset21</f>
        <v>Other - short life (9)</v>
      </c>
      <c r="E782" s="9"/>
      <c r="F782" s="9"/>
      <c r="G782" s="210">
        <f>'Adjustment for previous period'!G386</f>
        <v>0</v>
      </c>
      <c r="H782" s="114">
        <f t="shared" ref="H782:Q782" si="124">H64*H$7</f>
        <v>0.72703233204589635</v>
      </c>
      <c r="I782" s="114">
        <f t="shared" si="124"/>
        <v>1.0532136797222713</v>
      </c>
      <c r="J782" s="114">
        <f t="shared" si="124"/>
        <v>1.1612213463358569</v>
      </c>
      <c r="K782" s="114">
        <f t="shared" si="124"/>
        <v>0.24231231449349916</v>
      </c>
      <c r="L782" s="114">
        <f t="shared" si="124"/>
        <v>0.52876307226373143</v>
      </c>
      <c r="M782" s="114">
        <f t="shared" si="124"/>
        <v>0</v>
      </c>
      <c r="N782" s="114">
        <f t="shared" si="124"/>
        <v>0</v>
      </c>
      <c r="O782" s="114">
        <f t="shared" si="124"/>
        <v>0</v>
      </c>
      <c r="P782" s="114">
        <f t="shared" si="124"/>
        <v>0</v>
      </c>
      <c r="Q782" s="114">
        <f t="shared" si="124"/>
        <v>0</v>
      </c>
      <c r="R782" s="29"/>
      <c r="S782" s="104"/>
      <c r="T782" s="104"/>
      <c r="U782" s="104"/>
      <c r="V782" s="104"/>
      <c r="W782" s="104"/>
      <c r="X782" s="104"/>
      <c r="Y782" s="104"/>
      <c r="Z782" s="104"/>
      <c r="AA782" s="235"/>
      <c r="AB782" s="235"/>
      <c r="AC782" s="235"/>
      <c r="AD782" s="235"/>
      <c r="AE782" s="235"/>
      <c r="AF782" s="235"/>
      <c r="AG782" s="235"/>
      <c r="AH782" s="235"/>
      <c r="AI782" s="235"/>
      <c r="AJ782" s="235"/>
      <c r="AK782" s="235"/>
      <c r="AL782" s="235"/>
      <c r="AM782" s="235"/>
      <c r="AN782" s="235"/>
      <c r="AO782" s="235"/>
      <c r="AP782" s="235"/>
      <c r="AQ782" s="235"/>
      <c r="AR782" s="235"/>
      <c r="AS782" s="235"/>
      <c r="AT782" s="235"/>
      <c r="AU782" s="235"/>
      <c r="AV782" s="235"/>
      <c r="AW782" s="235"/>
      <c r="AX782" s="235"/>
      <c r="AY782" s="235"/>
      <c r="AZ782" s="235"/>
      <c r="BA782" s="235"/>
      <c r="BB782" s="235"/>
      <c r="BC782" s="235"/>
      <c r="BD782" s="104"/>
      <c r="BE782" s="104"/>
      <c r="BF782" s="104"/>
      <c r="BG782" s="104"/>
      <c r="BH782" s="104"/>
      <c r="BI782" s="104"/>
      <c r="BJ782" s="104"/>
      <c r="BK782" s="12"/>
      <c r="BL782" s="12"/>
    </row>
    <row r="783" spans="1:64" hidden="1" outlineLevel="1">
      <c r="A783" s="9"/>
      <c r="B783" s="9"/>
      <c r="C783" s="44"/>
      <c r="D783" s="278" t="str">
        <f>Asset22</f>
        <v>Other - short life (4)</v>
      </c>
      <c r="E783" s="9"/>
      <c r="F783" s="9"/>
      <c r="G783" s="210">
        <f>'Adjustment for previous period'!G387</f>
        <v>0</v>
      </c>
      <c r="H783" s="114">
        <f t="shared" ref="H783:Q783" si="125">H65*H$7</f>
        <v>2.6090448499525216</v>
      </c>
      <c r="I783" s="114">
        <f t="shared" si="125"/>
        <v>2.0980016500067644</v>
      </c>
      <c r="J783" s="114">
        <f t="shared" si="125"/>
        <v>1.9266667122209136</v>
      </c>
      <c r="K783" s="114">
        <f t="shared" si="125"/>
        <v>5.4693350985675533</v>
      </c>
      <c r="L783" s="114">
        <f t="shared" si="125"/>
        <v>2.5109039169742311</v>
      </c>
      <c r="M783" s="114">
        <f t="shared" si="125"/>
        <v>0</v>
      </c>
      <c r="N783" s="114">
        <f t="shared" si="125"/>
        <v>0</v>
      </c>
      <c r="O783" s="114">
        <f t="shared" si="125"/>
        <v>0</v>
      </c>
      <c r="P783" s="114">
        <f t="shared" si="125"/>
        <v>0</v>
      </c>
      <c r="Q783" s="114">
        <f t="shared" si="125"/>
        <v>0</v>
      </c>
      <c r="R783" s="29"/>
      <c r="S783" s="104"/>
      <c r="T783" s="104"/>
      <c r="U783" s="104"/>
      <c r="V783" s="104"/>
      <c r="W783" s="104"/>
      <c r="X783" s="104"/>
      <c r="Y783" s="104"/>
      <c r="Z783" s="104"/>
      <c r="AA783" s="235"/>
      <c r="AB783" s="235"/>
      <c r="AC783" s="235"/>
      <c r="AD783" s="235"/>
      <c r="AE783" s="235"/>
      <c r="AF783" s="235"/>
      <c r="AG783" s="235"/>
      <c r="AH783" s="235"/>
      <c r="AI783" s="235"/>
      <c r="AJ783" s="235"/>
      <c r="AK783" s="235"/>
      <c r="AL783" s="235"/>
      <c r="AM783" s="235"/>
      <c r="AN783" s="235"/>
      <c r="AO783" s="235"/>
      <c r="AP783" s="235"/>
      <c r="AQ783" s="235"/>
      <c r="AR783" s="235"/>
      <c r="AS783" s="235"/>
      <c r="AT783" s="235"/>
      <c r="AU783" s="235"/>
      <c r="AV783" s="235"/>
      <c r="AW783" s="235"/>
      <c r="AX783" s="235"/>
      <c r="AY783" s="235"/>
      <c r="AZ783" s="235"/>
      <c r="BA783" s="235"/>
      <c r="BB783" s="235"/>
      <c r="BC783" s="235"/>
      <c r="BD783" s="104"/>
      <c r="BE783" s="104"/>
      <c r="BF783" s="104"/>
      <c r="BG783" s="104"/>
      <c r="BH783" s="104"/>
      <c r="BI783" s="104"/>
      <c r="BJ783" s="104"/>
      <c r="BK783" s="12"/>
      <c r="BL783" s="12"/>
    </row>
    <row r="784" spans="1:64" hidden="1" outlineLevel="1">
      <c r="A784" s="9"/>
      <c r="B784" s="9"/>
      <c r="C784" s="44"/>
      <c r="D784" s="278" t="str">
        <f>Asset23</f>
        <v>Land and Easements</v>
      </c>
      <c r="E784" s="9"/>
      <c r="F784" s="9"/>
      <c r="G784" s="210">
        <f>'Adjustment for previous period'!G388</f>
        <v>0</v>
      </c>
      <c r="H784" s="114">
        <f t="shared" ref="H784:Q784" si="126">H66*H$7</f>
        <v>0</v>
      </c>
      <c r="I784" s="114">
        <f t="shared" si="126"/>
        <v>1.743068639940359</v>
      </c>
      <c r="J784" s="114">
        <f t="shared" si="126"/>
        <v>0.48244987590572475</v>
      </c>
      <c r="K784" s="114">
        <f t="shared" si="126"/>
        <v>1.3563195785285476</v>
      </c>
      <c r="L784" s="114">
        <f t="shared" si="126"/>
        <v>1.0585261712807665</v>
      </c>
      <c r="M784" s="114">
        <f t="shared" si="126"/>
        <v>0</v>
      </c>
      <c r="N784" s="114">
        <f t="shared" si="126"/>
        <v>0</v>
      </c>
      <c r="O784" s="114">
        <f t="shared" si="126"/>
        <v>0</v>
      </c>
      <c r="P784" s="114">
        <f t="shared" si="126"/>
        <v>0</v>
      </c>
      <c r="Q784" s="114">
        <f t="shared" si="126"/>
        <v>0</v>
      </c>
      <c r="R784" s="29"/>
      <c r="S784" s="104"/>
      <c r="T784" s="104"/>
      <c r="U784" s="104"/>
      <c r="V784" s="104"/>
      <c r="W784" s="104"/>
      <c r="X784" s="104"/>
      <c r="Y784" s="104"/>
      <c r="Z784" s="104"/>
      <c r="AA784" s="235"/>
      <c r="AB784" s="235"/>
      <c r="AC784" s="235"/>
      <c r="AD784" s="235"/>
      <c r="AE784" s="235"/>
      <c r="AF784" s="235"/>
      <c r="AG784" s="235"/>
      <c r="AH784" s="235"/>
      <c r="AI784" s="235"/>
      <c r="AJ784" s="235"/>
      <c r="AK784" s="235"/>
      <c r="AL784" s="235"/>
      <c r="AM784" s="235"/>
      <c r="AN784" s="235"/>
      <c r="AO784" s="235"/>
      <c r="AP784" s="235"/>
      <c r="AQ784" s="235"/>
      <c r="AR784" s="235"/>
      <c r="AS784" s="235"/>
      <c r="AT784" s="235"/>
      <c r="AU784" s="235"/>
      <c r="AV784" s="235"/>
      <c r="AW784" s="235"/>
      <c r="AX784" s="235"/>
      <c r="AY784" s="235"/>
      <c r="AZ784" s="235"/>
      <c r="BA784" s="235"/>
      <c r="BB784" s="235"/>
      <c r="BC784" s="235"/>
      <c r="BD784" s="104"/>
      <c r="BE784" s="104"/>
      <c r="BF784" s="104"/>
      <c r="BG784" s="104"/>
      <c r="BH784" s="104"/>
      <c r="BI784" s="104"/>
      <c r="BJ784" s="104"/>
      <c r="BK784" s="12"/>
      <c r="BL784" s="12"/>
    </row>
    <row r="785" spans="1:64" hidden="1" outlineLevel="1">
      <c r="A785" s="9"/>
      <c r="B785" s="9"/>
      <c r="C785" s="44"/>
      <c r="D785" s="278" t="str">
        <f>Asset24</f>
        <v>Equity Raising</v>
      </c>
      <c r="E785" s="9"/>
      <c r="F785" s="9"/>
      <c r="G785" s="210">
        <f>'Adjustment for previous period'!G389</f>
        <v>0</v>
      </c>
      <c r="H785" s="114">
        <f t="shared" ref="H785:Q785" si="127">H67*H$7</f>
        <v>0.44485041313161061</v>
      </c>
      <c r="I785" s="114">
        <f t="shared" si="127"/>
        <v>0</v>
      </c>
      <c r="J785" s="114">
        <f t="shared" si="127"/>
        <v>0</v>
      </c>
      <c r="K785" s="114">
        <f t="shared" si="127"/>
        <v>0</v>
      </c>
      <c r="L785" s="114">
        <f t="shared" si="127"/>
        <v>0</v>
      </c>
      <c r="M785" s="114">
        <f t="shared" si="127"/>
        <v>0</v>
      </c>
      <c r="N785" s="114">
        <f t="shared" si="127"/>
        <v>0</v>
      </c>
      <c r="O785" s="114">
        <f t="shared" si="127"/>
        <v>0</v>
      </c>
      <c r="P785" s="114">
        <f t="shared" si="127"/>
        <v>0</v>
      </c>
      <c r="Q785" s="114">
        <f t="shared" si="127"/>
        <v>0</v>
      </c>
      <c r="R785" s="29"/>
      <c r="S785" s="104"/>
      <c r="T785" s="104"/>
      <c r="U785" s="104"/>
      <c r="V785" s="104"/>
      <c r="W785" s="104"/>
      <c r="X785" s="104"/>
      <c r="Y785" s="104"/>
      <c r="Z785" s="104"/>
      <c r="AA785" s="235"/>
      <c r="AB785" s="235"/>
      <c r="AC785" s="235"/>
      <c r="AD785" s="235"/>
      <c r="AE785" s="235"/>
      <c r="AF785" s="235"/>
      <c r="AG785" s="235"/>
      <c r="AH785" s="235"/>
      <c r="AI785" s="235"/>
      <c r="AJ785" s="235"/>
      <c r="AK785" s="235"/>
      <c r="AL785" s="235"/>
      <c r="AM785" s="235"/>
      <c r="AN785" s="235"/>
      <c r="AO785" s="235"/>
      <c r="AP785" s="235"/>
      <c r="AQ785" s="235"/>
      <c r="AR785" s="235"/>
      <c r="AS785" s="235"/>
      <c r="AT785" s="235"/>
      <c r="AU785" s="235"/>
      <c r="AV785" s="235"/>
      <c r="AW785" s="235"/>
      <c r="AX785" s="235"/>
      <c r="AY785" s="235"/>
      <c r="AZ785" s="235"/>
      <c r="BA785" s="235"/>
      <c r="BB785" s="235"/>
      <c r="BC785" s="235"/>
      <c r="BD785" s="104"/>
      <c r="BE785" s="104"/>
      <c r="BF785" s="104"/>
      <c r="BG785" s="104"/>
      <c r="BH785" s="104"/>
      <c r="BI785" s="104"/>
      <c r="BJ785" s="104"/>
      <c r="BK785" s="12"/>
      <c r="BL785" s="12"/>
    </row>
    <row r="786" spans="1:64" hidden="1" outlineLevel="1">
      <c r="A786" s="9"/>
      <c r="B786" s="9"/>
      <c r="C786" s="44"/>
      <c r="D786" s="278">
        <f>Asset25</f>
        <v>0</v>
      </c>
      <c r="E786" s="9"/>
      <c r="F786" s="9"/>
      <c r="G786" s="210">
        <f>'Adjustment for previous period'!G390</f>
        <v>0</v>
      </c>
      <c r="H786" s="114">
        <f t="shared" ref="H786:Q786" si="128">H68*H$7</f>
        <v>0</v>
      </c>
      <c r="I786" s="114">
        <f t="shared" si="128"/>
        <v>0</v>
      </c>
      <c r="J786" s="114">
        <f t="shared" si="128"/>
        <v>0</v>
      </c>
      <c r="K786" s="114">
        <f t="shared" si="128"/>
        <v>0</v>
      </c>
      <c r="L786" s="114">
        <f t="shared" si="128"/>
        <v>0</v>
      </c>
      <c r="M786" s="114">
        <f t="shared" si="128"/>
        <v>0</v>
      </c>
      <c r="N786" s="114">
        <f t="shared" si="128"/>
        <v>0</v>
      </c>
      <c r="O786" s="114">
        <f t="shared" si="128"/>
        <v>0</v>
      </c>
      <c r="P786" s="114">
        <f t="shared" si="128"/>
        <v>0</v>
      </c>
      <c r="Q786" s="114">
        <f t="shared" si="128"/>
        <v>0</v>
      </c>
      <c r="R786" s="29"/>
      <c r="S786" s="104"/>
      <c r="T786" s="104"/>
      <c r="U786" s="104"/>
      <c r="V786" s="104"/>
      <c r="W786" s="104"/>
      <c r="X786" s="104"/>
      <c r="Y786" s="104"/>
      <c r="Z786" s="104"/>
      <c r="AA786" s="235"/>
      <c r="AB786" s="235"/>
      <c r="AC786" s="235"/>
      <c r="AD786" s="235"/>
      <c r="AE786" s="235"/>
      <c r="AF786" s="235"/>
      <c r="AG786" s="235"/>
      <c r="AH786" s="235"/>
      <c r="AI786" s="235"/>
      <c r="AJ786" s="235"/>
      <c r="AK786" s="235"/>
      <c r="AL786" s="235"/>
      <c r="AM786" s="235"/>
      <c r="AN786" s="235"/>
      <c r="AO786" s="235"/>
      <c r="AP786" s="235"/>
      <c r="AQ786" s="235"/>
      <c r="AR786" s="235"/>
      <c r="AS786" s="235"/>
      <c r="AT786" s="235"/>
      <c r="AU786" s="235"/>
      <c r="AV786" s="235"/>
      <c r="AW786" s="235"/>
      <c r="AX786" s="235"/>
      <c r="AY786" s="235"/>
      <c r="AZ786" s="235"/>
      <c r="BA786" s="235"/>
      <c r="BB786" s="235"/>
      <c r="BC786" s="235"/>
      <c r="BD786" s="104"/>
      <c r="BE786" s="104"/>
      <c r="BF786" s="104"/>
      <c r="BG786" s="104"/>
      <c r="BH786" s="104"/>
      <c r="BI786" s="104"/>
      <c r="BJ786" s="104"/>
      <c r="BK786" s="12"/>
      <c r="BL786" s="12"/>
    </row>
    <row r="787" spans="1:64" hidden="1" outlineLevel="1">
      <c r="A787" s="9"/>
      <c r="B787" s="9"/>
      <c r="C787" s="44"/>
      <c r="D787" s="278">
        <f>Asset26</f>
        <v>0</v>
      </c>
      <c r="E787" s="9"/>
      <c r="F787" s="9"/>
      <c r="G787" s="210">
        <f>'Adjustment for previous period'!G391</f>
        <v>0</v>
      </c>
      <c r="H787" s="114">
        <f t="shared" ref="H787:Q787" si="129">H69*H$7</f>
        <v>0</v>
      </c>
      <c r="I787" s="114">
        <f t="shared" si="129"/>
        <v>0</v>
      </c>
      <c r="J787" s="114">
        <f t="shared" si="129"/>
        <v>0</v>
      </c>
      <c r="K787" s="114">
        <f t="shared" si="129"/>
        <v>0</v>
      </c>
      <c r="L787" s="114">
        <f t="shared" si="129"/>
        <v>0</v>
      </c>
      <c r="M787" s="114">
        <f t="shared" si="129"/>
        <v>0</v>
      </c>
      <c r="N787" s="114">
        <f t="shared" si="129"/>
        <v>0</v>
      </c>
      <c r="O787" s="114">
        <f t="shared" si="129"/>
        <v>0</v>
      </c>
      <c r="P787" s="114">
        <f t="shared" si="129"/>
        <v>0</v>
      </c>
      <c r="Q787" s="114">
        <f t="shared" si="129"/>
        <v>0</v>
      </c>
      <c r="R787" s="29"/>
      <c r="S787" s="104"/>
      <c r="T787" s="104"/>
      <c r="U787" s="104"/>
      <c r="V787" s="104"/>
      <c r="W787" s="104"/>
      <c r="X787" s="104"/>
      <c r="Y787" s="104"/>
      <c r="Z787" s="104"/>
      <c r="AA787" s="235"/>
      <c r="AB787" s="235"/>
      <c r="AC787" s="235"/>
      <c r="AD787" s="235"/>
      <c r="AE787" s="235"/>
      <c r="AF787" s="235"/>
      <c r="AG787" s="235"/>
      <c r="AH787" s="235"/>
      <c r="AI787" s="235"/>
      <c r="AJ787" s="235"/>
      <c r="AK787" s="235"/>
      <c r="AL787" s="235"/>
      <c r="AM787" s="235"/>
      <c r="AN787" s="235"/>
      <c r="AO787" s="235"/>
      <c r="AP787" s="235"/>
      <c r="AQ787" s="235"/>
      <c r="AR787" s="235"/>
      <c r="AS787" s="235"/>
      <c r="AT787" s="235"/>
      <c r="AU787" s="235"/>
      <c r="AV787" s="235"/>
      <c r="AW787" s="235"/>
      <c r="AX787" s="235"/>
      <c r="AY787" s="235"/>
      <c r="AZ787" s="235"/>
      <c r="BA787" s="235"/>
      <c r="BB787" s="235"/>
      <c r="BC787" s="235"/>
      <c r="BD787" s="104"/>
      <c r="BE787" s="104"/>
      <c r="BF787" s="104"/>
      <c r="BG787" s="104"/>
      <c r="BH787" s="104"/>
      <c r="BI787" s="104"/>
      <c r="BJ787" s="104"/>
      <c r="BK787" s="12"/>
      <c r="BL787" s="12"/>
    </row>
    <row r="788" spans="1:64" hidden="1" outlineLevel="1">
      <c r="A788" s="9"/>
      <c r="B788" s="9"/>
      <c r="C788" s="44"/>
      <c r="D788" s="278">
        <f>Asset27</f>
        <v>0</v>
      </c>
      <c r="E788" s="9"/>
      <c r="F788" s="9"/>
      <c r="G788" s="210">
        <f>'Adjustment for previous period'!G392</f>
        <v>0</v>
      </c>
      <c r="H788" s="114">
        <f t="shared" ref="H788:Q788" si="130">H70*H$7</f>
        <v>0</v>
      </c>
      <c r="I788" s="114">
        <f t="shared" si="130"/>
        <v>0</v>
      </c>
      <c r="J788" s="114">
        <f t="shared" si="130"/>
        <v>0</v>
      </c>
      <c r="K788" s="114">
        <f t="shared" si="130"/>
        <v>0</v>
      </c>
      <c r="L788" s="114">
        <f t="shared" si="130"/>
        <v>0</v>
      </c>
      <c r="M788" s="114">
        <f t="shared" si="130"/>
        <v>0</v>
      </c>
      <c r="N788" s="114">
        <f t="shared" si="130"/>
        <v>0</v>
      </c>
      <c r="O788" s="114">
        <f t="shared" si="130"/>
        <v>0</v>
      </c>
      <c r="P788" s="114">
        <f t="shared" si="130"/>
        <v>0</v>
      </c>
      <c r="Q788" s="114">
        <f t="shared" si="130"/>
        <v>0</v>
      </c>
      <c r="R788" s="29"/>
      <c r="S788" s="104"/>
      <c r="T788" s="104"/>
      <c r="U788" s="104"/>
      <c r="V788" s="104"/>
      <c r="W788" s="104"/>
      <c r="X788" s="104"/>
      <c r="Y788" s="104"/>
      <c r="Z788" s="104"/>
      <c r="AA788" s="235"/>
      <c r="AB788" s="235"/>
      <c r="AC788" s="235"/>
      <c r="AD788" s="235"/>
      <c r="AE788" s="235"/>
      <c r="AF788" s="235"/>
      <c r="AG788" s="235"/>
      <c r="AH788" s="235"/>
      <c r="AI788" s="235"/>
      <c r="AJ788" s="235"/>
      <c r="AK788" s="235"/>
      <c r="AL788" s="235"/>
      <c r="AM788" s="235"/>
      <c r="AN788" s="235"/>
      <c r="AO788" s="235"/>
      <c r="AP788" s="235"/>
      <c r="AQ788" s="235"/>
      <c r="AR788" s="235"/>
      <c r="AS788" s="235"/>
      <c r="AT788" s="235"/>
      <c r="AU788" s="235"/>
      <c r="AV788" s="235"/>
      <c r="AW788" s="235"/>
      <c r="AX788" s="235"/>
      <c r="AY788" s="235"/>
      <c r="AZ788" s="235"/>
      <c r="BA788" s="235"/>
      <c r="BB788" s="235"/>
      <c r="BC788" s="235"/>
      <c r="BD788" s="104"/>
      <c r="BE788" s="104"/>
      <c r="BF788" s="104"/>
      <c r="BG788" s="104"/>
      <c r="BH788" s="104"/>
      <c r="BI788" s="104"/>
      <c r="BJ788" s="104"/>
      <c r="BK788" s="12"/>
      <c r="BL788" s="12"/>
    </row>
    <row r="789" spans="1:64" hidden="1" outlineLevel="1">
      <c r="A789" s="9"/>
      <c r="B789" s="9"/>
      <c r="C789" s="44"/>
      <c r="D789" s="278">
        <f>Asset28</f>
        <v>0</v>
      </c>
      <c r="E789" s="9"/>
      <c r="F789" s="9"/>
      <c r="G789" s="210">
        <f>'Adjustment for previous period'!G393</f>
        <v>0</v>
      </c>
      <c r="H789" s="114">
        <f t="shared" ref="H789:Q789" si="131">H71*H$7</f>
        <v>0</v>
      </c>
      <c r="I789" s="114">
        <f t="shared" si="131"/>
        <v>0</v>
      </c>
      <c r="J789" s="114">
        <f t="shared" si="131"/>
        <v>0</v>
      </c>
      <c r="K789" s="114">
        <f t="shared" si="131"/>
        <v>0</v>
      </c>
      <c r="L789" s="114">
        <f t="shared" si="131"/>
        <v>0</v>
      </c>
      <c r="M789" s="114">
        <f t="shared" si="131"/>
        <v>0</v>
      </c>
      <c r="N789" s="114">
        <f t="shared" si="131"/>
        <v>0</v>
      </c>
      <c r="O789" s="114">
        <f t="shared" si="131"/>
        <v>0</v>
      </c>
      <c r="P789" s="114">
        <f t="shared" si="131"/>
        <v>0</v>
      </c>
      <c r="Q789" s="114">
        <f t="shared" si="131"/>
        <v>0</v>
      </c>
      <c r="R789" s="29"/>
      <c r="S789" s="104"/>
      <c r="T789" s="104"/>
      <c r="U789" s="104"/>
      <c r="V789" s="104"/>
      <c r="W789" s="104"/>
      <c r="X789" s="104"/>
      <c r="Y789" s="104"/>
      <c r="Z789" s="104"/>
      <c r="AA789" s="235"/>
      <c r="AB789" s="235"/>
      <c r="AC789" s="235"/>
      <c r="AD789" s="235"/>
      <c r="AE789" s="235"/>
      <c r="AF789" s="235"/>
      <c r="AG789" s="235"/>
      <c r="AH789" s="235"/>
      <c r="AI789" s="235"/>
      <c r="AJ789" s="235"/>
      <c r="AK789" s="235"/>
      <c r="AL789" s="235"/>
      <c r="AM789" s="235"/>
      <c r="AN789" s="235"/>
      <c r="AO789" s="235"/>
      <c r="AP789" s="235"/>
      <c r="AQ789" s="235"/>
      <c r="AR789" s="235"/>
      <c r="AS789" s="235"/>
      <c r="AT789" s="235"/>
      <c r="AU789" s="235"/>
      <c r="AV789" s="235"/>
      <c r="AW789" s="235"/>
      <c r="AX789" s="235"/>
      <c r="AY789" s="235"/>
      <c r="AZ789" s="235"/>
      <c r="BA789" s="235"/>
      <c r="BB789" s="235"/>
      <c r="BC789" s="235"/>
      <c r="BD789" s="104"/>
      <c r="BE789" s="104"/>
      <c r="BF789" s="104"/>
      <c r="BG789" s="104"/>
      <c r="BH789" s="104"/>
      <c r="BI789" s="104"/>
      <c r="BJ789" s="104"/>
      <c r="BK789" s="12"/>
      <c r="BL789" s="12"/>
    </row>
    <row r="790" spans="1:64" hidden="1" outlineLevel="1">
      <c r="A790" s="9"/>
      <c r="B790" s="9"/>
      <c r="C790" s="44"/>
      <c r="D790" s="278">
        <f>Asset29</f>
        <v>0</v>
      </c>
      <c r="E790" s="9"/>
      <c r="F790" s="9"/>
      <c r="G790" s="210">
        <f>'Adjustment for previous period'!G394</f>
        <v>0</v>
      </c>
      <c r="H790" s="114">
        <f t="shared" ref="H790:Q790" si="132">H72*H$7</f>
        <v>0</v>
      </c>
      <c r="I790" s="114">
        <f t="shared" si="132"/>
        <v>0</v>
      </c>
      <c r="J790" s="114">
        <f t="shared" si="132"/>
        <v>0</v>
      </c>
      <c r="K790" s="114">
        <f t="shared" si="132"/>
        <v>0</v>
      </c>
      <c r="L790" s="114">
        <f t="shared" si="132"/>
        <v>0</v>
      </c>
      <c r="M790" s="114">
        <f t="shared" si="132"/>
        <v>0</v>
      </c>
      <c r="N790" s="114">
        <f t="shared" si="132"/>
        <v>0</v>
      </c>
      <c r="O790" s="114">
        <f t="shared" si="132"/>
        <v>0</v>
      </c>
      <c r="P790" s="114">
        <f t="shared" si="132"/>
        <v>0</v>
      </c>
      <c r="Q790" s="114">
        <f t="shared" si="132"/>
        <v>0</v>
      </c>
      <c r="R790" s="29"/>
      <c r="S790" s="104"/>
      <c r="T790" s="104"/>
      <c r="U790" s="104"/>
      <c r="V790" s="104"/>
      <c r="W790" s="104"/>
      <c r="X790" s="104"/>
      <c r="Y790" s="104"/>
      <c r="Z790" s="104"/>
      <c r="AA790" s="235"/>
      <c r="AB790" s="235"/>
      <c r="AC790" s="235"/>
      <c r="AD790" s="235"/>
      <c r="AE790" s="235"/>
      <c r="AF790" s="235"/>
      <c r="AG790" s="235"/>
      <c r="AH790" s="235"/>
      <c r="AI790" s="235"/>
      <c r="AJ790" s="235"/>
      <c r="AK790" s="235"/>
      <c r="AL790" s="235"/>
      <c r="AM790" s="235"/>
      <c r="AN790" s="235"/>
      <c r="AO790" s="235"/>
      <c r="AP790" s="235"/>
      <c r="AQ790" s="235"/>
      <c r="AR790" s="235"/>
      <c r="AS790" s="235"/>
      <c r="AT790" s="235"/>
      <c r="AU790" s="235"/>
      <c r="AV790" s="235"/>
      <c r="AW790" s="235"/>
      <c r="AX790" s="235"/>
      <c r="AY790" s="235"/>
      <c r="AZ790" s="235"/>
      <c r="BA790" s="235"/>
      <c r="BB790" s="235"/>
      <c r="BC790" s="235"/>
      <c r="BD790" s="104"/>
      <c r="BE790" s="104"/>
      <c r="BF790" s="104"/>
      <c r="BG790" s="104"/>
      <c r="BH790" s="104"/>
      <c r="BI790" s="104"/>
      <c r="BJ790" s="104"/>
      <c r="BK790" s="12"/>
      <c r="BL790" s="12"/>
    </row>
    <row r="791" spans="1:64" hidden="1" outlineLevel="1">
      <c r="A791" s="9"/>
      <c r="B791" s="9"/>
      <c r="C791" s="44"/>
      <c r="D791" s="278">
        <f>Asset30</f>
        <v>0</v>
      </c>
      <c r="E791" s="9"/>
      <c r="F791" s="9"/>
      <c r="G791" s="210">
        <f>'Adjustment for previous period'!G395</f>
        <v>0</v>
      </c>
      <c r="H791" s="114">
        <f>H73*H$7</f>
        <v>0</v>
      </c>
      <c r="I791" s="114">
        <f>I73*I$7</f>
        <v>0</v>
      </c>
      <c r="J791" s="114">
        <f t="shared" ref="J791:P791" si="133">J73*J$7</f>
        <v>0</v>
      </c>
      <c r="K791" s="114">
        <f t="shared" si="133"/>
        <v>0</v>
      </c>
      <c r="L791" s="114">
        <f t="shared" si="133"/>
        <v>0</v>
      </c>
      <c r="M791" s="114">
        <f t="shared" si="133"/>
        <v>0</v>
      </c>
      <c r="N791" s="114">
        <f t="shared" si="133"/>
        <v>0</v>
      </c>
      <c r="O791" s="114">
        <f t="shared" si="133"/>
        <v>0</v>
      </c>
      <c r="P791" s="114">
        <f t="shared" si="133"/>
        <v>0</v>
      </c>
      <c r="Q791" s="114">
        <f>Q73*Q$7</f>
        <v>0</v>
      </c>
      <c r="R791" s="29"/>
      <c r="S791" s="104"/>
      <c r="T791" s="104"/>
      <c r="U791" s="104"/>
      <c r="V791" s="104"/>
      <c r="W791" s="104"/>
      <c r="X791" s="104"/>
      <c r="Y791" s="104"/>
      <c r="Z791" s="104"/>
      <c r="AA791" s="235"/>
      <c r="AB791" s="235"/>
      <c r="AC791" s="235"/>
      <c r="AD791" s="235"/>
      <c r="AE791" s="235"/>
      <c r="AF791" s="235"/>
      <c r="AG791" s="235"/>
      <c r="AH791" s="235"/>
      <c r="AI791" s="235"/>
      <c r="AJ791" s="235"/>
      <c r="AK791" s="235"/>
      <c r="AL791" s="235"/>
      <c r="AM791" s="235"/>
      <c r="AN791" s="235"/>
      <c r="AO791" s="235"/>
      <c r="AP791" s="235"/>
      <c r="AQ791" s="235"/>
      <c r="AR791" s="235"/>
      <c r="AS791" s="235"/>
      <c r="AT791" s="235"/>
      <c r="AU791" s="235"/>
      <c r="AV791" s="235"/>
      <c r="AW791" s="235"/>
      <c r="AX791" s="235"/>
      <c r="AY791" s="235"/>
      <c r="AZ791" s="235"/>
      <c r="BA791" s="235"/>
      <c r="BB791" s="235"/>
      <c r="BC791" s="235"/>
      <c r="BD791" s="104"/>
      <c r="BE791" s="104"/>
      <c r="BF791" s="104"/>
      <c r="BG791" s="104"/>
      <c r="BH791" s="104"/>
      <c r="BI791" s="104"/>
      <c r="BJ791" s="104"/>
      <c r="BK791" s="12"/>
      <c r="BL791" s="12"/>
    </row>
    <row r="792" spans="1:64" collapsed="1">
      <c r="A792" s="9"/>
      <c r="B792" s="9"/>
      <c r="C792" s="44"/>
      <c r="D792" s="116"/>
      <c r="E792" s="9"/>
      <c r="F792" s="9"/>
      <c r="G792" s="289"/>
      <c r="H792" s="35"/>
      <c r="I792" s="35"/>
      <c r="J792" s="35"/>
      <c r="K792" s="35"/>
      <c r="L792" s="35"/>
      <c r="M792" s="35"/>
      <c r="N792" s="29"/>
      <c r="O792" s="29"/>
      <c r="P792" s="29"/>
      <c r="Q792" s="29"/>
      <c r="R792" s="29"/>
      <c r="S792" s="104"/>
      <c r="T792" s="104"/>
      <c r="U792" s="104"/>
      <c r="V792" s="104"/>
      <c r="W792" s="104"/>
      <c r="X792" s="104"/>
      <c r="Y792" s="104"/>
      <c r="Z792" s="104"/>
      <c r="AA792" s="235"/>
      <c r="AB792" s="235"/>
      <c r="AC792" s="235"/>
      <c r="AD792" s="235"/>
      <c r="AE792" s="235"/>
      <c r="AF792" s="235"/>
      <c r="AG792" s="235"/>
      <c r="AH792" s="235"/>
      <c r="AI792" s="235"/>
      <c r="AJ792" s="235"/>
      <c r="AK792" s="235"/>
      <c r="AL792" s="235"/>
      <c r="AM792" s="235"/>
      <c r="AN792" s="235"/>
      <c r="AO792" s="235"/>
      <c r="AP792" s="235"/>
      <c r="AQ792" s="235"/>
      <c r="AR792" s="235"/>
      <c r="AS792" s="235"/>
      <c r="AT792" s="235"/>
      <c r="AU792" s="235"/>
      <c r="AV792" s="235"/>
      <c r="AW792" s="235"/>
      <c r="AX792" s="235"/>
      <c r="AY792" s="235"/>
      <c r="AZ792" s="235"/>
      <c r="BA792" s="235"/>
      <c r="BB792" s="235"/>
      <c r="BC792" s="235"/>
      <c r="BD792" s="104"/>
      <c r="BE792" s="104"/>
      <c r="BF792" s="104"/>
      <c r="BG792" s="104"/>
      <c r="BH792" s="104"/>
      <c r="BI792" s="104"/>
      <c r="BJ792" s="104"/>
      <c r="BK792" s="12"/>
      <c r="BL792" s="12"/>
    </row>
    <row r="793" spans="1:64">
      <c r="A793" s="9"/>
      <c r="B793" s="9"/>
      <c r="C793" s="94" t="s">
        <v>71</v>
      </c>
      <c r="D793" s="12"/>
      <c r="E793" s="9"/>
      <c r="F793" s="9"/>
      <c r="G793" s="208">
        <f>SUM(G794:G823)</f>
        <v>-22.262805038529823</v>
      </c>
      <c r="H793" s="35">
        <f>SUM(H794:H823)</f>
        <v>-23.96030507620603</v>
      </c>
      <c r="I793" s="35">
        <f t="shared" ref="I793:P793" si="134">SUM(I794:I823)</f>
        <v>-23.552013607514393</v>
      </c>
      <c r="J793" s="35">
        <f t="shared" si="134"/>
        <v>-31.70287366955235</v>
      </c>
      <c r="K793" s="35">
        <f t="shared" si="134"/>
        <v>-25.983207596634461</v>
      </c>
      <c r="L793" s="35">
        <f t="shared" si="134"/>
        <v>-30.410396383161416</v>
      </c>
      <c r="M793" s="35">
        <f t="shared" si="134"/>
        <v>0</v>
      </c>
      <c r="N793" s="35">
        <f t="shared" si="134"/>
        <v>0</v>
      </c>
      <c r="O793" s="35">
        <f t="shared" si="134"/>
        <v>0</v>
      </c>
      <c r="P793" s="35">
        <f t="shared" si="134"/>
        <v>0</v>
      </c>
      <c r="Q793" s="35">
        <f>SUM(Q794:Q823)</f>
        <v>0</v>
      </c>
      <c r="R793" s="29"/>
      <c r="S793" s="104"/>
      <c r="T793" s="104"/>
      <c r="U793" s="104"/>
      <c r="V793" s="104"/>
      <c r="W793" s="104"/>
      <c r="X793" s="104"/>
      <c r="Y793" s="104"/>
      <c r="Z793" s="104"/>
      <c r="AA793" s="235"/>
      <c r="AB793" s="235"/>
      <c r="AC793" s="235"/>
      <c r="AD793" s="235"/>
      <c r="AE793" s="235"/>
      <c r="AF793" s="235"/>
      <c r="AG793" s="235"/>
      <c r="AH793" s="235"/>
      <c r="AI793" s="235"/>
      <c r="AJ793" s="235"/>
      <c r="AK793" s="235"/>
      <c r="AL793" s="235"/>
      <c r="AM793" s="235"/>
      <c r="AN793" s="235"/>
      <c r="AO793" s="235"/>
      <c r="AP793" s="235"/>
      <c r="AQ793" s="235"/>
      <c r="AR793" s="235"/>
      <c r="AS793" s="235"/>
      <c r="AT793" s="235"/>
      <c r="AU793" s="235"/>
      <c r="AV793" s="235"/>
      <c r="AW793" s="235"/>
      <c r="AX793" s="235"/>
      <c r="AY793" s="235"/>
      <c r="AZ793" s="235"/>
      <c r="BA793" s="235"/>
      <c r="BB793" s="235"/>
      <c r="BC793" s="235"/>
      <c r="BD793" s="104"/>
      <c r="BE793" s="104"/>
      <c r="BF793" s="104"/>
      <c r="BG793" s="104"/>
      <c r="BH793" s="104"/>
      <c r="BI793" s="104"/>
      <c r="BJ793" s="104"/>
      <c r="BK793" s="12"/>
      <c r="BL793" s="12"/>
    </row>
    <row r="794" spans="1:64" ht="12.75" customHeight="1" outlineLevel="1">
      <c r="A794" s="9"/>
      <c r="B794" s="9"/>
      <c r="C794" s="44"/>
      <c r="D794" s="278" t="str">
        <f>Asset1</f>
        <v>Transmission Lines and Cables</v>
      </c>
      <c r="E794" s="9"/>
      <c r="F794" s="9"/>
      <c r="G794" s="210">
        <f>'Adjustment for previous period'!G398</f>
        <v>-6.5708704093471146</v>
      </c>
      <c r="H794" s="114">
        <f>H892+H924</f>
        <v>-5.8217047181963562</v>
      </c>
      <c r="I794" s="114">
        <f t="shared" ref="I794:Q794" si="135">I892+I924</f>
        <v>-5.121202117070105</v>
      </c>
      <c r="J794" s="114">
        <f t="shared" si="135"/>
        <v>-10.727037768483886</v>
      </c>
      <c r="K794" s="114">
        <f t="shared" si="135"/>
        <v>-8.6410914603044979</v>
      </c>
      <c r="L794" s="114">
        <f t="shared" si="135"/>
        <v>-9.2523777466326536</v>
      </c>
      <c r="M794" s="114">
        <f t="shared" si="135"/>
        <v>0</v>
      </c>
      <c r="N794" s="114">
        <f t="shared" si="135"/>
        <v>0</v>
      </c>
      <c r="O794" s="114">
        <f t="shared" si="135"/>
        <v>0</v>
      </c>
      <c r="P794" s="114">
        <f t="shared" si="135"/>
        <v>0</v>
      </c>
      <c r="Q794" s="114">
        <f t="shared" si="135"/>
        <v>0</v>
      </c>
      <c r="R794" s="29"/>
      <c r="S794" s="104"/>
      <c r="T794" s="104"/>
      <c r="U794" s="104"/>
      <c r="V794" s="104"/>
      <c r="W794" s="104"/>
      <c r="X794" s="104"/>
      <c r="Y794" s="104"/>
      <c r="Z794" s="104"/>
      <c r="AA794" s="235"/>
      <c r="AB794" s="235"/>
      <c r="AC794" s="235"/>
      <c r="AD794" s="235"/>
      <c r="AE794" s="235"/>
      <c r="AF794" s="235"/>
      <c r="AG794" s="235"/>
      <c r="AH794" s="235"/>
      <c r="AI794" s="235"/>
      <c r="AJ794" s="235"/>
      <c r="AK794" s="235"/>
      <c r="AL794" s="235"/>
      <c r="AM794" s="235"/>
      <c r="AN794" s="235"/>
      <c r="AO794" s="235"/>
      <c r="AP794" s="235"/>
      <c r="AQ794" s="235"/>
      <c r="AR794" s="235"/>
      <c r="AS794" s="235"/>
      <c r="AT794" s="235"/>
      <c r="AU794" s="235"/>
      <c r="AV794" s="235"/>
      <c r="AW794" s="235"/>
      <c r="AX794" s="235"/>
      <c r="AY794" s="235"/>
      <c r="AZ794" s="235"/>
      <c r="BA794" s="235"/>
      <c r="BB794" s="235"/>
      <c r="BC794" s="235"/>
      <c r="BD794" s="104"/>
      <c r="BE794" s="104"/>
      <c r="BF794" s="104"/>
      <c r="BG794" s="104"/>
      <c r="BH794" s="104"/>
      <c r="BI794" s="104"/>
      <c r="BJ794" s="104"/>
      <c r="BK794" s="12"/>
      <c r="BL794" s="12"/>
    </row>
    <row r="795" spans="1:64" ht="12.75" customHeight="1" outlineLevel="1">
      <c r="A795" s="9"/>
      <c r="B795" s="9"/>
      <c r="C795" s="44"/>
      <c r="D795" s="278" t="str">
        <f>Asset2</f>
        <v>Transmission Substations</v>
      </c>
      <c r="E795" s="9"/>
      <c r="F795" s="9"/>
      <c r="G795" s="210">
        <f>'Adjustment for previous period'!G399</f>
        <v>-4.6151674774377103</v>
      </c>
      <c r="H795" s="114">
        <f t="shared" ref="H795:Q795" si="136">H893+H925</f>
        <v>-2.9425085905477655</v>
      </c>
      <c r="I795" s="114">
        <f t="shared" si="136"/>
        <v>-1.7086724806096676</v>
      </c>
      <c r="J795" s="114">
        <f t="shared" si="136"/>
        <v>-9.0181559258938808</v>
      </c>
      <c r="K795" s="114">
        <f t="shared" si="136"/>
        <v>-5.937226165701162</v>
      </c>
      <c r="L795" s="114">
        <f t="shared" si="136"/>
        <v>-6.4800005480393725</v>
      </c>
      <c r="M795" s="114">
        <f t="shared" si="136"/>
        <v>0</v>
      </c>
      <c r="N795" s="114">
        <f t="shared" si="136"/>
        <v>0</v>
      </c>
      <c r="O795" s="114">
        <f t="shared" si="136"/>
        <v>0</v>
      </c>
      <c r="P795" s="114">
        <f t="shared" si="136"/>
        <v>0</v>
      </c>
      <c r="Q795" s="114">
        <f t="shared" si="136"/>
        <v>0</v>
      </c>
      <c r="R795" s="29"/>
      <c r="S795" s="104"/>
      <c r="T795" s="104"/>
      <c r="U795" s="104"/>
      <c r="V795" s="104"/>
      <c r="W795" s="104"/>
      <c r="X795" s="104"/>
      <c r="Y795" s="104"/>
      <c r="Z795" s="104"/>
      <c r="AA795" s="235"/>
      <c r="AB795" s="235"/>
      <c r="AC795" s="235"/>
      <c r="AD795" s="235"/>
      <c r="AE795" s="235"/>
      <c r="AF795" s="235"/>
      <c r="AG795" s="235"/>
      <c r="AH795" s="235"/>
      <c r="AI795" s="235"/>
      <c r="AJ795" s="235"/>
      <c r="AK795" s="235"/>
      <c r="AL795" s="235"/>
      <c r="AM795" s="235"/>
      <c r="AN795" s="235"/>
      <c r="AO795" s="235"/>
      <c r="AP795" s="235"/>
      <c r="AQ795" s="235"/>
      <c r="AR795" s="235"/>
      <c r="AS795" s="235"/>
      <c r="AT795" s="235"/>
      <c r="AU795" s="235"/>
      <c r="AV795" s="235"/>
      <c r="AW795" s="235"/>
      <c r="AX795" s="235"/>
      <c r="AY795" s="235"/>
      <c r="AZ795" s="235"/>
      <c r="BA795" s="235"/>
      <c r="BB795" s="235"/>
      <c r="BC795" s="235"/>
      <c r="BD795" s="104"/>
      <c r="BE795" s="104"/>
      <c r="BF795" s="104"/>
      <c r="BG795" s="104"/>
      <c r="BH795" s="104"/>
      <c r="BI795" s="104"/>
      <c r="BJ795" s="104"/>
      <c r="BK795" s="12"/>
      <c r="BL795" s="12"/>
    </row>
    <row r="796" spans="1:64" ht="12.75" customHeight="1" outlineLevel="1">
      <c r="A796" s="9"/>
      <c r="B796" s="9"/>
      <c r="C796" s="44"/>
      <c r="D796" s="278" t="str">
        <f>Asset3</f>
        <v>Protection and Control</v>
      </c>
      <c r="E796" s="9"/>
      <c r="F796" s="9"/>
      <c r="G796" s="210">
        <f>'Adjustment for previous period'!G400</f>
        <v>-5.514909320251248</v>
      </c>
      <c r="H796" s="114">
        <f t="shared" ref="H796:Q796" si="137">H894+H926</f>
        <v>-4.5097523028438911</v>
      </c>
      <c r="I796" s="114">
        <f t="shared" si="137"/>
        <v>-4.6099610728360485</v>
      </c>
      <c r="J796" s="114">
        <f t="shared" si="137"/>
        <v>-5.6774037327728735</v>
      </c>
      <c r="K796" s="114">
        <f t="shared" si="137"/>
        <v>-5.5462581674725628</v>
      </c>
      <c r="L796" s="114">
        <f t="shared" si="137"/>
        <v>-5.8465063916566429</v>
      </c>
      <c r="M796" s="114">
        <f t="shared" si="137"/>
        <v>0</v>
      </c>
      <c r="N796" s="114">
        <f t="shared" si="137"/>
        <v>0</v>
      </c>
      <c r="O796" s="114">
        <f t="shared" si="137"/>
        <v>0</v>
      </c>
      <c r="P796" s="114">
        <f t="shared" si="137"/>
        <v>0</v>
      </c>
      <c r="Q796" s="114">
        <f t="shared" si="137"/>
        <v>0</v>
      </c>
      <c r="R796" s="29"/>
      <c r="S796" s="104"/>
      <c r="T796" s="104"/>
      <c r="U796" s="104"/>
      <c r="V796" s="104"/>
      <c r="W796" s="104"/>
      <c r="X796" s="104"/>
      <c r="Y796" s="104"/>
      <c r="Z796" s="104"/>
      <c r="AA796" s="235"/>
      <c r="AB796" s="235"/>
      <c r="AC796" s="235"/>
      <c r="AD796" s="235"/>
      <c r="AE796" s="235"/>
      <c r="AF796" s="235"/>
      <c r="AG796" s="235"/>
      <c r="AH796" s="235"/>
      <c r="AI796" s="235"/>
      <c r="AJ796" s="235"/>
      <c r="AK796" s="235"/>
      <c r="AL796" s="235"/>
      <c r="AM796" s="235"/>
      <c r="AN796" s="235"/>
      <c r="AO796" s="235"/>
      <c r="AP796" s="235"/>
      <c r="AQ796" s="235"/>
      <c r="AR796" s="235"/>
      <c r="AS796" s="235"/>
      <c r="AT796" s="235"/>
      <c r="AU796" s="235"/>
      <c r="AV796" s="235"/>
      <c r="AW796" s="235"/>
      <c r="AX796" s="235"/>
      <c r="AY796" s="235"/>
      <c r="AZ796" s="235"/>
      <c r="BA796" s="235"/>
      <c r="BB796" s="235"/>
      <c r="BC796" s="235"/>
      <c r="BD796" s="104"/>
      <c r="BE796" s="104"/>
      <c r="BF796" s="104"/>
      <c r="BG796" s="104"/>
      <c r="BH796" s="104"/>
      <c r="BI796" s="104"/>
      <c r="BJ796" s="104"/>
      <c r="BK796" s="12"/>
      <c r="BL796" s="12"/>
    </row>
    <row r="797" spans="1:64" ht="12.75" customHeight="1" outlineLevel="1">
      <c r="A797" s="9"/>
      <c r="B797" s="9"/>
      <c r="C797" s="44"/>
      <c r="D797" s="278" t="str">
        <f>Asset4</f>
        <v>Refurbishment</v>
      </c>
      <c r="E797" s="9"/>
      <c r="F797" s="9"/>
      <c r="G797" s="210">
        <f>'Adjustment for previous period'!G401</f>
        <v>-3.1271970408972707</v>
      </c>
      <c r="H797" s="114">
        <f t="shared" ref="H797:Q797" si="138">H895+H927</f>
        <v>-1.664143135956714</v>
      </c>
      <c r="I797" s="114">
        <f t="shared" si="138"/>
        <v>-1.6856658348994422</v>
      </c>
      <c r="J797" s="114">
        <f t="shared" si="138"/>
        <v>-2.1591500463394362</v>
      </c>
      <c r="K797" s="114">
        <f t="shared" si="138"/>
        <v>-2.0749524280377196</v>
      </c>
      <c r="L797" s="114">
        <f t="shared" si="138"/>
        <v>-2.1899253892861883</v>
      </c>
      <c r="M797" s="114">
        <f t="shared" si="138"/>
        <v>0</v>
      </c>
      <c r="N797" s="114">
        <f t="shared" si="138"/>
        <v>0</v>
      </c>
      <c r="O797" s="114">
        <f t="shared" si="138"/>
        <v>0</v>
      </c>
      <c r="P797" s="114">
        <f t="shared" si="138"/>
        <v>0</v>
      </c>
      <c r="Q797" s="114">
        <f t="shared" si="138"/>
        <v>0</v>
      </c>
      <c r="R797" s="29"/>
      <c r="S797" s="104"/>
      <c r="T797" s="104"/>
      <c r="U797" s="104"/>
      <c r="V797" s="104"/>
      <c r="W797" s="104"/>
      <c r="X797" s="104"/>
      <c r="Y797" s="104"/>
      <c r="Z797" s="104"/>
      <c r="AA797" s="235"/>
      <c r="AB797" s="235"/>
      <c r="AC797" s="235"/>
      <c r="AD797" s="235"/>
      <c r="AE797" s="235"/>
      <c r="AF797" s="235"/>
      <c r="AG797" s="235"/>
      <c r="AH797" s="235"/>
      <c r="AI797" s="235"/>
      <c r="AJ797" s="235"/>
      <c r="AK797" s="235"/>
      <c r="AL797" s="235"/>
      <c r="AM797" s="235"/>
      <c r="AN797" s="235"/>
      <c r="AO797" s="235"/>
      <c r="AP797" s="235"/>
      <c r="AQ797" s="235"/>
      <c r="AR797" s="235"/>
      <c r="AS797" s="235"/>
      <c r="AT797" s="235"/>
      <c r="AU797" s="235"/>
      <c r="AV797" s="235"/>
      <c r="AW797" s="235"/>
      <c r="AX797" s="235"/>
      <c r="AY797" s="235"/>
      <c r="AZ797" s="235"/>
      <c r="BA797" s="235"/>
      <c r="BB797" s="235"/>
      <c r="BC797" s="235"/>
      <c r="BD797" s="104"/>
      <c r="BE797" s="104"/>
      <c r="BF797" s="104"/>
      <c r="BG797" s="104"/>
      <c r="BH797" s="104"/>
      <c r="BI797" s="104"/>
      <c r="BJ797" s="104"/>
      <c r="BK797" s="12"/>
      <c r="BL797" s="12"/>
    </row>
    <row r="798" spans="1:64" ht="12.75" customHeight="1" outlineLevel="1">
      <c r="A798" s="9"/>
      <c r="B798" s="9"/>
      <c r="C798" s="44"/>
      <c r="D798" s="278" t="str">
        <f>Asset5</f>
        <v>Other</v>
      </c>
      <c r="E798" s="9"/>
      <c r="F798" s="9"/>
      <c r="G798" s="210">
        <f>'Adjustment for previous period'!G402</f>
        <v>-1.6357162905502329</v>
      </c>
      <c r="H798" s="114">
        <f t="shared" ref="H798:Q798" si="139">H896+H928</f>
        <v>-1.6460508745661473</v>
      </c>
      <c r="I798" s="114">
        <f t="shared" si="139"/>
        <v>-1.7124583745679143</v>
      </c>
      <c r="J798" s="114">
        <f t="shared" si="139"/>
        <v>-1.9511033436306005</v>
      </c>
      <c r="K798" s="114">
        <f t="shared" si="139"/>
        <v>-1.9720052490697801</v>
      </c>
      <c r="L798" s="114">
        <f t="shared" si="139"/>
        <v>-2.0736765938173498</v>
      </c>
      <c r="M798" s="114">
        <f t="shared" si="139"/>
        <v>0</v>
      </c>
      <c r="N798" s="114">
        <f t="shared" si="139"/>
        <v>0</v>
      </c>
      <c r="O798" s="114">
        <f t="shared" si="139"/>
        <v>0</v>
      </c>
      <c r="P798" s="114">
        <f t="shared" si="139"/>
        <v>0</v>
      </c>
      <c r="Q798" s="114">
        <f t="shared" si="139"/>
        <v>0</v>
      </c>
      <c r="R798" s="29"/>
      <c r="S798" s="104"/>
      <c r="T798" s="104"/>
      <c r="U798" s="104"/>
      <c r="V798" s="104"/>
      <c r="W798" s="104"/>
      <c r="X798" s="104"/>
      <c r="Y798" s="104"/>
      <c r="Z798" s="104"/>
      <c r="AA798" s="235"/>
      <c r="AB798" s="235"/>
      <c r="AC798" s="235"/>
      <c r="AD798" s="235"/>
      <c r="AE798" s="235"/>
      <c r="AF798" s="235"/>
      <c r="AG798" s="235"/>
      <c r="AH798" s="235"/>
      <c r="AI798" s="235"/>
      <c r="AJ798" s="235"/>
      <c r="AK798" s="235"/>
      <c r="AL798" s="235"/>
      <c r="AM798" s="235"/>
      <c r="AN798" s="235"/>
      <c r="AO798" s="235"/>
      <c r="AP798" s="235"/>
      <c r="AQ798" s="235"/>
      <c r="AR798" s="235"/>
      <c r="AS798" s="235"/>
      <c r="AT798" s="235"/>
      <c r="AU798" s="235"/>
      <c r="AV798" s="235"/>
      <c r="AW798" s="235"/>
      <c r="AX798" s="235"/>
      <c r="AY798" s="235"/>
      <c r="AZ798" s="235"/>
      <c r="BA798" s="235"/>
      <c r="BB798" s="235"/>
      <c r="BC798" s="235"/>
      <c r="BD798" s="104"/>
      <c r="BE798" s="104"/>
      <c r="BF798" s="104"/>
      <c r="BG798" s="104"/>
      <c r="BH798" s="104"/>
      <c r="BI798" s="104"/>
      <c r="BJ798" s="104"/>
      <c r="BK798" s="12"/>
      <c r="BL798" s="12"/>
    </row>
    <row r="799" spans="1:64" ht="12.75" customHeight="1" outlineLevel="1">
      <c r="A799" s="9"/>
      <c r="B799" s="9"/>
      <c r="C799" s="44"/>
      <c r="D799" s="278" t="str">
        <f>Asset6</f>
        <v>Other - IT</v>
      </c>
      <c r="E799" s="9"/>
      <c r="F799" s="9"/>
      <c r="G799" s="210">
        <f>'Adjustment for previous period'!G403</f>
        <v>-1.3605739922335367</v>
      </c>
      <c r="H799" s="114">
        <f t="shared" ref="H799:Q799" si="140">H897+H929</f>
        <v>-11.177965330406291</v>
      </c>
      <c r="I799" s="114">
        <f t="shared" si="140"/>
        <v>-11.78973238663888</v>
      </c>
      <c r="J799" s="114">
        <f t="shared" si="140"/>
        <v>4.1638343862352711E-3</v>
      </c>
      <c r="K799" s="114">
        <f t="shared" si="140"/>
        <v>5.6580135448936128E-3</v>
      </c>
      <c r="L799" s="114">
        <f t="shared" si="140"/>
        <v>5.8417598589640338E-3</v>
      </c>
      <c r="M799" s="114">
        <f t="shared" si="140"/>
        <v>0</v>
      </c>
      <c r="N799" s="114">
        <f t="shared" si="140"/>
        <v>0</v>
      </c>
      <c r="O799" s="114">
        <f t="shared" si="140"/>
        <v>0</v>
      </c>
      <c r="P799" s="114">
        <f t="shared" si="140"/>
        <v>0</v>
      </c>
      <c r="Q799" s="114">
        <f t="shared" si="140"/>
        <v>0</v>
      </c>
      <c r="R799" s="29"/>
      <c r="S799" s="104"/>
      <c r="T799" s="104"/>
      <c r="U799" s="104"/>
      <c r="V799" s="104"/>
      <c r="W799" s="104"/>
      <c r="X799" s="104"/>
      <c r="Y799" s="104"/>
      <c r="Z799" s="104"/>
      <c r="AA799" s="235"/>
      <c r="AB799" s="235"/>
      <c r="AC799" s="235"/>
      <c r="AD799" s="235"/>
      <c r="AE799" s="235"/>
      <c r="AF799" s="235"/>
      <c r="AG799" s="235"/>
      <c r="AH799" s="235"/>
      <c r="AI799" s="235"/>
      <c r="AJ799" s="235"/>
      <c r="AK799" s="235"/>
      <c r="AL799" s="235"/>
      <c r="AM799" s="235"/>
      <c r="AN799" s="235"/>
      <c r="AO799" s="235"/>
      <c r="AP799" s="235"/>
      <c r="AQ799" s="235"/>
      <c r="AR799" s="235"/>
      <c r="AS799" s="235"/>
      <c r="AT799" s="235"/>
      <c r="AU799" s="235"/>
      <c r="AV799" s="235"/>
      <c r="AW799" s="235"/>
      <c r="AX799" s="235"/>
      <c r="AY799" s="235"/>
      <c r="AZ799" s="235"/>
      <c r="BA799" s="235"/>
      <c r="BB799" s="235"/>
      <c r="BC799" s="235"/>
      <c r="BD799" s="104"/>
      <c r="BE799" s="104"/>
      <c r="BF799" s="104"/>
      <c r="BG799" s="104"/>
      <c r="BH799" s="104"/>
      <c r="BI799" s="104"/>
      <c r="BJ799" s="104"/>
      <c r="BK799" s="12"/>
      <c r="BL799" s="12"/>
    </row>
    <row r="800" spans="1:64" ht="12.75" customHeight="1" outlineLevel="1">
      <c r="A800" s="9"/>
      <c r="B800" s="9"/>
      <c r="C800" s="44"/>
      <c r="D800" s="278" t="str">
        <f>Asset7</f>
        <v>Other - General</v>
      </c>
      <c r="E800" s="9"/>
      <c r="F800" s="9"/>
      <c r="G800" s="210">
        <f>'Adjustment for previous period'!G404</f>
        <v>-1.4546996008642703</v>
      </c>
      <c r="H800" s="114">
        <f t="shared" ref="H800:Q800" si="141">H898+H930</f>
        <v>1.2473242989840549</v>
      </c>
      <c r="I800" s="114">
        <f t="shared" si="141"/>
        <v>1.3104910938957564</v>
      </c>
      <c r="J800" s="114">
        <f t="shared" si="141"/>
        <v>1.4259352991621423</v>
      </c>
      <c r="K800" s="114">
        <f t="shared" si="141"/>
        <v>-1.3717588338755987E-4</v>
      </c>
      <c r="L800" s="114">
        <f t="shared" si="141"/>
        <v>-1.4046810458886135E-4</v>
      </c>
      <c r="M800" s="114">
        <f t="shared" si="141"/>
        <v>0</v>
      </c>
      <c r="N800" s="114">
        <f t="shared" si="141"/>
        <v>0</v>
      </c>
      <c r="O800" s="114">
        <f t="shared" si="141"/>
        <v>0</v>
      </c>
      <c r="P800" s="114">
        <f t="shared" si="141"/>
        <v>0</v>
      </c>
      <c r="Q800" s="114">
        <f t="shared" si="141"/>
        <v>0</v>
      </c>
      <c r="R800" s="29"/>
      <c r="S800" s="104"/>
      <c r="T800" s="104"/>
      <c r="U800" s="104"/>
      <c r="V800" s="104"/>
      <c r="W800" s="104"/>
      <c r="X800" s="104"/>
      <c r="Y800" s="104"/>
      <c r="Z800" s="104"/>
      <c r="AA800" s="235"/>
      <c r="AB800" s="235"/>
      <c r="AC800" s="235"/>
      <c r="AD800" s="235"/>
      <c r="AE800" s="235"/>
      <c r="AF800" s="235"/>
      <c r="AG800" s="235"/>
      <c r="AH800" s="235"/>
      <c r="AI800" s="235"/>
      <c r="AJ800" s="235"/>
      <c r="AK800" s="235"/>
      <c r="AL800" s="235"/>
      <c r="AM800" s="235"/>
      <c r="AN800" s="235"/>
      <c r="AO800" s="235"/>
      <c r="AP800" s="235"/>
      <c r="AQ800" s="235"/>
      <c r="AR800" s="235"/>
      <c r="AS800" s="235"/>
      <c r="AT800" s="235"/>
      <c r="AU800" s="235"/>
      <c r="AV800" s="235"/>
      <c r="AW800" s="235"/>
      <c r="AX800" s="235"/>
      <c r="AY800" s="235"/>
      <c r="AZ800" s="235"/>
      <c r="BA800" s="235"/>
      <c r="BB800" s="235"/>
      <c r="BC800" s="235"/>
      <c r="BD800" s="104"/>
      <c r="BE800" s="104"/>
      <c r="BF800" s="104"/>
      <c r="BG800" s="104"/>
      <c r="BH800" s="104"/>
      <c r="BI800" s="104"/>
      <c r="BJ800" s="104"/>
      <c r="BK800" s="12"/>
      <c r="BL800" s="12"/>
    </row>
    <row r="801" spans="1:64" ht="12.75" customHeight="1" outlineLevel="1">
      <c r="A801" s="9"/>
      <c r="B801" s="9"/>
      <c r="C801" s="44"/>
      <c r="D801" s="278" t="str">
        <f>Asset8</f>
        <v>Other - Buildings</v>
      </c>
      <c r="E801" s="9"/>
      <c r="F801" s="9"/>
      <c r="G801" s="210">
        <f>'Adjustment for previous period'!G405</f>
        <v>-2.9632298603983503E-2</v>
      </c>
      <c r="H801" s="114">
        <f t="shared" ref="H801:Q801" si="142">H899+H931</f>
        <v>1.2912783350601642E-2</v>
      </c>
      <c r="I801" s="114">
        <f t="shared" si="142"/>
        <v>9.0619484974551856E-2</v>
      </c>
      <c r="J801" s="114">
        <f t="shared" si="142"/>
        <v>-0.30044712914290184</v>
      </c>
      <c r="K801" s="114">
        <f t="shared" si="142"/>
        <v>-0.12205295256819504</v>
      </c>
      <c r="L801" s="114">
        <f t="shared" si="142"/>
        <v>-0.14187240789890487</v>
      </c>
      <c r="M801" s="114">
        <f t="shared" si="142"/>
        <v>0</v>
      </c>
      <c r="N801" s="114">
        <f t="shared" si="142"/>
        <v>0</v>
      </c>
      <c r="O801" s="114">
        <f t="shared" si="142"/>
        <v>0</v>
      </c>
      <c r="P801" s="114">
        <f t="shared" si="142"/>
        <v>0</v>
      </c>
      <c r="Q801" s="114">
        <f t="shared" si="142"/>
        <v>0</v>
      </c>
      <c r="R801" s="29"/>
      <c r="S801" s="104"/>
      <c r="T801" s="104"/>
      <c r="U801" s="104"/>
      <c r="V801" s="104"/>
      <c r="W801" s="104"/>
      <c r="X801" s="104"/>
      <c r="Y801" s="104"/>
      <c r="Z801" s="104"/>
      <c r="AA801" s="235"/>
      <c r="AB801" s="235"/>
      <c r="AC801" s="235"/>
      <c r="AD801" s="235"/>
      <c r="AE801" s="235"/>
      <c r="AF801" s="235"/>
      <c r="AG801" s="235"/>
      <c r="AH801" s="235"/>
      <c r="AI801" s="235"/>
      <c r="AJ801" s="235"/>
      <c r="AK801" s="235"/>
      <c r="AL801" s="235"/>
      <c r="AM801" s="235"/>
      <c r="AN801" s="235"/>
      <c r="AO801" s="235"/>
      <c r="AP801" s="235"/>
      <c r="AQ801" s="235"/>
      <c r="AR801" s="235"/>
      <c r="AS801" s="235"/>
      <c r="AT801" s="235"/>
      <c r="AU801" s="235"/>
      <c r="AV801" s="235"/>
      <c r="AW801" s="235"/>
      <c r="AX801" s="235"/>
      <c r="AY801" s="235"/>
      <c r="AZ801" s="235"/>
      <c r="BA801" s="235"/>
      <c r="BB801" s="235"/>
      <c r="BC801" s="235"/>
      <c r="BD801" s="104"/>
      <c r="BE801" s="104"/>
      <c r="BF801" s="104"/>
      <c r="BG801" s="104"/>
      <c r="BH801" s="104"/>
      <c r="BI801" s="104"/>
      <c r="BJ801" s="104"/>
      <c r="BK801" s="12"/>
      <c r="BL801" s="12"/>
    </row>
    <row r="802" spans="1:64" ht="12.75" customHeight="1" outlineLevel="1">
      <c r="A802" s="9"/>
      <c r="B802" s="9"/>
      <c r="C802" s="44"/>
      <c r="D802" s="278" t="str">
        <f>Asset9</f>
        <v>Land and Easements</v>
      </c>
      <c r="E802" s="9"/>
      <c r="F802" s="9"/>
      <c r="G802" s="210">
        <f>'Adjustment for previous period'!G406</f>
        <v>2.0459613916555419</v>
      </c>
      <c r="H802" s="114">
        <f t="shared" ref="H802:Q802" si="143">H900+H932</f>
        <v>2.5415827939764806</v>
      </c>
      <c r="I802" s="114">
        <f t="shared" si="143"/>
        <v>3.0181295678470632</v>
      </c>
      <c r="J802" s="114">
        <f t="shared" si="143"/>
        <v>1.4825899631529624</v>
      </c>
      <c r="K802" s="114">
        <f t="shared" si="143"/>
        <v>2.3784936578181233</v>
      </c>
      <c r="L802" s="114">
        <f t="shared" si="143"/>
        <v>2.4355775056057594</v>
      </c>
      <c r="M802" s="114">
        <f t="shared" si="143"/>
        <v>0</v>
      </c>
      <c r="N802" s="114">
        <f t="shared" si="143"/>
        <v>0</v>
      </c>
      <c r="O802" s="114">
        <f t="shared" si="143"/>
        <v>0</v>
      </c>
      <c r="P802" s="114">
        <f t="shared" si="143"/>
        <v>0</v>
      </c>
      <c r="Q802" s="114">
        <f t="shared" si="143"/>
        <v>0</v>
      </c>
      <c r="R802" s="29"/>
      <c r="S802" s="104"/>
      <c r="T802" s="104"/>
      <c r="U802" s="104"/>
      <c r="V802" s="104"/>
      <c r="W802" s="104"/>
      <c r="X802" s="104"/>
      <c r="Y802" s="104"/>
      <c r="Z802" s="104"/>
      <c r="AA802" s="235"/>
      <c r="AB802" s="235"/>
      <c r="AC802" s="235"/>
      <c r="AD802" s="235"/>
      <c r="AE802" s="235"/>
      <c r="AF802" s="235"/>
      <c r="AG802" s="235"/>
      <c r="AH802" s="235"/>
      <c r="AI802" s="235"/>
      <c r="AJ802" s="235"/>
      <c r="AK802" s="235"/>
      <c r="AL802" s="235"/>
      <c r="AM802" s="235"/>
      <c r="AN802" s="235"/>
      <c r="AO802" s="235"/>
      <c r="AP802" s="235"/>
      <c r="AQ802" s="235"/>
      <c r="AR802" s="235"/>
      <c r="AS802" s="235"/>
      <c r="AT802" s="235"/>
      <c r="AU802" s="235"/>
      <c r="AV802" s="235"/>
      <c r="AW802" s="235"/>
      <c r="AX802" s="235"/>
      <c r="AY802" s="235"/>
      <c r="AZ802" s="235"/>
      <c r="BA802" s="235"/>
      <c r="BB802" s="235"/>
      <c r="BC802" s="235"/>
      <c r="BD802" s="104"/>
      <c r="BE802" s="104"/>
      <c r="BF802" s="104"/>
      <c r="BG802" s="104"/>
      <c r="BH802" s="104"/>
      <c r="BI802" s="104"/>
      <c r="BJ802" s="104"/>
      <c r="BK802" s="12"/>
      <c r="BL802" s="12"/>
    </row>
    <row r="803" spans="1:64" ht="12.75" customHeight="1" outlineLevel="1">
      <c r="A803" s="9"/>
      <c r="B803" s="9"/>
      <c r="C803" s="44"/>
      <c r="D803" s="278" t="str">
        <f>Asset10</f>
        <v>Transmission line assets - long life (60)</v>
      </c>
      <c r="E803" s="9"/>
      <c r="F803" s="9"/>
      <c r="G803" s="210">
        <f>'Adjustment for previous period'!G407</f>
        <v>0</v>
      </c>
      <c r="H803" s="114">
        <f t="shared" ref="H803:Q803" si="144">H901+H933</f>
        <v>0</v>
      </c>
      <c r="I803" s="114">
        <f t="shared" si="144"/>
        <v>2.0372304081304519E-2</v>
      </c>
      <c r="J803" s="114">
        <f t="shared" si="144"/>
        <v>-0.16242442169636706</v>
      </c>
      <c r="K803" s="114">
        <f t="shared" si="144"/>
        <v>1.0318031165775468</v>
      </c>
      <c r="L803" s="114">
        <f t="shared" si="144"/>
        <v>1.0756678774835309</v>
      </c>
      <c r="M803" s="114">
        <f t="shared" si="144"/>
        <v>0</v>
      </c>
      <c r="N803" s="114">
        <f t="shared" si="144"/>
        <v>0</v>
      </c>
      <c r="O803" s="114">
        <f t="shared" si="144"/>
        <v>0</v>
      </c>
      <c r="P803" s="114">
        <f t="shared" si="144"/>
        <v>0</v>
      </c>
      <c r="Q803" s="114">
        <f t="shared" si="144"/>
        <v>0</v>
      </c>
      <c r="R803" s="29"/>
      <c r="S803" s="104"/>
      <c r="T803" s="104"/>
      <c r="U803" s="104"/>
      <c r="V803" s="104"/>
      <c r="W803" s="104"/>
      <c r="X803" s="104"/>
      <c r="Y803" s="104"/>
      <c r="Z803" s="104"/>
      <c r="AA803" s="235"/>
      <c r="AB803" s="235"/>
      <c r="AC803" s="235"/>
      <c r="AD803" s="235"/>
      <c r="AE803" s="235"/>
      <c r="AF803" s="235"/>
      <c r="AG803" s="235"/>
      <c r="AH803" s="235"/>
      <c r="AI803" s="235"/>
      <c r="AJ803" s="235"/>
      <c r="AK803" s="235"/>
      <c r="AL803" s="235"/>
      <c r="AM803" s="235"/>
      <c r="AN803" s="235"/>
      <c r="AO803" s="235"/>
      <c r="AP803" s="235"/>
      <c r="AQ803" s="235"/>
      <c r="AR803" s="235"/>
      <c r="AS803" s="235"/>
      <c r="AT803" s="235"/>
      <c r="AU803" s="235"/>
      <c r="AV803" s="235"/>
      <c r="AW803" s="235"/>
      <c r="AX803" s="235"/>
      <c r="AY803" s="235"/>
      <c r="AZ803" s="235"/>
      <c r="BA803" s="235"/>
      <c r="BB803" s="235"/>
      <c r="BC803" s="235"/>
      <c r="BD803" s="104"/>
      <c r="BE803" s="104"/>
      <c r="BF803" s="104"/>
      <c r="BG803" s="104"/>
      <c r="BH803" s="104"/>
      <c r="BI803" s="104"/>
      <c r="BJ803" s="104"/>
      <c r="BK803" s="12"/>
      <c r="BL803" s="12"/>
    </row>
    <row r="804" spans="1:64" ht="12.75" customHeight="1" outlineLevel="1">
      <c r="A804" s="9"/>
      <c r="B804" s="9"/>
      <c r="C804" s="44"/>
      <c r="D804" s="278" t="str">
        <f>Asset11</f>
        <v>Transmission line assets - medium life (45)</v>
      </c>
      <c r="E804" s="9"/>
      <c r="F804" s="9"/>
      <c r="G804" s="210">
        <f>'Adjustment for previous period'!G408</f>
        <v>0</v>
      </c>
      <c r="H804" s="114">
        <f t="shared" ref="H804:Q804" si="145">H902+H934</f>
        <v>0</v>
      </c>
      <c r="I804" s="114">
        <f t="shared" si="145"/>
        <v>1.4143898368975733E-4</v>
      </c>
      <c r="J804" s="114">
        <f t="shared" si="145"/>
        <v>-3.2773501167647468E-4</v>
      </c>
      <c r="K804" s="114">
        <f t="shared" si="145"/>
        <v>5.4651353809582592E-4</v>
      </c>
      <c r="L804" s="114">
        <f t="shared" si="145"/>
        <v>1.3039642988639001E-3</v>
      </c>
      <c r="M804" s="114">
        <f t="shared" si="145"/>
        <v>0</v>
      </c>
      <c r="N804" s="114">
        <f t="shared" si="145"/>
        <v>0</v>
      </c>
      <c r="O804" s="114">
        <f t="shared" si="145"/>
        <v>0</v>
      </c>
      <c r="P804" s="114">
        <f t="shared" si="145"/>
        <v>0</v>
      </c>
      <c r="Q804" s="114">
        <f t="shared" si="145"/>
        <v>0</v>
      </c>
      <c r="R804" s="29"/>
      <c r="S804" s="104"/>
      <c r="T804" s="104"/>
      <c r="U804" s="104"/>
      <c r="V804" s="104"/>
      <c r="W804" s="104"/>
      <c r="X804" s="104"/>
      <c r="Y804" s="104"/>
      <c r="Z804" s="104"/>
      <c r="AA804" s="235"/>
      <c r="AB804" s="235"/>
      <c r="AC804" s="235"/>
      <c r="AD804" s="235"/>
      <c r="AE804" s="235"/>
      <c r="AF804" s="235"/>
      <c r="AG804" s="235"/>
      <c r="AH804" s="235"/>
      <c r="AI804" s="235"/>
      <c r="AJ804" s="235"/>
      <c r="AK804" s="235"/>
      <c r="AL804" s="235"/>
      <c r="AM804" s="235"/>
      <c r="AN804" s="235"/>
      <c r="AO804" s="235"/>
      <c r="AP804" s="235"/>
      <c r="AQ804" s="235"/>
      <c r="AR804" s="235"/>
      <c r="AS804" s="235"/>
      <c r="AT804" s="235"/>
      <c r="AU804" s="235"/>
      <c r="AV804" s="235"/>
      <c r="AW804" s="235"/>
      <c r="AX804" s="235"/>
      <c r="AY804" s="235"/>
      <c r="AZ804" s="235"/>
      <c r="BA804" s="235"/>
      <c r="BB804" s="235"/>
      <c r="BC804" s="235"/>
      <c r="BD804" s="104"/>
      <c r="BE804" s="104"/>
      <c r="BF804" s="104"/>
      <c r="BG804" s="104"/>
      <c r="BH804" s="104"/>
      <c r="BI804" s="104"/>
      <c r="BJ804" s="104"/>
      <c r="BK804" s="12"/>
      <c r="BL804" s="12"/>
    </row>
    <row r="805" spans="1:64" ht="12.75" customHeight="1" outlineLevel="1">
      <c r="A805" s="9"/>
      <c r="B805" s="9"/>
      <c r="C805" s="44"/>
      <c r="D805" s="278" t="str">
        <f>Asset12</f>
        <v>Transmission line assets - short life (10)</v>
      </c>
      <c r="E805" s="9"/>
      <c r="F805" s="9"/>
      <c r="G805" s="210">
        <f>'Adjustment for previous period'!G409</f>
        <v>0</v>
      </c>
      <c r="H805" s="114">
        <f t="shared" ref="H805:Q805" si="146">H903+H935</f>
        <v>0</v>
      </c>
      <c r="I805" s="114">
        <f t="shared" si="146"/>
        <v>-2.6335609568994833E-2</v>
      </c>
      <c r="J805" s="114">
        <f t="shared" si="146"/>
        <v>-6.9963394751655181E-2</v>
      </c>
      <c r="K805" s="114">
        <f t="shared" si="146"/>
        <v>-0.10740962278617751</v>
      </c>
      <c r="L805" s="114">
        <f t="shared" si="146"/>
        <v>-0.16544904400457625</v>
      </c>
      <c r="M805" s="114">
        <f t="shared" si="146"/>
        <v>0</v>
      </c>
      <c r="N805" s="114">
        <f t="shared" si="146"/>
        <v>0</v>
      </c>
      <c r="O805" s="114">
        <f t="shared" si="146"/>
        <v>0</v>
      </c>
      <c r="P805" s="114">
        <f t="shared" si="146"/>
        <v>0</v>
      </c>
      <c r="Q805" s="114">
        <f t="shared" si="146"/>
        <v>0</v>
      </c>
      <c r="R805" s="29"/>
      <c r="S805" s="104"/>
      <c r="T805" s="104"/>
      <c r="U805" s="104"/>
      <c r="V805" s="104"/>
      <c r="W805" s="104"/>
      <c r="X805" s="104"/>
      <c r="Y805" s="104"/>
      <c r="Z805" s="104"/>
      <c r="AA805" s="235"/>
      <c r="AB805" s="235"/>
      <c r="AC805" s="235"/>
      <c r="AD805" s="235"/>
      <c r="AE805" s="235"/>
      <c r="AF805" s="235"/>
      <c r="AG805" s="235"/>
      <c r="AH805" s="235"/>
      <c r="AI805" s="235"/>
      <c r="AJ805" s="235"/>
      <c r="AK805" s="235"/>
      <c r="AL805" s="235"/>
      <c r="AM805" s="235"/>
      <c r="AN805" s="235"/>
      <c r="AO805" s="235"/>
      <c r="AP805" s="235"/>
      <c r="AQ805" s="235"/>
      <c r="AR805" s="235"/>
      <c r="AS805" s="235"/>
      <c r="AT805" s="235"/>
      <c r="AU805" s="235"/>
      <c r="AV805" s="235"/>
      <c r="AW805" s="235"/>
      <c r="AX805" s="235"/>
      <c r="AY805" s="235"/>
      <c r="AZ805" s="235"/>
      <c r="BA805" s="235"/>
      <c r="BB805" s="235"/>
      <c r="BC805" s="235"/>
      <c r="BD805" s="104"/>
      <c r="BE805" s="104"/>
      <c r="BF805" s="104"/>
      <c r="BG805" s="104"/>
      <c r="BH805" s="104"/>
      <c r="BI805" s="104"/>
      <c r="BJ805" s="104"/>
      <c r="BK805" s="12"/>
      <c r="BL805" s="12"/>
    </row>
    <row r="806" spans="1:64" ht="12.75" customHeight="1" outlineLevel="1">
      <c r="A806" s="9"/>
      <c r="B806" s="9"/>
      <c r="C806" s="44"/>
      <c r="D806" s="278" t="str">
        <f>Asset13</f>
        <v>Substation assets - long life (60)</v>
      </c>
      <c r="E806" s="9"/>
      <c r="F806" s="9"/>
      <c r="G806" s="210">
        <f>'Adjustment for previous period'!G410</f>
        <v>0</v>
      </c>
      <c r="H806" s="114">
        <f t="shared" ref="H806:Q806" si="147">H904+H936</f>
        <v>0</v>
      </c>
      <c r="I806" s="114">
        <f t="shared" si="147"/>
        <v>4.0420553813232216E-2</v>
      </c>
      <c r="J806" s="114">
        <f t="shared" si="147"/>
        <v>-3.5793007870741078E-2</v>
      </c>
      <c r="K806" s="114">
        <f t="shared" si="147"/>
        <v>0.28345831015300982</v>
      </c>
      <c r="L806" s="114">
        <f t="shared" si="147"/>
        <v>0.33987283937890089</v>
      </c>
      <c r="M806" s="114">
        <f t="shared" si="147"/>
        <v>0</v>
      </c>
      <c r="N806" s="114">
        <f t="shared" si="147"/>
        <v>0</v>
      </c>
      <c r="O806" s="114">
        <f t="shared" si="147"/>
        <v>0</v>
      </c>
      <c r="P806" s="114">
        <f t="shared" si="147"/>
        <v>0</v>
      </c>
      <c r="Q806" s="114">
        <f t="shared" si="147"/>
        <v>0</v>
      </c>
      <c r="R806" s="29"/>
      <c r="S806" s="104"/>
      <c r="T806" s="104"/>
      <c r="U806" s="104"/>
      <c r="V806" s="104"/>
      <c r="W806" s="104"/>
      <c r="X806" s="104"/>
      <c r="Y806" s="104"/>
      <c r="Z806" s="104"/>
      <c r="AA806" s="235"/>
      <c r="AB806" s="235"/>
      <c r="AC806" s="235"/>
      <c r="AD806" s="235"/>
      <c r="AE806" s="235"/>
      <c r="AF806" s="235"/>
      <c r="AG806" s="235"/>
      <c r="AH806" s="235"/>
      <c r="AI806" s="235"/>
      <c r="AJ806" s="235"/>
      <c r="AK806" s="235"/>
      <c r="AL806" s="235"/>
      <c r="AM806" s="235"/>
      <c r="AN806" s="235"/>
      <c r="AO806" s="235"/>
      <c r="AP806" s="235"/>
      <c r="AQ806" s="235"/>
      <c r="AR806" s="235"/>
      <c r="AS806" s="235"/>
      <c r="AT806" s="235"/>
      <c r="AU806" s="235"/>
      <c r="AV806" s="235"/>
      <c r="AW806" s="235"/>
      <c r="AX806" s="235"/>
      <c r="AY806" s="235"/>
      <c r="AZ806" s="235"/>
      <c r="BA806" s="235"/>
      <c r="BB806" s="235"/>
      <c r="BC806" s="235"/>
      <c r="BD806" s="104"/>
      <c r="BE806" s="104"/>
      <c r="BF806" s="104"/>
      <c r="BG806" s="104"/>
      <c r="BH806" s="104"/>
      <c r="BI806" s="104"/>
      <c r="BJ806" s="104"/>
      <c r="BK806" s="12"/>
      <c r="BL806" s="12"/>
    </row>
    <row r="807" spans="1:64" ht="12.75" customHeight="1" outlineLevel="1">
      <c r="A807" s="9"/>
      <c r="B807" s="9"/>
      <c r="C807" s="44"/>
      <c r="D807" s="278" t="str">
        <f>Asset14</f>
        <v>Substation assets - medium life (45)</v>
      </c>
      <c r="E807" s="9"/>
      <c r="F807" s="9"/>
      <c r="G807" s="210">
        <f>'Adjustment for previous period'!G411</f>
        <v>0</v>
      </c>
      <c r="H807" s="114">
        <f t="shared" ref="H807:Q807" si="148">H905+H937</f>
        <v>0</v>
      </c>
      <c r="I807" s="114">
        <f t="shared" si="148"/>
        <v>0.12325818236996683</v>
      </c>
      <c r="J807" s="114">
        <f t="shared" si="148"/>
        <v>-0.48990969399752649</v>
      </c>
      <c r="K807" s="114">
        <f t="shared" si="148"/>
        <v>0.21718283678990113</v>
      </c>
      <c r="L807" s="114">
        <f t="shared" si="148"/>
        <v>0.23959223363138449</v>
      </c>
      <c r="M807" s="114">
        <f t="shared" si="148"/>
        <v>0</v>
      </c>
      <c r="N807" s="114">
        <f t="shared" si="148"/>
        <v>0</v>
      </c>
      <c r="O807" s="114">
        <f t="shared" si="148"/>
        <v>0</v>
      </c>
      <c r="P807" s="114">
        <f t="shared" si="148"/>
        <v>0</v>
      </c>
      <c r="Q807" s="114">
        <f t="shared" si="148"/>
        <v>0</v>
      </c>
      <c r="R807" s="29"/>
      <c r="S807" s="104"/>
      <c r="T807" s="104"/>
      <c r="U807" s="104"/>
      <c r="V807" s="104"/>
      <c r="W807" s="104"/>
      <c r="X807" s="104"/>
      <c r="Y807" s="104"/>
      <c r="Z807" s="104"/>
      <c r="AA807" s="235"/>
      <c r="AB807" s="235"/>
      <c r="AC807" s="235"/>
      <c r="AD807" s="235"/>
      <c r="AE807" s="235"/>
      <c r="AF807" s="235"/>
      <c r="AG807" s="235"/>
      <c r="AH807" s="235"/>
      <c r="AI807" s="235"/>
      <c r="AJ807" s="235"/>
      <c r="AK807" s="235"/>
      <c r="AL807" s="235"/>
      <c r="AM807" s="235"/>
      <c r="AN807" s="235"/>
      <c r="AO807" s="235"/>
      <c r="AP807" s="235"/>
      <c r="AQ807" s="235"/>
      <c r="AR807" s="235"/>
      <c r="AS807" s="235"/>
      <c r="AT807" s="235"/>
      <c r="AU807" s="235"/>
      <c r="AV807" s="235"/>
      <c r="AW807" s="235"/>
      <c r="AX807" s="235"/>
      <c r="AY807" s="235"/>
      <c r="AZ807" s="235"/>
      <c r="BA807" s="235"/>
      <c r="BB807" s="235"/>
      <c r="BC807" s="235"/>
      <c r="BD807" s="104"/>
      <c r="BE807" s="104"/>
      <c r="BF807" s="104"/>
      <c r="BG807" s="104"/>
      <c r="BH807" s="104"/>
      <c r="BI807" s="104"/>
      <c r="BJ807" s="104"/>
      <c r="BK807" s="12"/>
      <c r="BL807" s="12"/>
    </row>
    <row r="808" spans="1:64" ht="12.75" customHeight="1" outlineLevel="1">
      <c r="A808" s="9"/>
      <c r="B808" s="9"/>
      <c r="C808" s="44"/>
      <c r="D808" s="278" t="str">
        <f>Asset15</f>
        <v>Substation assets - short life (15)</v>
      </c>
      <c r="E808" s="9"/>
      <c r="F808" s="9"/>
      <c r="G808" s="210">
        <f>'Adjustment for previous period'!G412</f>
        <v>0</v>
      </c>
      <c r="H808" s="114">
        <f t="shared" ref="H808:Q808" si="149">H906+H938</f>
        <v>0</v>
      </c>
      <c r="I808" s="114">
        <f t="shared" si="149"/>
        <v>-0.43569128169251897</v>
      </c>
      <c r="J808" s="114">
        <f t="shared" si="149"/>
        <v>-0.77274735511403536</v>
      </c>
      <c r="K808" s="114">
        <f t="shared" si="149"/>
        <v>-0.73152176621305487</v>
      </c>
      <c r="L808" s="114">
        <f t="shared" si="149"/>
        <v>-0.96108337409949929</v>
      </c>
      <c r="M808" s="114">
        <f t="shared" si="149"/>
        <v>0</v>
      </c>
      <c r="N808" s="114">
        <f t="shared" si="149"/>
        <v>0</v>
      </c>
      <c r="O808" s="114">
        <f t="shared" si="149"/>
        <v>0</v>
      </c>
      <c r="P808" s="114">
        <f t="shared" si="149"/>
        <v>0</v>
      </c>
      <c r="Q808" s="114">
        <f t="shared" si="149"/>
        <v>0</v>
      </c>
      <c r="R808" s="29"/>
      <c r="S808" s="104"/>
      <c r="T808" s="104"/>
      <c r="U808" s="104"/>
      <c r="V808" s="104"/>
      <c r="W808" s="104"/>
      <c r="X808" s="104"/>
      <c r="Y808" s="104"/>
      <c r="Z808" s="104"/>
      <c r="AA808" s="235"/>
      <c r="AB808" s="235"/>
      <c r="AC808" s="235"/>
      <c r="AD808" s="235"/>
      <c r="AE808" s="235"/>
      <c r="AF808" s="235"/>
      <c r="AG808" s="235"/>
      <c r="AH808" s="235"/>
      <c r="AI808" s="235"/>
      <c r="AJ808" s="235"/>
      <c r="AK808" s="235"/>
      <c r="AL808" s="235"/>
      <c r="AM808" s="235"/>
      <c r="AN808" s="235"/>
      <c r="AO808" s="235"/>
      <c r="AP808" s="235"/>
      <c r="AQ808" s="235"/>
      <c r="AR808" s="235"/>
      <c r="AS808" s="235"/>
      <c r="AT808" s="235"/>
      <c r="AU808" s="235"/>
      <c r="AV808" s="235"/>
      <c r="AW808" s="235"/>
      <c r="AX808" s="235"/>
      <c r="AY808" s="235"/>
      <c r="AZ808" s="235"/>
      <c r="BA808" s="235"/>
      <c r="BB808" s="235"/>
      <c r="BC808" s="235"/>
      <c r="BD808" s="104"/>
      <c r="BE808" s="104"/>
      <c r="BF808" s="104"/>
      <c r="BG808" s="104"/>
      <c r="BH808" s="104"/>
      <c r="BI808" s="104"/>
      <c r="BJ808" s="104"/>
      <c r="BK808" s="12"/>
      <c r="BL808" s="12"/>
    </row>
    <row r="809" spans="1:64" ht="12.75" customHeight="1" outlineLevel="1">
      <c r="A809" s="9"/>
      <c r="B809" s="9"/>
      <c r="C809" s="44"/>
      <c r="D809" s="278" t="str">
        <f>Asset16</f>
        <v>Protection and control - short life (15)</v>
      </c>
      <c r="E809" s="9"/>
      <c r="F809" s="9"/>
      <c r="G809" s="210">
        <f>'Adjustment for previous period'!G413</f>
        <v>0</v>
      </c>
      <c r="H809" s="114">
        <f t="shared" ref="H809:Q809" si="150">H907+H939</f>
        <v>0</v>
      </c>
      <c r="I809" s="114">
        <f t="shared" si="150"/>
        <v>-0.38824272989292885</v>
      </c>
      <c r="J809" s="114">
        <f t="shared" si="150"/>
        <v>-1.3706684658118398</v>
      </c>
      <c r="K809" s="114">
        <f t="shared" si="150"/>
        <v>-2.0818904979770378</v>
      </c>
      <c r="L809" s="114">
        <f t="shared" si="150"/>
        <v>-3.0376754457831754</v>
      </c>
      <c r="M809" s="114">
        <f t="shared" si="150"/>
        <v>0</v>
      </c>
      <c r="N809" s="114">
        <f t="shared" si="150"/>
        <v>0</v>
      </c>
      <c r="O809" s="114">
        <f t="shared" si="150"/>
        <v>0</v>
      </c>
      <c r="P809" s="114">
        <f t="shared" si="150"/>
        <v>0</v>
      </c>
      <c r="Q809" s="114">
        <f t="shared" si="150"/>
        <v>0</v>
      </c>
      <c r="R809" s="29"/>
      <c r="S809" s="104"/>
      <c r="T809" s="104"/>
      <c r="U809" s="104"/>
      <c r="V809" s="104"/>
      <c r="W809" s="104"/>
      <c r="X809" s="104"/>
      <c r="Y809" s="104"/>
      <c r="Z809" s="104"/>
      <c r="AA809" s="235"/>
      <c r="AB809" s="235"/>
      <c r="AC809" s="235"/>
      <c r="AD809" s="235"/>
      <c r="AE809" s="235"/>
      <c r="AF809" s="235"/>
      <c r="AG809" s="235"/>
      <c r="AH809" s="235"/>
      <c r="AI809" s="235"/>
      <c r="AJ809" s="235"/>
      <c r="AK809" s="235"/>
      <c r="AL809" s="235"/>
      <c r="AM809" s="235"/>
      <c r="AN809" s="235"/>
      <c r="AO809" s="235"/>
      <c r="AP809" s="235"/>
      <c r="AQ809" s="235"/>
      <c r="AR809" s="235"/>
      <c r="AS809" s="235"/>
      <c r="AT809" s="235"/>
      <c r="AU809" s="235"/>
      <c r="AV809" s="235"/>
      <c r="AW809" s="235"/>
      <c r="AX809" s="235"/>
      <c r="AY809" s="235"/>
      <c r="AZ809" s="235"/>
      <c r="BA809" s="235"/>
      <c r="BB809" s="235"/>
      <c r="BC809" s="235"/>
      <c r="BD809" s="104"/>
      <c r="BE809" s="104"/>
      <c r="BF809" s="104"/>
      <c r="BG809" s="104"/>
      <c r="BH809" s="104"/>
      <c r="BI809" s="104"/>
      <c r="BJ809" s="104"/>
      <c r="BK809" s="12"/>
      <c r="BL809" s="12"/>
    </row>
    <row r="810" spans="1:64" ht="12.75" customHeight="1" outlineLevel="1">
      <c r="A810" s="9"/>
      <c r="B810" s="9"/>
      <c r="C810" s="44"/>
      <c r="D810" s="278" t="str">
        <f>Asset17</f>
        <v>Protection and control - short life (4)</v>
      </c>
      <c r="E810" s="9"/>
      <c r="F810" s="9"/>
      <c r="G810" s="210">
        <f>'Adjustment for previous period'!G414</f>
        <v>0</v>
      </c>
      <c r="H810" s="114">
        <f t="shared" ref="H810:Q810" si="151">H908+H940</f>
        <v>0</v>
      </c>
      <c r="I810" s="114">
        <f t="shared" si="151"/>
        <v>-9.7053312662250014E-3</v>
      </c>
      <c r="J810" s="114">
        <f t="shared" si="151"/>
        <v>-2.9632395750024004E-2</v>
      </c>
      <c r="K810" s="114">
        <f t="shared" si="151"/>
        <v>-0.332041315730631</v>
      </c>
      <c r="L810" s="114">
        <f t="shared" si="151"/>
        <v>-0.42258094631527332</v>
      </c>
      <c r="M810" s="114">
        <f t="shared" si="151"/>
        <v>0</v>
      </c>
      <c r="N810" s="114">
        <f t="shared" si="151"/>
        <v>0</v>
      </c>
      <c r="O810" s="114">
        <f t="shared" si="151"/>
        <v>0</v>
      </c>
      <c r="P810" s="114">
        <f t="shared" si="151"/>
        <v>0</v>
      </c>
      <c r="Q810" s="114">
        <f t="shared" si="151"/>
        <v>0</v>
      </c>
      <c r="R810" s="29"/>
      <c r="S810" s="104"/>
      <c r="T810" s="104"/>
      <c r="U810" s="104"/>
      <c r="V810" s="104"/>
      <c r="W810" s="104"/>
      <c r="X810" s="104"/>
      <c r="Y810" s="104"/>
      <c r="Z810" s="104"/>
      <c r="AA810" s="235"/>
      <c r="AB810" s="235"/>
      <c r="AC810" s="235"/>
      <c r="AD810" s="235"/>
      <c r="AE810" s="235"/>
      <c r="AF810" s="235"/>
      <c r="AG810" s="235"/>
      <c r="AH810" s="235"/>
      <c r="AI810" s="235"/>
      <c r="AJ810" s="235"/>
      <c r="AK810" s="235"/>
      <c r="AL810" s="235"/>
      <c r="AM810" s="235"/>
      <c r="AN810" s="235"/>
      <c r="AO810" s="235"/>
      <c r="AP810" s="235"/>
      <c r="AQ810" s="235"/>
      <c r="AR810" s="235"/>
      <c r="AS810" s="235"/>
      <c r="AT810" s="235"/>
      <c r="AU810" s="235"/>
      <c r="AV810" s="235"/>
      <c r="AW810" s="235"/>
      <c r="AX810" s="235"/>
      <c r="AY810" s="235"/>
      <c r="AZ810" s="235"/>
      <c r="BA810" s="235"/>
      <c r="BB810" s="235"/>
      <c r="BC810" s="235"/>
      <c r="BD810" s="104"/>
      <c r="BE810" s="104"/>
      <c r="BF810" s="104"/>
      <c r="BG810" s="104"/>
      <c r="BH810" s="104"/>
      <c r="BI810" s="104"/>
      <c r="BJ810" s="104"/>
      <c r="BK810" s="12"/>
      <c r="BL810" s="12"/>
    </row>
    <row r="811" spans="1:64" ht="12.75" customHeight="1" outlineLevel="1">
      <c r="A811" s="9"/>
      <c r="B811" s="9"/>
      <c r="C811" s="44"/>
      <c r="D811" s="278" t="str">
        <f>Asset18</f>
        <v>Transmission operations - short life (10)</v>
      </c>
      <c r="E811" s="9"/>
      <c r="F811" s="9"/>
      <c r="G811" s="210">
        <f>'Adjustment for previous period'!G415</f>
        <v>0</v>
      </c>
      <c r="H811" s="114">
        <f t="shared" ref="H811:Q811" si="152">H909+H941</f>
        <v>0</v>
      </c>
      <c r="I811" s="114">
        <f t="shared" si="152"/>
        <v>-8.2873275541213667E-2</v>
      </c>
      <c r="J811" s="114">
        <f t="shared" si="152"/>
        <v>-0.25561560578922932</v>
      </c>
      <c r="K811" s="114">
        <f t="shared" si="152"/>
        <v>-0.4454029165040842</v>
      </c>
      <c r="L811" s="114">
        <f t="shared" si="152"/>
        <v>-0.61894821368192077</v>
      </c>
      <c r="M811" s="114">
        <f t="shared" si="152"/>
        <v>0</v>
      </c>
      <c r="N811" s="114">
        <f t="shared" si="152"/>
        <v>0</v>
      </c>
      <c r="O811" s="114">
        <f t="shared" si="152"/>
        <v>0</v>
      </c>
      <c r="P811" s="114">
        <f t="shared" si="152"/>
        <v>0</v>
      </c>
      <c r="Q811" s="114">
        <f t="shared" si="152"/>
        <v>0</v>
      </c>
      <c r="R811" s="29"/>
      <c r="S811" s="104"/>
      <c r="T811" s="104"/>
      <c r="U811" s="104"/>
      <c r="V811" s="104"/>
      <c r="W811" s="104"/>
      <c r="X811" s="104"/>
      <c r="Y811" s="104"/>
      <c r="Z811" s="104"/>
      <c r="AA811" s="235"/>
      <c r="AB811" s="235"/>
      <c r="AC811" s="235"/>
      <c r="AD811" s="235"/>
      <c r="AE811" s="235"/>
      <c r="AF811" s="235"/>
      <c r="AG811" s="235"/>
      <c r="AH811" s="235"/>
      <c r="AI811" s="235"/>
      <c r="AJ811" s="235"/>
      <c r="AK811" s="235"/>
      <c r="AL811" s="235"/>
      <c r="AM811" s="235"/>
      <c r="AN811" s="235"/>
      <c r="AO811" s="235"/>
      <c r="AP811" s="235"/>
      <c r="AQ811" s="235"/>
      <c r="AR811" s="235"/>
      <c r="AS811" s="235"/>
      <c r="AT811" s="235"/>
      <c r="AU811" s="235"/>
      <c r="AV811" s="235"/>
      <c r="AW811" s="235"/>
      <c r="AX811" s="235"/>
      <c r="AY811" s="235"/>
      <c r="AZ811" s="235"/>
      <c r="BA811" s="235"/>
      <c r="BB811" s="235"/>
      <c r="BC811" s="235"/>
      <c r="BD811" s="104"/>
      <c r="BE811" s="104"/>
      <c r="BF811" s="104"/>
      <c r="BG811" s="104"/>
      <c r="BH811" s="104"/>
      <c r="BI811" s="104"/>
      <c r="BJ811" s="104"/>
      <c r="BK811" s="12"/>
      <c r="BL811" s="12"/>
    </row>
    <row r="812" spans="1:64" ht="12.75" customHeight="1" outlineLevel="1">
      <c r="A812" s="9"/>
      <c r="B812" s="9"/>
      <c r="C812" s="44"/>
      <c r="D812" s="278" t="str">
        <f>Asset19</f>
        <v>Transmission operations - short life (4)</v>
      </c>
      <c r="E812" s="9"/>
      <c r="F812" s="9"/>
      <c r="G812" s="210">
        <f>'Adjustment for previous period'!G416</f>
        <v>0</v>
      </c>
      <c r="H812" s="114">
        <f t="shared" ref="H812:Q812" si="153">H910+H942</f>
        <v>0</v>
      </c>
      <c r="I812" s="114">
        <f t="shared" si="153"/>
        <v>-1.0474266064955202E-2</v>
      </c>
      <c r="J812" s="114">
        <f t="shared" si="153"/>
        <v>-2.820450388175123E-2</v>
      </c>
      <c r="K812" s="114">
        <f t="shared" si="153"/>
        <v>-2.8431298359247507E-2</v>
      </c>
      <c r="L812" s="114">
        <f t="shared" si="153"/>
        <v>-6.8473151173949739E-2</v>
      </c>
      <c r="M812" s="114">
        <f t="shared" si="153"/>
        <v>0</v>
      </c>
      <c r="N812" s="114">
        <f t="shared" si="153"/>
        <v>0</v>
      </c>
      <c r="O812" s="114">
        <f t="shared" si="153"/>
        <v>0</v>
      </c>
      <c r="P812" s="114">
        <f t="shared" si="153"/>
        <v>0</v>
      </c>
      <c r="Q812" s="114">
        <f t="shared" si="153"/>
        <v>0</v>
      </c>
      <c r="R812" s="29"/>
      <c r="S812" s="104"/>
      <c r="T812" s="104"/>
      <c r="U812" s="104"/>
      <c r="V812" s="104"/>
      <c r="W812" s="104"/>
      <c r="X812" s="104"/>
      <c r="Y812" s="104"/>
      <c r="Z812" s="104"/>
      <c r="AA812" s="235"/>
      <c r="AB812" s="235"/>
      <c r="AC812" s="235"/>
      <c r="AD812" s="235"/>
      <c r="AE812" s="235"/>
      <c r="AF812" s="235"/>
      <c r="AG812" s="235"/>
      <c r="AH812" s="235"/>
      <c r="AI812" s="235"/>
      <c r="AJ812" s="235"/>
      <c r="AK812" s="235"/>
      <c r="AL812" s="235"/>
      <c r="AM812" s="235"/>
      <c r="AN812" s="235"/>
      <c r="AO812" s="235"/>
      <c r="AP812" s="235"/>
      <c r="AQ812" s="235"/>
      <c r="AR812" s="235"/>
      <c r="AS812" s="235"/>
      <c r="AT812" s="235"/>
      <c r="AU812" s="235"/>
      <c r="AV812" s="235"/>
      <c r="AW812" s="235"/>
      <c r="AX812" s="235"/>
      <c r="AY812" s="235"/>
      <c r="AZ812" s="235"/>
      <c r="BA812" s="235"/>
      <c r="BB812" s="235"/>
      <c r="BC812" s="235"/>
      <c r="BD812" s="104"/>
      <c r="BE812" s="104"/>
      <c r="BF812" s="104"/>
      <c r="BG812" s="104"/>
      <c r="BH812" s="104"/>
      <c r="BI812" s="104"/>
      <c r="BJ812" s="104"/>
      <c r="BK812" s="12"/>
      <c r="BL812" s="12"/>
    </row>
    <row r="813" spans="1:64" ht="12.75" customHeight="1" outlineLevel="1">
      <c r="A813" s="9"/>
      <c r="B813" s="9"/>
      <c r="C813" s="44"/>
      <c r="D813" s="278" t="str">
        <f>Asset20</f>
        <v>Other - medium life (40)</v>
      </c>
      <c r="E813" s="9"/>
      <c r="F813" s="9"/>
      <c r="G813" s="210">
        <f>'Adjustment for previous period'!G417</f>
        <v>0</v>
      </c>
      <c r="H813" s="114">
        <f t="shared" ref="H813:Q813" si="154">H911+H943</f>
        <v>0</v>
      </c>
      <c r="I813" s="114">
        <f t="shared" si="154"/>
        <v>6.4728171476598956E-2</v>
      </c>
      <c r="J813" s="114">
        <f t="shared" si="154"/>
        <v>-0.24071284622740652</v>
      </c>
      <c r="K813" s="114">
        <f t="shared" si="154"/>
        <v>-4.0181938882974944E-2</v>
      </c>
      <c r="L813" s="114">
        <f t="shared" si="154"/>
        <v>-5.861763574208545E-2</v>
      </c>
      <c r="M813" s="114">
        <f t="shared" si="154"/>
        <v>0</v>
      </c>
      <c r="N813" s="114">
        <f t="shared" si="154"/>
        <v>0</v>
      </c>
      <c r="O813" s="114">
        <f t="shared" si="154"/>
        <v>0</v>
      </c>
      <c r="P813" s="114">
        <f t="shared" si="154"/>
        <v>0</v>
      </c>
      <c r="Q813" s="114">
        <f t="shared" si="154"/>
        <v>0</v>
      </c>
      <c r="R813" s="29"/>
      <c r="S813" s="104"/>
      <c r="T813" s="104"/>
      <c r="U813" s="104"/>
      <c r="V813" s="104"/>
      <c r="W813" s="104"/>
      <c r="X813" s="104"/>
      <c r="Y813" s="104"/>
      <c r="Z813" s="104"/>
      <c r="AA813" s="235"/>
      <c r="AB813" s="235"/>
      <c r="AC813" s="235"/>
      <c r="AD813" s="235"/>
      <c r="AE813" s="235"/>
      <c r="AF813" s="235"/>
      <c r="AG813" s="235"/>
      <c r="AH813" s="235"/>
      <c r="AI813" s="235"/>
      <c r="AJ813" s="235"/>
      <c r="AK813" s="235"/>
      <c r="AL813" s="235"/>
      <c r="AM813" s="235"/>
      <c r="AN813" s="235"/>
      <c r="AO813" s="235"/>
      <c r="AP813" s="235"/>
      <c r="AQ813" s="235"/>
      <c r="AR813" s="235"/>
      <c r="AS813" s="235"/>
      <c r="AT813" s="235"/>
      <c r="AU813" s="235"/>
      <c r="AV813" s="235"/>
      <c r="AW813" s="235"/>
      <c r="AX813" s="235"/>
      <c r="AY813" s="235"/>
      <c r="AZ813" s="235"/>
      <c r="BA813" s="235"/>
      <c r="BB813" s="235"/>
      <c r="BC813" s="235"/>
      <c r="BD813" s="104"/>
      <c r="BE813" s="104"/>
      <c r="BF813" s="104"/>
      <c r="BG813" s="104"/>
      <c r="BH813" s="104"/>
      <c r="BI813" s="104"/>
      <c r="BJ813" s="104"/>
      <c r="BK813" s="12"/>
      <c r="BL813" s="12"/>
    </row>
    <row r="814" spans="1:64" ht="12.75" customHeight="1" outlineLevel="1">
      <c r="A814" s="9"/>
      <c r="B814" s="9"/>
      <c r="C814" s="44"/>
      <c r="D814" s="278" t="str">
        <f>Asset21</f>
        <v>Other - short life (9)</v>
      </c>
      <c r="E814" s="9"/>
      <c r="F814" s="9"/>
      <c r="G814" s="210">
        <f>'Adjustment for previous period'!G418</f>
        <v>0</v>
      </c>
      <c r="H814" s="114">
        <f>H912+H944</f>
        <v>0</v>
      </c>
      <c r="I814" s="114">
        <f t="shared" ref="I814:Q814" si="155">I912+I944</f>
        <v>-5.88799951223693E-2</v>
      </c>
      <c r="J814" s="114">
        <f t="shared" si="155"/>
        <v>-0.17953253914232131</v>
      </c>
      <c r="K814" s="114">
        <f t="shared" si="155"/>
        <v>-0.2735116476346805</v>
      </c>
      <c r="L814" s="114">
        <f t="shared" si="155"/>
        <v>-0.31049405798822327</v>
      </c>
      <c r="M814" s="114">
        <f t="shared" si="155"/>
        <v>0</v>
      </c>
      <c r="N814" s="114">
        <f t="shared" si="155"/>
        <v>0</v>
      </c>
      <c r="O814" s="114">
        <f t="shared" si="155"/>
        <v>0</v>
      </c>
      <c r="P814" s="114">
        <f t="shared" si="155"/>
        <v>0</v>
      </c>
      <c r="Q814" s="114">
        <f t="shared" si="155"/>
        <v>0</v>
      </c>
      <c r="R814" s="29"/>
      <c r="S814" s="104"/>
      <c r="T814" s="104"/>
      <c r="U814" s="104"/>
      <c r="V814" s="104"/>
      <c r="W814" s="104"/>
      <c r="X814" s="104"/>
      <c r="Y814" s="104"/>
      <c r="Z814" s="104"/>
      <c r="AA814" s="235"/>
      <c r="AB814" s="235"/>
      <c r="AC814" s="235"/>
      <c r="AD814" s="235"/>
      <c r="AE814" s="235"/>
      <c r="AF814" s="235"/>
      <c r="AG814" s="235"/>
      <c r="AH814" s="235"/>
      <c r="AI814" s="235"/>
      <c r="AJ814" s="235"/>
      <c r="AK814" s="235"/>
      <c r="AL814" s="235"/>
      <c r="AM814" s="235"/>
      <c r="AN814" s="235"/>
      <c r="AO814" s="235"/>
      <c r="AP814" s="235"/>
      <c r="AQ814" s="235"/>
      <c r="AR814" s="235"/>
      <c r="AS814" s="235"/>
      <c r="AT814" s="235"/>
      <c r="AU814" s="235"/>
      <c r="AV814" s="235"/>
      <c r="AW814" s="235"/>
      <c r="AX814" s="235"/>
      <c r="AY814" s="235"/>
      <c r="AZ814" s="235"/>
      <c r="BA814" s="235"/>
      <c r="BB814" s="235"/>
      <c r="BC814" s="235"/>
      <c r="BD814" s="104"/>
      <c r="BE814" s="104"/>
      <c r="BF814" s="104"/>
      <c r="BG814" s="104"/>
      <c r="BH814" s="104"/>
      <c r="BI814" s="104"/>
      <c r="BJ814" s="104"/>
      <c r="BK814" s="12"/>
      <c r="BL814" s="12"/>
    </row>
    <row r="815" spans="1:64" ht="12.75" customHeight="1" outlineLevel="1">
      <c r="A815" s="9"/>
      <c r="B815" s="9"/>
      <c r="C815" s="44"/>
      <c r="D815" s="278" t="str">
        <f>Asset22</f>
        <v>Other - short life (4)</v>
      </c>
      <c r="E815" s="9"/>
      <c r="F815" s="9"/>
      <c r="G815" s="210">
        <f>'Adjustment for previous period'!G419</f>
        <v>0</v>
      </c>
      <c r="H815" s="114">
        <f t="shared" ref="H815:Q815" si="156">H913+H945</f>
        <v>0</v>
      </c>
      <c r="I815" s="114">
        <f t="shared" si="156"/>
        <v>-0.58413091977577247</v>
      </c>
      <c r="J815" s="114">
        <f t="shared" si="156"/>
        <v>-1.1701208147960145</v>
      </c>
      <c r="K815" s="114">
        <f t="shared" si="156"/>
        <v>-1.6222204329598953</v>
      </c>
      <c r="L815" s="114">
        <f t="shared" si="156"/>
        <v>-2.9713678903776377</v>
      </c>
      <c r="M815" s="114">
        <f t="shared" si="156"/>
        <v>0</v>
      </c>
      <c r="N815" s="114">
        <f t="shared" si="156"/>
        <v>0</v>
      </c>
      <c r="O815" s="114">
        <f t="shared" si="156"/>
        <v>0</v>
      </c>
      <c r="P815" s="114">
        <f t="shared" si="156"/>
        <v>0</v>
      </c>
      <c r="Q815" s="114">
        <f t="shared" si="156"/>
        <v>0</v>
      </c>
      <c r="R815" s="29"/>
      <c r="S815" s="104"/>
      <c r="T815" s="104"/>
      <c r="U815" s="104"/>
      <c r="V815" s="104"/>
      <c r="W815" s="104"/>
      <c r="X815" s="104"/>
      <c r="Y815" s="104"/>
      <c r="Z815" s="104"/>
      <c r="AA815" s="235"/>
      <c r="AB815" s="235"/>
      <c r="AC815" s="235"/>
      <c r="AD815" s="235"/>
      <c r="AE815" s="235"/>
      <c r="AF815" s="235"/>
      <c r="AG815" s="235"/>
      <c r="AH815" s="235"/>
      <c r="AI815" s="235"/>
      <c r="AJ815" s="235"/>
      <c r="AK815" s="235"/>
      <c r="AL815" s="235"/>
      <c r="AM815" s="235"/>
      <c r="AN815" s="235"/>
      <c r="AO815" s="235"/>
      <c r="AP815" s="235"/>
      <c r="AQ815" s="235"/>
      <c r="AR815" s="235"/>
      <c r="AS815" s="235"/>
      <c r="AT815" s="235"/>
      <c r="AU815" s="235"/>
      <c r="AV815" s="235"/>
      <c r="AW815" s="235"/>
      <c r="AX815" s="235"/>
      <c r="AY815" s="235"/>
      <c r="AZ815" s="235"/>
      <c r="BA815" s="235"/>
      <c r="BB815" s="235"/>
      <c r="BC815" s="235"/>
      <c r="BD815" s="104"/>
      <c r="BE815" s="104"/>
      <c r="BF815" s="104"/>
      <c r="BG815" s="104"/>
      <c r="BH815" s="104"/>
      <c r="BI815" s="104"/>
      <c r="BJ815" s="104"/>
      <c r="BK815" s="12"/>
      <c r="BL815" s="12"/>
    </row>
    <row r="816" spans="1:64" ht="12.75" customHeight="1" outlineLevel="1">
      <c r="A816" s="9"/>
      <c r="B816" s="9"/>
      <c r="C816" s="44"/>
      <c r="D816" s="278" t="str">
        <f>Asset23</f>
        <v>Land and Easements</v>
      </c>
      <c r="E816" s="9"/>
      <c r="F816" s="9"/>
      <c r="G816" s="210">
        <f>'Adjustment for previous period'!G420</f>
        <v>0</v>
      </c>
      <c r="H816" s="114">
        <f t="shared" ref="H816:Q816" si="157">H914+H946</f>
        <v>0</v>
      </c>
      <c r="I816" s="114">
        <f t="shared" si="157"/>
        <v>0</v>
      </c>
      <c r="J816" s="114">
        <f t="shared" si="157"/>
        <v>2.7620782070362487E-2</v>
      </c>
      <c r="K816" s="114">
        <f t="shared" si="157"/>
        <v>5.6384867315226364E-2</v>
      </c>
      <c r="L816" s="114">
        <f t="shared" si="157"/>
        <v>9.1646093594005509E-2</v>
      </c>
      <c r="M816" s="114">
        <f t="shared" si="157"/>
        <v>0</v>
      </c>
      <c r="N816" s="114">
        <f t="shared" si="157"/>
        <v>0</v>
      </c>
      <c r="O816" s="114">
        <f t="shared" si="157"/>
        <v>0</v>
      </c>
      <c r="P816" s="114">
        <f t="shared" si="157"/>
        <v>0</v>
      </c>
      <c r="Q816" s="114">
        <f t="shared" si="157"/>
        <v>0</v>
      </c>
      <c r="R816" s="29"/>
      <c r="S816" s="104"/>
      <c r="T816" s="104"/>
      <c r="U816" s="104"/>
      <c r="V816" s="104"/>
      <c r="W816" s="104"/>
      <c r="X816" s="104"/>
      <c r="Y816" s="104"/>
      <c r="Z816" s="104"/>
      <c r="AA816" s="235"/>
      <c r="AB816" s="235"/>
      <c r="AC816" s="235"/>
      <c r="AD816" s="235"/>
      <c r="AE816" s="235"/>
      <c r="AF816" s="235"/>
      <c r="AG816" s="235"/>
      <c r="AH816" s="235"/>
      <c r="AI816" s="235"/>
      <c r="AJ816" s="235"/>
      <c r="AK816" s="235"/>
      <c r="AL816" s="235"/>
      <c r="AM816" s="235"/>
      <c r="AN816" s="235"/>
      <c r="AO816" s="235"/>
      <c r="AP816" s="235"/>
      <c r="AQ816" s="235"/>
      <c r="AR816" s="235"/>
      <c r="AS816" s="235"/>
      <c r="AT816" s="235"/>
      <c r="AU816" s="235"/>
      <c r="AV816" s="235"/>
      <c r="AW816" s="235"/>
      <c r="AX816" s="235"/>
      <c r="AY816" s="235"/>
      <c r="AZ816" s="235"/>
      <c r="BA816" s="235"/>
      <c r="BB816" s="235"/>
      <c r="BC816" s="235"/>
      <c r="BD816" s="104"/>
      <c r="BE816" s="104"/>
      <c r="BF816" s="104"/>
      <c r="BG816" s="104"/>
      <c r="BH816" s="104"/>
      <c r="BI816" s="104"/>
      <c r="BJ816" s="104"/>
      <c r="BK816" s="12"/>
      <c r="BL816" s="12"/>
    </row>
    <row r="817" spans="1:64" ht="12.75" customHeight="1" outlineLevel="1">
      <c r="A817" s="9"/>
      <c r="B817" s="9"/>
      <c r="C817" s="44"/>
      <c r="D817" s="278" t="str">
        <f>Asset24</f>
        <v>Equity Raising</v>
      </c>
      <c r="E817" s="9"/>
      <c r="F817" s="9"/>
      <c r="G817" s="210">
        <f>'Adjustment for previous period'!G421</f>
        <v>0</v>
      </c>
      <c r="H817" s="114">
        <f t="shared" ref="H817:Q817" si="158">H915+H947</f>
        <v>0</v>
      </c>
      <c r="I817" s="114">
        <f t="shared" si="158"/>
        <v>3.851270590481428E-3</v>
      </c>
      <c r="J817" s="114">
        <f t="shared" si="158"/>
        <v>-4.2328222198763053E-3</v>
      </c>
      <c r="K817" s="114">
        <f t="shared" si="158"/>
        <v>-3.9987628616819891E-4</v>
      </c>
      <c r="L817" s="114">
        <f t="shared" si="158"/>
        <v>-7.0935241078004876E-4</v>
      </c>
      <c r="M817" s="114">
        <f t="shared" si="158"/>
        <v>0</v>
      </c>
      <c r="N817" s="114">
        <f t="shared" si="158"/>
        <v>0</v>
      </c>
      <c r="O817" s="114">
        <f t="shared" si="158"/>
        <v>0</v>
      </c>
      <c r="P817" s="114">
        <f t="shared" si="158"/>
        <v>0</v>
      </c>
      <c r="Q817" s="114">
        <f t="shared" si="158"/>
        <v>0</v>
      </c>
      <c r="R817" s="29"/>
      <c r="S817" s="104"/>
      <c r="T817" s="104"/>
      <c r="U817" s="104"/>
      <c r="V817" s="104"/>
      <c r="W817" s="104"/>
      <c r="X817" s="104"/>
      <c r="Y817" s="104"/>
      <c r="Z817" s="104"/>
      <c r="AA817" s="235"/>
      <c r="AB817" s="235"/>
      <c r="AC817" s="235"/>
      <c r="AD817" s="235"/>
      <c r="AE817" s="235"/>
      <c r="AF817" s="235"/>
      <c r="AG817" s="235"/>
      <c r="AH817" s="235"/>
      <c r="AI817" s="235"/>
      <c r="AJ817" s="235"/>
      <c r="AK817" s="235"/>
      <c r="AL817" s="235"/>
      <c r="AM817" s="235"/>
      <c r="AN817" s="235"/>
      <c r="AO817" s="235"/>
      <c r="AP817" s="235"/>
      <c r="AQ817" s="235"/>
      <c r="AR817" s="235"/>
      <c r="AS817" s="235"/>
      <c r="AT817" s="235"/>
      <c r="AU817" s="235"/>
      <c r="AV817" s="235"/>
      <c r="AW817" s="235"/>
      <c r="AX817" s="235"/>
      <c r="AY817" s="235"/>
      <c r="AZ817" s="235"/>
      <c r="BA817" s="235"/>
      <c r="BB817" s="235"/>
      <c r="BC817" s="235"/>
      <c r="BD817" s="104"/>
      <c r="BE817" s="104"/>
      <c r="BF817" s="104"/>
      <c r="BG817" s="104"/>
      <c r="BH817" s="104"/>
      <c r="BI817" s="104"/>
      <c r="BJ817" s="104"/>
      <c r="BK817" s="12"/>
      <c r="BL817" s="12"/>
    </row>
    <row r="818" spans="1:64" ht="12.75" customHeight="1" outlineLevel="1">
      <c r="A818" s="9"/>
      <c r="B818" s="9"/>
      <c r="C818" s="44"/>
      <c r="D818" s="278">
        <f>Asset25</f>
        <v>0</v>
      </c>
      <c r="E818" s="9"/>
      <c r="F818" s="9"/>
      <c r="G818" s="210">
        <f>'Adjustment for previous period'!G422</f>
        <v>0</v>
      </c>
      <c r="H818" s="114">
        <f t="shared" ref="H818:Q818" si="159">H916+H948</f>
        <v>0</v>
      </c>
      <c r="I818" s="114">
        <f t="shared" si="159"/>
        <v>0</v>
      </c>
      <c r="J818" s="114">
        <f t="shared" si="159"/>
        <v>0</v>
      </c>
      <c r="K818" s="114">
        <f t="shared" si="159"/>
        <v>0</v>
      </c>
      <c r="L818" s="114">
        <f t="shared" si="159"/>
        <v>0</v>
      </c>
      <c r="M818" s="114">
        <f t="shared" si="159"/>
        <v>0</v>
      </c>
      <c r="N818" s="114">
        <f t="shared" si="159"/>
        <v>0</v>
      </c>
      <c r="O818" s="114">
        <f t="shared" si="159"/>
        <v>0</v>
      </c>
      <c r="P818" s="114">
        <f t="shared" si="159"/>
        <v>0</v>
      </c>
      <c r="Q818" s="114">
        <f t="shared" si="159"/>
        <v>0</v>
      </c>
      <c r="R818" s="29"/>
      <c r="S818" s="104"/>
      <c r="T818" s="104"/>
      <c r="U818" s="104"/>
      <c r="V818" s="104"/>
      <c r="W818" s="104"/>
      <c r="X818" s="104"/>
      <c r="Y818" s="104"/>
      <c r="Z818" s="104"/>
      <c r="AA818" s="235"/>
      <c r="AB818" s="235"/>
      <c r="AC818" s="235"/>
      <c r="AD818" s="235"/>
      <c r="AE818" s="235"/>
      <c r="AF818" s="235"/>
      <c r="AG818" s="235"/>
      <c r="AH818" s="235"/>
      <c r="AI818" s="235"/>
      <c r="AJ818" s="235"/>
      <c r="AK818" s="235"/>
      <c r="AL818" s="235"/>
      <c r="AM818" s="235"/>
      <c r="AN818" s="235"/>
      <c r="AO818" s="235"/>
      <c r="AP818" s="235"/>
      <c r="AQ818" s="235"/>
      <c r="AR818" s="235"/>
      <c r="AS818" s="235"/>
      <c r="AT818" s="235"/>
      <c r="AU818" s="235"/>
      <c r="AV818" s="235"/>
      <c r="AW818" s="235"/>
      <c r="AX818" s="235"/>
      <c r="AY818" s="235"/>
      <c r="AZ818" s="235"/>
      <c r="BA818" s="235"/>
      <c r="BB818" s="235"/>
      <c r="BC818" s="235"/>
      <c r="BD818" s="104"/>
      <c r="BE818" s="104"/>
      <c r="BF818" s="104"/>
      <c r="BG818" s="104"/>
      <c r="BH818" s="104"/>
      <c r="BI818" s="104"/>
      <c r="BJ818" s="104"/>
      <c r="BK818" s="12"/>
      <c r="BL818" s="12"/>
    </row>
    <row r="819" spans="1:64" ht="12.75" customHeight="1" outlineLevel="1">
      <c r="A819" s="9"/>
      <c r="B819" s="9"/>
      <c r="C819" s="44"/>
      <c r="D819" s="278">
        <f>Asset26</f>
        <v>0</v>
      </c>
      <c r="E819" s="9"/>
      <c r="F819" s="9"/>
      <c r="G819" s="210">
        <f>'Adjustment for previous period'!G423</f>
        <v>0</v>
      </c>
      <c r="H819" s="114">
        <f t="shared" ref="H819:Q819" si="160">H917+H949</f>
        <v>0</v>
      </c>
      <c r="I819" s="114">
        <f t="shared" si="160"/>
        <v>0</v>
      </c>
      <c r="J819" s="114">
        <f t="shared" si="160"/>
        <v>0</v>
      </c>
      <c r="K819" s="114">
        <f t="shared" si="160"/>
        <v>0</v>
      </c>
      <c r="L819" s="114">
        <f t="shared" si="160"/>
        <v>0</v>
      </c>
      <c r="M819" s="114">
        <f t="shared" si="160"/>
        <v>0</v>
      </c>
      <c r="N819" s="114">
        <f t="shared" si="160"/>
        <v>0</v>
      </c>
      <c r="O819" s="114">
        <f t="shared" si="160"/>
        <v>0</v>
      </c>
      <c r="P819" s="114">
        <f t="shared" si="160"/>
        <v>0</v>
      </c>
      <c r="Q819" s="114">
        <f t="shared" si="160"/>
        <v>0</v>
      </c>
      <c r="R819" s="29"/>
      <c r="S819" s="104"/>
      <c r="T819" s="104"/>
      <c r="U819" s="104"/>
      <c r="V819" s="104"/>
      <c r="W819" s="104"/>
      <c r="X819" s="104"/>
      <c r="Y819" s="104"/>
      <c r="Z819" s="104"/>
      <c r="AA819" s="235"/>
      <c r="AB819" s="235"/>
      <c r="AC819" s="235"/>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235"/>
      <c r="BC819" s="235"/>
      <c r="BD819" s="104"/>
      <c r="BE819" s="104"/>
      <c r="BF819" s="104"/>
      <c r="BG819" s="104"/>
      <c r="BH819" s="104"/>
      <c r="BI819" s="104"/>
      <c r="BJ819" s="104"/>
      <c r="BK819" s="12"/>
      <c r="BL819" s="12"/>
    </row>
    <row r="820" spans="1:64" ht="12.75" customHeight="1" outlineLevel="1">
      <c r="A820" s="9"/>
      <c r="B820" s="9"/>
      <c r="C820" s="44"/>
      <c r="D820" s="278">
        <f>Asset27</f>
        <v>0</v>
      </c>
      <c r="E820" s="9"/>
      <c r="F820" s="9"/>
      <c r="G820" s="210">
        <f>'Adjustment for previous period'!G424</f>
        <v>0</v>
      </c>
      <c r="H820" s="114">
        <f t="shared" ref="H820:Q820" si="161">H918+H950</f>
        <v>0</v>
      </c>
      <c r="I820" s="114">
        <f t="shared" si="161"/>
        <v>0</v>
      </c>
      <c r="J820" s="114">
        <f t="shared" si="161"/>
        <v>0</v>
      </c>
      <c r="K820" s="114">
        <f t="shared" si="161"/>
        <v>0</v>
      </c>
      <c r="L820" s="114">
        <f t="shared" si="161"/>
        <v>0</v>
      </c>
      <c r="M820" s="114">
        <f t="shared" si="161"/>
        <v>0</v>
      </c>
      <c r="N820" s="114">
        <f t="shared" si="161"/>
        <v>0</v>
      </c>
      <c r="O820" s="114">
        <f t="shared" si="161"/>
        <v>0</v>
      </c>
      <c r="P820" s="114">
        <f t="shared" si="161"/>
        <v>0</v>
      </c>
      <c r="Q820" s="114">
        <f t="shared" si="161"/>
        <v>0</v>
      </c>
      <c r="R820" s="29"/>
      <c r="S820" s="104"/>
      <c r="T820" s="104"/>
      <c r="U820" s="104"/>
      <c r="V820" s="104"/>
      <c r="W820" s="104"/>
      <c r="X820" s="104"/>
      <c r="Y820" s="104"/>
      <c r="Z820" s="104"/>
      <c r="AA820" s="235"/>
      <c r="AB820" s="235"/>
      <c r="AC820" s="235"/>
      <c r="AD820" s="235"/>
      <c r="AE820" s="235"/>
      <c r="AF820" s="235"/>
      <c r="AG820" s="235"/>
      <c r="AH820" s="235"/>
      <c r="AI820" s="235"/>
      <c r="AJ820" s="235"/>
      <c r="AK820" s="235"/>
      <c r="AL820" s="235"/>
      <c r="AM820" s="235"/>
      <c r="AN820" s="235"/>
      <c r="AO820" s="235"/>
      <c r="AP820" s="235"/>
      <c r="AQ820" s="235"/>
      <c r="AR820" s="235"/>
      <c r="AS820" s="235"/>
      <c r="AT820" s="235"/>
      <c r="AU820" s="235"/>
      <c r="AV820" s="235"/>
      <c r="AW820" s="235"/>
      <c r="AX820" s="235"/>
      <c r="AY820" s="235"/>
      <c r="AZ820" s="235"/>
      <c r="BA820" s="235"/>
      <c r="BB820" s="235"/>
      <c r="BC820" s="235"/>
      <c r="BD820" s="104"/>
      <c r="BE820" s="104"/>
      <c r="BF820" s="104"/>
      <c r="BG820" s="104"/>
      <c r="BH820" s="104"/>
      <c r="BI820" s="104"/>
      <c r="BJ820" s="104"/>
      <c r="BK820" s="12"/>
      <c r="BL820" s="12"/>
    </row>
    <row r="821" spans="1:64" ht="12.75" customHeight="1" outlineLevel="1">
      <c r="A821" s="9"/>
      <c r="B821" s="9"/>
      <c r="C821" s="44"/>
      <c r="D821" s="278">
        <f>Asset28</f>
        <v>0</v>
      </c>
      <c r="E821" s="9"/>
      <c r="F821" s="9"/>
      <c r="G821" s="210">
        <f>'Adjustment for previous period'!G425</f>
        <v>0</v>
      </c>
      <c r="H821" s="114">
        <f t="shared" ref="H821:Q821" si="162">H919+H951</f>
        <v>0</v>
      </c>
      <c r="I821" s="114">
        <f t="shared" si="162"/>
        <v>0</v>
      </c>
      <c r="J821" s="114">
        <f t="shared" si="162"/>
        <v>0</v>
      </c>
      <c r="K821" s="114">
        <f t="shared" si="162"/>
        <v>0</v>
      </c>
      <c r="L821" s="114">
        <f t="shared" si="162"/>
        <v>0</v>
      </c>
      <c r="M821" s="114">
        <f t="shared" si="162"/>
        <v>0</v>
      </c>
      <c r="N821" s="114">
        <f t="shared" si="162"/>
        <v>0</v>
      </c>
      <c r="O821" s="114">
        <f t="shared" si="162"/>
        <v>0</v>
      </c>
      <c r="P821" s="114">
        <f t="shared" si="162"/>
        <v>0</v>
      </c>
      <c r="Q821" s="114">
        <f t="shared" si="162"/>
        <v>0</v>
      </c>
      <c r="R821" s="29"/>
      <c r="S821" s="104"/>
      <c r="T821" s="104"/>
      <c r="U821" s="104"/>
      <c r="V821" s="104"/>
      <c r="W821" s="104"/>
      <c r="X821" s="104"/>
      <c r="Y821" s="104"/>
      <c r="Z821" s="104"/>
      <c r="AA821" s="235"/>
      <c r="AB821" s="235"/>
      <c r="AC821" s="235"/>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235"/>
      <c r="BC821" s="235"/>
      <c r="BD821" s="104"/>
      <c r="BE821" s="104"/>
      <c r="BF821" s="104"/>
      <c r="BG821" s="104"/>
      <c r="BH821" s="104"/>
      <c r="BI821" s="104"/>
      <c r="BJ821" s="104"/>
      <c r="BK821" s="12"/>
      <c r="BL821" s="12"/>
    </row>
    <row r="822" spans="1:64" ht="12.75" customHeight="1" outlineLevel="1">
      <c r="A822" s="9"/>
      <c r="B822" s="9"/>
      <c r="C822" s="44"/>
      <c r="D822" s="278">
        <f>Asset29</f>
        <v>0</v>
      </c>
      <c r="E822" s="9"/>
      <c r="F822" s="9"/>
      <c r="G822" s="210">
        <f>'Adjustment for previous period'!G426</f>
        <v>0</v>
      </c>
      <c r="H822" s="114">
        <f t="shared" ref="H822:Q822" si="163">H920+H952</f>
        <v>0</v>
      </c>
      <c r="I822" s="114">
        <f t="shared" si="163"/>
        <v>0</v>
      </c>
      <c r="J822" s="114">
        <f t="shared" si="163"/>
        <v>0</v>
      </c>
      <c r="K822" s="114">
        <f t="shared" si="163"/>
        <v>0</v>
      </c>
      <c r="L822" s="114">
        <f t="shared" si="163"/>
        <v>0</v>
      </c>
      <c r="M822" s="114">
        <f t="shared" si="163"/>
        <v>0</v>
      </c>
      <c r="N822" s="114">
        <f t="shared" si="163"/>
        <v>0</v>
      </c>
      <c r="O822" s="114">
        <f t="shared" si="163"/>
        <v>0</v>
      </c>
      <c r="P822" s="114">
        <f t="shared" si="163"/>
        <v>0</v>
      </c>
      <c r="Q822" s="114">
        <f t="shared" si="163"/>
        <v>0</v>
      </c>
      <c r="R822" s="29"/>
      <c r="S822" s="104"/>
      <c r="T822" s="104"/>
      <c r="U822" s="104"/>
      <c r="V822" s="104"/>
      <c r="W822" s="104"/>
      <c r="X822" s="104"/>
      <c r="Y822" s="104"/>
      <c r="Z822" s="104"/>
      <c r="AA822" s="235"/>
      <c r="AB822" s="235"/>
      <c r="AC822" s="235"/>
      <c r="AD822" s="235"/>
      <c r="AE822" s="235"/>
      <c r="AF822" s="235"/>
      <c r="AG822" s="235"/>
      <c r="AH822" s="235"/>
      <c r="AI822" s="235"/>
      <c r="AJ822" s="235"/>
      <c r="AK822" s="235"/>
      <c r="AL822" s="235"/>
      <c r="AM822" s="235"/>
      <c r="AN822" s="235"/>
      <c r="AO822" s="235"/>
      <c r="AP822" s="235"/>
      <c r="AQ822" s="235"/>
      <c r="AR822" s="235"/>
      <c r="AS822" s="235"/>
      <c r="AT822" s="235"/>
      <c r="AU822" s="235"/>
      <c r="AV822" s="235"/>
      <c r="AW822" s="235"/>
      <c r="AX822" s="235"/>
      <c r="AY822" s="235"/>
      <c r="AZ822" s="235"/>
      <c r="BA822" s="235"/>
      <c r="BB822" s="235"/>
      <c r="BC822" s="235"/>
      <c r="BD822" s="104"/>
      <c r="BE822" s="104"/>
      <c r="BF822" s="104"/>
      <c r="BG822" s="104"/>
      <c r="BH822" s="104"/>
      <c r="BI822" s="104"/>
      <c r="BJ822" s="104"/>
      <c r="BK822" s="12"/>
      <c r="BL822" s="12"/>
    </row>
    <row r="823" spans="1:64" ht="12.75" customHeight="1" outlineLevel="1">
      <c r="A823" s="9"/>
      <c r="B823" s="9"/>
      <c r="C823" s="44"/>
      <c r="D823" s="278">
        <f>Asset30</f>
        <v>0</v>
      </c>
      <c r="E823" s="9"/>
      <c r="F823" s="9"/>
      <c r="G823" s="210">
        <f>'Adjustment for previous period'!G427</f>
        <v>0</v>
      </c>
      <c r="H823" s="114">
        <f>H921+H953</f>
        <v>0</v>
      </c>
      <c r="I823" s="114">
        <f t="shared" ref="I823:P823" si="164">I921+I953</f>
        <v>0</v>
      </c>
      <c r="J823" s="114">
        <f t="shared" si="164"/>
        <v>0</v>
      </c>
      <c r="K823" s="114">
        <f t="shared" si="164"/>
        <v>0</v>
      </c>
      <c r="L823" s="114">
        <f t="shared" si="164"/>
        <v>0</v>
      </c>
      <c r="M823" s="114">
        <f t="shared" si="164"/>
        <v>0</v>
      </c>
      <c r="N823" s="114">
        <f t="shared" si="164"/>
        <v>0</v>
      </c>
      <c r="O823" s="114">
        <f t="shared" si="164"/>
        <v>0</v>
      </c>
      <c r="P823" s="114">
        <f t="shared" si="164"/>
        <v>0</v>
      </c>
      <c r="Q823" s="114">
        <f>Q921+Q953</f>
        <v>0</v>
      </c>
      <c r="R823" s="29"/>
      <c r="S823" s="104"/>
      <c r="T823" s="104"/>
      <c r="U823" s="104"/>
      <c r="V823" s="104"/>
      <c r="W823" s="104"/>
      <c r="X823" s="104"/>
      <c r="Y823" s="104"/>
      <c r="Z823" s="104"/>
      <c r="AA823" s="235"/>
      <c r="AB823" s="235"/>
      <c r="AC823" s="235"/>
      <c r="AD823" s="235"/>
      <c r="AE823" s="235"/>
      <c r="AF823" s="235"/>
      <c r="AG823" s="235"/>
      <c r="AH823" s="235"/>
      <c r="AI823" s="235"/>
      <c r="AJ823" s="235"/>
      <c r="AK823" s="235"/>
      <c r="AL823" s="235"/>
      <c r="AM823" s="235"/>
      <c r="AN823" s="235"/>
      <c r="AO823" s="235"/>
      <c r="AP823" s="235"/>
      <c r="AQ823" s="235"/>
      <c r="AR823" s="235"/>
      <c r="AS823" s="235"/>
      <c r="AT823" s="235"/>
      <c r="AU823" s="235"/>
      <c r="AV823" s="235"/>
      <c r="AW823" s="235"/>
      <c r="AX823" s="235"/>
      <c r="AY823" s="235"/>
      <c r="AZ823" s="235"/>
      <c r="BA823" s="235"/>
      <c r="BB823" s="235"/>
      <c r="BC823" s="235"/>
      <c r="BD823" s="104"/>
      <c r="BE823" s="104"/>
      <c r="BF823" s="104"/>
      <c r="BG823" s="104"/>
      <c r="BH823" s="104"/>
      <c r="BI823" s="104"/>
      <c r="BJ823" s="104"/>
      <c r="BK823" s="12"/>
      <c r="BL823" s="12"/>
    </row>
    <row r="824" spans="1:64">
      <c r="A824" s="9"/>
      <c r="B824" s="9"/>
      <c r="C824" s="44"/>
      <c r="D824" s="130"/>
      <c r="E824" s="9"/>
      <c r="F824" s="9"/>
      <c r="G824" s="289"/>
      <c r="H824" s="114"/>
      <c r="I824" s="114"/>
      <c r="J824" s="114"/>
      <c r="K824" s="114"/>
      <c r="L824" s="114"/>
      <c r="M824" s="114"/>
      <c r="N824" s="29"/>
      <c r="O824" s="29"/>
      <c r="P824" s="29"/>
      <c r="Q824" s="29"/>
      <c r="R824" s="29"/>
      <c r="S824" s="104"/>
      <c r="T824" s="104"/>
      <c r="U824" s="104"/>
      <c r="V824" s="104"/>
      <c r="W824" s="104"/>
      <c r="X824" s="104"/>
      <c r="Y824" s="104"/>
      <c r="Z824" s="104"/>
      <c r="AA824" s="235"/>
      <c r="AB824" s="235"/>
      <c r="AC824" s="235"/>
      <c r="AD824" s="235"/>
      <c r="AE824" s="235"/>
      <c r="AF824" s="235"/>
      <c r="AG824" s="235"/>
      <c r="AH824" s="235"/>
      <c r="AI824" s="235"/>
      <c r="AJ824" s="235"/>
      <c r="AK824" s="235"/>
      <c r="AL824" s="235"/>
      <c r="AM824" s="235"/>
      <c r="AN824" s="235"/>
      <c r="AO824" s="235"/>
      <c r="AP824" s="235"/>
      <c r="AQ824" s="235"/>
      <c r="AR824" s="235"/>
      <c r="AS824" s="235"/>
      <c r="AT824" s="235"/>
      <c r="AU824" s="235"/>
      <c r="AV824" s="235"/>
      <c r="AW824" s="235"/>
      <c r="AX824" s="235"/>
      <c r="AY824" s="235"/>
      <c r="AZ824" s="235"/>
      <c r="BA824" s="235"/>
      <c r="BB824" s="235"/>
      <c r="BC824" s="235"/>
      <c r="BD824" s="104"/>
      <c r="BE824" s="104"/>
      <c r="BF824" s="104"/>
      <c r="BG824" s="104"/>
      <c r="BH824" s="104"/>
      <c r="BI824" s="104"/>
      <c r="BJ824" s="104"/>
      <c r="BK824" s="12"/>
      <c r="BL824" s="12"/>
    </row>
    <row r="825" spans="1:64">
      <c r="A825" s="9"/>
      <c r="B825" s="9"/>
      <c r="C825" s="44" t="s">
        <v>48</v>
      </c>
      <c r="D825" s="116"/>
      <c r="E825" s="9"/>
      <c r="F825" s="9"/>
      <c r="G825" s="320">
        <f>SUM(G826:G855)</f>
        <v>-9.3282752599801135</v>
      </c>
      <c r="H825" s="35"/>
      <c r="I825" s="35"/>
      <c r="J825" s="35"/>
      <c r="K825" s="35"/>
      <c r="L825" s="35"/>
      <c r="M825" s="35"/>
      <c r="N825" s="29"/>
      <c r="O825" s="29"/>
      <c r="P825" s="29"/>
      <c r="Q825" s="29"/>
      <c r="R825" s="29"/>
      <c r="S825" s="104"/>
      <c r="T825" s="104"/>
      <c r="U825" s="104"/>
      <c r="V825" s="104"/>
      <c r="W825" s="104"/>
      <c r="X825" s="104"/>
      <c r="Y825" s="104"/>
      <c r="Z825" s="104"/>
      <c r="AA825" s="235"/>
      <c r="AB825" s="235"/>
      <c r="AC825" s="235"/>
      <c r="AD825" s="235"/>
      <c r="AE825" s="235"/>
      <c r="AF825" s="235"/>
      <c r="AG825" s="235"/>
      <c r="AH825" s="235"/>
      <c r="AI825" s="235"/>
      <c r="AJ825" s="235"/>
      <c r="AK825" s="235"/>
      <c r="AL825" s="235"/>
      <c r="AM825" s="235"/>
      <c r="AN825" s="235"/>
      <c r="AO825" s="235"/>
      <c r="AP825" s="235"/>
      <c r="AQ825" s="235"/>
      <c r="AR825" s="235"/>
      <c r="AS825" s="235"/>
      <c r="AT825" s="235"/>
      <c r="AU825" s="235"/>
      <c r="AV825" s="235"/>
      <c r="AW825" s="235"/>
      <c r="AX825" s="235"/>
      <c r="AY825" s="235"/>
      <c r="AZ825" s="235"/>
      <c r="BA825" s="235"/>
      <c r="BB825" s="235"/>
      <c r="BC825" s="235"/>
      <c r="BD825" s="104"/>
      <c r="BE825" s="104"/>
      <c r="BF825" s="104"/>
      <c r="BG825" s="104"/>
      <c r="BH825" s="104"/>
      <c r="BI825" s="104"/>
      <c r="BJ825" s="104"/>
      <c r="BK825" s="12"/>
      <c r="BL825" s="12"/>
    </row>
    <row r="826" spans="1:64" outlineLevel="1">
      <c r="A826" s="9"/>
      <c r="B826" s="9"/>
      <c r="C826" s="9"/>
      <c r="D826" s="278" t="str">
        <f>Asset1</f>
        <v>Transmission Lines and Cables</v>
      </c>
      <c r="E826" s="9"/>
      <c r="F826" s="9"/>
      <c r="G826" s="210">
        <f>'Adjustment for previous period'!G430</f>
        <v>-6.670889526632461</v>
      </c>
      <c r="H826" s="35"/>
      <c r="I826" s="35"/>
      <c r="J826" s="35"/>
      <c r="K826" s="35"/>
      <c r="L826" s="35"/>
      <c r="M826" s="35"/>
      <c r="N826" s="29"/>
      <c r="O826" s="29"/>
      <c r="P826" s="29"/>
      <c r="Q826" s="29"/>
      <c r="R826" s="29"/>
      <c r="S826" s="104"/>
      <c r="T826" s="104"/>
      <c r="U826" s="104"/>
      <c r="V826" s="104"/>
      <c r="W826" s="104"/>
      <c r="X826" s="104"/>
      <c r="Y826" s="104"/>
      <c r="Z826" s="104"/>
      <c r="AA826" s="235"/>
      <c r="AB826" s="235"/>
      <c r="AC826" s="235"/>
      <c r="AD826" s="235"/>
      <c r="AE826" s="235"/>
      <c r="AF826" s="235"/>
      <c r="AG826" s="235"/>
      <c r="AH826" s="235"/>
      <c r="AI826" s="235"/>
      <c r="AJ826" s="235"/>
      <c r="AK826" s="235"/>
      <c r="AL826" s="235"/>
      <c r="AM826" s="235"/>
      <c r="AN826" s="235"/>
      <c r="AO826" s="235"/>
      <c r="AP826" s="235"/>
      <c r="AQ826" s="235"/>
      <c r="AR826" s="235"/>
      <c r="AS826" s="235"/>
      <c r="AT826" s="235"/>
      <c r="AU826" s="235"/>
      <c r="AV826" s="235"/>
      <c r="AW826" s="235"/>
      <c r="AX826" s="235"/>
      <c r="AY826" s="235"/>
      <c r="AZ826" s="235"/>
      <c r="BA826" s="235"/>
      <c r="BB826" s="235"/>
      <c r="BC826" s="235"/>
      <c r="BD826" s="104"/>
      <c r="BE826" s="104"/>
      <c r="BF826" s="104"/>
      <c r="BG826" s="104"/>
      <c r="BH826" s="104"/>
      <c r="BI826" s="104"/>
      <c r="BJ826" s="104"/>
      <c r="BK826" s="12"/>
      <c r="BL826" s="12"/>
    </row>
    <row r="827" spans="1:64" outlineLevel="1">
      <c r="A827" s="9"/>
      <c r="B827" s="9"/>
      <c r="C827" s="44"/>
      <c r="D827" s="278" t="str">
        <f>Asset2</f>
        <v>Transmission Substations</v>
      </c>
      <c r="E827" s="9"/>
      <c r="F827" s="9"/>
      <c r="G827" s="210">
        <f>'Adjustment for previous period'!G431</f>
        <v>-24.619744597623882</v>
      </c>
      <c r="H827" s="35"/>
      <c r="I827" s="35"/>
      <c r="J827" s="35"/>
      <c r="K827" s="35"/>
      <c r="L827" s="35"/>
      <c r="M827" s="35"/>
      <c r="N827" s="29"/>
      <c r="O827" s="29"/>
      <c r="P827" s="29"/>
      <c r="Q827" s="29"/>
      <c r="R827" s="29"/>
      <c r="S827" s="104"/>
      <c r="T827" s="104"/>
      <c r="U827" s="104"/>
      <c r="V827" s="104"/>
      <c r="W827" s="104"/>
      <c r="X827" s="104"/>
      <c r="Y827" s="104"/>
      <c r="Z827" s="104"/>
      <c r="AA827" s="235"/>
      <c r="AB827" s="235"/>
      <c r="AC827" s="235"/>
      <c r="AD827" s="235"/>
      <c r="AE827" s="235"/>
      <c r="AF827" s="235"/>
      <c r="AG827" s="235"/>
      <c r="AH827" s="235"/>
      <c r="AI827" s="235"/>
      <c r="AJ827" s="235"/>
      <c r="AK827" s="235"/>
      <c r="AL827" s="235"/>
      <c r="AM827" s="235"/>
      <c r="AN827" s="235"/>
      <c r="AO827" s="235"/>
      <c r="AP827" s="235"/>
      <c r="AQ827" s="235"/>
      <c r="AR827" s="235"/>
      <c r="AS827" s="235"/>
      <c r="AT827" s="235"/>
      <c r="AU827" s="235"/>
      <c r="AV827" s="235"/>
      <c r="AW827" s="235"/>
      <c r="AX827" s="235"/>
      <c r="AY827" s="235"/>
      <c r="AZ827" s="235"/>
      <c r="BA827" s="235"/>
      <c r="BB827" s="235"/>
      <c r="BC827" s="235"/>
      <c r="BD827" s="104"/>
      <c r="BE827" s="104"/>
      <c r="BF827" s="104"/>
      <c r="BG827" s="104"/>
      <c r="BH827" s="104"/>
      <c r="BI827" s="104"/>
      <c r="BJ827" s="104"/>
      <c r="BK827" s="12"/>
      <c r="BL827" s="12"/>
    </row>
    <row r="828" spans="1:64" outlineLevel="1">
      <c r="A828" s="9"/>
      <c r="B828" s="9"/>
      <c r="C828" s="44"/>
      <c r="D828" s="278" t="str">
        <f>Asset3</f>
        <v>Protection and Control</v>
      </c>
      <c r="E828" s="9"/>
      <c r="F828" s="9"/>
      <c r="G828" s="210">
        <f>'Adjustment for previous period'!G432</f>
        <v>8.0081413556646659</v>
      </c>
      <c r="H828" s="35"/>
      <c r="I828" s="35"/>
      <c r="J828" s="35"/>
      <c r="K828" s="35"/>
      <c r="L828" s="35"/>
      <c r="M828" s="35"/>
      <c r="N828" s="29"/>
      <c r="O828" s="29"/>
      <c r="P828" s="29"/>
      <c r="Q828" s="29"/>
      <c r="R828" s="29"/>
      <c r="S828" s="104"/>
      <c r="T828" s="104"/>
      <c r="U828" s="104"/>
      <c r="V828" s="104"/>
      <c r="W828" s="104"/>
      <c r="X828" s="104"/>
      <c r="Y828" s="104"/>
      <c r="Z828" s="104"/>
      <c r="AA828" s="235"/>
      <c r="AB828" s="235"/>
      <c r="AC828" s="235"/>
      <c r="AD828" s="235"/>
      <c r="AE828" s="235"/>
      <c r="AF828" s="235"/>
      <c r="AG828" s="235"/>
      <c r="AH828" s="235"/>
      <c r="AI828" s="235"/>
      <c r="AJ828" s="235"/>
      <c r="AK828" s="235"/>
      <c r="AL828" s="235"/>
      <c r="AM828" s="235"/>
      <c r="AN828" s="235"/>
      <c r="AO828" s="235"/>
      <c r="AP828" s="235"/>
      <c r="AQ828" s="235"/>
      <c r="AR828" s="235"/>
      <c r="AS828" s="235"/>
      <c r="AT828" s="235"/>
      <c r="AU828" s="235"/>
      <c r="AV828" s="235"/>
      <c r="AW828" s="235"/>
      <c r="AX828" s="235"/>
      <c r="AY828" s="235"/>
      <c r="AZ828" s="235"/>
      <c r="BA828" s="235"/>
      <c r="BB828" s="235"/>
      <c r="BC828" s="235"/>
      <c r="BD828" s="104"/>
      <c r="BE828" s="104"/>
      <c r="BF828" s="104"/>
      <c r="BG828" s="104"/>
      <c r="BH828" s="104"/>
      <c r="BI828" s="104"/>
      <c r="BJ828" s="104"/>
      <c r="BK828" s="12"/>
      <c r="BL828" s="12"/>
    </row>
    <row r="829" spans="1:64" outlineLevel="1">
      <c r="A829" s="9"/>
      <c r="B829" s="9"/>
      <c r="C829" s="44"/>
      <c r="D829" s="278" t="str">
        <f>Asset4</f>
        <v>Refurbishment</v>
      </c>
      <c r="E829" s="9"/>
      <c r="F829" s="9"/>
      <c r="G829" s="210">
        <f>'Adjustment for previous period'!G433</f>
        <v>-15.141625906629972</v>
      </c>
      <c r="H829" s="35"/>
      <c r="I829" s="35"/>
      <c r="J829" s="35"/>
      <c r="K829" s="35"/>
      <c r="L829" s="35"/>
      <c r="M829" s="35"/>
      <c r="N829" s="29"/>
      <c r="O829" s="29"/>
      <c r="P829" s="29"/>
      <c r="Q829" s="29"/>
      <c r="R829" s="29"/>
      <c r="S829" s="104"/>
      <c r="T829" s="104"/>
      <c r="U829" s="104"/>
      <c r="V829" s="104"/>
      <c r="W829" s="104"/>
      <c r="X829" s="104"/>
      <c r="Y829" s="104"/>
      <c r="Z829" s="104"/>
      <c r="AA829" s="235"/>
      <c r="AB829" s="235"/>
      <c r="AC829" s="235"/>
      <c r="AD829" s="235"/>
      <c r="AE829" s="235"/>
      <c r="AF829" s="235"/>
      <c r="AG829" s="235"/>
      <c r="AH829" s="235"/>
      <c r="AI829" s="235"/>
      <c r="AJ829" s="235"/>
      <c r="AK829" s="235"/>
      <c r="AL829" s="235"/>
      <c r="AM829" s="235"/>
      <c r="AN829" s="235"/>
      <c r="AO829" s="235"/>
      <c r="AP829" s="235"/>
      <c r="AQ829" s="235"/>
      <c r="AR829" s="235"/>
      <c r="AS829" s="235"/>
      <c r="AT829" s="235"/>
      <c r="AU829" s="235"/>
      <c r="AV829" s="235"/>
      <c r="AW829" s="235"/>
      <c r="AX829" s="235"/>
      <c r="AY829" s="235"/>
      <c r="AZ829" s="235"/>
      <c r="BA829" s="235"/>
      <c r="BB829" s="235"/>
      <c r="BC829" s="235"/>
      <c r="BD829" s="104"/>
      <c r="BE829" s="104"/>
      <c r="BF829" s="104"/>
      <c r="BG829" s="104"/>
      <c r="BH829" s="104"/>
      <c r="BI829" s="104"/>
      <c r="BJ829" s="104"/>
      <c r="BK829" s="12"/>
      <c r="BL829" s="12"/>
    </row>
    <row r="830" spans="1:64" outlineLevel="1">
      <c r="A830" s="9"/>
      <c r="B830" s="9"/>
      <c r="C830" s="44"/>
      <c r="D830" s="278" t="str">
        <f>Asset5</f>
        <v>Other</v>
      </c>
      <c r="E830" s="9"/>
      <c r="F830" s="9"/>
      <c r="G830" s="210">
        <f>'Adjustment for previous period'!G434</f>
        <v>-0.4872756071361764</v>
      </c>
      <c r="H830" s="35"/>
      <c r="I830" s="35"/>
      <c r="J830" s="35"/>
      <c r="K830" s="35"/>
      <c r="L830" s="35"/>
      <c r="M830" s="35"/>
      <c r="N830" s="29"/>
      <c r="O830" s="29"/>
      <c r="P830" s="29"/>
      <c r="Q830" s="29"/>
      <c r="R830" s="29"/>
      <c r="S830" s="104"/>
      <c r="T830" s="104"/>
      <c r="U830" s="104"/>
      <c r="V830" s="104"/>
      <c r="W830" s="104"/>
      <c r="X830" s="104"/>
      <c r="Y830" s="104"/>
      <c r="Z830" s="104"/>
      <c r="AA830" s="235"/>
      <c r="AB830" s="235"/>
      <c r="AC830" s="235"/>
      <c r="AD830" s="235"/>
      <c r="AE830" s="235"/>
      <c r="AF830" s="235"/>
      <c r="AG830" s="235"/>
      <c r="AH830" s="235"/>
      <c r="AI830" s="235"/>
      <c r="AJ830" s="235"/>
      <c r="AK830" s="235"/>
      <c r="AL830" s="235"/>
      <c r="AM830" s="235"/>
      <c r="AN830" s="235"/>
      <c r="AO830" s="235"/>
      <c r="AP830" s="235"/>
      <c r="AQ830" s="235"/>
      <c r="AR830" s="235"/>
      <c r="AS830" s="235"/>
      <c r="AT830" s="235"/>
      <c r="AU830" s="235"/>
      <c r="AV830" s="235"/>
      <c r="AW830" s="235"/>
      <c r="AX830" s="235"/>
      <c r="AY830" s="235"/>
      <c r="AZ830" s="235"/>
      <c r="BA830" s="235"/>
      <c r="BB830" s="235"/>
      <c r="BC830" s="235"/>
      <c r="BD830" s="104"/>
      <c r="BE830" s="104"/>
      <c r="BF830" s="104"/>
      <c r="BG830" s="104"/>
      <c r="BH830" s="104"/>
      <c r="BI830" s="104"/>
      <c r="BJ830" s="104"/>
      <c r="BK830" s="12"/>
      <c r="BL830" s="12"/>
    </row>
    <row r="831" spans="1:64" outlineLevel="1">
      <c r="A831" s="9"/>
      <c r="B831" s="9"/>
      <c r="C831" s="44"/>
      <c r="D831" s="278" t="str">
        <f>Asset6</f>
        <v>Other - IT</v>
      </c>
      <c r="E831" s="9"/>
      <c r="F831" s="9"/>
      <c r="G831" s="210">
        <f>'Adjustment for previous period'!G435</f>
        <v>18.655537634766787</v>
      </c>
      <c r="H831" s="35"/>
      <c r="I831" s="35"/>
      <c r="J831" s="35"/>
      <c r="K831" s="35"/>
      <c r="L831" s="35"/>
      <c r="M831" s="35"/>
      <c r="N831" s="29"/>
      <c r="O831" s="29"/>
      <c r="P831" s="29"/>
      <c r="Q831" s="29"/>
      <c r="R831" s="29"/>
      <c r="S831" s="104"/>
      <c r="T831" s="104"/>
      <c r="U831" s="104"/>
      <c r="V831" s="104"/>
      <c r="W831" s="104"/>
      <c r="X831" s="104"/>
      <c r="Y831" s="104"/>
      <c r="Z831" s="104"/>
      <c r="AA831" s="235"/>
      <c r="AB831" s="235"/>
      <c r="AC831" s="235"/>
      <c r="AD831" s="235"/>
      <c r="AE831" s="235"/>
      <c r="AF831" s="235"/>
      <c r="AG831" s="235"/>
      <c r="AH831" s="235"/>
      <c r="AI831" s="235"/>
      <c r="AJ831" s="235"/>
      <c r="AK831" s="235"/>
      <c r="AL831" s="235"/>
      <c r="AM831" s="235"/>
      <c r="AN831" s="235"/>
      <c r="AO831" s="235"/>
      <c r="AP831" s="235"/>
      <c r="AQ831" s="235"/>
      <c r="AR831" s="235"/>
      <c r="AS831" s="235"/>
      <c r="AT831" s="235"/>
      <c r="AU831" s="235"/>
      <c r="AV831" s="235"/>
      <c r="AW831" s="235"/>
      <c r="AX831" s="235"/>
      <c r="AY831" s="235"/>
      <c r="AZ831" s="235"/>
      <c r="BA831" s="235"/>
      <c r="BB831" s="235"/>
      <c r="BC831" s="235"/>
      <c r="BD831" s="104"/>
      <c r="BE831" s="104"/>
      <c r="BF831" s="104"/>
      <c r="BG831" s="104"/>
      <c r="BH831" s="104"/>
      <c r="BI831" s="104"/>
      <c r="BJ831" s="104"/>
      <c r="BK831" s="12"/>
      <c r="BL831" s="12"/>
    </row>
    <row r="832" spans="1:64" outlineLevel="1">
      <c r="A832" s="9"/>
      <c r="B832" s="9"/>
      <c r="C832" s="44"/>
      <c r="D832" s="278" t="str">
        <f>Asset7</f>
        <v>Other - General</v>
      </c>
      <c r="E832" s="9"/>
      <c r="F832" s="9"/>
      <c r="G832" s="210">
        <f>'Adjustment for previous period'!G436</f>
        <v>-4.3670255217504392</v>
      </c>
      <c r="H832" s="35"/>
      <c r="I832" s="35"/>
      <c r="J832" s="35"/>
      <c r="K832" s="35"/>
      <c r="L832" s="35"/>
      <c r="M832" s="35"/>
      <c r="N832" s="29"/>
      <c r="O832" s="29"/>
      <c r="P832" s="29"/>
      <c r="Q832" s="29"/>
      <c r="R832" s="29"/>
      <c r="S832" s="104"/>
      <c r="T832" s="104"/>
      <c r="U832" s="104"/>
      <c r="V832" s="104"/>
      <c r="W832" s="104"/>
      <c r="X832" s="104"/>
      <c r="Y832" s="104"/>
      <c r="Z832" s="104"/>
      <c r="AA832" s="235"/>
      <c r="AB832" s="235"/>
      <c r="AC832" s="235"/>
      <c r="AD832" s="235"/>
      <c r="AE832" s="235"/>
      <c r="AF832" s="235"/>
      <c r="AG832" s="235"/>
      <c r="AH832" s="235"/>
      <c r="AI832" s="235"/>
      <c r="AJ832" s="235"/>
      <c r="AK832" s="235"/>
      <c r="AL832" s="235"/>
      <c r="AM832" s="235"/>
      <c r="AN832" s="235"/>
      <c r="AO832" s="235"/>
      <c r="AP832" s="235"/>
      <c r="AQ832" s="235"/>
      <c r="AR832" s="235"/>
      <c r="AS832" s="235"/>
      <c r="AT832" s="235"/>
      <c r="AU832" s="235"/>
      <c r="AV832" s="235"/>
      <c r="AW832" s="235"/>
      <c r="AX832" s="235"/>
      <c r="AY832" s="235"/>
      <c r="AZ832" s="235"/>
      <c r="BA832" s="235"/>
      <c r="BB832" s="235"/>
      <c r="BC832" s="235"/>
      <c r="BD832" s="104"/>
      <c r="BE832" s="104"/>
      <c r="BF832" s="104"/>
      <c r="BG832" s="104"/>
      <c r="BH832" s="104"/>
      <c r="BI832" s="104"/>
      <c r="BJ832" s="104"/>
      <c r="BK832" s="12"/>
      <c r="BL832" s="12"/>
    </row>
    <row r="833" spans="1:64" outlineLevel="1">
      <c r="A833" s="9"/>
      <c r="B833" s="9"/>
      <c r="C833" s="44"/>
      <c r="D833" s="278" t="str">
        <f>Asset8</f>
        <v>Other - Buildings</v>
      </c>
      <c r="E833" s="9"/>
      <c r="F833" s="9"/>
      <c r="G833" s="210">
        <f>'Adjustment for previous period'!G437</f>
        <v>12.501824253719461</v>
      </c>
      <c r="H833" s="35"/>
      <c r="I833" s="35"/>
      <c r="J833" s="35"/>
      <c r="K833" s="35"/>
      <c r="L833" s="35"/>
      <c r="M833" s="35"/>
      <c r="N833" s="29"/>
      <c r="O833" s="29"/>
      <c r="P833" s="29"/>
      <c r="Q833" s="29"/>
      <c r="R833" s="29"/>
      <c r="S833" s="104"/>
      <c r="T833" s="104"/>
      <c r="U833" s="104"/>
      <c r="V833" s="104"/>
      <c r="W833" s="104"/>
      <c r="X833" s="104"/>
      <c r="Y833" s="104"/>
      <c r="Z833" s="104"/>
      <c r="AA833" s="235"/>
      <c r="AB833" s="235"/>
      <c r="AC833" s="235"/>
      <c r="AD833" s="235"/>
      <c r="AE833" s="235"/>
      <c r="AF833" s="235"/>
      <c r="AG833" s="235"/>
      <c r="AH833" s="235"/>
      <c r="AI833" s="235"/>
      <c r="AJ833" s="235"/>
      <c r="AK833" s="235"/>
      <c r="AL833" s="235"/>
      <c r="AM833" s="235"/>
      <c r="AN833" s="235"/>
      <c r="AO833" s="235"/>
      <c r="AP833" s="235"/>
      <c r="AQ833" s="235"/>
      <c r="AR833" s="235"/>
      <c r="AS833" s="235"/>
      <c r="AT833" s="235"/>
      <c r="AU833" s="235"/>
      <c r="AV833" s="235"/>
      <c r="AW833" s="235"/>
      <c r="AX833" s="235"/>
      <c r="AY833" s="235"/>
      <c r="AZ833" s="235"/>
      <c r="BA833" s="235"/>
      <c r="BB833" s="235"/>
      <c r="BC833" s="235"/>
      <c r="BD833" s="104"/>
      <c r="BE833" s="104"/>
      <c r="BF833" s="104"/>
      <c r="BG833" s="104"/>
      <c r="BH833" s="104"/>
      <c r="BI833" s="104"/>
      <c r="BJ833" s="104"/>
      <c r="BK833" s="12"/>
      <c r="BL833" s="12"/>
    </row>
    <row r="834" spans="1:64" outlineLevel="1">
      <c r="A834" s="9"/>
      <c r="B834" s="9"/>
      <c r="C834" s="44"/>
      <c r="D834" s="278" t="str">
        <f>Asset9</f>
        <v>Land and Easements</v>
      </c>
      <c r="E834" s="9"/>
      <c r="F834" s="9"/>
      <c r="G834" s="210">
        <f>'Adjustment for previous period'!G438</f>
        <v>2.7927826556419029</v>
      </c>
      <c r="H834" s="35"/>
      <c r="I834" s="35"/>
      <c r="J834" s="35"/>
      <c r="K834" s="35"/>
      <c r="L834" s="35"/>
      <c r="M834" s="35"/>
      <c r="N834" s="29"/>
      <c r="O834" s="29"/>
      <c r="P834" s="29"/>
      <c r="Q834" s="29"/>
      <c r="R834" s="29"/>
      <c r="S834" s="104"/>
      <c r="T834" s="104"/>
      <c r="U834" s="104"/>
      <c r="V834" s="104"/>
      <c r="W834" s="104"/>
      <c r="X834" s="104"/>
      <c r="Y834" s="104"/>
      <c r="Z834" s="104"/>
      <c r="AA834" s="235"/>
      <c r="AB834" s="235"/>
      <c r="AC834" s="235"/>
      <c r="AD834" s="235"/>
      <c r="AE834" s="235"/>
      <c r="AF834" s="235"/>
      <c r="AG834" s="235"/>
      <c r="AH834" s="235"/>
      <c r="AI834" s="235"/>
      <c r="AJ834" s="235"/>
      <c r="AK834" s="235"/>
      <c r="AL834" s="235"/>
      <c r="AM834" s="235"/>
      <c r="AN834" s="235"/>
      <c r="AO834" s="235"/>
      <c r="AP834" s="235"/>
      <c r="AQ834" s="235"/>
      <c r="AR834" s="235"/>
      <c r="AS834" s="235"/>
      <c r="AT834" s="235"/>
      <c r="AU834" s="235"/>
      <c r="AV834" s="235"/>
      <c r="AW834" s="235"/>
      <c r="AX834" s="235"/>
      <c r="AY834" s="235"/>
      <c r="AZ834" s="235"/>
      <c r="BA834" s="235"/>
      <c r="BB834" s="235"/>
      <c r="BC834" s="235"/>
      <c r="BD834" s="104"/>
      <c r="BE834" s="104"/>
      <c r="BF834" s="104"/>
      <c r="BG834" s="104"/>
      <c r="BH834" s="104"/>
      <c r="BI834" s="104"/>
      <c r="BJ834" s="104"/>
      <c r="BK834" s="12"/>
      <c r="BL834" s="12"/>
    </row>
    <row r="835" spans="1:64" outlineLevel="1">
      <c r="A835" s="9"/>
      <c r="B835" s="9"/>
      <c r="C835" s="44"/>
      <c r="D835" s="278" t="str">
        <f>Asset10</f>
        <v>Transmission line assets - long life (60)</v>
      </c>
      <c r="E835" s="9"/>
      <c r="F835" s="9"/>
      <c r="G835" s="210">
        <f>'Adjustment for previous period'!G439</f>
        <v>0</v>
      </c>
      <c r="H835" s="35"/>
      <c r="I835" s="35"/>
      <c r="J835" s="35"/>
      <c r="K835" s="35"/>
      <c r="L835" s="35"/>
      <c r="M835" s="35"/>
      <c r="N835" s="29"/>
      <c r="O835" s="29"/>
      <c r="P835" s="29"/>
      <c r="Q835" s="29"/>
      <c r="R835" s="29"/>
      <c r="S835" s="104"/>
      <c r="T835" s="104"/>
      <c r="U835" s="104"/>
      <c r="V835" s="104"/>
      <c r="W835" s="104"/>
      <c r="X835" s="104"/>
      <c r="Y835" s="104"/>
      <c r="Z835" s="104"/>
      <c r="AA835" s="235"/>
      <c r="AB835" s="235"/>
      <c r="AC835" s="235"/>
      <c r="AD835" s="235"/>
      <c r="AE835" s="235"/>
      <c r="AF835" s="235"/>
      <c r="AG835" s="235"/>
      <c r="AH835" s="235"/>
      <c r="AI835" s="235"/>
      <c r="AJ835" s="235"/>
      <c r="AK835" s="235"/>
      <c r="AL835" s="235"/>
      <c r="AM835" s="235"/>
      <c r="AN835" s="235"/>
      <c r="AO835" s="235"/>
      <c r="AP835" s="235"/>
      <c r="AQ835" s="235"/>
      <c r="AR835" s="235"/>
      <c r="AS835" s="235"/>
      <c r="AT835" s="235"/>
      <c r="AU835" s="235"/>
      <c r="AV835" s="235"/>
      <c r="AW835" s="235"/>
      <c r="AX835" s="235"/>
      <c r="AY835" s="235"/>
      <c r="AZ835" s="235"/>
      <c r="BA835" s="235"/>
      <c r="BB835" s="235"/>
      <c r="BC835" s="235"/>
      <c r="BD835" s="104"/>
      <c r="BE835" s="104"/>
      <c r="BF835" s="104"/>
      <c r="BG835" s="104"/>
      <c r="BH835" s="104"/>
      <c r="BI835" s="104"/>
      <c r="BJ835" s="104"/>
      <c r="BK835" s="12"/>
      <c r="BL835" s="12"/>
    </row>
    <row r="836" spans="1:64" outlineLevel="1">
      <c r="A836" s="9"/>
      <c r="B836" s="9"/>
      <c r="C836" s="44"/>
      <c r="D836" s="278" t="str">
        <f>Asset11</f>
        <v>Transmission line assets - medium life (45)</v>
      </c>
      <c r="E836" s="9"/>
      <c r="F836" s="9"/>
      <c r="G836" s="210">
        <f>'Adjustment for previous period'!G440</f>
        <v>0</v>
      </c>
      <c r="H836" s="35"/>
      <c r="I836" s="35"/>
      <c r="J836" s="35"/>
      <c r="K836" s="35"/>
      <c r="L836" s="35"/>
      <c r="M836" s="35"/>
      <c r="N836" s="29"/>
      <c r="O836" s="29"/>
      <c r="P836" s="29"/>
      <c r="Q836" s="29"/>
      <c r="R836" s="29"/>
      <c r="S836" s="104"/>
      <c r="T836" s="104"/>
      <c r="U836" s="104"/>
      <c r="V836" s="104"/>
      <c r="W836" s="104"/>
      <c r="X836" s="104"/>
      <c r="Y836" s="104"/>
      <c r="Z836" s="104"/>
      <c r="AA836" s="235"/>
      <c r="AB836" s="235"/>
      <c r="AC836" s="235"/>
      <c r="AD836" s="235"/>
      <c r="AE836" s="235"/>
      <c r="AF836" s="235"/>
      <c r="AG836" s="235"/>
      <c r="AH836" s="235"/>
      <c r="AI836" s="235"/>
      <c r="AJ836" s="235"/>
      <c r="AK836" s="235"/>
      <c r="AL836" s="235"/>
      <c r="AM836" s="235"/>
      <c r="AN836" s="235"/>
      <c r="AO836" s="235"/>
      <c r="AP836" s="235"/>
      <c r="AQ836" s="235"/>
      <c r="AR836" s="235"/>
      <c r="AS836" s="235"/>
      <c r="AT836" s="235"/>
      <c r="AU836" s="235"/>
      <c r="AV836" s="235"/>
      <c r="AW836" s="235"/>
      <c r="AX836" s="235"/>
      <c r="AY836" s="235"/>
      <c r="AZ836" s="235"/>
      <c r="BA836" s="235"/>
      <c r="BB836" s="235"/>
      <c r="BC836" s="235"/>
      <c r="BD836" s="104"/>
      <c r="BE836" s="104"/>
      <c r="BF836" s="104"/>
      <c r="BG836" s="104"/>
      <c r="BH836" s="104"/>
      <c r="BI836" s="104"/>
      <c r="BJ836" s="104"/>
      <c r="BK836" s="12"/>
      <c r="BL836" s="12"/>
    </row>
    <row r="837" spans="1:64" outlineLevel="1">
      <c r="A837" s="9"/>
      <c r="B837" s="9"/>
      <c r="C837" s="44"/>
      <c r="D837" s="278" t="str">
        <f>Asset12</f>
        <v>Transmission line assets - short life (10)</v>
      </c>
      <c r="E837" s="9"/>
      <c r="F837" s="9"/>
      <c r="G837" s="210">
        <f>'Adjustment for previous period'!G441</f>
        <v>0</v>
      </c>
      <c r="H837" s="35"/>
      <c r="I837" s="35"/>
      <c r="J837" s="35"/>
      <c r="K837" s="35"/>
      <c r="L837" s="35"/>
      <c r="M837" s="35"/>
      <c r="N837" s="29"/>
      <c r="O837" s="29"/>
      <c r="P837" s="29"/>
      <c r="Q837" s="29"/>
      <c r="R837" s="29"/>
      <c r="S837" s="104"/>
      <c r="T837" s="104"/>
      <c r="U837" s="104"/>
      <c r="V837" s="104"/>
      <c r="W837" s="104"/>
      <c r="X837" s="104"/>
      <c r="Y837" s="104"/>
      <c r="Z837" s="104"/>
      <c r="AA837" s="235"/>
      <c r="AB837" s="235"/>
      <c r="AC837" s="235"/>
      <c r="AD837" s="235"/>
      <c r="AE837" s="235"/>
      <c r="AF837" s="235"/>
      <c r="AG837" s="235"/>
      <c r="AH837" s="235"/>
      <c r="AI837" s="235"/>
      <c r="AJ837" s="235"/>
      <c r="AK837" s="235"/>
      <c r="AL837" s="235"/>
      <c r="AM837" s="235"/>
      <c r="AN837" s="235"/>
      <c r="AO837" s="235"/>
      <c r="AP837" s="235"/>
      <c r="AQ837" s="235"/>
      <c r="AR837" s="235"/>
      <c r="AS837" s="235"/>
      <c r="AT837" s="235"/>
      <c r="AU837" s="235"/>
      <c r="AV837" s="235"/>
      <c r="AW837" s="235"/>
      <c r="AX837" s="235"/>
      <c r="AY837" s="235"/>
      <c r="AZ837" s="235"/>
      <c r="BA837" s="235"/>
      <c r="BB837" s="235"/>
      <c r="BC837" s="235"/>
      <c r="BD837" s="104"/>
      <c r="BE837" s="104"/>
      <c r="BF837" s="104"/>
      <c r="BG837" s="104"/>
      <c r="BH837" s="104"/>
      <c r="BI837" s="104"/>
      <c r="BJ837" s="104"/>
      <c r="BK837" s="12"/>
      <c r="BL837" s="12"/>
    </row>
    <row r="838" spans="1:64" outlineLevel="1">
      <c r="A838" s="9"/>
      <c r="B838" s="9"/>
      <c r="C838" s="44"/>
      <c r="D838" s="278" t="str">
        <f>Asset13</f>
        <v>Substation assets - long life (60)</v>
      </c>
      <c r="E838" s="9"/>
      <c r="F838" s="9"/>
      <c r="G838" s="210">
        <f>'Adjustment for previous period'!G442</f>
        <v>0</v>
      </c>
      <c r="H838" s="35"/>
      <c r="I838" s="35"/>
      <c r="J838" s="35"/>
      <c r="K838" s="35"/>
      <c r="L838" s="35"/>
      <c r="M838" s="35"/>
      <c r="N838" s="29"/>
      <c r="O838" s="29"/>
      <c r="P838" s="29"/>
      <c r="Q838" s="29"/>
      <c r="R838" s="29"/>
      <c r="S838" s="104"/>
      <c r="T838" s="104"/>
      <c r="U838" s="104"/>
      <c r="V838" s="104"/>
      <c r="W838" s="104"/>
      <c r="X838" s="104"/>
      <c r="Y838" s="104"/>
      <c r="Z838" s="104"/>
      <c r="AA838" s="235"/>
      <c r="AB838" s="235"/>
      <c r="AC838" s="235"/>
      <c r="AD838" s="235"/>
      <c r="AE838" s="235"/>
      <c r="AF838" s="235"/>
      <c r="AG838" s="235"/>
      <c r="AH838" s="235"/>
      <c r="AI838" s="235"/>
      <c r="AJ838" s="235"/>
      <c r="AK838" s="235"/>
      <c r="AL838" s="235"/>
      <c r="AM838" s="235"/>
      <c r="AN838" s="235"/>
      <c r="AO838" s="235"/>
      <c r="AP838" s="235"/>
      <c r="AQ838" s="235"/>
      <c r="AR838" s="235"/>
      <c r="AS838" s="235"/>
      <c r="AT838" s="235"/>
      <c r="AU838" s="235"/>
      <c r="AV838" s="235"/>
      <c r="AW838" s="235"/>
      <c r="AX838" s="235"/>
      <c r="AY838" s="235"/>
      <c r="AZ838" s="235"/>
      <c r="BA838" s="235"/>
      <c r="BB838" s="235"/>
      <c r="BC838" s="235"/>
      <c r="BD838" s="104"/>
      <c r="BE838" s="104"/>
      <c r="BF838" s="104"/>
      <c r="BG838" s="104"/>
      <c r="BH838" s="104"/>
      <c r="BI838" s="104"/>
      <c r="BJ838" s="104"/>
      <c r="BK838" s="12"/>
      <c r="BL838" s="12"/>
    </row>
    <row r="839" spans="1:64" outlineLevel="1">
      <c r="A839" s="9"/>
      <c r="B839" s="9"/>
      <c r="C839" s="44"/>
      <c r="D839" s="278" t="str">
        <f>Asset14</f>
        <v>Substation assets - medium life (45)</v>
      </c>
      <c r="E839" s="9"/>
      <c r="F839" s="9"/>
      <c r="G839" s="210">
        <f>'Adjustment for previous period'!G443</f>
        <v>0</v>
      </c>
      <c r="H839" s="35"/>
      <c r="I839" s="35"/>
      <c r="J839" s="35"/>
      <c r="K839" s="35"/>
      <c r="L839" s="35"/>
      <c r="M839" s="35"/>
      <c r="N839" s="29"/>
      <c r="O839" s="29"/>
      <c r="P839" s="29"/>
      <c r="Q839" s="29"/>
      <c r="R839" s="29"/>
      <c r="S839" s="104"/>
      <c r="T839" s="104"/>
      <c r="U839" s="104"/>
      <c r="V839" s="104"/>
      <c r="W839" s="104"/>
      <c r="X839" s="104"/>
      <c r="Y839" s="104"/>
      <c r="Z839" s="104"/>
      <c r="AA839" s="235"/>
      <c r="AB839" s="235"/>
      <c r="AC839" s="235"/>
      <c r="AD839" s="235"/>
      <c r="AE839" s="235"/>
      <c r="AF839" s="235"/>
      <c r="AG839" s="235"/>
      <c r="AH839" s="235"/>
      <c r="AI839" s="235"/>
      <c r="AJ839" s="235"/>
      <c r="AK839" s="235"/>
      <c r="AL839" s="235"/>
      <c r="AM839" s="235"/>
      <c r="AN839" s="235"/>
      <c r="AO839" s="235"/>
      <c r="AP839" s="235"/>
      <c r="AQ839" s="235"/>
      <c r="AR839" s="235"/>
      <c r="AS839" s="235"/>
      <c r="AT839" s="235"/>
      <c r="AU839" s="235"/>
      <c r="AV839" s="235"/>
      <c r="AW839" s="235"/>
      <c r="AX839" s="235"/>
      <c r="AY839" s="235"/>
      <c r="AZ839" s="235"/>
      <c r="BA839" s="235"/>
      <c r="BB839" s="235"/>
      <c r="BC839" s="235"/>
      <c r="BD839" s="104"/>
      <c r="BE839" s="104"/>
      <c r="BF839" s="104"/>
      <c r="BG839" s="104"/>
      <c r="BH839" s="104"/>
      <c r="BI839" s="104"/>
      <c r="BJ839" s="104"/>
      <c r="BK839" s="12"/>
      <c r="BL839" s="12"/>
    </row>
    <row r="840" spans="1:64" outlineLevel="1">
      <c r="A840" s="9"/>
      <c r="B840" s="9"/>
      <c r="C840" s="44"/>
      <c r="D840" s="278" t="str">
        <f>Asset15</f>
        <v>Substation assets - short life (15)</v>
      </c>
      <c r="E840" s="9"/>
      <c r="F840" s="9"/>
      <c r="G840" s="210">
        <f>'Adjustment for previous period'!G444</f>
        <v>0</v>
      </c>
      <c r="H840" s="35"/>
      <c r="I840" s="35"/>
      <c r="J840" s="35"/>
      <c r="K840" s="35"/>
      <c r="L840" s="35"/>
      <c r="M840" s="35"/>
      <c r="N840" s="29"/>
      <c r="O840" s="29"/>
      <c r="P840" s="29"/>
      <c r="Q840" s="29"/>
      <c r="R840" s="29"/>
      <c r="S840" s="104"/>
      <c r="T840" s="104"/>
      <c r="U840" s="104"/>
      <c r="V840" s="104"/>
      <c r="W840" s="104"/>
      <c r="X840" s="104"/>
      <c r="Y840" s="104"/>
      <c r="Z840" s="104"/>
      <c r="AA840" s="235"/>
      <c r="AB840" s="235"/>
      <c r="AC840" s="235"/>
      <c r="AD840" s="235"/>
      <c r="AE840" s="235"/>
      <c r="AF840" s="235"/>
      <c r="AG840" s="235"/>
      <c r="AH840" s="235"/>
      <c r="AI840" s="235"/>
      <c r="AJ840" s="235"/>
      <c r="AK840" s="235"/>
      <c r="AL840" s="235"/>
      <c r="AM840" s="235"/>
      <c r="AN840" s="235"/>
      <c r="AO840" s="235"/>
      <c r="AP840" s="235"/>
      <c r="AQ840" s="235"/>
      <c r="AR840" s="235"/>
      <c r="AS840" s="235"/>
      <c r="AT840" s="235"/>
      <c r="AU840" s="235"/>
      <c r="AV840" s="235"/>
      <c r="AW840" s="235"/>
      <c r="AX840" s="235"/>
      <c r="AY840" s="235"/>
      <c r="AZ840" s="235"/>
      <c r="BA840" s="235"/>
      <c r="BB840" s="235"/>
      <c r="BC840" s="235"/>
      <c r="BD840" s="104"/>
      <c r="BE840" s="104"/>
      <c r="BF840" s="104"/>
      <c r="BG840" s="104"/>
      <c r="BH840" s="104"/>
      <c r="BI840" s="104"/>
      <c r="BJ840" s="104"/>
      <c r="BK840" s="12"/>
      <c r="BL840" s="12"/>
    </row>
    <row r="841" spans="1:64" outlineLevel="1">
      <c r="A841" s="9"/>
      <c r="B841" s="9"/>
      <c r="C841" s="44"/>
      <c r="D841" s="278" t="str">
        <f>Asset16</f>
        <v>Protection and control - short life (15)</v>
      </c>
      <c r="E841" s="9"/>
      <c r="F841" s="9"/>
      <c r="G841" s="210">
        <f>'Adjustment for previous period'!G445</f>
        <v>0</v>
      </c>
      <c r="H841" s="35"/>
      <c r="I841" s="35"/>
      <c r="J841" s="35"/>
      <c r="K841" s="35"/>
      <c r="L841" s="35"/>
      <c r="M841" s="35"/>
      <c r="N841" s="29"/>
      <c r="O841" s="29"/>
      <c r="P841" s="29"/>
      <c r="Q841" s="29"/>
      <c r="R841" s="29"/>
      <c r="S841" s="104"/>
      <c r="T841" s="104"/>
      <c r="U841" s="104"/>
      <c r="V841" s="104"/>
      <c r="W841" s="104"/>
      <c r="X841" s="104"/>
      <c r="Y841" s="104"/>
      <c r="Z841" s="104"/>
      <c r="AA841" s="235"/>
      <c r="AB841" s="235"/>
      <c r="AC841" s="235"/>
      <c r="AD841" s="235"/>
      <c r="AE841" s="235"/>
      <c r="AF841" s="235"/>
      <c r="AG841" s="235"/>
      <c r="AH841" s="235"/>
      <c r="AI841" s="235"/>
      <c r="AJ841" s="235"/>
      <c r="AK841" s="235"/>
      <c r="AL841" s="235"/>
      <c r="AM841" s="235"/>
      <c r="AN841" s="235"/>
      <c r="AO841" s="235"/>
      <c r="AP841" s="235"/>
      <c r="AQ841" s="235"/>
      <c r="AR841" s="235"/>
      <c r="AS841" s="235"/>
      <c r="AT841" s="235"/>
      <c r="AU841" s="235"/>
      <c r="AV841" s="235"/>
      <c r="AW841" s="235"/>
      <c r="AX841" s="235"/>
      <c r="AY841" s="235"/>
      <c r="AZ841" s="235"/>
      <c r="BA841" s="235"/>
      <c r="BB841" s="235"/>
      <c r="BC841" s="235"/>
      <c r="BD841" s="104"/>
      <c r="BE841" s="104"/>
      <c r="BF841" s="104"/>
      <c r="BG841" s="104"/>
      <c r="BH841" s="104"/>
      <c r="BI841" s="104"/>
      <c r="BJ841" s="104"/>
      <c r="BK841" s="12"/>
      <c r="BL841" s="12"/>
    </row>
    <row r="842" spans="1:64" outlineLevel="1">
      <c r="A842" s="9"/>
      <c r="B842" s="9"/>
      <c r="C842" s="44"/>
      <c r="D842" s="278" t="str">
        <f>Asset17</f>
        <v>Protection and control - short life (4)</v>
      </c>
      <c r="E842" s="9"/>
      <c r="F842" s="9"/>
      <c r="G842" s="210">
        <f>'Adjustment for previous period'!G446</f>
        <v>0</v>
      </c>
      <c r="H842" s="35"/>
      <c r="I842" s="35"/>
      <c r="J842" s="35"/>
      <c r="K842" s="35"/>
      <c r="L842" s="35"/>
      <c r="M842" s="35"/>
      <c r="N842" s="29"/>
      <c r="O842" s="29"/>
      <c r="P842" s="29"/>
      <c r="Q842" s="29"/>
      <c r="R842" s="29"/>
      <c r="S842" s="104"/>
      <c r="T842" s="104"/>
      <c r="U842" s="104"/>
      <c r="V842" s="104"/>
      <c r="W842" s="104"/>
      <c r="X842" s="104"/>
      <c r="Y842" s="104"/>
      <c r="Z842" s="104"/>
      <c r="AA842" s="235"/>
      <c r="AB842" s="235"/>
      <c r="AC842" s="235"/>
      <c r="AD842" s="235"/>
      <c r="AE842" s="235"/>
      <c r="AF842" s="235"/>
      <c r="AG842" s="235"/>
      <c r="AH842" s="235"/>
      <c r="AI842" s="235"/>
      <c r="AJ842" s="235"/>
      <c r="AK842" s="235"/>
      <c r="AL842" s="235"/>
      <c r="AM842" s="235"/>
      <c r="AN842" s="235"/>
      <c r="AO842" s="235"/>
      <c r="AP842" s="235"/>
      <c r="AQ842" s="235"/>
      <c r="AR842" s="235"/>
      <c r="AS842" s="235"/>
      <c r="AT842" s="235"/>
      <c r="AU842" s="235"/>
      <c r="AV842" s="235"/>
      <c r="AW842" s="235"/>
      <c r="AX842" s="235"/>
      <c r="AY842" s="235"/>
      <c r="AZ842" s="235"/>
      <c r="BA842" s="235"/>
      <c r="BB842" s="235"/>
      <c r="BC842" s="235"/>
      <c r="BD842" s="104"/>
      <c r="BE842" s="104"/>
      <c r="BF842" s="104"/>
      <c r="BG842" s="104"/>
      <c r="BH842" s="104"/>
      <c r="BI842" s="104"/>
      <c r="BJ842" s="104"/>
      <c r="BK842" s="12"/>
      <c r="BL842" s="12"/>
    </row>
    <row r="843" spans="1:64" outlineLevel="1">
      <c r="A843" s="9"/>
      <c r="B843" s="9"/>
      <c r="C843" s="44"/>
      <c r="D843" s="278" t="str">
        <f>Asset18</f>
        <v>Transmission operations - short life (10)</v>
      </c>
      <c r="E843" s="9"/>
      <c r="F843" s="9"/>
      <c r="G843" s="210">
        <f>'Adjustment for previous period'!G447</f>
        <v>0</v>
      </c>
      <c r="H843" s="35"/>
      <c r="I843" s="35"/>
      <c r="J843" s="35"/>
      <c r="K843" s="35"/>
      <c r="L843" s="35"/>
      <c r="M843" s="35"/>
      <c r="N843" s="29"/>
      <c r="O843" s="29"/>
      <c r="P843" s="29"/>
      <c r="Q843" s="29"/>
      <c r="R843" s="29"/>
      <c r="S843" s="104"/>
      <c r="T843" s="104"/>
      <c r="U843" s="104"/>
      <c r="V843" s="104"/>
      <c r="W843" s="104"/>
      <c r="X843" s="104"/>
      <c r="Y843" s="104"/>
      <c r="Z843" s="104"/>
      <c r="AA843" s="235"/>
      <c r="AB843" s="235"/>
      <c r="AC843" s="235"/>
      <c r="AD843" s="235"/>
      <c r="AE843" s="235"/>
      <c r="AF843" s="235"/>
      <c r="AG843" s="235"/>
      <c r="AH843" s="235"/>
      <c r="AI843" s="235"/>
      <c r="AJ843" s="235"/>
      <c r="AK843" s="235"/>
      <c r="AL843" s="235"/>
      <c r="AM843" s="235"/>
      <c r="AN843" s="235"/>
      <c r="AO843" s="235"/>
      <c r="AP843" s="235"/>
      <c r="AQ843" s="235"/>
      <c r="AR843" s="235"/>
      <c r="AS843" s="235"/>
      <c r="AT843" s="235"/>
      <c r="AU843" s="235"/>
      <c r="AV843" s="235"/>
      <c r="AW843" s="235"/>
      <c r="AX843" s="235"/>
      <c r="AY843" s="235"/>
      <c r="AZ843" s="235"/>
      <c r="BA843" s="235"/>
      <c r="BB843" s="235"/>
      <c r="BC843" s="235"/>
      <c r="BD843" s="104"/>
      <c r="BE843" s="104"/>
      <c r="BF843" s="104"/>
      <c r="BG843" s="104"/>
      <c r="BH843" s="104"/>
      <c r="BI843" s="104"/>
      <c r="BJ843" s="104"/>
      <c r="BK843" s="12"/>
      <c r="BL843" s="12"/>
    </row>
    <row r="844" spans="1:64" outlineLevel="1">
      <c r="A844" s="9"/>
      <c r="B844" s="9"/>
      <c r="C844" s="44"/>
      <c r="D844" s="278" t="str">
        <f>Asset19</f>
        <v>Transmission operations - short life (4)</v>
      </c>
      <c r="E844" s="9"/>
      <c r="F844" s="9"/>
      <c r="G844" s="210">
        <f>'Adjustment for previous period'!G448</f>
        <v>0</v>
      </c>
      <c r="H844" s="35"/>
      <c r="I844" s="35"/>
      <c r="J844" s="35"/>
      <c r="K844" s="35"/>
      <c r="L844" s="35"/>
      <c r="M844" s="35"/>
      <c r="N844" s="29"/>
      <c r="O844" s="29"/>
      <c r="P844" s="29"/>
      <c r="Q844" s="29"/>
      <c r="R844" s="29"/>
      <c r="S844" s="104"/>
      <c r="T844" s="104"/>
      <c r="U844" s="104"/>
      <c r="V844" s="104"/>
      <c r="W844" s="104"/>
      <c r="X844" s="104"/>
      <c r="Y844" s="104"/>
      <c r="Z844" s="104"/>
      <c r="AA844" s="235"/>
      <c r="AB844" s="235"/>
      <c r="AC844" s="235"/>
      <c r="AD844" s="235"/>
      <c r="AE844" s="235"/>
      <c r="AF844" s="235"/>
      <c r="AG844" s="235"/>
      <c r="AH844" s="235"/>
      <c r="AI844" s="235"/>
      <c r="AJ844" s="235"/>
      <c r="AK844" s="235"/>
      <c r="AL844" s="235"/>
      <c r="AM844" s="235"/>
      <c r="AN844" s="235"/>
      <c r="AO844" s="235"/>
      <c r="AP844" s="235"/>
      <c r="AQ844" s="235"/>
      <c r="AR844" s="235"/>
      <c r="AS844" s="235"/>
      <c r="AT844" s="235"/>
      <c r="AU844" s="235"/>
      <c r="AV844" s="235"/>
      <c r="AW844" s="235"/>
      <c r="AX844" s="235"/>
      <c r="AY844" s="235"/>
      <c r="AZ844" s="235"/>
      <c r="BA844" s="235"/>
      <c r="BB844" s="235"/>
      <c r="BC844" s="235"/>
      <c r="BD844" s="104"/>
      <c r="BE844" s="104"/>
      <c r="BF844" s="104"/>
      <c r="BG844" s="104"/>
      <c r="BH844" s="104"/>
      <c r="BI844" s="104"/>
      <c r="BJ844" s="104"/>
      <c r="BK844" s="12"/>
      <c r="BL844" s="12"/>
    </row>
    <row r="845" spans="1:64" outlineLevel="1">
      <c r="A845" s="9"/>
      <c r="B845" s="9"/>
      <c r="C845" s="44"/>
      <c r="D845" s="278" t="str">
        <f>Asset20</f>
        <v>Other - medium life (40)</v>
      </c>
      <c r="E845" s="9"/>
      <c r="F845" s="9"/>
      <c r="G845" s="210">
        <f>'Adjustment for previous period'!G449</f>
        <v>0</v>
      </c>
      <c r="H845" s="35"/>
      <c r="I845" s="35"/>
      <c r="J845" s="35"/>
      <c r="K845" s="35"/>
      <c r="L845" s="35"/>
      <c r="M845" s="35"/>
      <c r="N845" s="29"/>
      <c r="O845" s="29"/>
      <c r="P845" s="29"/>
      <c r="Q845" s="29"/>
      <c r="R845" s="29"/>
      <c r="S845" s="104"/>
      <c r="T845" s="104"/>
      <c r="U845" s="104"/>
      <c r="V845" s="104"/>
      <c r="W845" s="104"/>
      <c r="X845" s="104"/>
      <c r="Y845" s="104"/>
      <c r="Z845" s="104"/>
      <c r="AA845" s="235"/>
      <c r="AB845" s="235"/>
      <c r="AC845" s="235"/>
      <c r="AD845" s="235"/>
      <c r="AE845" s="235"/>
      <c r="AF845" s="235"/>
      <c r="AG845" s="235"/>
      <c r="AH845" s="235"/>
      <c r="AI845" s="235"/>
      <c r="AJ845" s="235"/>
      <c r="AK845" s="235"/>
      <c r="AL845" s="235"/>
      <c r="AM845" s="235"/>
      <c r="AN845" s="235"/>
      <c r="AO845" s="235"/>
      <c r="AP845" s="235"/>
      <c r="AQ845" s="235"/>
      <c r="AR845" s="235"/>
      <c r="AS845" s="235"/>
      <c r="AT845" s="235"/>
      <c r="AU845" s="235"/>
      <c r="AV845" s="235"/>
      <c r="AW845" s="235"/>
      <c r="AX845" s="235"/>
      <c r="AY845" s="235"/>
      <c r="AZ845" s="235"/>
      <c r="BA845" s="235"/>
      <c r="BB845" s="235"/>
      <c r="BC845" s="235"/>
      <c r="BD845" s="104"/>
      <c r="BE845" s="104"/>
      <c r="BF845" s="104"/>
      <c r="BG845" s="104"/>
      <c r="BH845" s="104"/>
      <c r="BI845" s="104"/>
      <c r="BJ845" s="104"/>
      <c r="BK845" s="12"/>
      <c r="BL845" s="12"/>
    </row>
    <row r="846" spans="1:64" outlineLevel="1">
      <c r="A846" s="9"/>
      <c r="B846" s="9"/>
      <c r="C846" s="44"/>
      <c r="D846" s="314" t="str">
        <f>Asset21</f>
        <v>Other - short life (9)</v>
      </c>
      <c r="E846" s="9"/>
      <c r="F846" s="9"/>
      <c r="G846" s="210">
        <f>'Adjustment for previous period'!G450</f>
        <v>0</v>
      </c>
      <c r="H846" s="35"/>
      <c r="I846" s="35"/>
      <c r="J846" s="35"/>
      <c r="K846" s="35"/>
      <c r="L846" s="35"/>
      <c r="M846" s="35"/>
      <c r="N846" s="29"/>
      <c r="O846" s="29"/>
      <c r="P846" s="29"/>
      <c r="Q846" s="29"/>
      <c r="R846" s="29"/>
      <c r="S846" s="104"/>
      <c r="T846" s="104"/>
      <c r="U846" s="104"/>
      <c r="V846" s="104"/>
      <c r="W846" s="104"/>
      <c r="X846" s="104"/>
      <c r="Y846" s="104"/>
      <c r="Z846" s="104"/>
      <c r="AA846" s="235"/>
      <c r="AB846" s="235"/>
      <c r="AC846" s="235"/>
      <c r="AD846" s="235"/>
      <c r="AE846" s="235"/>
      <c r="AF846" s="235"/>
      <c r="AG846" s="235"/>
      <c r="AH846" s="235"/>
      <c r="AI846" s="235"/>
      <c r="AJ846" s="235"/>
      <c r="AK846" s="235"/>
      <c r="AL846" s="235"/>
      <c r="AM846" s="235"/>
      <c r="AN846" s="235"/>
      <c r="AO846" s="235"/>
      <c r="AP846" s="235"/>
      <c r="AQ846" s="235"/>
      <c r="AR846" s="235"/>
      <c r="AS846" s="235"/>
      <c r="AT846" s="235"/>
      <c r="AU846" s="235"/>
      <c r="AV846" s="235"/>
      <c r="AW846" s="235"/>
      <c r="AX846" s="235"/>
      <c r="AY846" s="235"/>
      <c r="AZ846" s="235"/>
      <c r="BA846" s="235"/>
      <c r="BB846" s="235"/>
      <c r="BC846" s="235"/>
      <c r="BD846" s="104"/>
      <c r="BE846" s="104"/>
      <c r="BF846" s="104"/>
      <c r="BG846" s="104"/>
      <c r="BH846" s="104"/>
      <c r="BI846" s="104"/>
      <c r="BJ846" s="104"/>
      <c r="BK846" s="12"/>
      <c r="BL846" s="12"/>
    </row>
    <row r="847" spans="1:64" outlineLevel="1">
      <c r="A847" s="9"/>
      <c r="B847" s="9"/>
      <c r="C847" s="44"/>
      <c r="D847" s="314" t="str">
        <f>Asset22</f>
        <v>Other - short life (4)</v>
      </c>
      <c r="E847" s="9"/>
      <c r="F847" s="9"/>
      <c r="G847" s="210">
        <f>'Adjustment for previous period'!G451</f>
        <v>0</v>
      </c>
      <c r="H847" s="35"/>
      <c r="I847" s="35"/>
      <c r="J847" s="35"/>
      <c r="K847" s="35"/>
      <c r="L847" s="35"/>
      <c r="M847" s="35"/>
      <c r="N847" s="29"/>
      <c r="O847" s="29"/>
      <c r="P847" s="29"/>
      <c r="Q847" s="29"/>
      <c r="R847" s="29"/>
      <c r="S847" s="104"/>
      <c r="T847" s="104"/>
      <c r="U847" s="104"/>
      <c r="V847" s="104"/>
      <c r="W847" s="104"/>
      <c r="X847" s="104"/>
      <c r="Y847" s="104"/>
      <c r="Z847" s="104"/>
      <c r="AA847" s="235"/>
      <c r="AB847" s="235"/>
      <c r="AC847" s="235"/>
      <c r="AD847" s="235"/>
      <c r="AE847" s="235"/>
      <c r="AF847" s="235"/>
      <c r="AG847" s="235"/>
      <c r="AH847" s="235"/>
      <c r="AI847" s="235"/>
      <c r="AJ847" s="235"/>
      <c r="AK847" s="235"/>
      <c r="AL847" s="235"/>
      <c r="AM847" s="235"/>
      <c r="AN847" s="235"/>
      <c r="AO847" s="235"/>
      <c r="AP847" s="235"/>
      <c r="AQ847" s="235"/>
      <c r="AR847" s="235"/>
      <c r="AS847" s="235"/>
      <c r="AT847" s="235"/>
      <c r="AU847" s="235"/>
      <c r="AV847" s="235"/>
      <c r="AW847" s="235"/>
      <c r="AX847" s="235"/>
      <c r="AY847" s="235"/>
      <c r="AZ847" s="235"/>
      <c r="BA847" s="235"/>
      <c r="BB847" s="235"/>
      <c r="BC847" s="235"/>
      <c r="BD847" s="104"/>
      <c r="BE847" s="104"/>
      <c r="BF847" s="104"/>
      <c r="BG847" s="104"/>
      <c r="BH847" s="104"/>
      <c r="BI847" s="104"/>
      <c r="BJ847" s="104"/>
      <c r="BK847" s="12"/>
      <c r="BL847" s="12"/>
    </row>
    <row r="848" spans="1:64" outlineLevel="1">
      <c r="A848" s="9"/>
      <c r="B848" s="9"/>
      <c r="C848" s="44"/>
      <c r="D848" s="314" t="str">
        <f>Asset23</f>
        <v>Land and Easements</v>
      </c>
      <c r="E848" s="9"/>
      <c r="F848" s="9"/>
      <c r="G848" s="210">
        <f>'Adjustment for previous period'!G452</f>
        <v>0</v>
      </c>
      <c r="H848" s="35"/>
      <c r="I848" s="35"/>
      <c r="J848" s="35"/>
      <c r="K848" s="35"/>
      <c r="L848" s="35"/>
      <c r="M848" s="35"/>
      <c r="N848" s="29"/>
      <c r="O848" s="29"/>
      <c r="P848" s="29"/>
      <c r="Q848" s="29"/>
      <c r="R848" s="29"/>
      <c r="S848" s="104"/>
      <c r="T848" s="104"/>
      <c r="U848" s="104"/>
      <c r="V848" s="104"/>
      <c r="W848" s="104"/>
      <c r="X848" s="104"/>
      <c r="Y848" s="104"/>
      <c r="Z848" s="104"/>
      <c r="AA848" s="235"/>
      <c r="AB848" s="235"/>
      <c r="AC848" s="235"/>
      <c r="AD848" s="235"/>
      <c r="AE848" s="235"/>
      <c r="AF848" s="235"/>
      <c r="AG848" s="235"/>
      <c r="AH848" s="235"/>
      <c r="AI848" s="235"/>
      <c r="AJ848" s="235"/>
      <c r="AK848" s="235"/>
      <c r="AL848" s="235"/>
      <c r="AM848" s="235"/>
      <c r="AN848" s="235"/>
      <c r="AO848" s="235"/>
      <c r="AP848" s="235"/>
      <c r="AQ848" s="235"/>
      <c r="AR848" s="235"/>
      <c r="AS848" s="235"/>
      <c r="AT848" s="235"/>
      <c r="AU848" s="235"/>
      <c r="AV848" s="235"/>
      <c r="AW848" s="235"/>
      <c r="AX848" s="235"/>
      <c r="AY848" s="235"/>
      <c r="AZ848" s="235"/>
      <c r="BA848" s="235"/>
      <c r="BB848" s="235"/>
      <c r="BC848" s="235"/>
      <c r="BD848" s="104"/>
      <c r="BE848" s="104"/>
      <c r="BF848" s="104"/>
      <c r="BG848" s="104"/>
      <c r="BH848" s="104"/>
      <c r="BI848" s="104"/>
      <c r="BJ848" s="104"/>
      <c r="BK848" s="12"/>
      <c r="BL848" s="12"/>
    </row>
    <row r="849" spans="1:64" outlineLevel="1">
      <c r="A849" s="9"/>
      <c r="B849" s="9"/>
      <c r="C849" s="44"/>
      <c r="D849" s="314" t="str">
        <f>Asset24</f>
        <v>Equity Raising</v>
      </c>
      <c r="E849" s="9"/>
      <c r="F849" s="9"/>
      <c r="G849" s="210">
        <f>'Adjustment for previous period'!G453</f>
        <v>0</v>
      </c>
      <c r="H849" s="35"/>
      <c r="I849" s="35"/>
      <c r="J849" s="35"/>
      <c r="K849" s="35"/>
      <c r="L849" s="35"/>
      <c r="M849" s="35"/>
      <c r="N849" s="29"/>
      <c r="O849" s="29"/>
      <c r="P849" s="29"/>
      <c r="Q849" s="29"/>
      <c r="R849" s="29"/>
      <c r="S849" s="104"/>
      <c r="T849" s="104"/>
      <c r="U849" s="104"/>
      <c r="V849" s="104"/>
      <c r="W849" s="104"/>
      <c r="X849" s="104"/>
      <c r="Y849" s="104"/>
      <c r="Z849" s="104"/>
      <c r="AA849" s="235"/>
      <c r="AB849" s="235"/>
      <c r="AC849" s="235"/>
      <c r="AD849" s="235"/>
      <c r="AE849" s="235"/>
      <c r="AF849" s="235"/>
      <c r="AG849" s="235"/>
      <c r="AH849" s="235"/>
      <c r="AI849" s="235"/>
      <c r="AJ849" s="235"/>
      <c r="AK849" s="235"/>
      <c r="AL849" s="235"/>
      <c r="AM849" s="235"/>
      <c r="AN849" s="235"/>
      <c r="AO849" s="235"/>
      <c r="AP849" s="235"/>
      <c r="AQ849" s="235"/>
      <c r="AR849" s="235"/>
      <c r="AS849" s="235"/>
      <c r="AT849" s="235"/>
      <c r="AU849" s="235"/>
      <c r="AV849" s="235"/>
      <c r="AW849" s="235"/>
      <c r="AX849" s="235"/>
      <c r="AY849" s="235"/>
      <c r="AZ849" s="235"/>
      <c r="BA849" s="235"/>
      <c r="BB849" s="235"/>
      <c r="BC849" s="235"/>
      <c r="BD849" s="104"/>
      <c r="BE849" s="104"/>
      <c r="BF849" s="104"/>
      <c r="BG849" s="104"/>
      <c r="BH849" s="104"/>
      <c r="BI849" s="104"/>
      <c r="BJ849" s="104"/>
      <c r="BK849" s="12"/>
      <c r="BL849" s="12"/>
    </row>
    <row r="850" spans="1:64" outlineLevel="1">
      <c r="A850" s="9"/>
      <c r="B850" s="9"/>
      <c r="C850" s="44"/>
      <c r="D850" s="314">
        <f>Asset25</f>
        <v>0</v>
      </c>
      <c r="E850" s="9"/>
      <c r="F850" s="9"/>
      <c r="G850" s="210">
        <f>'Adjustment for previous period'!G454</f>
        <v>0</v>
      </c>
      <c r="H850" s="35"/>
      <c r="I850" s="35"/>
      <c r="J850" s="35"/>
      <c r="K850" s="35"/>
      <c r="L850" s="35"/>
      <c r="M850" s="35"/>
      <c r="N850" s="29"/>
      <c r="O850" s="29"/>
      <c r="P850" s="29"/>
      <c r="Q850" s="29"/>
      <c r="R850" s="29"/>
      <c r="S850" s="104"/>
      <c r="T850" s="104"/>
      <c r="U850" s="104"/>
      <c r="V850" s="104"/>
      <c r="W850" s="104"/>
      <c r="X850" s="104"/>
      <c r="Y850" s="104"/>
      <c r="Z850" s="104"/>
      <c r="AA850" s="235"/>
      <c r="AB850" s="235"/>
      <c r="AC850" s="235"/>
      <c r="AD850" s="235"/>
      <c r="AE850" s="235"/>
      <c r="AF850" s="235"/>
      <c r="AG850" s="235"/>
      <c r="AH850" s="235"/>
      <c r="AI850" s="235"/>
      <c r="AJ850" s="235"/>
      <c r="AK850" s="235"/>
      <c r="AL850" s="235"/>
      <c r="AM850" s="235"/>
      <c r="AN850" s="235"/>
      <c r="AO850" s="235"/>
      <c r="AP850" s="235"/>
      <c r="AQ850" s="235"/>
      <c r="AR850" s="235"/>
      <c r="AS850" s="235"/>
      <c r="AT850" s="235"/>
      <c r="AU850" s="235"/>
      <c r="AV850" s="235"/>
      <c r="AW850" s="235"/>
      <c r="AX850" s="235"/>
      <c r="AY850" s="235"/>
      <c r="AZ850" s="235"/>
      <c r="BA850" s="235"/>
      <c r="BB850" s="235"/>
      <c r="BC850" s="235"/>
      <c r="BD850" s="104"/>
      <c r="BE850" s="104"/>
      <c r="BF850" s="104"/>
      <c r="BG850" s="104"/>
      <c r="BH850" s="104"/>
      <c r="BI850" s="104"/>
      <c r="BJ850" s="104"/>
      <c r="BK850" s="12"/>
      <c r="BL850" s="12"/>
    </row>
    <row r="851" spans="1:64" outlineLevel="1">
      <c r="A851" s="9"/>
      <c r="B851" s="9"/>
      <c r="C851" s="44"/>
      <c r="D851" s="314">
        <f>Asset26</f>
        <v>0</v>
      </c>
      <c r="E851" s="9"/>
      <c r="F851" s="9"/>
      <c r="G851" s="210">
        <f>'Adjustment for previous period'!G455</f>
        <v>0</v>
      </c>
      <c r="H851" s="35"/>
      <c r="I851" s="35"/>
      <c r="J851" s="35"/>
      <c r="K851" s="35"/>
      <c r="L851" s="35"/>
      <c r="M851" s="35"/>
      <c r="N851" s="29"/>
      <c r="O851" s="29"/>
      <c r="P851" s="29"/>
      <c r="Q851" s="29"/>
      <c r="R851" s="29"/>
      <c r="S851" s="104"/>
      <c r="T851" s="104"/>
      <c r="U851" s="104"/>
      <c r="V851" s="104"/>
      <c r="W851" s="104"/>
      <c r="X851" s="104"/>
      <c r="Y851" s="104"/>
      <c r="Z851" s="104"/>
      <c r="AA851" s="235"/>
      <c r="AB851" s="235"/>
      <c r="AC851" s="235"/>
      <c r="AD851" s="235"/>
      <c r="AE851" s="235"/>
      <c r="AF851" s="235"/>
      <c r="AG851" s="235"/>
      <c r="AH851" s="235"/>
      <c r="AI851" s="235"/>
      <c r="AJ851" s="235"/>
      <c r="AK851" s="235"/>
      <c r="AL851" s="235"/>
      <c r="AM851" s="235"/>
      <c r="AN851" s="235"/>
      <c r="AO851" s="235"/>
      <c r="AP851" s="235"/>
      <c r="AQ851" s="235"/>
      <c r="AR851" s="235"/>
      <c r="AS851" s="235"/>
      <c r="AT851" s="235"/>
      <c r="AU851" s="235"/>
      <c r="AV851" s="235"/>
      <c r="AW851" s="235"/>
      <c r="AX851" s="235"/>
      <c r="AY851" s="235"/>
      <c r="AZ851" s="235"/>
      <c r="BA851" s="235"/>
      <c r="BB851" s="235"/>
      <c r="BC851" s="235"/>
      <c r="BD851" s="104"/>
      <c r="BE851" s="104"/>
      <c r="BF851" s="104"/>
      <c r="BG851" s="104"/>
      <c r="BH851" s="104"/>
      <c r="BI851" s="104"/>
      <c r="BJ851" s="104"/>
      <c r="BK851" s="12"/>
      <c r="BL851" s="12"/>
    </row>
    <row r="852" spans="1:64" outlineLevel="1">
      <c r="A852" s="9"/>
      <c r="B852" s="9"/>
      <c r="C852" s="44"/>
      <c r="D852" s="314">
        <f>Asset27</f>
        <v>0</v>
      </c>
      <c r="E852" s="9"/>
      <c r="F852" s="9"/>
      <c r="G852" s="210">
        <f>'Adjustment for previous period'!G456</f>
        <v>0</v>
      </c>
      <c r="H852" s="35"/>
      <c r="I852" s="35"/>
      <c r="J852" s="35"/>
      <c r="K852" s="35"/>
      <c r="L852" s="35"/>
      <c r="M852" s="35"/>
      <c r="N852" s="29"/>
      <c r="O852" s="29"/>
      <c r="P852" s="29"/>
      <c r="Q852" s="29"/>
      <c r="R852" s="29"/>
      <c r="S852" s="104"/>
      <c r="T852" s="104"/>
      <c r="U852" s="104"/>
      <c r="V852" s="104"/>
      <c r="W852" s="104"/>
      <c r="X852" s="104"/>
      <c r="Y852" s="104"/>
      <c r="Z852" s="104"/>
      <c r="AA852" s="235"/>
      <c r="AB852" s="235"/>
      <c r="AC852" s="235"/>
      <c r="AD852" s="235"/>
      <c r="AE852" s="235"/>
      <c r="AF852" s="235"/>
      <c r="AG852" s="235"/>
      <c r="AH852" s="235"/>
      <c r="AI852" s="235"/>
      <c r="AJ852" s="235"/>
      <c r="AK852" s="235"/>
      <c r="AL852" s="235"/>
      <c r="AM852" s="235"/>
      <c r="AN852" s="235"/>
      <c r="AO852" s="235"/>
      <c r="AP852" s="235"/>
      <c r="AQ852" s="235"/>
      <c r="AR852" s="235"/>
      <c r="AS852" s="235"/>
      <c r="AT852" s="235"/>
      <c r="AU852" s="235"/>
      <c r="AV852" s="235"/>
      <c r="AW852" s="235"/>
      <c r="AX852" s="235"/>
      <c r="AY852" s="235"/>
      <c r="AZ852" s="235"/>
      <c r="BA852" s="235"/>
      <c r="BB852" s="235"/>
      <c r="BC852" s="235"/>
      <c r="BD852" s="104"/>
      <c r="BE852" s="104"/>
      <c r="BF852" s="104"/>
      <c r="BG852" s="104"/>
      <c r="BH852" s="104"/>
      <c r="BI852" s="104"/>
      <c r="BJ852" s="104"/>
      <c r="BK852" s="12"/>
      <c r="BL852" s="12"/>
    </row>
    <row r="853" spans="1:64" outlineLevel="1">
      <c r="A853" s="9"/>
      <c r="B853" s="9"/>
      <c r="C853" s="44"/>
      <c r="D853" s="314">
        <f>Asset28</f>
        <v>0</v>
      </c>
      <c r="E853" s="9"/>
      <c r="F853" s="9"/>
      <c r="G853" s="210">
        <f>'Adjustment for previous period'!G457</f>
        <v>0</v>
      </c>
      <c r="H853" s="35"/>
      <c r="I853" s="35"/>
      <c r="J853" s="35"/>
      <c r="K853" s="35"/>
      <c r="L853" s="35"/>
      <c r="M853" s="35"/>
      <c r="N853" s="29"/>
      <c r="O853" s="29"/>
      <c r="P853" s="29"/>
      <c r="Q853" s="29"/>
      <c r="R853" s="29"/>
      <c r="S853" s="104"/>
      <c r="T853" s="104"/>
      <c r="U853" s="104"/>
      <c r="V853" s="104"/>
      <c r="W853" s="104"/>
      <c r="X853" s="104"/>
      <c r="Y853" s="104"/>
      <c r="Z853" s="104"/>
      <c r="AA853" s="235"/>
      <c r="AB853" s="235"/>
      <c r="AC853" s="235"/>
      <c r="AD853" s="235"/>
      <c r="AE853" s="235"/>
      <c r="AF853" s="235"/>
      <c r="AG853" s="235"/>
      <c r="AH853" s="235"/>
      <c r="AI853" s="235"/>
      <c r="AJ853" s="235"/>
      <c r="AK853" s="235"/>
      <c r="AL853" s="235"/>
      <c r="AM853" s="235"/>
      <c r="AN853" s="235"/>
      <c r="AO853" s="235"/>
      <c r="AP853" s="235"/>
      <c r="AQ853" s="235"/>
      <c r="AR853" s="235"/>
      <c r="AS853" s="235"/>
      <c r="AT853" s="235"/>
      <c r="AU853" s="235"/>
      <c r="AV853" s="235"/>
      <c r="AW853" s="235"/>
      <c r="AX853" s="235"/>
      <c r="AY853" s="235"/>
      <c r="AZ853" s="235"/>
      <c r="BA853" s="235"/>
      <c r="BB853" s="235"/>
      <c r="BC853" s="235"/>
      <c r="BD853" s="104"/>
      <c r="BE853" s="104"/>
      <c r="BF853" s="104"/>
      <c r="BG853" s="104"/>
      <c r="BH853" s="104"/>
      <c r="BI853" s="104"/>
      <c r="BJ853" s="104"/>
      <c r="BK853" s="12"/>
      <c r="BL853" s="12"/>
    </row>
    <row r="854" spans="1:64" outlineLevel="1">
      <c r="A854" s="9"/>
      <c r="B854" s="9"/>
      <c r="C854" s="44"/>
      <c r="D854" s="314">
        <f>Asset29</f>
        <v>0</v>
      </c>
      <c r="E854" s="9"/>
      <c r="F854" s="9"/>
      <c r="G854" s="210">
        <f>'Adjustment for previous period'!G458</f>
        <v>0</v>
      </c>
      <c r="H854" s="35"/>
      <c r="I854" s="35"/>
      <c r="J854" s="35"/>
      <c r="K854" s="35"/>
      <c r="L854" s="35"/>
      <c r="M854" s="35"/>
      <c r="N854" s="29"/>
      <c r="O854" s="29"/>
      <c r="P854" s="29"/>
      <c r="Q854" s="29"/>
      <c r="R854" s="29"/>
      <c r="S854" s="104"/>
      <c r="T854" s="104"/>
      <c r="U854" s="104"/>
      <c r="V854" s="104"/>
      <c r="W854" s="104"/>
      <c r="X854" s="104"/>
      <c r="Y854" s="104"/>
      <c r="Z854" s="104"/>
      <c r="AA854" s="235"/>
      <c r="AB854" s="235"/>
      <c r="AC854" s="235"/>
      <c r="AD854" s="235"/>
      <c r="AE854" s="235"/>
      <c r="AF854" s="235"/>
      <c r="AG854" s="235"/>
      <c r="AH854" s="235"/>
      <c r="AI854" s="235"/>
      <c r="AJ854" s="235"/>
      <c r="AK854" s="235"/>
      <c r="AL854" s="235"/>
      <c r="AM854" s="235"/>
      <c r="AN854" s="235"/>
      <c r="AO854" s="235"/>
      <c r="AP854" s="235"/>
      <c r="AQ854" s="235"/>
      <c r="AR854" s="235"/>
      <c r="AS854" s="235"/>
      <c r="AT854" s="235"/>
      <c r="AU854" s="235"/>
      <c r="AV854" s="235"/>
      <c r="AW854" s="235"/>
      <c r="AX854" s="235"/>
      <c r="AY854" s="235"/>
      <c r="AZ854" s="235"/>
      <c r="BA854" s="235"/>
      <c r="BB854" s="235"/>
      <c r="BC854" s="235"/>
      <c r="BD854" s="104"/>
      <c r="BE854" s="104"/>
      <c r="BF854" s="104"/>
      <c r="BG854" s="104"/>
      <c r="BH854" s="104"/>
      <c r="BI854" s="104"/>
      <c r="BJ854" s="104"/>
      <c r="BK854" s="12"/>
      <c r="BL854" s="12"/>
    </row>
    <row r="855" spans="1:64" outlineLevel="1">
      <c r="A855" s="9"/>
      <c r="B855" s="9"/>
      <c r="C855" s="44"/>
      <c r="D855" s="314">
        <f>Asset30</f>
        <v>0</v>
      </c>
      <c r="E855" s="9"/>
      <c r="F855" s="9"/>
      <c r="G855" s="210">
        <f>'Adjustment for previous period'!G459</f>
        <v>0</v>
      </c>
      <c r="H855" s="35"/>
      <c r="I855" s="35"/>
      <c r="J855" s="35"/>
      <c r="K855" s="35"/>
      <c r="L855" s="35"/>
      <c r="M855" s="35"/>
      <c r="N855" s="29"/>
      <c r="O855" s="29"/>
      <c r="P855" s="29"/>
      <c r="Q855" s="29"/>
      <c r="R855" s="29"/>
      <c r="S855" s="104"/>
      <c r="T855" s="104"/>
      <c r="U855" s="104"/>
      <c r="V855" s="104"/>
      <c r="W855" s="104"/>
      <c r="X855" s="104"/>
      <c r="Y855" s="104"/>
      <c r="Z855" s="104"/>
      <c r="AA855" s="235"/>
      <c r="AB855" s="235"/>
      <c r="AC855" s="235"/>
      <c r="AD855" s="235"/>
      <c r="AE855" s="235"/>
      <c r="AF855" s="235"/>
      <c r="AG855" s="235"/>
      <c r="AH855" s="235"/>
      <c r="AI855" s="235"/>
      <c r="AJ855" s="235"/>
      <c r="AK855" s="235"/>
      <c r="AL855" s="235"/>
      <c r="AM855" s="235"/>
      <c r="AN855" s="235"/>
      <c r="AO855" s="235"/>
      <c r="AP855" s="235"/>
      <c r="AQ855" s="235"/>
      <c r="AR855" s="235"/>
      <c r="AS855" s="235"/>
      <c r="AT855" s="235"/>
      <c r="AU855" s="235"/>
      <c r="AV855" s="235"/>
      <c r="AW855" s="235"/>
      <c r="AX855" s="235"/>
      <c r="AY855" s="235"/>
      <c r="AZ855" s="235"/>
      <c r="BA855" s="235"/>
      <c r="BB855" s="235"/>
      <c r="BC855" s="235"/>
      <c r="BD855" s="104"/>
      <c r="BE855" s="104"/>
      <c r="BF855" s="104"/>
      <c r="BG855" s="104"/>
      <c r="BH855" s="104"/>
      <c r="BI855" s="104"/>
      <c r="BJ855" s="104"/>
      <c r="BK855" s="12"/>
      <c r="BL855" s="12"/>
    </row>
    <row r="856" spans="1:64">
      <c r="A856" s="9"/>
      <c r="B856" s="9"/>
      <c r="C856" s="44"/>
      <c r="D856" s="116"/>
      <c r="E856" s="9"/>
      <c r="F856" s="9"/>
      <c r="G856" s="289"/>
      <c r="H856" s="35"/>
      <c r="I856" s="35"/>
      <c r="J856" s="35"/>
      <c r="K856" s="35"/>
      <c r="L856" s="35"/>
      <c r="M856" s="35"/>
      <c r="N856" s="29"/>
      <c r="O856" s="29"/>
      <c r="P856" s="29"/>
      <c r="Q856" s="29"/>
      <c r="R856" s="29"/>
      <c r="S856" s="104"/>
      <c r="T856" s="104"/>
      <c r="U856" s="104"/>
      <c r="V856" s="104"/>
      <c r="W856" s="104"/>
      <c r="X856" s="104"/>
      <c r="Y856" s="104"/>
      <c r="Z856" s="104"/>
      <c r="AA856" s="235"/>
      <c r="AB856" s="235"/>
      <c r="AC856" s="235"/>
      <c r="AD856" s="235"/>
      <c r="AE856" s="235"/>
      <c r="AF856" s="235"/>
      <c r="AG856" s="235"/>
      <c r="AH856" s="235"/>
      <c r="AI856" s="235"/>
      <c r="AJ856" s="235"/>
      <c r="AK856" s="235"/>
      <c r="AL856" s="235"/>
      <c r="AM856" s="235"/>
      <c r="AN856" s="235"/>
      <c r="AO856" s="235"/>
      <c r="AP856" s="235"/>
      <c r="AQ856" s="235"/>
      <c r="AR856" s="235"/>
      <c r="AS856" s="235"/>
      <c r="AT856" s="235"/>
      <c r="AU856" s="235"/>
      <c r="AV856" s="235"/>
      <c r="AW856" s="235"/>
      <c r="AX856" s="235"/>
      <c r="AY856" s="235"/>
      <c r="AZ856" s="235"/>
      <c r="BA856" s="235"/>
      <c r="BB856" s="235"/>
      <c r="BC856" s="235"/>
      <c r="BD856" s="104"/>
      <c r="BE856" s="104"/>
      <c r="BF856" s="104"/>
      <c r="BG856" s="104"/>
      <c r="BH856" s="104"/>
      <c r="BI856" s="104"/>
      <c r="BJ856" s="104"/>
      <c r="BK856" s="12"/>
      <c r="BL856" s="12"/>
    </row>
    <row r="857" spans="1:64">
      <c r="A857" s="9"/>
      <c r="B857" s="9"/>
      <c r="C857" s="44" t="s">
        <v>60</v>
      </c>
      <c r="D857" s="116"/>
      <c r="E857" s="9"/>
      <c r="F857" s="9"/>
      <c r="G857" s="320">
        <f>SUM(G858:G887)</f>
        <v>-5.8894452447240129</v>
      </c>
      <c r="H857" s="35"/>
      <c r="I857" s="35"/>
      <c r="J857" s="35"/>
      <c r="K857" s="35"/>
      <c r="L857" s="35"/>
      <c r="M857" s="35"/>
      <c r="N857" s="29"/>
      <c r="O857" s="29"/>
      <c r="P857" s="29"/>
      <c r="Q857" s="29"/>
      <c r="R857" s="29"/>
      <c r="S857" s="104"/>
      <c r="T857" s="104"/>
      <c r="U857" s="104"/>
      <c r="V857" s="104"/>
      <c r="W857" s="104"/>
      <c r="X857" s="104"/>
      <c r="Y857" s="104"/>
      <c r="Z857" s="104"/>
      <c r="AA857" s="235"/>
      <c r="AB857" s="235"/>
      <c r="AC857" s="235"/>
      <c r="AD857" s="235"/>
      <c r="AE857" s="235"/>
      <c r="AF857" s="235"/>
      <c r="AG857" s="235"/>
      <c r="AH857" s="235"/>
      <c r="AI857" s="235"/>
      <c r="AJ857" s="235"/>
      <c r="AK857" s="235"/>
      <c r="AL857" s="235"/>
      <c r="AM857" s="235"/>
      <c r="AN857" s="235"/>
      <c r="AO857" s="235"/>
      <c r="AP857" s="235"/>
      <c r="AQ857" s="235"/>
      <c r="AR857" s="235"/>
      <c r="AS857" s="235"/>
      <c r="AT857" s="235"/>
      <c r="AU857" s="235"/>
      <c r="AV857" s="235"/>
      <c r="AW857" s="235"/>
      <c r="AX857" s="235"/>
      <c r="AY857" s="235"/>
      <c r="AZ857" s="235"/>
      <c r="BA857" s="235"/>
      <c r="BB857" s="235"/>
      <c r="BC857" s="235"/>
      <c r="BD857" s="104"/>
      <c r="BE857" s="104"/>
      <c r="BF857" s="104"/>
      <c r="BG857" s="104"/>
      <c r="BH857" s="104"/>
      <c r="BI857" s="104"/>
      <c r="BJ857" s="104"/>
      <c r="BK857" s="12"/>
      <c r="BL857" s="12"/>
    </row>
    <row r="858" spans="1:64" outlineLevel="1">
      <c r="A858" s="9"/>
      <c r="B858" s="9"/>
      <c r="C858" s="9"/>
      <c r="D858" s="278" t="str">
        <f>Asset1</f>
        <v>Transmission Lines and Cables</v>
      </c>
      <c r="E858" s="9"/>
      <c r="F858" s="9"/>
      <c r="G858" s="210">
        <f>'Adjustment for previous period'!G462</f>
        <v>1.8023162780666071</v>
      </c>
      <c r="H858" s="35"/>
      <c r="I858" s="35"/>
      <c r="J858" s="35"/>
      <c r="K858" s="35"/>
      <c r="L858" s="35"/>
      <c r="M858" s="35"/>
      <c r="N858" s="29"/>
      <c r="O858" s="29"/>
      <c r="P858" s="29"/>
      <c r="Q858" s="29"/>
      <c r="R858" s="29"/>
      <c r="S858" s="104"/>
      <c r="T858" s="104"/>
      <c r="U858" s="104"/>
      <c r="V858" s="104"/>
      <c r="W858" s="104"/>
      <c r="X858" s="104"/>
      <c r="Y858" s="104"/>
      <c r="Z858" s="104"/>
      <c r="AA858" s="235"/>
      <c r="AB858" s="235"/>
      <c r="AC858" s="235"/>
      <c r="AD858" s="235"/>
      <c r="AE858" s="235"/>
      <c r="AF858" s="235"/>
      <c r="AG858" s="235"/>
      <c r="AH858" s="235"/>
      <c r="AI858" s="235"/>
      <c r="AJ858" s="235"/>
      <c r="AK858" s="235"/>
      <c r="AL858" s="235"/>
      <c r="AM858" s="235"/>
      <c r="AN858" s="235"/>
      <c r="AO858" s="235"/>
      <c r="AP858" s="235"/>
      <c r="AQ858" s="235"/>
      <c r="AR858" s="235"/>
      <c r="AS858" s="235"/>
      <c r="AT858" s="235"/>
      <c r="AU858" s="235"/>
      <c r="AV858" s="235"/>
      <c r="AW858" s="235"/>
      <c r="AX858" s="235"/>
      <c r="AY858" s="235"/>
      <c r="AZ858" s="235"/>
      <c r="BA858" s="235"/>
      <c r="BB858" s="235"/>
      <c r="BC858" s="235"/>
      <c r="BD858" s="104"/>
      <c r="BE858" s="104"/>
      <c r="BF858" s="104"/>
      <c r="BG858" s="104"/>
      <c r="BH858" s="104"/>
      <c r="BI858" s="104"/>
      <c r="BJ858" s="104"/>
      <c r="BK858" s="12"/>
      <c r="BL858" s="12"/>
    </row>
    <row r="859" spans="1:64" outlineLevel="1">
      <c r="A859" s="9"/>
      <c r="B859" s="9"/>
      <c r="C859" s="44"/>
      <c r="D859" s="278" t="str">
        <f>Asset2</f>
        <v>Transmission Substations</v>
      </c>
      <c r="E859" s="9"/>
      <c r="F859" s="9"/>
      <c r="G859" s="210">
        <f>'Adjustment for previous period'!G463</f>
        <v>-2.0600227695986688</v>
      </c>
      <c r="H859" s="35"/>
      <c r="I859" s="35"/>
      <c r="J859" s="35"/>
      <c r="K859" s="35"/>
      <c r="L859" s="35"/>
      <c r="M859" s="35"/>
      <c r="N859" s="29"/>
      <c r="O859" s="29"/>
      <c r="P859" s="29"/>
      <c r="Q859" s="29"/>
      <c r="R859" s="29"/>
      <c r="S859" s="104"/>
      <c r="T859" s="104"/>
      <c r="U859" s="104"/>
      <c r="V859" s="104"/>
      <c r="W859" s="104"/>
      <c r="X859" s="104"/>
      <c r="Y859" s="104"/>
      <c r="Z859" s="104"/>
      <c r="AA859" s="235"/>
      <c r="AB859" s="235"/>
      <c r="AC859" s="235"/>
      <c r="AD859" s="235"/>
      <c r="AE859" s="235"/>
      <c r="AF859" s="235"/>
      <c r="AG859" s="235"/>
      <c r="AH859" s="235"/>
      <c r="AI859" s="235"/>
      <c r="AJ859" s="235"/>
      <c r="AK859" s="235"/>
      <c r="AL859" s="235"/>
      <c r="AM859" s="235"/>
      <c r="AN859" s="235"/>
      <c r="AO859" s="235"/>
      <c r="AP859" s="235"/>
      <c r="AQ859" s="235"/>
      <c r="AR859" s="235"/>
      <c r="AS859" s="235"/>
      <c r="AT859" s="235"/>
      <c r="AU859" s="235"/>
      <c r="AV859" s="235"/>
      <c r="AW859" s="235"/>
      <c r="AX859" s="235"/>
      <c r="AY859" s="235"/>
      <c r="AZ859" s="235"/>
      <c r="BA859" s="235"/>
      <c r="BB859" s="235"/>
      <c r="BC859" s="235"/>
      <c r="BD859" s="104"/>
      <c r="BE859" s="104"/>
      <c r="BF859" s="104"/>
      <c r="BG859" s="104"/>
      <c r="BH859" s="104"/>
      <c r="BI859" s="104"/>
      <c r="BJ859" s="104"/>
      <c r="BK859" s="12"/>
      <c r="BL859" s="12"/>
    </row>
    <row r="860" spans="1:64" outlineLevel="1">
      <c r="A860" s="9"/>
      <c r="B860" s="9"/>
      <c r="C860" s="44"/>
      <c r="D860" s="278" t="str">
        <f>Asset3</f>
        <v>Protection and Control</v>
      </c>
      <c r="E860" s="9"/>
      <c r="F860" s="9"/>
      <c r="G860" s="210">
        <f>'Adjustment for previous period'!G464</f>
        <v>-0.94185138279832004</v>
      </c>
      <c r="H860" s="35"/>
      <c r="I860" s="35"/>
      <c r="J860" s="35"/>
      <c r="K860" s="35"/>
      <c r="L860" s="35"/>
      <c r="M860" s="35"/>
      <c r="N860" s="29"/>
      <c r="O860" s="29"/>
      <c r="P860" s="29"/>
      <c r="Q860" s="29"/>
      <c r="R860" s="29"/>
      <c r="S860" s="104"/>
      <c r="T860" s="104"/>
      <c r="U860" s="104"/>
      <c r="V860" s="104"/>
      <c r="W860" s="104"/>
      <c r="X860" s="104"/>
      <c r="Y860" s="104"/>
      <c r="Z860" s="104"/>
      <c r="AA860" s="235"/>
      <c r="AB860" s="235"/>
      <c r="AC860" s="235"/>
      <c r="AD860" s="235"/>
      <c r="AE860" s="235"/>
      <c r="AF860" s="235"/>
      <c r="AG860" s="235"/>
      <c r="AH860" s="235"/>
      <c r="AI860" s="235"/>
      <c r="AJ860" s="235"/>
      <c r="AK860" s="235"/>
      <c r="AL860" s="235"/>
      <c r="AM860" s="235"/>
      <c r="AN860" s="235"/>
      <c r="AO860" s="235"/>
      <c r="AP860" s="235"/>
      <c r="AQ860" s="235"/>
      <c r="AR860" s="235"/>
      <c r="AS860" s="235"/>
      <c r="AT860" s="235"/>
      <c r="AU860" s="235"/>
      <c r="AV860" s="235"/>
      <c r="AW860" s="235"/>
      <c r="AX860" s="235"/>
      <c r="AY860" s="235"/>
      <c r="AZ860" s="235"/>
      <c r="BA860" s="235"/>
      <c r="BB860" s="235"/>
      <c r="BC860" s="235"/>
      <c r="BD860" s="104"/>
      <c r="BE860" s="104"/>
      <c r="BF860" s="104"/>
      <c r="BG860" s="104"/>
      <c r="BH860" s="104"/>
      <c r="BI860" s="104"/>
      <c r="BJ860" s="104"/>
      <c r="BK860" s="12"/>
      <c r="BL860" s="12"/>
    </row>
    <row r="861" spans="1:64" outlineLevel="1">
      <c r="A861" s="9"/>
      <c r="B861" s="9"/>
      <c r="C861" s="44"/>
      <c r="D861" s="278" t="str">
        <f>Asset4</f>
        <v>Refurbishment</v>
      </c>
      <c r="E861" s="9"/>
      <c r="F861" s="9"/>
      <c r="G861" s="210">
        <f>'Adjustment for previous period'!G465</f>
        <v>-3.779957175596103</v>
      </c>
      <c r="H861" s="35"/>
      <c r="I861" s="35"/>
      <c r="J861" s="35"/>
      <c r="K861" s="35"/>
      <c r="L861" s="35"/>
      <c r="M861" s="35"/>
      <c r="N861" s="29"/>
      <c r="O861" s="29"/>
      <c r="P861" s="29"/>
      <c r="Q861" s="29"/>
      <c r="R861" s="29"/>
      <c r="S861" s="104"/>
      <c r="T861" s="104"/>
      <c r="U861" s="104"/>
      <c r="V861" s="104"/>
      <c r="W861" s="104"/>
      <c r="X861" s="104"/>
      <c r="Y861" s="104"/>
      <c r="Z861" s="104"/>
      <c r="AA861" s="235"/>
      <c r="AB861" s="235"/>
      <c r="AC861" s="235"/>
      <c r="AD861" s="235"/>
      <c r="AE861" s="235"/>
      <c r="AF861" s="235"/>
      <c r="AG861" s="235"/>
      <c r="AH861" s="235"/>
      <c r="AI861" s="235"/>
      <c r="AJ861" s="235"/>
      <c r="AK861" s="235"/>
      <c r="AL861" s="235"/>
      <c r="AM861" s="235"/>
      <c r="AN861" s="235"/>
      <c r="AO861" s="235"/>
      <c r="AP861" s="235"/>
      <c r="AQ861" s="235"/>
      <c r="AR861" s="235"/>
      <c r="AS861" s="235"/>
      <c r="AT861" s="235"/>
      <c r="AU861" s="235"/>
      <c r="AV861" s="235"/>
      <c r="AW861" s="235"/>
      <c r="AX861" s="235"/>
      <c r="AY861" s="235"/>
      <c r="AZ861" s="235"/>
      <c r="BA861" s="235"/>
      <c r="BB861" s="235"/>
      <c r="BC861" s="235"/>
      <c r="BD861" s="104"/>
      <c r="BE861" s="104"/>
      <c r="BF861" s="104"/>
      <c r="BG861" s="104"/>
      <c r="BH861" s="104"/>
      <c r="BI861" s="104"/>
      <c r="BJ861" s="104"/>
      <c r="BK861" s="12"/>
      <c r="BL861" s="12"/>
    </row>
    <row r="862" spans="1:64" outlineLevel="1">
      <c r="A862" s="9"/>
      <c r="B862" s="9"/>
      <c r="C862" s="44"/>
      <c r="D862" s="278" t="str">
        <f>Asset5</f>
        <v>Other</v>
      </c>
      <c r="E862" s="9"/>
      <c r="F862" s="9"/>
      <c r="G862" s="210">
        <f>'Adjustment for previous period'!G466</f>
        <v>0</v>
      </c>
      <c r="H862" s="35"/>
      <c r="I862" s="35"/>
      <c r="J862" s="35"/>
      <c r="K862" s="35"/>
      <c r="L862" s="35"/>
      <c r="M862" s="35"/>
      <c r="N862" s="29"/>
      <c r="O862" s="29"/>
      <c r="P862" s="29"/>
      <c r="Q862" s="29"/>
      <c r="R862" s="29"/>
      <c r="S862" s="104"/>
      <c r="T862" s="104"/>
      <c r="U862" s="104"/>
      <c r="V862" s="104"/>
      <c r="W862" s="104"/>
      <c r="X862" s="104"/>
      <c r="Y862" s="104"/>
      <c r="Z862" s="104"/>
      <c r="AA862" s="235"/>
      <c r="AB862" s="235"/>
      <c r="AC862" s="235"/>
      <c r="AD862" s="235"/>
      <c r="AE862" s="235"/>
      <c r="AF862" s="235"/>
      <c r="AG862" s="235"/>
      <c r="AH862" s="235"/>
      <c r="AI862" s="235"/>
      <c r="AJ862" s="235"/>
      <c r="AK862" s="235"/>
      <c r="AL862" s="235"/>
      <c r="AM862" s="235"/>
      <c r="AN862" s="235"/>
      <c r="AO862" s="235"/>
      <c r="AP862" s="235"/>
      <c r="AQ862" s="235"/>
      <c r="AR862" s="235"/>
      <c r="AS862" s="235"/>
      <c r="AT862" s="235"/>
      <c r="AU862" s="235"/>
      <c r="AV862" s="235"/>
      <c r="AW862" s="235"/>
      <c r="AX862" s="235"/>
      <c r="AY862" s="235"/>
      <c r="AZ862" s="235"/>
      <c r="BA862" s="235"/>
      <c r="BB862" s="235"/>
      <c r="BC862" s="235"/>
      <c r="BD862" s="104"/>
      <c r="BE862" s="104"/>
      <c r="BF862" s="104"/>
      <c r="BG862" s="104"/>
      <c r="BH862" s="104"/>
      <c r="BI862" s="104"/>
      <c r="BJ862" s="104"/>
      <c r="BK862" s="12"/>
      <c r="BL862" s="12"/>
    </row>
    <row r="863" spans="1:64" outlineLevel="1">
      <c r="A863" s="9"/>
      <c r="B863" s="9"/>
      <c r="C863" s="44"/>
      <c r="D863" s="278" t="str">
        <f>Asset6</f>
        <v>Other - IT</v>
      </c>
      <c r="E863" s="9"/>
      <c r="F863" s="9"/>
      <c r="G863" s="210">
        <f>'Adjustment for previous period'!G467</f>
        <v>0.53659365359905431</v>
      </c>
      <c r="H863" s="35"/>
      <c r="I863" s="35"/>
      <c r="J863" s="35"/>
      <c r="K863" s="35"/>
      <c r="L863" s="35"/>
      <c r="M863" s="35"/>
      <c r="N863" s="29"/>
      <c r="O863" s="29"/>
      <c r="P863" s="29"/>
      <c r="Q863" s="29"/>
      <c r="R863" s="29"/>
      <c r="S863" s="104"/>
      <c r="T863" s="104"/>
      <c r="U863" s="104"/>
      <c r="V863" s="104"/>
      <c r="W863" s="104"/>
      <c r="X863" s="104"/>
      <c r="Y863" s="104"/>
      <c r="Z863" s="104"/>
      <c r="AA863" s="235"/>
      <c r="AB863" s="235"/>
      <c r="AC863" s="235"/>
      <c r="AD863" s="235"/>
      <c r="AE863" s="235"/>
      <c r="AF863" s="235"/>
      <c r="AG863" s="235"/>
      <c r="AH863" s="235"/>
      <c r="AI863" s="235"/>
      <c r="AJ863" s="235"/>
      <c r="AK863" s="235"/>
      <c r="AL863" s="235"/>
      <c r="AM863" s="235"/>
      <c r="AN863" s="235"/>
      <c r="AO863" s="235"/>
      <c r="AP863" s="235"/>
      <c r="AQ863" s="235"/>
      <c r="AR863" s="235"/>
      <c r="AS863" s="235"/>
      <c r="AT863" s="235"/>
      <c r="AU863" s="235"/>
      <c r="AV863" s="235"/>
      <c r="AW863" s="235"/>
      <c r="AX863" s="235"/>
      <c r="AY863" s="235"/>
      <c r="AZ863" s="235"/>
      <c r="BA863" s="235"/>
      <c r="BB863" s="235"/>
      <c r="BC863" s="235"/>
      <c r="BD863" s="104"/>
      <c r="BE863" s="104"/>
      <c r="BF863" s="104"/>
      <c r="BG863" s="104"/>
      <c r="BH863" s="104"/>
      <c r="BI863" s="104"/>
      <c r="BJ863" s="104"/>
      <c r="BK863" s="12"/>
      <c r="BL863" s="12"/>
    </row>
    <row r="864" spans="1:64" outlineLevel="1">
      <c r="A864" s="9"/>
      <c r="B864" s="9"/>
      <c r="C864" s="44"/>
      <c r="D864" s="278" t="str">
        <f>Asset7</f>
        <v>Other - General</v>
      </c>
      <c r="E864" s="9"/>
      <c r="F864" s="9"/>
      <c r="G864" s="210">
        <f>'Adjustment for previous period'!G468</f>
        <v>-0.6870561688414184</v>
      </c>
      <c r="H864" s="35"/>
      <c r="I864" s="35"/>
      <c r="J864" s="35"/>
      <c r="K864" s="35"/>
      <c r="L864" s="35"/>
      <c r="M864" s="35"/>
      <c r="N864" s="29"/>
      <c r="O864" s="29"/>
      <c r="P864" s="29"/>
      <c r="Q864" s="29"/>
      <c r="R864" s="29"/>
      <c r="S864" s="104"/>
      <c r="T864" s="104"/>
      <c r="U864" s="104"/>
      <c r="V864" s="104"/>
      <c r="W864" s="104"/>
      <c r="X864" s="104"/>
      <c r="Y864" s="104"/>
      <c r="Z864" s="104"/>
      <c r="AA864" s="235"/>
      <c r="AB864" s="235"/>
      <c r="AC864" s="235"/>
      <c r="AD864" s="235"/>
      <c r="AE864" s="235"/>
      <c r="AF864" s="235"/>
      <c r="AG864" s="235"/>
      <c r="AH864" s="235"/>
      <c r="AI864" s="235"/>
      <c r="AJ864" s="235"/>
      <c r="AK864" s="235"/>
      <c r="AL864" s="235"/>
      <c r="AM864" s="235"/>
      <c r="AN864" s="235"/>
      <c r="AO864" s="235"/>
      <c r="AP864" s="235"/>
      <c r="AQ864" s="235"/>
      <c r="AR864" s="235"/>
      <c r="AS864" s="235"/>
      <c r="AT864" s="235"/>
      <c r="AU864" s="235"/>
      <c r="AV864" s="235"/>
      <c r="AW864" s="235"/>
      <c r="AX864" s="235"/>
      <c r="AY864" s="235"/>
      <c r="AZ864" s="235"/>
      <c r="BA864" s="235"/>
      <c r="BB864" s="235"/>
      <c r="BC864" s="235"/>
      <c r="BD864" s="104"/>
      <c r="BE864" s="104"/>
      <c r="BF864" s="104"/>
      <c r="BG864" s="104"/>
      <c r="BH864" s="104"/>
      <c r="BI864" s="104"/>
      <c r="BJ864" s="104"/>
      <c r="BK864" s="12"/>
      <c r="BL864" s="12"/>
    </row>
    <row r="865" spans="1:64" outlineLevel="1">
      <c r="A865" s="9"/>
      <c r="B865" s="9"/>
      <c r="C865" s="44"/>
      <c r="D865" s="278" t="str">
        <f>Asset8</f>
        <v>Other - Buildings</v>
      </c>
      <c r="E865" s="9"/>
      <c r="F865" s="9"/>
      <c r="G865" s="210">
        <f>'Adjustment for previous period'!G469</f>
        <v>-0.94861976687876493</v>
      </c>
      <c r="H865" s="35"/>
      <c r="I865" s="35"/>
      <c r="J865" s="35"/>
      <c r="K865" s="35"/>
      <c r="L865" s="35"/>
      <c r="M865" s="35"/>
      <c r="N865" s="29"/>
      <c r="O865" s="29"/>
      <c r="P865" s="29"/>
      <c r="Q865" s="29"/>
      <c r="R865" s="29"/>
      <c r="S865" s="104"/>
      <c r="T865" s="104"/>
      <c r="U865" s="104"/>
      <c r="V865" s="104"/>
      <c r="W865" s="104"/>
      <c r="X865" s="104"/>
      <c r="Y865" s="104"/>
      <c r="Z865" s="104"/>
      <c r="AA865" s="235"/>
      <c r="AB865" s="235"/>
      <c r="AC865" s="235"/>
      <c r="AD865" s="235"/>
      <c r="AE865" s="235"/>
      <c r="AF865" s="235"/>
      <c r="AG865" s="235"/>
      <c r="AH865" s="235"/>
      <c r="AI865" s="235"/>
      <c r="AJ865" s="235"/>
      <c r="AK865" s="235"/>
      <c r="AL865" s="235"/>
      <c r="AM865" s="235"/>
      <c r="AN865" s="235"/>
      <c r="AO865" s="235"/>
      <c r="AP865" s="235"/>
      <c r="AQ865" s="235"/>
      <c r="AR865" s="235"/>
      <c r="AS865" s="235"/>
      <c r="AT865" s="235"/>
      <c r="AU865" s="235"/>
      <c r="AV865" s="235"/>
      <c r="AW865" s="235"/>
      <c r="AX865" s="235"/>
      <c r="AY865" s="235"/>
      <c r="AZ865" s="235"/>
      <c r="BA865" s="235"/>
      <c r="BB865" s="235"/>
      <c r="BC865" s="235"/>
      <c r="BD865" s="104"/>
      <c r="BE865" s="104"/>
      <c r="BF865" s="104"/>
      <c r="BG865" s="104"/>
      <c r="BH865" s="104"/>
      <c r="BI865" s="104"/>
      <c r="BJ865" s="104"/>
      <c r="BK865" s="12"/>
      <c r="BL865" s="12"/>
    </row>
    <row r="866" spans="1:64" outlineLevel="1">
      <c r="A866" s="9"/>
      <c r="B866" s="9"/>
      <c r="C866" s="44"/>
      <c r="D866" s="278" t="str">
        <f>Asset9</f>
        <v>Land and Easements</v>
      </c>
      <c r="E866" s="9"/>
      <c r="F866" s="9"/>
      <c r="G866" s="210">
        <f>'Adjustment for previous period'!G470</f>
        <v>0.18915208732360167</v>
      </c>
      <c r="H866" s="35"/>
      <c r="I866" s="35"/>
      <c r="J866" s="35"/>
      <c r="K866" s="35"/>
      <c r="L866" s="35"/>
      <c r="M866" s="35"/>
      <c r="N866" s="29"/>
      <c r="O866" s="29"/>
      <c r="P866" s="29"/>
      <c r="Q866" s="29"/>
      <c r="R866" s="29"/>
      <c r="S866" s="104"/>
      <c r="T866" s="104"/>
      <c r="U866" s="104"/>
      <c r="V866" s="104"/>
      <c r="W866" s="104"/>
      <c r="X866" s="104"/>
      <c r="Y866" s="104"/>
      <c r="Z866" s="104"/>
      <c r="AA866" s="235"/>
      <c r="AB866" s="235"/>
      <c r="AC866" s="235"/>
      <c r="AD866" s="235"/>
      <c r="AE866" s="235"/>
      <c r="AF866" s="235"/>
      <c r="AG866" s="235"/>
      <c r="AH866" s="235"/>
      <c r="AI866" s="235"/>
      <c r="AJ866" s="235"/>
      <c r="AK866" s="235"/>
      <c r="AL866" s="235"/>
      <c r="AM866" s="235"/>
      <c r="AN866" s="235"/>
      <c r="AO866" s="235"/>
      <c r="AP866" s="235"/>
      <c r="AQ866" s="235"/>
      <c r="AR866" s="235"/>
      <c r="AS866" s="235"/>
      <c r="AT866" s="235"/>
      <c r="AU866" s="235"/>
      <c r="AV866" s="235"/>
      <c r="AW866" s="235"/>
      <c r="AX866" s="235"/>
      <c r="AY866" s="235"/>
      <c r="AZ866" s="235"/>
      <c r="BA866" s="235"/>
      <c r="BB866" s="235"/>
      <c r="BC866" s="235"/>
      <c r="BD866" s="104"/>
      <c r="BE866" s="104"/>
      <c r="BF866" s="104"/>
      <c r="BG866" s="104"/>
      <c r="BH866" s="104"/>
      <c r="BI866" s="104"/>
      <c r="BJ866" s="104"/>
      <c r="BK866" s="12"/>
      <c r="BL866" s="12"/>
    </row>
    <row r="867" spans="1:64" outlineLevel="1">
      <c r="A867" s="9"/>
      <c r="B867" s="9"/>
      <c r="C867" s="44"/>
      <c r="D867" s="278" t="str">
        <f>Asset10</f>
        <v>Transmission line assets - long life (60)</v>
      </c>
      <c r="E867" s="9"/>
      <c r="F867" s="9"/>
      <c r="G867" s="210">
        <f>'Adjustment for previous period'!G471</f>
        <v>0</v>
      </c>
      <c r="H867" s="35"/>
      <c r="I867" s="35"/>
      <c r="J867" s="35"/>
      <c r="K867" s="35"/>
      <c r="L867" s="35"/>
      <c r="M867" s="35"/>
      <c r="N867" s="29"/>
      <c r="O867" s="29"/>
      <c r="P867" s="29"/>
      <c r="Q867" s="29"/>
      <c r="R867" s="29"/>
      <c r="S867" s="104"/>
      <c r="T867" s="104"/>
      <c r="U867" s="104"/>
      <c r="V867" s="104"/>
      <c r="W867" s="104"/>
      <c r="X867" s="104"/>
      <c r="Y867" s="104"/>
      <c r="Z867" s="104"/>
      <c r="AA867" s="235"/>
      <c r="AB867" s="235"/>
      <c r="AC867" s="235"/>
      <c r="AD867" s="235"/>
      <c r="AE867" s="235"/>
      <c r="AF867" s="235"/>
      <c r="AG867" s="235"/>
      <c r="AH867" s="235"/>
      <c r="AI867" s="235"/>
      <c r="AJ867" s="235"/>
      <c r="AK867" s="235"/>
      <c r="AL867" s="235"/>
      <c r="AM867" s="235"/>
      <c r="AN867" s="235"/>
      <c r="AO867" s="235"/>
      <c r="AP867" s="235"/>
      <c r="AQ867" s="235"/>
      <c r="AR867" s="235"/>
      <c r="AS867" s="235"/>
      <c r="AT867" s="235"/>
      <c r="AU867" s="235"/>
      <c r="AV867" s="235"/>
      <c r="AW867" s="235"/>
      <c r="AX867" s="235"/>
      <c r="AY867" s="235"/>
      <c r="AZ867" s="235"/>
      <c r="BA867" s="235"/>
      <c r="BB867" s="235"/>
      <c r="BC867" s="235"/>
      <c r="BD867" s="104"/>
      <c r="BE867" s="104"/>
      <c r="BF867" s="104"/>
      <c r="BG867" s="104"/>
      <c r="BH867" s="104"/>
      <c r="BI867" s="104"/>
      <c r="BJ867" s="104"/>
      <c r="BK867" s="12"/>
      <c r="BL867" s="12"/>
    </row>
    <row r="868" spans="1:64" outlineLevel="1">
      <c r="A868" s="9"/>
      <c r="B868" s="9"/>
      <c r="C868" s="44"/>
      <c r="D868" s="278" t="str">
        <f>Asset11</f>
        <v>Transmission line assets - medium life (45)</v>
      </c>
      <c r="E868" s="9"/>
      <c r="F868" s="9"/>
      <c r="G868" s="210">
        <f>'Adjustment for previous period'!G472</f>
        <v>0</v>
      </c>
      <c r="H868" s="35"/>
      <c r="I868" s="35"/>
      <c r="J868" s="35"/>
      <c r="K868" s="35"/>
      <c r="L868" s="35"/>
      <c r="M868" s="35"/>
      <c r="N868" s="29"/>
      <c r="O868" s="29"/>
      <c r="P868" s="29"/>
      <c r="Q868" s="29"/>
      <c r="R868" s="29"/>
      <c r="S868" s="104"/>
      <c r="T868" s="104"/>
      <c r="U868" s="104"/>
      <c r="V868" s="104"/>
      <c r="W868" s="104"/>
      <c r="X868" s="104"/>
      <c r="Y868" s="104"/>
      <c r="Z868" s="104"/>
      <c r="AA868" s="235"/>
      <c r="AB868" s="235"/>
      <c r="AC868" s="235"/>
      <c r="AD868" s="235"/>
      <c r="AE868" s="235"/>
      <c r="AF868" s="235"/>
      <c r="AG868" s="235"/>
      <c r="AH868" s="235"/>
      <c r="AI868" s="235"/>
      <c r="AJ868" s="235"/>
      <c r="AK868" s="235"/>
      <c r="AL868" s="235"/>
      <c r="AM868" s="235"/>
      <c r="AN868" s="235"/>
      <c r="AO868" s="235"/>
      <c r="AP868" s="235"/>
      <c r="AQ868" s="235"/>
      <c r="AR868" s="235"/>
      <c r="AS868" s="235"/>
      <c r="AT868" s="235"/>
      <c r="AU868" s="235"/>
      <c r="AV868" s="235"/>
      <c r="AW868" s="235"/>
      <c r="AX868" s="235"/>
      <c r="AY868" s="235"/>
      <c r="AZ868" s="235"/>
      <c r="BA868" s="235"/>
      <c r="BB868" s="235"/>
      <c r="BC868" s="235"/>
      <c r="BD868" s="104"/>
      <c r="BE868" s="104"/>
      <c r="BF868" s="104"/>
      <c r="BG868" s="104"/>
      <c r="BH868" s="104"/>
      <c r="BI868" s="104"/>
      <c r="BJ868" s="104"/>
      <c r="BK868" s="12"/>
      <c r="BL868" s="12"/>
    </row>
    <row r="869" spans="1:64" outlineLevel="1">
      <c r="A869" s="9"/>
      <c r="B869" s="9"/>
      <c r="C869" s="44"/>
      <c r="D869" s="278" t="str">
        <f>Asset12</f>
        <v>Transmission line assets - short life (10)</v>
      </c>
      <c r="E869" s="9"/>
      <c r="F869" s="9"/>
      <c r="G869" s="210">
        <f>'Adjustment for previous period'!G473</f>
        <v>0</v>
      </c>
      <c r="H869" s="35"/>
      <c r="I869" s="35"/>
      <c r="J869" s="35"/>
      <c r="K869" s="35"/>
      <c r="L869" s="35"/>
      <c r="M869" s="35"/>
      <c r="N869" s="29"/>
      <c r="O869" s="29"/>
      <c r="P869" s="29"/>
      <c r="Q869" s="29"/>
      <c r="R869" s="29"/>
      <c r="S869" s="104"/>
      <c r="T869" s="104"/>
      <c r="U869" s="104"/>
      <c r="V869" s="104"/>
      <c r="W869" s="104"/>
      <c r="X869" s="104"/>
      <c r="Y869" s="104"/>
      <c r="Z869" s="104"/>
      <c r="AA869" s="235"/>
      <c r="AB869" s="235"/>
      <c r="AC869" s="235"/>
      <c r="AD869" s="235"/>
      <c r="AE869" s="235"/>
      <c r="AF869" s="235"/>
      <c r="AG869" s="235"/>
      <c r="AH869" s="235"/>
      <c r="AI869" s="235"/>
      <c r="AJ869" s="235"/>
      <c r="AK869" s="235"/>
      <c r="AL869" s="235"/>
      <c r="AM869" s="235"/>
      <c r="AN869" s="235"/>
      <c r="AO869" s="235"/>
      <c r="AP869" s="235"/>
      <c r="AQ869" s="235"/>
      <c r="AR869" s="235"/>
      <c r="AS869" s="235"/>
      <c r="AT869" s="235"/>
      <c r="AU869" s="235"/>
      <c r="AV869" s="235"/>
      <c r="AW869" s="235"/>
      <c r="AX869" s="235"/>
      <c r="AY869" s="235"/>
      <c r="AZ869" s="235"/>
      <c r="BA869" s="235"/>
      <c r="BB869" s="235"/>
      <c r="BC869" s="235"/>
      <c r="BD869" s="104"/>
      <c r="BE869" s="104"/>
      <c r="BF869" s="104"/>
      <c r="BG869" s="104"/>
      <c r="BH869" s="104"/>
      <c r="BI869" s="104"/>
      <c r="BJ869" s="104"/>
      <c r="BK869" s="12"/>
      <c r="BL869" s="12"/>
    </row>
    <row r="870" spans="1:64" outlineLevel="1">
      <c r="A870" s="9"/>
      <c r="B870" s="9"/>
      <c r="C870" s="44"/>
      <c r="D870" s="278" t="str">
        <f>Asset13</f>
        <v>Substation assets - long life (60)</v>
      </c>
      <c r="E870" s="9"/>
      <c r="F870" s="9"/>
      <c r="G870" s="210">
        <f>'Adjustment for previous period'!G474</f>
        <v>0</v>
      </c>
      <c r="H870" s="35"/>
      <c r="I870" s="35"/>
      <c r="J870" s="35"/>
      <c r="K870" s="35"/>
      <c r="L870" s="35"/>
      <c r="M870" s="35"/>
      <c r="N870" s="29"/>
      <c r="O870" s="29"/>
      <c r="P870" s="29"/>
      <c r="Q870" s="29"/>
      <c r="R870" s="29"/>
      <c r="S870" s="104"/>
      <c r="T870" s="104"/>
      <c r="U870" s="104"/>
      <c r="V870" s="104"/>
      <c r="W870" s="104"/>
      <c r="X870" s="104"/>
      <c r="Y870" s="104"/>
      <c r="Z870" s="104"/>
      <c r="AA870" s="235"/>
      <c r="AB870" s="235"/>
      <c r="AC870" s="235"/>
      <c r="AD870" s="235"/>
      <c r="AE870" s="235"/>
      <c r="AF870" s="235"/>
      <c r="AG870" s="235"/>
      <c r="AH870" s="235"/>
      <c r="AI870" s="235"/>
      <c r="AJ870" s="235"/>
      <c r="AK870" s="235"/>
      <c r="AL870" s="235"/>
      <c r="AM870" s="235"/>
      <c r="AN870" s="235"/>
      <c r="AO870" s="235"/>
      <c r="AP870" s="235"/>
      <c r="AQ870" s="235"/>
      <c r="AR870" s="235"/>
      <c r="AS870" s="235"/>
      <c r="AT870" s="235"/>
      <c r="AU870" s="235"/>
      <c r="AV870" s="235"/>
      <c r="AW870" s="235"/>
      <c r="AX870" s="235"/>
      <c r="AY870" s="235"/>
      <c r="AZ870" s="235"/>
      <c r="BA870" s="235"/>
      <c r="BB870" s="235"/>
      <c r="BC870" s="235"/>
      <c r="BD870" s="104"/>
      <c r="BE870" s="104"/>
      <c r="BF870" s="104"/>
      <c r="BG870" s="104"/>
      <c r="BH870" s="104"/>
      <c r="BI870" s="104"/>
      <c r="BJ870" s="104"/>
      <c r="BK870" s="12"/>
      <c r="BL870" s="12"/>
    </row>
    <row r="871" spans="1:64" outlineLevel="1">
      <c r="A871" s="9"/>
      <c r="B871" s="9"/>
      <c r="C871" s="44"/>
      <c r="D871" s="278" t="str">
        <f>Asset14</f>
        <v>Substation assets - medium life (45)</v>
      </c>
      <c r="E871" s="9"/>
      <c r="F871" s="9"/>
      <c r="G871" s="210">
        <f>'Adjustment for previous period'!G475</f>
        <v>0</v>
      </c>
      <c r="H871" s="35"/>
      <c r="I871" s="35"/>
      <c r="J871" s="35"/>
      <c r="K871" s="35"/>
      <c r="L871" s="35"/>
      <c r="M871" s="35"/>
      <c r="N871" s="29"/>
      <c r="O871" s="29"/>
      <c r="P871" s="29"/>
      <c r="Q871" s="29"/>
      <c r="R871" s="29"/>
      <c r="S871" s="104"/>
      <c r="T871" s="104"/>
      <c r="U871" s="104"/>
      <c r="V871" s="104"/>
      <c r="W871" s="104"/>
      <c r="X871" s="104"/>
      <c r="Y871" s="104"/>
      <c r="Z871" s="104"/>
      <c r="AA871" s="235"/>
      <c r="AB871" s="235"/>
      <c r="AC871" s="235"/>
      <c r="AD871" s="235"/>
      <c r="AE871" s="235"/>
      <c r="AF871" s="235"/>
      <c r="AG871" s="235"/>
      <c r="AH871" s="235"/>
      <c r="AI871" s="235"/>
      <c r="AJ871" s="235"/>
      <c r="AK871" s="235"/>
      <c r="AL871" s="235"/>
      <c r="AM871" s="235"/>
      <c r="AN871" s="235"/>
      <c r="AO871" s="235"/>
      <c r="AP871" s="235"/>
      <c r="AQ871" s="235"/>
      <c r="AR871" s="235"/>
      <c r="AS871" s="235"/>
      <c r="AT871" s="235"/>
      <c r="AU871" s="235"/>
      <c r="AV871" s="235"/>
      <c r="AW871" s="235"/>
      <c r="AX871" s="235"/>
      <c r="AY871" s="235"/>
      <c r="AZ871" s="235"/>
      <c r="BA871" s="235"/>
      <c r="BB871" s="235"/>
      <c r="BC871" s="235"/>
      <c r="BD871" s="104"/>
      <c r="BE871" s="104"/>
      <c r="BF871" s="104"/>
      <c r="BG871" s="104"/>
      <c r="BH871" s="104"/>
      <c r="BI871" s="104"/>
      <c r="BJ871" s="104"/>
      <c r="BK871" s="12"/>
      <c r="BL871" s="12"/>
    </row>
    <row r="872" spans="1:64" outlineLevel="1">
      <c r="A872" s="9"/>
      <c r="B872" s="9"/>
      <c r="C872" s="44"/>
      <c r="D872" s="278" t="str">
        <f>Asset15</f>
        <v>Substation assets - short life (15)</v>
      </c>
      <c r="E872" s="9"/>
      <c r="F872" s="9"/>
      <c r="G872" s="210">
        <f>'Adjustment for previous period'!G476</f>
        <v>0</v>
      </c>
      <c r="H872" s="35"/>
      <c r="I872" s="35"/>
      <c r="J872" s="35"/>
      <c r="K872" s="35"/>
      <c r="L872" s="35"/>
      <c r="M872" s="35"/>
      <c r="N872" s="29"/>
      <c r="O872" s="29"/>
      <c r="P872" s="29"/>
      <c r="Q872" s="29"/>
      <c r="R872" s="29"/>
      <c r="S872" s="104"/>
      <c r="T872" s="104"/>
      <c r="U872" s="104"/>
      <c r="V872" s="104"/>
      <c r="W872" s="104"/>
      <c r="X872" s="104"/>
      <c r="Y872" s="104"/>
      <c r="Z872" s="104"/>
      <c r="AA872" s="235"/>
      <c r="AB872" s="235"/>
      <c r="AC872" s="235"/>
      <c r="AD872" s="235"/>
      <c r="AE872" s="235"/>
      <c r="AF872" s="235"/>
      <c r="AG872" s="235"/>
      <c r="AH872" s="235"/>
      <c r="AI872" s="235"/>
      <c r="AJ872" s="235"/>
      <c r="AK872" s="235"/>
      <c r="AL872" s="235"/>
      <c r="AM872" s="235"/>
      <c r="AN872" s="235"/>
      <c r="AO872" s="235"/>
      <c r="AP872" s="235"/>
      <c r="AQ872" s="235"/>
      <c r="AR872" s="235"/>
      <c r="AS872" s="235"/>
      <c r="AT872" s="235"/>
      <c r="AU872" s="235"/>
      <c r="AV872" s="235"/>
      <c r="AW872" s="235"/>
      <c r="AX872" s="235"/>
      <c r="AY872" s="235"/>
      <c r="AZ872" s="235"/>
      <c r="BA872" s="235"/>
      <c r="BB872" s="235"/>
      <c r="BC872" s="235"/>
      <c r="BD872" s="104"/>
      <c r="BE872" s="104"/>
      <c r="BF872" s="104"/>
      <c r="BG872" s="104"/>
      <c r="BH872" s="104"/>
      <c r="BI872" s="104"/>
      <c r="BJ872" s="104"/>
      <c r="BK872" s="12"/>
      <c r="BL872" s="12"/>
    </row>
    <row r="873" spans="1:64" outlineLevel="1">
      <c r="A873" s="9"/>
      <c r="B873" s="9"/>
      <c r="C873" s="44"/>
      <c r="D873" s="278" t="str">
        <f>Asset16</f>
        <v>Protection and control - short life (15)</v>
      </c>
      <c r="E873" s="9"/>
      <c r="F873" s="9"/>
      <c r="G873" s="210">
        <f>'Adjustment for previous period'!G477</f>
        <v>0</v>
      </c>
      <c r="H873" s="35"/>
      <c r="I873" s="35"/>
      <c r="J873" s="35"/>
      <c r="K873" s="35"/>
      <c r="L873" s="35"/>
      <c r="M873" s="35"/>
      <c r="N873" s="29"/>
      <c r="O873" s="29"/>
      <c r="P873" s="29"/>
      <c r="Q873" s="29"/>
      <c r="R873" s="29"/>
      <c r="S873" s="104"/>
      <c r="T873" s="104"/>
      <c r="U873" s="104"/>
      <c r="V873" s="104"/>
      <c r="W873" s="104"/>
      <c r="X873" s="104"/>
      <c r="Y873" s="104"/>
      <c r="Z873" s="104"/>
      <c r="AA873" s="235"/>
      <c r="AB873" s="235"/>
      <c r="AC873" s="235"/>
      <c r="AD873" s="235"/>
      <c r="AE873" s="235"/>
      <c r="AF873" s="235"/>
      <c r="AG873" s="235"/>
      <c r="AH873" s="235"/>
      <c r="AI873" s="235"/>
      <c r="AJ873" s="235"/>
      <c r="AK873" s="235"/>
      <c r="AL873" s="235"/>
      <c r="AM873" s="235"/>
      <c r="AN873" s="235"/>
      <c r="AO873" s="235"/>
      <c r="AP873" s="235"/>
      <c r="AQ873" s="235"/>
      <c r="AR873" s="235"/>
      <c r="AS873" s="235"/>
      <c r="AT873" s="235"/>
      <c r="AU873" s="235"/>
      <c r="AV873" s="235"/>
      <c r="AW873" s="235"/>
      <c r="AX873" s="235"/>
      <c r="AY873" s="235"/>
      <c r="AZ873" s="235"/>
      <c r="BA873" s="235"/>
      <c r="BB873" s="235"/>
      <c r="BC873" s="235"/>
      <c r="BD873" s="104"/>
      <c r="BE873" s="104"/>
      <c r="BF873" s="104"/>
      <c r="BG873" s="104"/>
      <c r="BH873" s="104"/>
      <c r="BI873" s="104"/>
      <c r="BJ873" s="104"/>
      <c r="BK873" s="12"/>
      <c r="BL873" s="12"/>
    </row>
    <row r="874" spans="1:64" outlineLevel="1">
      <c r="A874" s="9"/>
      <c r="B874" s="9"/>
      <c r="C874" s="44"/>
      <c r="D874" s="278" t="str">
        <f>Asset17</f>
        <v>Protection and control - short life (4)</v>
      </c>
      <c r="E874" s="9"/>
      <c r="F874" s="9"/>
      <c r="G874" s="210">
        <f>'Adjustment for previous period'!G478</f>
        <v>0</v>
      </c>
      <c r="H874" s="35"/>
      <c r="I874" s="35"/>
      <c r="J874" s="35"/>
      <c r="K874" s="35"/>
      <c r="L874" s="35"/>
      <c r="M874" s="35"/>
      <c r="N874" s="29"/>
      <c r="O874" s="29"/>
      <c r="P874" s="29"/>
      <c r="Q874" s="29"/>
      <c r="R874" s="29"/>
      <c r="S874" s="104"/>
      <c r="T874" s="104"/>
      <c r="U874" s="104"/>
      <c r="V874" s="104"/>
      <c r="W874" s="104"/>
      <c r="X874" s="104"/>
      <c r="Y874" s="104"/>
      <c r="Z874" s="104"/>
      <c r="AA874" s="235"/>
      <c r="AB874" s="235"/>
      <c r="AC874" s="235"/>
      <c r="AD874" s="235"/>
      <c r="AE874" s="235"/>
      <c r="AF874" s="235"/>
      <c r="AG874" s="235"/>
      <c r="AH874" s="235"/>
      <c r="AI874" s="235"/>
      <c r="AJ874" s="235"/>
      <c r="AK874" s="235"/>
      <c r="AL874" s="235"/>
      <c r="AM874" s="235"/>
      <c r="AN874" s="235"/>
      <c r="AO874" s="235"/>
      <c r="AP874" s="235"/>
      <c r="AQ874" s="235"/>
      <c r="AR874" s="235"/>
      <c r="AS874" s="235"/>
      <c r="AT874" s="235"/>
      <c r="AU874" s="235"/>
      <c r="AV874" s="235"/>
      <c r="AW874" s="235"/>
      <c r="AX874" s="235"/>
      <c r="AY874" s="235"/>
      <c r="AZ874" s="235"/>
      <c r="BA874" s="235"/>
      <c r="BB874" s="235"/>
      <c r="BC874" s="235"/>
      <c r="BD874" s="104"/>
      <c r="BE874" s="104"/>
      <c r="BF874" s="104"/>
      <c r="BG874" s="104"/>
      <c r="BH874" s="104"/>
      <c r="BI874" s="104"/>
      <c r="BJ874" s="104"/>
      <c r="BK874" s="12"/>
      <c r="BL874" s="12"/>
    </row>
    <row r="875" spans="1:64" outlineLevel="1">
      <c r="A875" s="9"/>
      <c r="B875" s="9"/>
      <c r="C875" s="44"/>
      <c r="D875" s="278" t="str">
        <f>Asset18</f>
        <v>Transmission operations - short life (10)</v>
      </c>
      <c r="E875" s="9"/>
      <c r="F875" s="9"/>
      <c r="G875" s="210">
        <f>'Adjustment for previous period'!G479</f>
        <v>0</v>
      </c>
      <c r="H875" s="35"/>
      <c r="I875" s="35"/>
      <c r="J875" s="35"/>
      <c r="K875" s="35"/>
      <c r="L875" s="35"/>
      <c r="M875" s="35"/>
      <c r="N875" s="29"/>
      <c r="O875" s="29"/>
      <c r="P875" s="29"/>
      <c r="Q875" s="29"/>
      <c r="R875" s="29"/>
      <c r="S875" s="104"/>
      <c r="T875" s="104"/>
      <c r="U875" s="104"/>
      <c r="V875" s="104"/>
      <c r="W875" s="104"/>
      <c r="X875" s="104"/>
      <c r="Y875" s="104"/>
      <c r="Z875" s="104"/>
      <c r="AA875" s="235"/>
      <c r="AB875" s="235"/>
      <c r="AC875" s="235"/>
      <c r="AD875" s="235"/>
      <c r="AE875" s="235"/>
      <c r="AF875" s="235"/>
      <c r="AG875" s="235"/>
      <c r="AH875" s="235"/>
      <c r="AI875" s="235"/>
      <c r="AJ875" s="235"/>
      <c r="AK875" s="235"/>
      <c r="AL875" s="235"/>
      <c r="AM875" s="235"/>
      <c r="AN875" s="235"/>
      <c r="AO875" s="235"/>
      <c r="AP875" s="235"/>
      <c r="AQ875" s="235"/>
      <c r="AR875" s="235"/>
      <c r="AS875" s="235"/>
      <c r="AT875" s="235"/>
      <c r="AU875" s="235"/>
      <c r="AV875" s="235"/>
      <c r="AW875" s="235"/>
      <c r="AX875" s="235"/>
      <c r="AY875" s="235"/>
      <c r="AZ875" s="235"/>
      <c r="BA875" s="235"/>
      <c r="BB875" s="235"/>
      <c r="BC875" s="235"/>
      <c r="BD875" s="104"/>
      <c r="BE875" s="104"/>
      <c r="BF875" s="104"/>
      <c r="BG875" s="104"/>
      <c r="BH875" s="104"/>
      <c r="BI875" s="104"/>
      <c r="BJ875" s="104"/>
      <c r="BK875" s="12"/>
      <c r="BL875" s="12"/>
    </row>
    <row r="876" spans="1:64" outlineLevel="1">
      <c r="A876" s="9"/>
      <c r="B876" s="9"/>
      <c r="C876" s="44"/>
      <c r="D876" s="278" t="str">
        <f>Asset19</f>
        <v>Transmission operations - short life (4)</v>
      </c>
      <c r="E876" s="9"/>
      <c r="F876" s="9"/>
      <c r="G876" s="210">
        <f>'Adjustment for previous period'!G480</f>
        <v>0</v>
      </c>
      <c r="H876" s="35"/>
      <c r="I876" s="35"/>
      <c r="J876" s="35"/>
      <c r="K876" s="35"/>
      <c r="L876" s="35"/>
      <c r="M876" s="35"/>
      <c r="N876" s="29"/>
      <c r="O876" s="29"/>
      <c r="P876" s="29"/>
      <c r="Q876" s="29"/>
      <c r="R876" s="29"/>
      <c r="S876" s="104"/>
      <c r="T876" s="104"/>
      <c r="U876" s="104"/>
      <c r="V876" s="104"/>
      <c r="W876" s="104"/>
      <c r="X876" s="104"/>
      <c r="Y876" s="104"/>
      <c r="Z876" s="104"/>
      <c r="AA876" s="235"/>
      <c r="AB876" s="235"/>
      <c r="AC876" s="235"/>
      <c r="AD876" s="235"/>
      <c r="AE876" s="235"/>
      <c r="AF876" s="235"/>
      <c r="AG876" s="235"/>
      <c r="AH876" s="235"/>
      <c r="AI876" s="235"/>
      <c r="AJ876" s="235"/>
      <c r="AK876" s="235"/>
      <c r="AL876" s="235"/>
      <c r="AM876" s="235"/>
      <c r="AN876" s="235"/>
      <c r="AO876" s="235"/>
      <c r="AP876" s="235"/>
      <c r="AQ876" s="235"/>
      <c r="AR876" s="235"/>
      <c r="AS876" s="235"/>
      <c r="AT876" s="235"/>
      <c r="AU876" s="235"/>
      <c r="AV876" s="235"/>
      <c r="AW876" s="235"/>
      <c r="AX876" s="235"/>
      <c r="AY876" s="235"/>
      <c r="AZ876" s="235"/>
      <c r="BA876" s="235"/>
      <c r="BB876" s="235"/>
      <c r="BC876" s="235"/>
      <c r="BD876" s="104"/>
      <c r="BE876" s="104"/>
      <c r="BF876" s="104"/>
      <c r="BG876" s="104"/>
      <c r="BH876" s="104"/>
      <c r="BI876" s="104"/>
      <c r="BJ876" s="104"/>
      <c r="BK876" s="12"/>
      <c r="BL876" s="12"/>
    </row>
    <row r="877" spans="1:64" outlineLevel="1">
      <c r="A877" s="9"/>
      <c r="B877" s="9"/>
      <c r="C877" s="44"/>
      <c r="D877" s="278" t="str">
        <f>Asset20</f>
        <v>Other - medium life (40)</v>
      </c>
      <c r="E877" s="9"/>
      <c r="F877" s="9"/>
      <c r="G877" s="210">
        <f>'Adjustment for previous period'!G481</f>
        <v>0</v>
      </c>
      <c r="H877" s="35"/>
      <c r="I877" s="35"/>
      <c r="J877" s="35"/>
      <c r="K877" s="35"/>
      <c r="L877" s="35"/>
      <c r="M877" s="35"/>
      <c r="N877" s="29"/>
      <c r="O877" s="29"/>
      <c r="P877" s="29"/>
      <c r="Q877" s="29"/>
      <c r="R877" s="29"/>
      <c r="S877" s="104"/>
      <c r="T877" s="104"/>
      <c r="U877" s="104"/>
      <c r="V877" s="104"/>
      <c r="W877" s="104"/>
      <c r="X877" s="104"/>
      <c r="Y877" s="104"/>
      <c r="Z877" s="104"/>
      <c r="AA877" s="235"/>
      <c r="AB877" s="235"/>
      <c r="AC877" s="235"/>
      <c r="AD877" s="235"/>
      <c r="AE877" s="235"/>
      <c r="AF877" s="235"/>
      <c r="AG877" s="235"/>
      <c r="AH877" s="235"/>
      <c r="AI877" s="235"/>
      <c r="AJ877" s="235"/>
      <c r="AK877" s="235"/>
      <c r="AL877" s="235"/>
      <c r="AM877" s="235"/>
      <c r="AN877" s="235"/>
      <c r="AO877" s="235"/>
      <c r="AP877" s="235"/>
      <c r="AQ877" s="235"/>
      <c r="AR877" s="235"/>
      <c r="AS877" s="235"/>
      <c r="AT877" s="235"/>
      <c r="AU877" s="235"/>
      <c r="AV877" s="235"/>
      <c r="AW877" s="235"/>
      <c r="AX877" s="235"/>
      <c r="AY877" s="235"/>
      <c r="AZ877" s="235"/>
      <c r="BA877" s="235"/>
      <c r="BB877" s="235"/>
      <c r="BC877" s="235"/>
      <c r="BD877" s="104"/>
      <c r="BE877" s="104"/>
      <c r="BF877" s="104"/>
      <c r="BG877" s="104"/>
      <c r="BH877" s="104"/>
      <c r="BI877" s="104"/>
      <c r="BJ877" s="104"/>
      <c r="BK877" s="12"/>
      <c r="BL877" s="12"/>
    </row>
    <row r="878" spans="1:64" outlineLevel="1">
      <c r="A878" s="9"/>
      <c r="B878" s="9"/>
      <c r="C878" s="44"/>
      <c r="D878" s="314" t="str">
        <f>Asset21</f>
        <v>Other - short life (9)</v>
      </c>
      <c r="E878" s="9"/>
      <c r="F878" s="9"/>
      <c r="G878" s="210">
        <f>'Adjustment for previous period'!G482</f>
        <v>0</v>
      </c>
      <c r="H878" s="35"/>
      <c r="I878" s="35"/>
      <c r="J878" s="35"/>
      <c r="K878" s="35"/>
      <c r="L878" s="35"/>
      <c r="M878" s="35"/>
      <c r="N878" s="29"/>
      <c r="O878" s="29"/>
      <c r="P878" s="29"/>
      <c r="Q878" s="29"/>
      <c r="R878" s="29"/>
      <c r="S878" s="104"/>
      <c r="T878" s="104"/>
      <c r="U878" s="104"/>
      <c r="V878" s="104"/>
      <c r="W878" s="104"/>
      <c r="X878" s="104"/>
      <c r="Y878" s="104"/>
      <c r="Z878" s="104"/>
      <c r="AA878" s="235"/>
      <c r="AB878" s="235"/>
      <c r="AC878" s="235"/>
      <c r="AD878" s="235"/>
      <c r="AE878" s="235"/>
      <c r="AF878" s="235"/>
      <c r="AG878" s="235"/>
      <c r="AH878" s="235"/>
      <c r="AI878" s="235"/>
      <c r="AJ878" s="235"/>
      <c r="AK878" s="235"/>
      <c r="AL878" s="235"/>
      <c r="AM878" s="235"/>
      <c r="AN878" s="235"/>
      <c r="AO878" s="235"/>
      <c r="AP878" s="235"/>
      <c r="AQ878" s="235"/>
      <c r="AR878" s="235"/>
      <c r="AS878" s="235"/>
      <c r="AT878" s="235"/>
      <c r="AU878" s="235"/>
      <c r="AV878" s="235"/>
      <c r="AW878" s="235"/>
      <c r="AX878" s="235"/>
      <c r="AY878" s="235"/>
      <c r="AZ878" s="235"/>
      <c r="BA878" s="235"/>
      <c r="BB878" s="235"/>
      <c r="BC878" s="235"/>
      <c r="BD878" s="104"/>
      <c r="BE878" s="104"/>
      <c r="BF878" s="104"/>
      <c r="BG878" s="104"/>
      <c r="BH878" s="104"/>
      <c r="BI878" s="104"/>
      <c r="BJ878" s="104"/>
      <c r="BK878" s="12"/>
      <c r="BL878" s="12"/>
    </row>
    <row r="879" spans="1:64" outlineLevel="1">
      <c r="A879" s="9"/>
      <c r="B879" s="9"/>
      <c r="C879" s="44"/>
      <c r="D879" s="314" t="str">
        <f>Asset22</f>
        <v>Other - short life (4)</v>
      </c>
      <c r="E879" s="9"/>
      <c r="F879" s="9"/>
      <c r="G879" s="210">
        <f>'Adjustment for previous period'!G483</f>
        <v>0</v>
      </c>
      <c r="H879" s="35"/>
      <c r="I879" s="35"/>
      <c r="J879" s="35"/>
      <c r="K879" s="35"/>
      <c r="L879" s="35"/>
      <c r="M879" s="35"/>
      <c r="N879" s="29"/>
      <c r="O879" s="29"/>
      <c r="P879" s="29"/>
      <c r="Q879" s="29"/>
      <c r="R879" s="29"/>
      <c r="S879" s="104"/>
      <c r="T879" s="104"/>
      <c r="U879" s="104"/>
      <c r="V879" s="104"/>
      <c r="W879" s="104"/>
      <c r="X879" s="104"/>
      <c r="Y879" s="104"/>
      <c r="Z879" s="104"/>
      <c r="AA879" s="235"/>
      <c r="AB879" s="235"/>
      <c r="AC879" s="235"/>
      <c r="AD879" s="235"/>
      <c r="AE879" s="235"/>
      <c r="AF879" s="235"/>
      <c r="AG879" s="235"/>
      <c r="AH879" s="235"/>
      <c r="AI879" s="235"/>
      <c r="AJ879" s="235"/>
      <c r="AK879" s="235"/>
      <c r="AL879" s="235"/>
      <c r="AM879" s="235"/>
      <c r="AN879" s="235"/>
      <c r="AO879" s="235"/>
      <c r="AP879" s="235"/>
      <c r="AQ879" s="235"/>
      <c r="AR879" s="235"/>
      <c r="AS879" s="235"/>
      <c r="AT879" s="235"/>
      <c r="AU879" s="235"/>
      <c r="AV879" s="235"/>
      <c r="AW879" s="235"/>
      <c r="AX879" s="235"/>
      <c r="AY879" s="235"/>
      <c r="AZ879" s="235"/>
      <c r="BA879" s="235"/>
      <c r="BB879" s="235"/>
      <c r="BC879" s="235"/>
      <c r="BD879" s="104"/>
      <c r="BE879" s="104"/>
      <c r="BF879" s="104"/>
      <c r="BG879" s="104"/>
      <c r="BH879" s="104"/>
      <c r="BI879" s="104"/>
      <c r="BJ879" s="104"/>
      <c r="BK879" s="12"/>
      <c r="BL879" s="12"/>
    </row>
    <row r="880" spans="1:64" outlineLevel="1">
      <c r="A880" s="9"/>
      <c r="B880" s="9"/>
      <c r="C880" s="44"/>
      <c r="D880" s="314" t="str">
        <f>Asset23</f>
        <v>Land and Easements</v>
      </c>
      <c r="E880" s="9"/>
      <c r="F880" s="9"/>
      <c r="G880" s="210">
        <f>'Adjustment for previous period'!G484</f>
        <v>0</v>
      </c>
      <c r="H880" s="35"/>
      <c r="I880" s="35"/>
      <c r="J880" s="35"/>
      <c r="K880" s="35"/>
      <c r="L880" s="35"/>
      <c r="M880" s="35"/>
      <c r="N880" s="29"/>
      <c r="O880" s="29"/>
      <c r="P880" s="29"/>
      <c r="Q880" s="29"/>
      <c r="R880" s="29"/>
      <c r="S880" s="104"/>
      <c r="T880" s="104"/>
      <c r="U880" s="104"/>
      <c r="V880" s="104"/>
      <c r="W880" s="104"/>
      <c r="X880" s="104"/>
      <c r="Y880" s="104"/>
      <c r="Z880" s="104"/>
      <c r="AA880" s="235"/>
      <c r="AB880" s="235"/>
      <c r="AC880" s="235"/>
      <c r="AD880" s="235"/>
      <c r="AE880" s="235"/>
      <c r="AF880" s="235"/>
      <c r="AG880" s="235"/>
      <c r="AH880" s="235"/>
      <c r="AI880" s="235"/>
      <c r="AJ880" s="235"/>
      <c r="AK880" s="235"/>
      <c r="AL880" s="235"/>
      <c r="AM880" s="235"/>
      <c r="AN880" s="235"/>
      <c r="AO880" s="235"/>
      <c r="AP880" s="235"/>
      <c r="AQ880" s="235"/>
      <c r="AR880" s="235"/>
      <c r="AS880" s="235"/>
      <c r="AT880" s="235"/>
      <c r="AU880" s="235"/>
      <c r="AV880" s="235"/>
      <c r="AW880" s="235"/>
      <c r="AX880" s="235"/>
      <c r="AY880" s="235"/>
      <c r="AZ880" s="235"/>
      <c r="BA880" s="235"/>
      <c r="BB880" s="235"/>
      <c r="BC880" s="235"/>
      <c r="BD880" s="104"/>
      <c r="BE880" s="104"/>
      <c r="BF880" s="104"/>
      <c r="BG880" s="104"/>
      <c r="BH880" s="104"/>
      <c r="BI880" s="104"/>
      <c r="BJ880" s="104"/>
      <c r="BK880" s="12"/>
      <c r="BL880" s="12"/>
    </row>
    <row r="881" spans="1:64" outlineLevel="1">
      <c r="A881" s="9"/>
      <c r="B881" s="9"/>
      <c r="C881" s="44"/>
      <c r="D881" s="314" t="str">
        <f>Asset24</f>
        <v>Equity Raising</v>
      </c>
      <c r="E881" s="9"/>
      <c r="F881" s="9"/>
      <c r="G881" s="210">
        <f>'Adjustment for previous period'!G485</f>
        <v>0</v>
      </c>
      <c r="H881" s="35"/>
      <c r="I881" s="35"/>
      <c r="J881" s="35"/>
      <c r="K881" s="35"/>
      <c r="L881" s="35"/>
      <c r="M881" s="35"/>
      <c r="N881" s="29"/>
      <c r="O881" s="29"/>
      <c r="P881" s="29"/>
      <c r="Q881" s="29"/>
      <c r="R881" s="29"/>
      <c r="S881" s="104"/>
      <c r="T881" s="104"/>
      <c r="U881" s="104"/>
      <c r="V881" s="104"/>
      <c r="W881" s="104"/>
      <c r="X881" s="104"/>
      <c r="Y881" s="104"/>
      <c r="Z881" s="104"/>
      <c r="AA881" s="235"/>
      <c r="AB881" s="235"/>
      <c r="AC881" s="235"/>
      <c r="AD881" s="235"/>
      <c r="AE881" s="235"/>
      <c r="AF881" s="235"/>
      <c r="AG881" s="235"/>
      <c r="AH881" s="235"/>
      <c r="AI881" s="235"/>
      <c r="AJ881" s="235"/>
      <c r="AK881" s="235"/>
      <c r="AL881" s="235"/>
      <c r="AM881" s="235"/>
      <c r="AN881" s="235"/>
      <c r="AO881" s="235"/>
      <c r="AP881" s="235"/>
      <c r="AQ881" s="235"/>
      <c r="AR881" s="235"/>
      <c r="AS881" s="235"/>
      <c r="AT881" s="235"/>
      <c r="AU881" s="235"/>
      <c r="AV881" s="235"/>
      <c r="AW881" s="235"/>
      <c r="AX881" s="235"/>
      <c r="AY881" s="235"/>
      <c r="AZ881" s="235"/>
      <c r="BA881" s="235"/>
      <c r="BB881" s="235"/>
      <c r="BC881" s="235"/>
      <c r="BD881" s="104"/>
      <c r="BE881" s="104"/>
      <c r="BF881" s="104"/>
      <c r="BG881" s="104"/>
      <c r="BH881" s="104"/>
      <c r="BI881" s="104"/>
      <c r="BJ881" s="104"/>
      <c r="BK881" s="12"/>
      <c r="BL881" s="12"/>
    </row>
    <row r="882" spans="1:64" outlineLevel="1">
      <c r="A882" s="9"/>
      <c r="B882" s="9"/>
      <c r="C882" s="44"/>
      <c r="D882" s="314">
        <f>Asset25</f>
        <v>0</v>
      </c>
      <c r="E882" s="9"/>
      <c r="F882" s="9"/>
      <c r="G882" s="210">
        <f>'Adjustment for previous period'!G486</f>
        <v>0</v>
      </c>
      <c r="H882" s="35"/>
      <c r="I882" s="35"/>
      <c r="J882" s="35"/>
      <c r="K882" s="35"/>
      <c r="L882" s="35"/>
      <c r="M882" s="35"/>
      <c r="N882" s="29"/>
      <c r="O882" s="29"/>
      <c r="P882" s="29"/>
      <c r="Q882" s="29"/>
      <c r="R882" s="29"/>
      <c r="S882" s="104"/>
      <c r="T882" s="104"/>
      <c r="U882" s="104"/>
      <c r="V882" s="104"/>
      <c r="W882" s="104"/>
      <c r="X882" s="104"/>
      <c r="Y882" s="104"/>
      <c r="Z882" s="104"/>
      <c r="AA882" s="235"/>
      <c r="AB882" s="235"/>
      <c r="AC882" s="235"/>
      <c r="AD882" s="235"/>
      <c r="AE882" s="235"/>
      <c r="AF882" s="235"/>
      <c r="AG882" s="235"/>
      <c r="AH882" s="235"/>
      <c r="AI882" s="235"/>
      <c r="AJ882" s="235"/>
      <c r="AK882" s="235"/>
      <c r="AL882" s="235"/>
      <c r="AM882" s="235"/>
      <c r="AN882" s="235"/>
      <c r="AO882" s="235"/>
      <c r="AP882" s="235"/>
      <c r="AQ882" s="235"/>
      <c r="AR882" s="235"/>
      <c r="AS882" s="235"/>
      <c r="AT882" s="235"/>
      <c r="AU882" s="235"/>
      <c r="AV882" s="235"/>
      <c r="AW882" s="235"/>
      <c r="AX882" s="235"/>
      <c r="AY882" s="235"/>
      <c r="AZ882" s="235"/>
      <c r="BA882" s="235"/>
      <c r="BB882" s="235"/>
      <c r="BC882" s="235"/>
      <c r="BD882" s="104"/>
      <c r="BE882" s="104"/>
      <c r="BF882" s="104"/>
      <c r="BG882" s="104"/>
      <c r="BH882" s="104"/>
      <c r="BI882" s="104"/>
      <c r="BJ882" s="104"/>
      <c r="BK882" s="12"/>
      <c r="BL882" s="12"/>
    </row>
    <row r="883" spans="1:64" outlineLevel="1">
      <c r="A883" s="9"/>
      <c r="B883" s="9"/>
      <c r="C883" s="44"/>
      <c r="D883" s="314">
        <f>Asset26</f>
        <v>0</v>
      </c>
      <c r="E883" s="9"/>
      <c r="F883" s="9"/>
      <c r="G883" s="210">
        <f>'Adjustment for previous period'!G487</f>
        <v>0</v>
      </c>
      <c r="H883" s="35"/>
      <c r="I883" s="35"/>
      <c r="J883" s="35"/>
      <c r="K883" s="35"/>
      <c r="L883" s="35"/>
      <c r="M883" s="35"/>
      <c r="N883" s="29"/>
      <c r="O883" s="29"/>
      <c r="P883" s="29"/>
      <c r="Q883" s="29"/>
      <c r="R883" s="29"/>
      <c r="S883" s="104"/>
      <c r="T883" s="104"/>
      <c r="U883" s="104"/>
      <c r="V883" s="104"/>
      <c r="W883" s="104"/>
      <c r="X883" s="104"/>
      <c r="Y883" s="104"/>
      <c r="Z883" s="104"/>
      <c r="AA883" s="235"/>
      <c r="AB883" s="235"/>
      <c r="AC883" s="235"/>
      <c r="AD883" s="235"/>
      <c r="AE883" s="235"/>
      <c r="AF883" s="235"/>
      <c r="AG883" s="235"/>
      <c r="AH883" s="235"/>
      <c r="AI883" s="235"/>
      <c r="AJ883" s="235"/>
      <c r="AK883" s="235"/>
      <c r="AL883" s="235"/>
      <c r="AM883" s="235"/>
      <c r="AN883" s="235"/>
      <c r="AO883" s="235"/>
      <c r="AP883" s="235"/>
      <c r="AQ883" s="235"/>
      <c r="AR883" s="235"/>
      <c r="AS883" s="235"/>
      <c r="AT883" s="235"/>
      <c r="AU883" s="235"/>
      <c r="AV883" s="235"/>
      <c r="AW883" s="235"/>
      <c r="AX883" s="235"/>
      <c r="AY883" s="235"/>
      <c r="AZ883" s="235"/>
      <c r="BA883" s="235"/>
      <c r="BB883" s="235"/>
      <c r="BC883" s="235"/>
      <c r="BD883" s="104"/>
      <c r="BE883" s="104"/>
      <c r="BF883" s="104"/>
      <c r="BG883" s="104"/>
      <c r="BH883" s="104"/>
      <c r="BI883" s="104"/>
      <c r="BJ883" s="104"/>
      <c r="BK883" s="12"/>
      <c r="BL883" s="12"/>
    </row>
    <row r="884" spans="1:64" outlineLevel="1">
      <c r="A884" s="9"/>
      <c r="B884" s="9"/>
      <c r="C884" s="44"/>
      <c r="D884" s="314">
        <f>Asset27</f>
        <v>0</v>
      </c>
      <c r="E884" s="9"/>
      <c r="F884" s="9"/>
      <c r="G884" s="210">
        <f>'Adjustment for previous period'!G488</f>
        <v>0</v>
      </c>
      <c r="H884" s="35"/>
      <c r="I884" s="35"/>
      <c r="J884" s="35"/>
      <c r="K884" s="35"/>
      <c r="L884" s="35"/>
      <c r="M884" s="35"/>
      <c r="N884" s="29"/>
      <c r="O884" s="29"/>
      <c r="P884" s="29"/>
      <c r="Q884" s="29"/>
      <c r="R884" s="29"/>
      <c r="S884" s="104"/>
      <c r="T884" s="104"/>
      <c r="U884" s="104"/>
      <c r="V884" s="104"/>
      <c r="W884" s="104"/>
      <c r="X884" s="104"/>
      <c r="Y884" s="104"/>
      <c r="Z884" s="104"/>
      <c r="AA884" s="235"/>
      <c r="AB884" s="235"/>
      <c r="AC884" s="235"/>
      <c r="AD884" s="235"/>
      <c r="AE884" s="235"/>
      <c r="AF884" s="235"/>
      <c r="AG884" s="235"/>
      <c r="AH884" s="235"/>
      <c r="AI884" s="235"/>
      <c r="AJ884" s="235"/>
      <c r="AK884" s="235"/>
      <c r="AL884" s="235"/>
      <c r="AM884" s="235"/>
      <c r="AN884" s="235"/>
      <c r="AO884" s="235"/>
      <c r="AP884" s="235"/>
      <c r="AQ884" s="235"/>
      <c r="AR884" s="235"/>
      <c r="AS884" s="235"/>
      <c r="AT884" s="235"/>
      <c r="AU884" s="235"/>
      <c r="AV884" s="235"/>
      <c r="AW884" s="235"/>
      <c r="AX884" s="235"/>
      <c r="AY884" s="235"/>
      <c r="AZ884" s="235"/>
      <c r="BA884" s="235"/>
      <c r="BB884" s="235"/>
      <c r="BC884" s="235"/>
      <c r="BD884" s="104"/>
      <c r="BE884" s="104"/>
      <c r="BF884" s="104"/>
      <c r="BG884" s="104"/>
      <c r="BH884" s="104"/>
      <c r="BI884" s="104"/>
      <c r="BJ884" s="104"/>
      <c r="BK884" s="12"/>
      <c r="BL884" s="12"/>
    </row>
    <row r="885" spans="1:64" outlineLevel="1">
      <c r="A885" s="9"/>
      <c r="B885" s="9"/>
      <c r="C885" s="44"/>
      <c r="D885" s="314">
        <f>Asset28</f>
        <v>0</v>
      </c>
      <c r="E885" s="9"/>
      <c r="F885" s="9"/>
      <c r="G885" s="210">
        <f>'Adjustment for previous period'!G489</f>
        <v>0</v>
      </c>
      <c r="H885" s="35"/>
      <c r="I885" s="35"/>
      <c r="J885" s="35"/>
      <c r="K885" s="35"/>
      <c r="L885" s="35"/>
      <c r="M885" s="35"/>
      <c r="N885" s="29"/>
      <c r="O885" s="29"/>
      <c r="P885" s="29"/>
      <c r="Q885" s="29"/>
      <c r="R885" s="29"/>
      <c r="S885" s="104"/>
      <c r="T885" s="104"/>
      <c r="U885" s="104"/>
      <c r="V885" s="104"/>
      <c r="W885" s="104"/>
      <c r="X885" s="104"/>
      <c r="Y885" s="104"/>
      <c r="Z885" s="104"/>
      <c r="AA885" s="235"/>
      <c r="AB885" s="235"/>
      <c r="AC885" s="235"/>
      <c r="AD885" s="235"/>
      <c r="AE885" s="235"/>
      <c r="AF885" s="235"/>
      <c r="AG885" s="235"/>
      <c r="AH885" s="235"/>
      <c r="AI885" s="235"/>
      <c r="AJ885" s="235"/>
      <c r="AK885" s="235"/>
      <c r="AL885" s="235"/>
      <c r="AM885" s="235"/>
      <c r="AN885" s="235"/>
      <c r="AO885" s="235"/>
      <c r="AP885" s="235"/>
      <c r="AQ885" s="235"/>
      <c r="AR885" s="235"/>
      <c r="AS885" s="235"/>
      <c r="AT885" s="235"/>
      <c r="AU885" s="235"/>
      <c r="AV885" s="235"/>
      <c r="AW885" s="235"/>
      <c r="AX885" s="235"/>
      <c r="AY885" s="235"/>
      <c r="AZ885" s="235"/>
      <c r="BA885" s="235"/>
      <c r="BB885" s="235"/>
      <c r="BC885" s="235"/>
      <c r="BD885" s="104"/>
      <c r="BE885" s="104"/>
      <c r="BF885" s="104"/>
      <c r="BG885" s="104"/>
      <c r="BH885" s="104"/>
      <c r="BI885" s="104"/>
      <c r="BJ885" s="104"/>
      <c r="BK885" s="12"/>
      <c r="BL885" s="12"/>
    </row>
    <row r="886" spans="1:64" outlineLevel="1">
      <c r="A886" s="9"/>
      <c r="B886" s="9"/>
      <c r="C886" s="44"/>
      <c r="D886" s="314">
        <f>Asset29</f>
        <v>0</v>
      </c>
      <c r="E886" s="9"/>
      <c r="F886" s="9"/>
      <c r="G886" s="210">
        <f>'Adjustment for previous period'!G490</f>
        <v>0</v>
      </c>
      <c r="H886" s="35"/>
      <c r="I886" s="35"/>
      <c r="J886" s="35"/>
      <c r="K886" s="35"/>
      <c r="L886" s="35"/>
      <c r="M886" s="35"/>
      <c r="N886" s="29"/>
      <c r="O886" s="29"/>
      <c r="P886" s="29"/>
      <c r="Q886" s="29"/>
      <c r="R886" s="29"/>
      <c r="S886" s="104"/>
      <c r="T886" s="104"/>
      <c r="U886" s="104"/>
      <c r="V886" s="104"/>
      <c r="W886" s="104"/>
      <c r="X886" s="104"/>
      <c r="Y886" s="104"/>
      <c r="Z886" s="104"/>
      <c r="AA886" s="235"/>
      <c r="AB886" s="235"/>
      <c r="AC886" s="235"/>
      <c r="AD886" s="235"/>
      <c r="AE886" s="235"/>
      <c r="AF886" s="235"/>
      <c r="AG886" s="235"/>
      <c r="AH886" s="235"/>
      <c r="AI886" s="235"/>
      <c r="AJ886" s="235"/>
      <c r="AK886" s="235"/>
      <c r="AL886" s="235"/>
      <c r="AM886" s="235"/>
      <c r="AN886" s="235"/>
      <c r="AO886" s="235"/>
      <c r="AP886" s="235"/>
      <c r="AQ886" s="235"/>
      <c r="AR886" s="235"/>
      <c r="AS886" s="235"/>
      <c r="AT886" s="235"/>
      <c r="AU886" s="235"/>
      <c r="AV886" s="235"/>
      <c r="AW886" s="235"/>
      <c r="AX886" s="235"/>
      <c r="AY886" s="235"/>
      <c r="AZ886" s="235"/>
      <c r="BA886" s="235"/>
      <c r="BB886" s="235"/>
      <c r="BC886" s="235"/>
      <c r="BD886" s="104"/>
      <c r="BE886" s="104"/>
      <c r="BF886" s="104"/>
      <c r="BG886" s="104"/>
      <c r="BH886" s="104"/>
      <c r="BI886" s="104"/>
      <c r="BJ886" s="104"/>
      <c r="BK886" s="12"/>
      <c r="BL886" s="12"/>
    </row>
    <row r="887" spans="1:64" outlineLevel="1">
      <c r="A887" s="9"/>
      <c r="B887" s="9"/>
      <c r="C887" s="44"/>
      <c r="D887" s="314">
        <f>Asset30</f>
        <v>0</v>
      </c>
      <c r="E887" s="9"/>
      <c r="F887" s="9"/>
      <c r="G887" s="210">
        <f>'Adjustment for previous period'!G491</f>
        <v>0</v>
      </c>
      <c r="H887" s="35"/>
      <c r="I887" s="35"/>
      <c r="J887" s="35"/>
      <c r="K887" s="35"/>
      <c r="L887" s="35"/>
      <c r="M887" s="35"/>
      <c r="N887" s="29"/>
      <c r="O887" s="29"/>
      <c r="P887" s="29"/>
      <c r="Q887" s="29"/>
      <c r="R887" s="29"/>
      <c r="S887" s="104"/>
      <c r="T887" s="104"/>
      <c r="U887" s="104"/>
      <c r="V887" s="104"/>
      <c r="W887" s="104"/>
      <c r="X887" s="104"/>
      <c r="Y887" s="104"/>
      <c r="Z887" s="104"/>
      <c r="AA887" s="235"/>
      <c r="AB887" s="235"/>
      <c r="AC887" s="235"/>
      <c r="AD887" s="235"/>
      <c r="AE887" s="235"/>
      <c r="AF887" s="235"/>
      <c r="AG887" s="235"/>
      <c r="AH887" s="235"/>
      <c r="AI887" s="235"/>
      <c r="AJ887" s="235"/>
      <c r="AK887" s="235"/>
      <c r="AL887" s="235"/>
      <c r="AM887" s="235"/>
      <c r="AN887" s="235"/>
      <c r="AO887" s="235"/>
      <c r="AP887" s="235"/>
      <c r="AQ887" s="235"/>
      <c r="AR887" s="235"/>
      <c r="AS887" s="235"/>
      <c r="AT887" s="235"/>
      <c r="AU887" s="235"/>
      <c r="AV887" s="235"/>
      <c r="AW887" s="235"/>
      <c r="AX887" s="235"/>
      <c r="AY887" s="235"/>
      <c r="AZ887" s="235"/>
      <c r="BA887" s="235"/>
      <c r="BB887" s="235"/>
      <c r="BC887" s="235"/>
      <c r="BD887" s="104"/>
      <c r="BE887" s="104"/>
      <c r="BF887" s="104"/>
      <c r="BG887" s="104"/>
      <c r="BH887" s="104"/>
      <c r="BI887" s="104"/>
      <c r="BJ887" s="104"/>
      <c r="BK887" s="12"/>
      <c r="BL887" s="12"/>
    </row>
    <row r="888" spans="1:64">
      <c r="A888" s="9"/>
      <c r="B888" s="9"/>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235"/>
      <c r="AB888" s="235"/>
      <c r="AC888" s="235"/>
      <c r="AD888" s="235"/>
      <c r="AE888" s="235"/>
      <c r="AF888" s="235"/>
      <c r="AG888" s="235"/>
      <c r="AH888" s="235"/>
      <c r="AI888" s="235"/>
      <c r="AJ888" s="235"/>
      <c r="AK888" s="235"/>
      <c r="AL888" s="235"/>
      <c r="AM888" s="235"/>
      <c r="AN888" s="235"/>
      <c r="AO888" s="235"/>
      <c r="AP888" s="235"/>
      <c r="AQ888" s="235"/>
      <c r="AR888" s="235"/>
      <c r="AS888" s="235"/>
      <c r="AT888" s="235"/>
      <c r="AU888" s="235"/>
      <c r="AV888" s="235"/>
      <c r="AW888" s="235"/>
      <c r="AX888" s="235"/>
      <c r="AY888" s="235"/>
      <c r="AZ888" s="235"/>
      <c r="BA888" s="235"/>
      <c r="BB888" s="235"/>
      <c r="BC888" s="235"/>
      <c r="BD888" s="104"/>
      <c r="BE888" s="104"/>
      <c r="BF888" s="104"/>
      <c r="BG888" s="104"/>
      <c r="BH888" s="104"/>
      <c r="BI888" s="104"/>
      <c r="BJ888" s="104"/>
      <c r="BK888" s="12"/>
      <c r="BL888" s="12"/>
    </row>
    <row r="889" spans="1:64">
      <c r="A889" s="125"/>
      <c r="B889" s="125"/>
      <c r="C889" s="125"/>
      <c r="D889" s="126"/>
      <c r="E889" s="111"/>
      <c r="F889" s="111"/>
      <c r="G889" s="127"/>
      <c r="H889" s="128"/>
      <c r="I889" s="128"/>
      <c r="J889" s="128"/>
      <c r="K889" s="128"/>
      <c r="L889" s="128"/>
      <c r="M889" s="128"/>
      <c r="N889" s="129"/>
      <c r="O889" s="129"/>
      <c r="P889" s="129"/>
      <c r="Q889" s="129"/>
      <c r="R889" s="129"/>
      <c r="S889" s="129"/>
      <c r="T889" s="104"/>
      <c r="U889" s="104"/>
      <c r="V889" s="104"/>
      <c r="W889" s="104"/>
      <c r="X889" s="104"/>
      <c r="Y889" s="104"/>
      <c r="Z889" s="104"/>
      <c r="AA889" s="235"/>
      <c r="AB889" s="235"/>
      <c r="AC889" s="235"/>
      <c r="AD889" s="235"/>
      <c r="AE889" s="235"/>
      <c r="AF889" s="235"/>
      <c r="AG889" s="235"/>
      <c r="AH889" s="235"/>
      <c r="AI889" s="235"/>
      <c r="AJ889" s="235"/>
      <c r="AK889" s="235"/>
      <c r="AL889" s="235"/>
      <c r="AM889" s="235"/>
      <c r="AN889" s="235"/>
      <c r="AO889" s="235"/>
      <c r="AP889" s="235"/>
      <c r="AQ889" s="235"/>
      <c r="AR889" s="235"/>
      <c r="AS889" s="235"/>
      <c r="AT889" s="235"/>
      <c r="AU889" s="235"/>
      <c r="AV889" s="235"/>
      <c r="AW889" s="235"/>
      <c r="AX889" s="235"/>
      <c r="AY889" s="235"/>
      <c r="AZ889" s="235"/>
      <c r="BA889" s="235"/>
      <c r="BB889" s="235"/>
      <c r="BC889" s="235"/>
      <c r="BD889" s="104"/>
      <c r="BE889" s="104"/>
      <c r="BF889" s="104"/>
      <c r="BG889" s="104"/>
      <c r="BH889" s="104"/>
      <c r="BI889" s="104"/>
      <c r="BJ889" s="104"/>
      <c r="BK889" s="12"/>
      <c r="BL889" s="12"/>
    </row>
    <row r="890" spans="1:64">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235"/>
      <c r="AB890" s="235"/>
      <c r="AC890" s="235"/>
      <c r="AD890" s="235"/>
      <c r="AE890" s="235"/>
      <c r="AF890" s="235"/>
      <c r="AG890" s="235"/>
      <c r="AH890" s="235"/>
      <c r="AI890" s="235"/>
      <c r="AJ890" s="235"/>
      <c r="AK890" s="235"/>
      <c r="AL890" s="235"/>
      <c r="AM890" s="235"/>
      <c r="AN890" s="235"/>
      <c r="AO890" s="235"/>
      <c r="AP890" s="235"/>
      <c r="AQ890" s="235"/>
      <c r="AR890" s="235"/>
      <c r="AS890" s="235"/>
      <c r="AT890" s="235"/>
      <c r="AU890" s="235"/>
      <c r="AV890" s="235"/>
      <c r="AW890" s="235"/>
      <c r="AX890" s="235"/>
      <c r="AY890" s="235"/>
      <c r="AZ890" s="235"/>
      <c r="BA890" s="235"/>
      <c r="BB890" s="235"/>
      <c r="BC890" s="235"/>
      <c r="BD890" s="104"/>
      <c r="BE890" s="104"/>
      <c r="BF890" s="104"/>
      <c r="BG890" s="104"/>
      <c r="BH890" s="104"/>
      <c r="BI890" s="104"/>
      <c r="BJ890" s="104"/>
      <c r="BK890" s="12"/>
      <c r="BL890" s="12"/>
    </row>
    <row r="891" spans="1:64" s="9" customFormat="1">
      <c r="B891" s="12"/>
      <c r="C891" s="94" t="s">
        <v>29</v>
      </c>
      <c r="D891" s="12"/>
      <c r="E891" s="12"/>
      <c r="F891" s="12"/>
      <c r="G891" s="209">
        <f>SUM(G892:G921)</f>
        <v>-43.23647088820082</v>
      </c>
      <c r="H891" s="118">
        <f>SUM(H892:H921)</f>
        <v>-49.841323965641273</v>
      </c>
      <c r="I891" s="118">
        <f t="shared" ref="I891:P891" si="165">SUM(I892:I921)</f>
        <v>-54.386227852841152</v>
      </c>
      <c r="J891" s="118">
        <f t="shared" si="165"/>
        <v>-49.685944911831363</v>
      </c>
      <c r="K891" s="118">
        <f t="shared" si="165"/>
        <v>-56.340583896433607</v>
      </c>
      <c r="L891" s="118">
        <f t="shared" si="165"/>
        <v>-62.374854266850761</v>
      </c>
      <c r="M891" s="118">
        <f t="shared" si="165"/>
        <v>0</v>
      </c>
      <c r="N891" s="118">
        <f t="shared" si="165"/>
        <v>0</v>
      </c>
      <c r="O891" s="118">
        <f t="shared" si="165"/>
        <v>0</v>
      </c>
      <c r="P891" s="118">
        <f t="shared" si="165"/>
        <v>0</v>
      </c>
      <c r="Q891" s="118">
        <f>SUM(Q892:Q921)</f>
        <v>0</v>
      </c>
      <c r="R891" s="110"/>
      <c r="S891" s="110"/>
      <c r="T891" s="110"/>
      <c r="U891" s="110"/>
      <c r="V891" s="110"/>
      <c r="W891" s="110"/>
      <c r="X891" s="110"/>
      <c r="Y891" s="110"/>
      <c r="Z891" s="110"/>
      <c r="AA891" s="221"/>
      <c r="AB891" s="221"/>
      <c r="AC891" s="221"/>
      <c r="AD891" s="221"/>
      <c r="AE891" s="221"/>
      <c r="AF891" s="221"/>
      <c r="AG891" s="221"/>
      <c r="AH891" s="221"/>
      <c r="AI891" s="221"/>
      <c r="AJ891" s="221"/>
      <c r="AK891" s="221"/>
      <c r="AL891" s="221"/>
      <c r="AM891" s="221"/>
      <c r="AN891" s="221"/>
      <c r="AO891" s="221"/>
      <c r="AP891" s="221"/>
      <c r="AQ891" s="221"/>
      <c r="AR891" s="221"/>
      <c r="AS891" s="221"/>
      <c r="AT891" s="221"/>
      <c r="AU891" s="221"/>
      <c r="AV891" s="221"/>
      <c r="AW891" s="221"/>
      <c r="AX891" s="221"/>
      <c r="AY891" s="221"/>
      <c r="AZ891" s="221"/>
      <c r="BA891" s="221"/>
      <c r="BB891" s="221"/>
      <c r="BC891" s="221"/>
      <c r="BD891" s="110"/>
      <c r="BE891" s="110"/>
      <c r="BF891" s="110"/>
      <c r="BG891" s="110"/>
      <c r="BH891" s="110"/>
      <c r="BI891" s="110"/>
      <c r="BJ891" s="110"/>
      <c r="BK891" s="12"/>
      <c r="BL891" s="12"/>
    </row>
    <row r="892" spans="1:64" ht="12" hidden="1" customHeight="1" outlineLevel="1">
      <c r="A892" s="9"/>
      <c r="B892" s="9"/>
      <c r="C892" s="9"/>
      <c r="D892" s="278" t="str">
        <f>Asset1</f>
        <v>Transmission Lines and Cables</v>
      </c>
      <c r="E892" s="9"/>
      <c r="F892" s="9"/>
      <c r="G892" s="207">
        <f t="shared" ref="G892:G913" si="166">-(G924-G794)</f>
        <v>-14.01180844326684</v>
      </c>
      <c r="H892" s="114">
        <f t="shared" ref="H892:Q892" si="167">H$88*H$7</f>
        <v>-14.303873482433954</v>
      </c>
      <c r="I892" s="114">
        <f t="shared" si="167"/>
        <v>-14.716981741854429</v>
      </c>
      <c r="J892" s="114">
        <f t="shared" si="167"/>
        <v>-15.207547799916242</v>
      </c>
      <c r="K892" s="114">
        <f t="shared" si="167"/>
        <v>-15.448527617911521</v>
      </c>
      <c r="L892" s="114">
        <f t="shared" si="167"/>
        <v>-15.831131167923807</v>
      </c>
      <c r="M892" s="114">
        <f t="shared" si="167"/>
        <v>0</v>
      </c>
      <c r="N892" s="114">
        <f t="shared" si="167"/>
        <v>0</v>
      </c>
      <c r="O892" s="114">
        <f t="shared" si="167"/>
        <v>0</v>
      </c>
      <c r="P892" s="114">
        <f t="shared" si="167"/>
        <v>0</v>
      </c>
      <c r="Q892" s="114">
        <f t="shared" si="167"/>
        <v>0</v>
      </c>
      <c r="R892" s="9"/>
      <c r="S892" s="12"/>
      <c r="T892" s="12"/>
      <c r="U892" s="12"/>
      <c r="V892" s="12"/>
      <c r="W892" s="12"/>
      <c r="X892" s="12"/>
      <c r="Y892" s="12"/>
      <c r="Z892" s="12"/>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c r="AX892" s="227"/>
      <c r="AY892" s="227"/>
      <c r="AZ892" s="227"/>
      <c r="BA892" s="227"/>
      <c r="BB892" s="227"/>
      <c r="BC892" s="227"/>
      <c r="BD892" s="12"/>
      <c r="BE892" s="12"/>
      <c r="BF892" s="12"/>
      <c r="BG892" s="12"/>
      <c r="BH892" s="12"/>
      <c r="BI892" s="12"/>
      <c r="BJ892" s="12"/>
      <c r="BK892" s="12"/>
      <c r="BL892" s="12"/>
    </row>
    <row r="893" spans="1:64" ht="12" hidden="1" customHeight="1" outlineLevel="1">
      <c r="A893" s="9"/>
      <c r="B893" s="9"/>
      <c r="C893" s="9"/>
      <c r="D893" s="278" t="str">
        <f>Asset2</f>
        <v>Transmission Substations</v>
      </c>
      <c r="E893" s="9"/>
      <c r="F893" s="9"/>
      <c r="G893" s="207">
        <f t="shared" si="166"/>
        <v>-13.503732363490791</v>
      </c>
      <c r="H893" s="114">
        <f t="shared" ref="H893:Q893" si="168">H$101*H$7</f>
        <v>-14.251866270844609</v>
      </c>
      <c r="I893" s="114">
        <f t="shared" si="168"/>
        <v>-14.663472516933984</v>
      </c>
      <c r="J893" s="114">
        <f t="shared" si="168"/>
        <v>-15.140696967243844</v>
      </c>
      <c r="K893" s="114">
        <f t="shared" si="168"/>
        <v>-15.380617462480307</v>
      </c>
      <c r="L893" s="114">
        <f t="shared" si="168"/>
        <v>-15.765517799379213</v>
      </c>
      <c r="M893" s="114">
        <f t="shared" si="168"/>
        <v>0</v>
      </c>
      <c r="N893" s="114">
        <f t="shared" si="168"/>
        <v>0</v>
      </c>
      <c r="O893" s="114">
        <f t="shared" si="168"/>
        <v>0</v>
      </c>
      <c r="P893" s="114">
        <f t="shared" si="168"/>
        <v>0</v>
      </c>
      <c r="Q893" s="114">
        <f t="shared" si="168"/>
        <v>0</v>
      </c>
      <c r="R893" s="9"/>
      <c r="S893" s="12"/>
      <c r="T893" s="12"/>
      <c r="U893" s="12"/>
      <c r="V893" s="12"/>
      <c r="W893" s="12"/>
      <c r="X893" s="12"/>
      <c r="Y893" s="12"/>
      <c r="Z893" s="12"/>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12"/>
      <c r="BE893" s="12"/>
      <c r="BF893" s="12"/>
      <c r="BG893" s="12"/>
      <c r="BH893" s="12"/>
      <c r="BI893" s="12"/>
      <c r="BJ893" s="12"/>
      <c r="BK893" s="12"/>
      <c r="BL893" s="12"/>
    </row>
    <row r="894" spans="1:64" ht="12" hidden="1" customHeight="1" outlineLevel="1">
      <c r="A894" s="9"/>
      <c r="B894" s="9"/>
      <c r="C894" s="9"/>
      <c r="D894" s="278" t="str">
        <f>Asset3</f>
        <v>Protection and Control</v>
      </c>
      <c r="E894" s="9"/>
      <c r="F894" s="9"/>
      <c r="G894" s="207">
        <f t="shared" si="166"/>
        <v>-6.4737995906506942</v>
      </c>
      <c r="H894" s="114">
        <f t="shared" ref="H894:Q894" si="169">H$114*H$7</f>
        <v>-5.9493556760560367</v>
      </c>
      <c r="I894" s="114">
        <f t="shared" si="169"/>
        <v>-6.1211782226569333</v>
      </c>
      <c r="J894" s="114">
        <f t="shared" si="169"/>
        <v>-6.322025089058517</v>
      </c>
      <c r="K894" s="114">
        <f t="shared" si="169"/>
        <v>-6.4222043208036439</v>
      </c>
      <c r="L894" s="114">
        <f t="shared" si="169"/>
        <v>-6.5829201446475789</v>
      </c>
      <c r="M894" s="114">
        <f t="shared" si="169"/>
        <v>0</v>
      </c>
      <c r="N894" s="114">
        <f t="shared" si="169"/>
        <v>0</v>
      </c>
      <c r="O894" s="114">
        <f t="shared" si="169"/>
        <v>0</v>
      </c>
      <c r="P894" s="114">
        <f t="shared" si="169"/>
        <v>0</v>
      </c>
      <c r="Q894" s="114">
        <f t="shared" si="169"/>
        <v>0</v>
      </c>
      <c r="R894" s="9"/>
      <c r="S894" s="12"/>
      <c r="T894" s="12"/>
      <c r="U894" s="12"/>
      <c r="V894" s="12"/>
      <c r="W894" s="12"/>
      <c r="X894" s="12"/>
      <c r="Y894" s="12"/>
      <c r="Z894" s="12"/>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12"/>
      <c r="BE894" s="12"/>
      <c r="BF894" s="12"/>
      <c r="BG894" s="12"/>
      <c r="BH894" s="12"/>
      <c r="BI894" s="12"/>
      <c r="BJ894" s="12"/>
      <c r="BK894" s="12"/>
      <c r="BL894" s="12"/>
    </row>
    <row r="895" spans="1:64" ht="12" hidden="1" customHeight="1" outlineLevel="1">
      <c r="A895" s="9"/>
      <c r="B895" s="9"/>
      <c r="C895" s="9"/>
      <c r="D895" s="278" t="str">
        <f>Asset4</f>
        <v>Refurbishment</v>
      </c>
      <c r="E895" s="9"/>
      <c r="F895" s="9"/>
      <c r="G895" s="207">
        <f t="shared" si="166"/>
        <v>-4.2298827205207443</v>
      </c>
      <c r="H895" s="114">
        <f>H$127*H$7</f>
        <v>-2.3187315600898057</v>
      </c>
      <c r="I895" s="114">
        <f t="shared" ref="I895:Q895" si="170">I$127*I$7</f>
        <v>-2.3856985365544934</v>
      </c>
      <c r="J895" s="114">
        <f t="shared" si="170"/>
        <v>-2.4652218211063097</v>
      </c>
      <c r="K895" s="114">
        <f t="shared" si="170"/>
        <v>-2.5042858907107108</v>
      </c>
      <c r="L895" s="114">
        <f t="shared" si="170"/>
        <v>-2.5669557077955636</v>
      </c>
      <c r="M895" s="114">
        <f t="shared" si="170"/>
        <v>0</v>
      </c>
      <c r="N895" s="114">
        <f t="shared" si="170"/>
        <v>0</v>
      </c>
      <c r="O895" s="114">
        <f t="shared" si="170"/>
        <v>0</v>
      </c>
      <c r="P895" s="114">
        <f t="shared" si="170"/>
        <v>0</v>
      </c>
      <c r="Q895" s="114">
        <f t="shared" si="170"/>
        <v>0</v>
      </c>
      <c r="R895" s="9"/>
      <c r="S895" s="12"/>
      <c r="T895" s="12"/>
      <c r="U895" s="12"/>
      <c r="V895" s="12"/>
      <c r="W895" s="12"/>
      <c r="X895" s="12"/>
      <c r="Y895" s="12"/>
      <c r="Z895" s="12"/>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12"/>
      <c r="BE895" s="12"/>
      <c r="BF895" s="12"/>
      <c r="BG895" s="12"/>
      <c r="BH895" s="12"/>
      <c r="BI895" s="12"/>
      <c r="BJ895" s="12"/>
      <c r="BK895" s="12"/>
      <c r="BL895" s="12"/>
    </row>
    <row r="896" spans="1:64" ht="12" hidden="1" customHeight="1" outlineLevel="1">
      <c r="A896" s="9"/>
      <c r="B896" s="9"/>
      <c r="C896" s="9"/>
      <c r="D896" s="278" t="str">
        <f>Asset5</f>
        <v>Other</v>
      </c>
      <c r="E896" s="9"/>
      <c r="F896" s="9"/>
      <c r="G896" s="207">
        <f t="shared" si="166"/>
        <v>-1.9334304622623326</v>
      </c>
      <c r="H896" s="114">
        <f t="shared" ref="H896:Q896" si="171">H$140*H$7</f>
        <v>-1.9333957919737768</v>
      </c>
      <c r="I896" s="114">
        <f t="shared" si="171"/>
        <v>-1.9892339375903478</v>
      </c>
      <c r="J896" s="114">
        <f t="shared" si="171"/>
        <v>-2.0555417355100261</v>
      </c>
      <c r="K896" s="114">
        <f t="shared" si="171"/>
        <v>-2.088113987119693</v>
      </c>
      <c r="L896" s="114">
        <f t="shared" si="171"/>
        <v>-2.140369091902468</v>
      </c>
      <c r="M896" s="114">
        <f t="shared" si="171"/>
        <v>0</v>
      </c>
      <c r="N896" s="114">
        <f t="shared" si="171"/>
        <v>0</v>
      </c>
      <c r="O896" s="114">
        <f t="shared" si="171"/>
        <v>0</v>
      </c>
      <c r="P896" s="114">
        <f t="shared" si="171"/>
        <v>0</v>
      </c>
      <c r="Q896" s="114">
        <f t="shared" si="171"/>
        <v>0</v>
      </c>
      <c r="R896" s="9"/>
      <c r="S896" s="12"/>
      <c r="T896" s="12"/>
      <c r="U896" s="12"/>
      <c r="V896" s="12"/>
      <c r="W896" s="12"/>
      <c r="X896" s="12"/>
      <c r="Y896" s="12"/>
      <c r="Z896" s="12"/>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12"/>
      <c r="BE896" s="12"/>
      <c r="BF896" s="12"/>
      <c r="BG896" s="12"/>
      <c r="BH896" s="12"/>
      <c r="BI896" s="12"/>
      <c r="BJ896" s="12"/>
      <c r="BK896" s="12"/>
      <c r="BL896" s="12"/>
    </row>
    <row r="897" spans="1:64" ht="12" hidden="1" customHeight="1" outlineLevel="1">
      <c r="A897" s="9"/>
      <c r="B897" s="9"/>
      <c r="C897" s="9"/>
      <c r="D897" s="278" t="str">
        <f>Asset6</f>
        <v>Other - IT</v>
      </c>
      <c r="E897" s="9"/>
      <c r="F897" s="9"/>
      <c r="G897" s="207">
        <f t="shared" si="166"/>
        <v>-1.3750627988882689</v>
      </c>
      <c r="H897" s="114">
        <f t="shared" ref="H897:Q897" si="172">H$153*H$7</f>
        <v>-11.845727451695508</v>
      </c>
      <c r="I897" s="114">
        <f t="shared" si="172"/>
        <v>-12.18784232394664</v>
      </c>
      <c r="J897" s="114">
        <f t="shared" si="172"/>
        <v>1.8138680039661338E-3</v>
      </c>
      <c r="K897" s="114">
        <f t="shared" si="172"/>
        <v>1.8426106774868199E-3</v>
      </c>
      <c r="L897" s="114">
        <f t="shared" si="172"/>
        <v>1.8887220558023057E-3</v>
      </c>
      <c r="M897" s="114">
        <f t="shared" si="172"/>
        <v>0</v>
      </c>
      <c r="N897" s="114">
        <f t="shared" si="172"/>
        <v>0</v>
      </c>
      <c r="O897" s="114">
        <f t="shared" si="172"/>
        <v>0</v>
      </c>
      <c r="P897" s="114">
        <f t="shared" si="172"/>
        <v>0</v>
      </c>
      <c r="Q897" s="114">
        <f t="shared" si="172"/>
        <v>0</v>
      </c>
      <c r="R897" s="9"/>
      <c r="S897" s="12"/>
      <c r="T897" s="12"/>
      <c r="U897" s="12"/>
      <c r="V897" s="12"/>
      <c r="W897" s="12"/>
      <c r="X897" s="12"/>
      <c r="Y897" s="12"/>
      <c r="Z897" s="12"/>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12"/>
      <c r="BE897" s="12"/>
      <c r="BF897" s="12"/>
      <c r="BG897" s="12"/>
      <c r="BH897" s="12"/>
      <c r="BI897" s="12"/>
      <c r="BJ897" s="12"/>
      <c r="BK897" s="12"/>
      <c r="BL897" s="12"/>
    </row>
    <row r="898" spans="1:64" ht="12" hidden="1" customHeight="1" outlineLevel="1">
      <c r="A898" s="9"/>
      <c r="B898" s="9"/>
      <c r="C898" s="9"/>
      <c r="D898" s="278" t="str">
        <f>Asset7</f>
        <v>Other - General</v>
      </c>
      <c r="E898" s="9"/>
      <c r="F898" s="9"/>
      <c r="G898" s="207">
        <f t="shared" si="166"/>
        <v>-1.5168339794367491</v>
      </c>
      <c r="H898" s="114">
        <f t="shared" ref="H898:Q898" si="173">H$166*H$7</f>
        <v>1.3625367824596395</v>
      </c>
      <c r="I898" s="114">
        <f t="shared" si="173"/>
        <v>1.4018880252743582</v>
      </c>
      <c r="J898" s="114">
        <f t="shared" si="173"/>
        <v>1.4486176261168369</v>
      </c>
      <c r="K898" s="114">
        <f t="shared" si="173"/>
        <v>0</v>
      </c>
      <c r="L898" s="114">
        <f t="shared" si="173"/>
        <v>0</v>
      </c>
      <c r="M898" s="114">
        <f t="shared" si="173"/>
        <v>0</v>
      </c>
      <c r="N898" s="114">
        <f t="shared" si="173"/>
        <v>0</v>
      </c>
      <c r="O898" s="114">
        <f t="shared" si="173"/>
        <v>0</v>
      </c>
      <c r="P898" s="114">
        <f t="shared" si="173"/>
        <v>0</v>
      </c>
      <c r="Q898" s="114">
        <f t="shared" si="173"/>
        <v>0</v>
      </c>
      <c r="R898" s="9"/>
      <c r="S898" s="12"/>
      <c r="T898" s="12"/>
      <c r="U898" s="12"/>
      <c r="V898" s="12"/>
      <c r="W898" s="12"/>
      <c r="X898" s="12"/>
      <c r="Y898" s="12"/>
      <c r="Z898" s="12"/>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12"/>
      <c r="BE898" s="12"/>
      <c r="BF898" s="12"/>
      <c r="BG898" s="12"/>
      <c r="BH898" s="12"/>
      <c r="BI898" s="12"/>
      <c r="BJ898" s="12"/>
      <c r="BK898" s="12"/>
      <c r="BL898" s="12"/>
    </row>
    <row r="899" spans="1:64" ht="12" hidden="1" customHeight="1" outlineLevel="1">
      <c r="A899" s="9"/>
      <c r="B899" s="9"/>
      <c r="C899" s="9"/>
      <c r="D899" s="278" t="str">
        <f>Asset8</f>
        <v>Other - Buildings</v>
      </c>
      <c r="E899" s="9"/>
      <c r="F899" s="9"/>
      <c r="G899" s="207">
        <f t="shared" si="166"/>
        <v>-0.19192052968440543</v>
      </c>
      <c r="H899" s="114">
        <f t="shared" ref="H899:Q899" si="174">H$179*H$7</f>
        <v>-0.6009105150072126</v>
      </c>
      <c r="I899" s="114">
        <f t="shared" si="174"/>
        <v>-0.61826533132511041</v>
      </c>
      <c r="J899" s="114">
        <f t="shared" si="174"/>
        <v>-0.63887417570261407</v>
      </c>
      <c r="K899" s="114">
        <f t="shared" si="174"/>
        <v>-0.64899781855472127</v>
      </c>
      <c r="L899" s="114">
        <f t="shared" si="174"/>
        <v>-0.66523900520523982</v>
      </c>
      <c r="M899" s="114">
        <f t="shared" si="174"/>
        <v>0</v>
      </c>
      <c r="N899" s="114">
        <f t="shared" si="174"/>
        <v>0</v>
      </c>
      <c r="O899" s="114">
        <f t="shared" si="174"/>
        <v>0</v>
      </c>
      <c r="P899" s="114">
        <f t="shared" si="174"/>
        <v>0</v>
      </c>
      <c r="Q899" s="114">
        <f t="shared" si="174"/>
        <v>0</v>
      </c>
      <c r="R899" s="9"/>
      <c r="S899" s="12"/>
      <c r="T899" s="12"/>
      <c r="U899" s="12"/>
      <c r="V899" s="12"/>
      <c r="W899" s="12"/>
      <c r="X899" s="12"/>
      <c r="Y899" s="12"/>
      <c r="Z899" s="12"/>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12"/>
      <c r="BE899" s="12"/>
      <c r="BF899" s="12"/>
      <c r="BG899" s="12"/>
      <c r="BH899" s="12"/>
      <c r="BI899" s="12"/>
      <c r="BJ899" s="12"/>
      <c r="BK899" s="12"/>
      <c r="BL899" s="12"/>
    </row>
    <row r="900" spans="1:64" ht="12" hidden="1" customHeight="1" outlineLevel="1">
      <c r="A900" s="9"/>
      <c r="B900" s="9"/>
      <c r="C900" s="9"/>
      <c r="D900" s="278" t="str">
        <f>Asset9</f>
        <v>Land and Easements</v>
      </c>
      <c r="E900" s="9"/>
      <c r="F900" s="9"/>
      <c r="G900" s="207">
        <f t="shared" si="166"/>
        <v>-3.9968028886505635E-15</v>
      </c>
      <c r="H900" s="114">
        <f t="shared" ref="H900:Q900" si="175">H$192*H$7</f>
        <v>0</v>
      </c>
      <c r="I900" s="114">
        <f t="shared" si="175"/>
        <v>0</v>
      </c>
      <c r="J900" s="114">
        <f t="shared" si="175"/>
        <v>0</v>
      </c>
      <c r="K900" s="114">
        <f t="shared" si="175"/>
        <v>0</v>
      </c>
      <c r="L900" s="114">
        <f t="shared" si="175"/>
        <v>0</v>
      </c>
      <c r="M900" s="114">
        <f t="shared" si="175"/>
        <v>0</v>
      </c>
      <c r="N900" s="114">
        <f t="shared" si="175"/>
        <v>0</v>
      </c>
      <c r="O900" s="114">
        <f t="shared" si="175"/>
        <v>0</v>
      </c>
      <c r="P900" s="114">
        <f t="shared" si="175"/>
        <v>0</v>
      </c>
      <c r="Q900" s="114">
        <f t="shared" si="175"/>
        <v>0</v>
      </c>
      <c r="R900" s="9"/>
      <c r="S900" s="12"/>
      <c r="T900" s="12"/>
      <c r="U900" s="12"/>
      <c r="V900" s="12"/>
      <c r="W900" s="12"/>
      <c r="X900" s="12"/>
      <c r="Y900" s="12"/>
      <c r="Z900" s="12"/>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12"/>
      <c r="BE900" s="12"/>
      <c r="BF900" s="12"/>
      <c r="BG900" s="12"/>
      <c r="BH900" s="12"/>
      <c r="BI900" s="12"/>
      <c r="BJ900" s="12"/>
      <c r="BK900" s="12"/>
      <c r="BL900" s="12"/>
    </row>
    <row r="901" spans="1:64" ht="12" hidden="1" customHeight="1" outlineLevel="1">
      <c r="A901" s="9"/>
      <c r="B901" s="9"/>
      <c r="C901" s="9"/>
      <c r="D901" s="278" t="str">
        <f>Asset10</f>
        <v>Transmission line assets - long life (60)</v>
      </c>
      <c r="E901" s="9"/>
      <c r="F901" s="9"/>
      <c r="G901" s="207">
        <f t="shared" si="166"/>
        <v>0</v>
      </c>
      <c r="H901" s="114">
        <f t="shared" ref="H901:Q901" si="176">H$205*H$7</f>
        <v>0</v>
      </c>
      <c r="I901" s="114">
        <f t="shared" si="176"/>
        <v>-2.1584039640043975E-2</v>
      </c>
      <c r="J901" s="114">
        <f t="shared" si="176"/>
        <v>-2.0295298408169691</v>
      </c>
      <c r="K901" s="114">
        <f t="shared" si="176"/>
        <v>-2.3731794567995919</v>
      </c>
      <c r="L901" s="114">
        <f t="shared" si="176"/>
        <v>-2.6070767954054168</v>
      </c>
      <c r="M901" s="114">
        <f t="shared" si="176"/>
        <v>0</v>
      </c>
      <c r="N901" s="114">
        <f t="shared" si="176"/>
        <v>0</v>
      </c>
      <c r="O901" s="114">
        <f t="shared" si="176"/>
        <v>0</v>
      </c>
      <c r="P901" s="114">
        <f t="shared" si="176"/>
        <v>0</v>
      </c>
      <c r="Q901" s="114">
        <f t="shared" si="176"/>
        <v>0</v>
      </c>
      <c r="R901" s="9"/>
      <c r="S901" s="12"/>
      <c r="T901" s="12"/>
      <c r="U901" s="12"/>
      <c r="V901" s="12"/>
      <c r="W901" s="12"/>
      <c r="X901" s="12"/>
      <c r="Y901" s="12"/>
      <c r="Z901" s="12"/>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c r="AX901" s="227"/>
      <c r="AY901" s="227"/>
      <c r="AZ901" s="227"/>
      <c r="BA901" s="227"/>
      <c r="BB901" s="227"/>
      <c r="BC901" s="227"/>
      <c r="BD901" s="12"/>
      <c r="BE901" s="12"/>
      <c r="BF901" s="12"/>
      <c r="BG901" s="12"/>
      <c r="BH901" s="12"/>
      <c r="BI901" s="12"/>
      <c r="BJ901" s="12"/>
      <c r="BK901" s="12"/>
      <c r="BL901" s="12"/>
    </row>
    <row r="902" spans="1:64" ht="12" hidden="1" customHeight="1" outlineLevel="1">
      <c r="A902" s="9"/>
      <c r="B902" s="9"/>
      <c r="C902" s="9"/>
      <c r="D902" s="278" t="str">
        <f>Asset11</f>
        <v>Transmission line assets - medium life (45)</v>
      </c>
      <c r="E902" s="9"/>
      <c r="F902" s="9"/>
      <c r="G902" s="207">
        <f t="shared" si="166"/>
        <v>0</v>
      </c>
      <c r="H902" s="114">
        <f t="shared" ref="H902:Q902" si="177">H$218*H$7</f>
        <v>0</v>
      </c>
      <c r="I902" s="114">
        <f t="shared" si="177"/>
        <v>-3.0888973449487574E-4</v>
      </c>
      <c r="J902" s="114">
        <f t="shared" si="177"/>
        <v>-1.0447332605644918E-3</v>
      </c>
      <c r="K902" s="114">
        <f t="shared" si="177"/>
        <v>-5.5166955268263354E-3</v>
      </c>
      <c r="L902" s="114">
        <f t="shared" si="177"/>
        <v>-1.4758293726833533E-2</v>
      </c>
      <c r="M902" s="114">
        <f t="shared" si="177"/>
        <v>0</v>
      </c>
      <c r="N902" s="114">
        <f t="shared" si="177"/>
        <v>0</v>
      </c>
      <c r="O902" s="114">
        <f t="shared" si="177"/>
        <v>0</v>
      </c>
      <c r="P902" s="114">
        <f t="shared" si="177"/>
        <v>0</v>
      </c>
      <c r="Q902" s="114">
        <f t="shared" si="177"/>
        <v>0</v>
      </c>
      <c r="R902" s="9"/>
      <c r="S902" s="12"/>
      <c r="T902" s="12"/>
      <c r="U902" s="12"/>
      <c r="V902" s="12"/>
      <c r="W902" s="12"/>
      <c r="X902" s="12"/>
      <c r="Y902" s="12"/>
      <c r="Z902" s="12"/>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12"/>
      <c r="BE902" s="12"/>
      <c r="BF902" s="12"/>
      <c r="BG902" s="12"/>
      <c r="BH902" s="12"/>
      <c r="BI902" s="12"/>
      <c r="BJ902" s="12"/>
      <c r="BK902" s="12"/>
      <c r="BL902" s="12"/>
    </row>
    <row r="903" spans="1:64" ht="12" hidden="1" customHeight="1" outlineLevel="1">
      <c r="A903" s="9"/>
      <c r="B903" s="9"/>
      <c r="C903" s="9"/>
      <c r="D903" s="278" t="str">
        <f>Asset12</f>
        <v>Transmission line assets - short life (10)</v>
      </c>
      <c r="E903" s="9"/>
      <c r="F903" s="9"/>
      <c r="G903" s="207">
        <f t="shared" si="166"/>
        <v>0</v>
      </c>
      <c r="H903" s="114">
        <f t="shared" ref="H903:Q903" si="178">H$231*H$7</f>
        <v>0</v>
      </c>
      <c r="I903" s="114">
        <f t="shared" si="178"/>
        <v>-3.8956654293236234E-2</v>
      </c>
      <c r="J903" s="114">
        <f t="shared" si="178"/>
        <v>-8.1937896167485855E-2</v>
      </c>
      <c r="K903" s="114">
        <f t="shared" si="178"/>
        <v>-0.13808023243788781</v>
      </c>
      <c r="L903" s="114">
        <f t="shared" si="178"/>
        <v>-0.2101348308586744</v>
      </c>
      <c r="M903" s="114">
        <f t="shared" si="178"/>
        <v>0</v>
      </c>
      <c r="N903" s="114">
        <f t="shared" si="178"/>
        <v>0</v>
      </c>
      <c r="O903" s="114">
        <f t="shared" si="178"/>
        <v>0</v>
      </c>
      <c r="P903" s="114">
        <f t="shared" si="178"/>
        <v>0</v>
      </c>
      <c r="Q903" s="114">
        <f t="shared" si="178"/>
        <v>0</v>
      </c>
      <c r="R903" s="9"/>
      <c r="S903" s="12"/>
      <c r="T903" s="12"/>
      <c r="U903" s="12"/>
      <c r="V903" s="12"/>
      <c r="W903" s="12"/>
      <c r="X903" s="12"/>
      <c r="Y903" s="12"/>
      <c r="Z903" s="12"/>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12"/>
      <c r="BE903" s="12"/>
      <c r="BF903" s="12"/>
      <c r="BG903" s="12"/>
      <c r="BH903" s="12"/>
      <c r="BI903" s="12"/>
      <c r="BJ903" s="12"/>
      <c r="BK903" s="12"/>
      <c r="BL903" s="12"/>
    </row>
    <row r="904" spans="1:64" ht="12" hidden="1" customHeight="1" outlineLevel="1">
      <c r="A904" s="9"/>
      <c r="B904" s="9"/>
      <c r="C904" s="9"/>
      <c r="D904" s="278" t="str">
        <f>Asset13</f>
        <v>Substation assets - long life (60)</v>
      </c>
      <c r="E904" s="9"/>
      <c r="F904" s="9"/>
      <c r="G904" s="207">
        <f t="shared" si="166"/>
        <v>0</v>
      </c>
      <c r="H904" s="114">
        <f t="shared" ref="H904:Q904" si="179">H$244*H$7</f>
        <v>0</v>
      </c>
      <c r="I904" s="114">
        <f t="shared" si="179"/>
        <v>-4.2824750322569757E-2</v>
      </c>
      <c r="J904" s="114">
        <f t="shared" si="179"/>
        <v>-0.44165258298892901</v>
      </c>
      <c r="K904" s="114">
        <f t="shared" si="179"/>
        <v>-0.64118828564924624</v>
      </c>
      <c r="L904" s="114">
        <f t="shared" si="179"/>
        <v>-0.80031019084069654</v>
      </c>
      <c r="M904" s="114">
        <f t="shared" si="179"/>
        <v>0</v>
      </c>
      <c r="N904" s="114">
        <f t="shared" si="179"/>
        <v>0</v>
      </c>
      <c r="O904" s="114">
        <f t="shared" si="179"/>
        <v>0</v>
      </c>
      <c r="P904" s="114">
        <f t="shared" si="179"/>
        <v>0</v>
      </c>
      <c r="Q904" s="114">
        <f t="shared" si="179"/>
        <v>0</v>
      </c>
      <c r="R904" s="9"/>
      <c r="S904" s="12"/>
      <c r="T904" s="12"/>
      <c r="U904" s="12"/>
      <c r="V904" s="12"/>
      <c r="W904" s="12"/>
      <c r="X904" s="12"/>
      <c r="Y904" s="12"/>
      <c r="Z904" s="12"/>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12"/>
      <c r="BE904" s="12"/>
      <c r="BF904" s="12"/>
      <c r="BG904" s="12"/>
      <c r="BH904" s="12"/>
      <c r="BI904" s="12"/>
      <c r="BJ904" s="12"/>
      <c r="BK904" s="12"/>
      <c r="BL904" s="12"/>
    </row>
    <row r="905" spans="1:64" ht="12" hidden="1" customHeight="1" outlineLevel="1">
      <c r="A905" s="9"/>
      <c r="B905" s="9"/>
      <c r="C905" s="9"/>
      <c r="D905" s="278" t="str">
        <f>Asset14</f>
        <v>Substation assets - medium life (45)</v>
      </c>
      <c r="E905" s="9"/>
      <c r="F905" s="9"/>
      <c r="G905" s="207">
        <f t="shared" si="166"/>
        <v>0</v>
      </c>
      <c r="H905" s="114">
        <f t="shared" ref="H905:Q905" si="180">H$257*H$7</f>
        <v>0</v>
      </c>
      <c r="I905" s="114">
        <f t="shared" si="180"/>
        <v>-0.26918453621027549</v>
      </c>
      <c r="J905" s="114">
        <f t="shared" si="180"/>
        <v>-1.5696313729078388</v>
      </c>
      <c r="K905" s="114">
        <f t="shared" si="180"/>
        <v>-2.6887188994029181</v>
      </c>
      <c r="L905" s="114">
        <f t="shared" si="180"/>
        <v>-3.649752232743837</v>
      </c>
      <c r="M905" s="114">
        <f t="shared" si="180"/>
        <v>0</v>
      </c>
      <c r="N905" s="114">
        <f t="shared" si="180"/>
        <v>0</v>
      </c>
      <c r="O905" s="114">
        <f t="shared" si="180"/>
        <v>0</v>
      </c>
      <c r="P905" s="114">
        <f t="shared" si="180"/>
        <v>0</v>
      </c>
      <c r="Q905" s="114">
        <f t="shared" si="180"/>
        <v>0</v>
      </c>
      <c r="R905" s="9"/>
      <c r="S905" s="12"/>
      <c r="T905" s="12"/>
      <c r="U905" s="12"/>
      <c r="V905" s="12"/>
      <c r="W905" s="12"/>
      <c r="X905" s="12"/>
      <c r="Y905" s="12"/>
      <c r="Z905" s="12"/>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c r="AX905" s="227"/>
      <c r="AY905" s="227"/>
      <c r="AZ905" s="227"/>
      <c r="BA905" s="227"/>
      <c r="BB905" s="227"/>
      <c r="BC905" s="227"/>
      <c r="BD905" s="12"/>
      <c r="BE905" s="12"/>
      <c r="BF905" s="12"/>
      <c r="BG905" s="12"/>
      <c r="BH905" s="12"/>
      <c r="BI905" s="12"/>
      <c r="BJ905" s="12"/>
      <c r="BK905" s="12"/>
      <c r="BL905" s="12"/>
    </row>
    <row r="906" spans="1:64" ht="12" hidden="1" customHeight="1" outlineLevel="1">
      <c r="A906" s="9"/>
      <c r="B906" s="9"/>
      <c r="C906" s="9"/>
      <c r="D906" s="278" t="str">
        <f>Asset15</f>
        <v>Substation assets - short life (15)</v>
      </c>
      <c r="E906" s="9"/>
      <c r="F906" s="9"/>
      <c r="G906" s="207">
        <f t="shared" si="166"/>
        <v>0</v>
      </c>
      <c r="H906" s="114">
        <f t="shared" ref="H906:Q906" si="181">H$270*H$7</f>
        <v>0</v>
      </c>
      <c r="I906" s="114">
        <f t="shared" si="181"/>
        <v>-0.84759054800250844</v>
      </c>
      <c r="J906" s="114">
        <f t="shared" si="181"/>
        <v>-0.98728761643293794</v>
      </c>
      <c r="K906" s="114">
        <f t="shared" si="181"/>
        <v>-1.0791692122005407</v>
      </c>
      <c r="L906" s="114">
        <f t="shared" si="181"/>
        <v>-1.3961985510441886</v>
      </c>
      <c r="M906" s="114">
        <f t="shared" si="181"/>
        <v>0</v>
      </c>
      <c r="N906" s="114">
        <f t="shared" si="181"/>
        <v>0</v>
      </c>
      <c r="O906" s="114">
        <f t="shared" si="181"/>
        <v>0</v>
      </c>
      <c r="P906" s="114">
        <f t="shared" si="181"/>
        <v>0</v>
      </c>
      <c r="Q906" s="114">
        <f t="shared" si="181"/>
        <v>0</v>
      </c>
      <c r="R906" s="9"/>
      <c r="S906" s="12"/>
      <c r="T906" s="12"/>
      <c r="U906" s="12"/>
      <c r="V906" s="12"/>
      <c r="W906" s="12"/>
      <c r="X906" s="12"/>
      <c r="Y906" s="12"/>
      <c r="Z906" s="12"/>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c r="AX906" s="227"/>
      <c r="AY906" s="227"/>
      <c r="AZ906" s="227"/>
      <c r="BA906" s="227"/>
      <c r="BB906" s="227"/>
      <c r="BC906" s="227"/>
      <c r="BD906" s="12"/>
      <c r="BE906" s="12"/>
      <c r="BF906" s="12"/>
      <c r="BG906" s="12"/>
      <c r="BH906" s="12"/>
      <c r="BI906" s="12"/>
      <c r="BJ906" s="12"/>
      <c r="BK906" s="12"/>
      <c r="BL906" s="12"/>
    </row>
    <row r="907" spans="1:64" ht="12" hidden="1" customHeight="1" outlineLevel="1">
      <c r="A907" s="9"/>
      <c r="B907" s="9"/>
      <c r="C907" s="9"/>
      <c r="D907" s="278" t="str">
        <f>Asset16</f>
        <v>Protection and control - short life (15)</v>
      </c>
      <c r="E907" s="9"/>
      <c r="F907" s="9"/>
      <c r="G907" s="207">
        <f t="shared" si="166"/>
        <v>0</v>
      </c>
      <c r="H907" s="114">
        <f t="shared" ref="H907:Q907" si="182">H$283*H$7</f>
        <v>0</v>
      </c>
      <c r="I907" s="114">
        <f t="shared" si="182"/>
        <v>-0.75528449160057576</v>
      </c>
      <c r="J907" s="114">
        <f t="shared" si="182"/>
        <v>-1.7656086316346813</v>
      </c>
      <c r="K907" s="114">
        <f t="shared" si="182"/>
        <v>-3.1857245799294915</v>
      </c>
      <c r="L907" s="114">
        <f t="shared" si="182"/>
        <v>-4.5630965079657031</v>
      </c>
      <c r="M907" s="114">
        <f t="shared" si="182"/>
        <v>0</v>
      </c>
      <c r="N907" s="114">
        <f t="shared" si="182"/>
        <v>0</v>
      </c>
      <c r="O907" s="114">
        <f t="shared" si="182"/>
        <v>0</v>
      </c>
      <c r="P907" s="114">
        <f t="shared" si="182"/>
        <v>0</v>
      </c>
      <c r="Q907" s="114">
        <f t="shared" si="182"/>
        <v>0</v>
      </c>
      <c r="R907" s="9"/>
      <c r="S907" s="12"/>
      <c r="T907" s="12"/>
      <c r="U907" s="12"/>
      <c r="V907" s="12"/>
      <c r="W907" s="12"/>
      <c r="X907" s="12"/>
      <c r="Y907" s="12"/>
      <c r="Z907" s="12"/>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12"/>
      <c r="BE907" s="12"/>
      <c r="BF907" s="12"/>
      <c r="BG907" s="12"/>
      <c r="BH907" s="12"/>
      <c r="BI907" s="12"/>
      <c r="BJ907" s="12"/>
      <c r="BK907" s="12"/>
      <c r="BL907" s="12"/>
    </row>
    <row r="908" spans="1:64" ht="12" hidden="1" customHeight="1" outlineLevel="1">
      <c r="A908" s="9"/>
      <c r="B908" s="9"/>
      <c r="C908" s="9"/>
      <c r="D908" s="278" t="str">
        <f>Asset17</f>
        <v>Protection and control - short life (4)</v>
      </c>
      <c r="E908" s="9"/>
      <c r="F908" s="9"/>
      <c r="G908" s="207">
        <f t="shared" si="166"/>
        <v>0</v>
      </c>
      <c r="H908" s="114">
        <f t="shared" ref="H908:Q908" si="183">H$296*H$7</f>
        <v>0</v>
      </c>
      <c r="I908" s="114">
        <f t="shared" si="183"/>
        <v>-1.1150306681836027E-2</v>
      </c>
      <c r="J908" s="114">
        <f t="shared" si="183"/>
        <v>-3.1383838214659725E-2</v>
      </c>
      <c r="K908" s="114">
        <f t="shared" si="183"/>
        <v>-0.36709751137898561</v>
      </c>
      <c r="L908" s="114">
        <f t="shared" si="183"/>
        <v>-0.45719456008927473</v>
      </c>
      <c r="M908" s="114">
        <f t="shared" si="183"/>
        <v>0</v>
      </c>
      <c r="N908" s="114">
        <f t="shared" si="183"/>
        <v>0</v>
      </c>
      <c r="O908" s="114">
        <f t="shared" si="183"/>
        <v>0</v>
      </c>
      <c r="P908" s="114">
        <f t="shared" si="183"/>
        <v>0</v>
      </c>
      <c r="Q908" s="114">
        <f t="shared" si="183"/>
        <v>0</v>
      </c>
      <c r="R908" s="9"/>
      <c r="S908" s="12"/>
      <c r="T908" s="12"/>
      <c r="U908" s="12"/>
      <c r="V908" s="12"/>
      <c r="W908" s="12"/>
      <c r="X908" s="12"/>
      <c r="Y908" s="12"/>
      <c r="Z908" s="12"/>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c r="AX908" s="227"/>
      <c r="AY908" s="227"/>
      <c r="AZ908" s="227"/>
      <c r="BA908" s="227"/>
      <c r="BB908" s="227"/>
      <c r="BC908" s="227"/>
      <c r="BD908" s="12"/>
      <c r="BE908" s="12"/>
      <c r="BF908" s="12"/>
      <c r="BG908" s="12"/>
      <c r="BH908" s="12"/>
      <c r="BI908" s="12"/>
      <c r="BJ908" s="12"/>
      <c r="BK908" s="12"/>
      <c r="BL908" s="12"/>
    </row>
    <row r="909" spans="1:64" ht="12" hidden="1" customHeight="1" outlineLevel="1">
      <c r="A909" s="9"/>
      <c r="B909" s="9"/>
      <c r="C909" s="9"/>
      <c r="D909" s="278" t="str">
        <f>Asset18</f>
        <v>Transmission operations - short life (10)</v>
      </c>
      <c r="E909" s="9"/>
      <c r="F909" s="9"/>
      <c r="G909" s="207">
        <f t="shared" si="166"/>
        <v>0</v>
      </c>
      <c r="H909" s="114">
        <f t="shared" ref="H909:Q909" si="184">H$309*H$7</f>
        <v>0</v>
      </c>
      <c r="I909" s="114">
        <f t="shared" si="184"/>
        <v>-0.12258936087843869</v>
      </c>
      <c r="J909" s="114">
        <f t="shared" si="184"/>
        <v>-0.29971868048608918</v>
      </c>
      <c r="K909" s="114">
        <f t="shared" si="184"/>
        <v>-0.57539924224069106</v>
      </c>
      <c r="L909" s="114">
        <f t="shared" si="184"/>
        <v>-0.78538142906153907</v>
      </c>
      <c r="M909" s="114">
        <f t="shared" si="184"/>
        <v>0</v>
      </c>
      <c r="N909" s="114">
        <f t="shared" si="184"/>
        <v>0</v>
      </c>
      <c r="O909" s="114">
        <f t="shared" si="184"/>
        <v>0</v>
      </c>
      <c r="P909" s="114">
        <f t="shared" si="184"/>
        <v>0</v>
      </c>
      <c r="Q909" s="114">
        <f t="shared" si="184"/>
        <v>0</v>
      </c>
      <c r="R909" s="9"/>
      <c r="S909" s="12"/>
      <c r="T909" s="12"/>
      <c r="U909" s="12"/>
      <c r="V909" s="12"/>
      <c r="W909" s="12"/>
      <c r="X909" s="12"/>
      <c r="Y909" s="12"/>
      <c r="Z909" s="12"/>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c r="AX909" s="227"/>
      <c r="AY909" s="227"/>
      <c r="AZ909" s="227"/>
      <c r="BA909" s="227"/>
      <c r="BB909" s="227"/>
      <c r="BC909" s="227"/>
      <c r="BD909" s="12"/>
      <c r="BE909" s="12"/>
      <c r="BF909" s="12"/>
      <c r="BG909" s="12"/>
      <c r="BH909" s="12"/>
      <c r="BI909" s="12"/>
      <c r="BJ909" s="12"/>
      <c r="BK909" s="12"/>
      <c r="BL909" s="12"/>
    </row>
    <row r="910" spans="1:64" ht="12" hidden="1" customHeight="1" outlineLevel="1">
      <c r="A910" s="9"/>
      <c r="B910" s="9"/>
      <c r="C910" s="9"/>
      <c r="D910" s="278" t="str">
        <f>Asset19</f>
        <v>Transmission operations - short life (4)</v>
      </c>
      <c r="E910" s="9"/>
      <c r="F910" s="9"/>
      <c r="G910" s="207">
        <f t="shared" si="166"/>
        <v>0</v>
      </c>
      <c r="H910" s="114">
        <f t="shared" ref="H910:Q910" si="185">H$322*H$7</f>
        <v>0</v>
      </c>
      <c r="I910" s="114">
        <f t="shared" si="185"/>
        <v>-1.2033724113862797E-2</v>
      </c>
      <c r="J910" s="114">
        <f t="shared" si="185"/>
        <v>-2.9847981089066441E-2</v>
      </c>
      <c r="K910" s="114">
        <f t="shared" si="185"/>
        <v>-3.0320954190647578E-2</v>
      </c>
      <c r="L910" s="114">
        <f t="shared" si="185"/>
        <v>-7.381979484773056E-2</v>
      </c>
      <c r="M910" s="114">
        <f t="shared" si="185"/>
        <v>0</v>
      </c>
      <c r="N910" s="114">
        <f t="shared" si="185"/>
        <v>0</v>
      </c>
      <c r="O910" s="114">
        <f t="shared" si="185"/>
        <v>0</v>
      </c>
      <c r="P910" s="114">
        <f t="shared" si="185"/>
        <v>0</v>
      </c>
      <c r="Q910" s="114">
        <f t="shared" si="185"/>
        <v>0</v>
      </c>
      <c r="R910" s="9"/>
      <c r="S910" s="12"/>
      <c r="T910" s="12"/>
      <c r="U910" s="12"/>
      <c r="V910" s="12"/>
      <c r="W910" s="12"/>
      <c r="X910" s="12"/>
      <c r="Y910" s="12"/>
      <c r="Z910" s="12"/>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c r="AX910" s="227"/>
      <c r="AY910" s="227"/>
      <c r="AZ910" s="227"/>
      <c r="BA910" s="227"/>
      <c r="BB910" s="227"/>
      <c r="BC910" s="227"/>
      <c r="BD910" s="12"/>
      <c r="BE910" s="12"/>
      <c r="BF910" s="12"/>
      <c r="BG910" s="12"/>
      <c r="BH910" s="12"/>
      <c r="BI910" s="12"/>
      <c r="BJ910" s="12"/>
      <c r="BK910" s="12"/>
      <c r="BL910" s="12"/>
    </row>
    <row r="911" spans="1:64" ht="12" hidden="1" customHeight="1" outlineLevel="1">
      <c r="A911" s="9"/>
      <c r="B911" s="9"/>
      <c r="C911" s="9"/>
      <c r="D911" s="278" t="str">
        <f>Asset20</f>
        <v>Other - medium life (40)</v>
      </c>
      <c r="E911" s="9"/>
      <c r="F911" s="9"/>
      <c r="G911" s="207">
        <f t="shared" si="166"/>
        <v>0</v>
      </c>
      <c r="H911" s="114">
        <f t="shared" ref="H911:Q911" si="186">H$335*H$7</f>
        <v>0</v>
      </c>
      <c r="I911" s="114">
        <f t="shared" si="186"/>
        <v>-0.21874540163040687</v>
      </c>
      <c r="J911" s="114">
        <f t="shared" si="186"/>
        <v>-0.61522043394906079</v>
      </c>
      <c r="K911" s="114">
        <f t="shared" si="186"/>
        <v>-0.66827687831459104</v>
      </c>
      <c r="L911" s="114">
        <f t="shared" si="186"/>
        <v>-0.6882530692138964</v>
      </c>
      <c r="M911" s="114">
        <f t="shared" si="186"/>
        <v>0</v>
      </c>
      <c r="N911" s="114">
        <f t="shared" si="186"/>
        <v>0</v>
      </c>
      <c r="O911" s="114">
        <f t="shared" si="186"/>
        <v>0</v>
      </c>
      <c r="P911" s="114">
        <f t="shared" si="186"/>
        <v>0</v>
      </c>
      <c r="Q911" s="114">
        <f t="shared" si="186"/>
        <v>0</v>
      </c>
      <c r="R911" s="9"/>
      <c r="S911" s="12"/>
      <c r="T911" s="12"/>
      <c r="U911" s="12"/>
      <c r="V911" s="12"/>
      <c r="W911" s="12"/>
      <c r="X911" s="12"/>
      <c r="Y911" s="12"/>
      <c r="Z911" s="12"/>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c r="AX911" s="227"/>
      <c r="AY911" s="227"/>
      <c r="AZ911" s="227"/>
      <c r="BA911" s="227"/>
      <c r="BB911" s="227"/>
      <c r="BC911" s="227"/>
      <c r="BD911" s="12"/>
      <c r="BE911" s="12"/>
      <c r="BF911" s="12"/>
      <c r="BG911" s="12"/>
      <c r="BH911" s="12"/>
      <c r="BI911" s="12"/>
      <c r="BJ911" s="12"/>
      <c r="BK911" s="12"/>
      <c r="BL911" s="12"/>
    </row>
    <row r="912" spans="1:64" ht="12" hidden="1" customHeight="1" outlineLevel="1">
      <c r="A912" s="9"/>
      <c r="B912" s="9"/>
      <c r="C912" s="9"/>
      <c r="D912" s="278" t="str">
        <f>Asset21</f>
        <v>Other - short life (9)</v>
      </c>
      <c r="E912" s="9"/>
      <c r="F912" s="9"/>
      <c r="G912" s="207">
        <f t="shared" si="166"/>
        <v>0</v>
      </c>
      <c r="H912" s="114">
        <f>H$348*H$7</f>
        <v>0</v>
      </c>
      <c r="I912" s="114">
        <f t="shared" ref="I912:Q912" si="187">I$348*I$7</f>
        <v>-8.3114406190565759E-2</v>
      </c>
      <c r="J912" s="114">
        <f t="shared" si="187"/>
        <v>-0.20680941999466021</v>
      </c>
      <c r="K912" s="114">
        <f t="shared" si="187"/>
        <v>-0.34115566224527444</v>
      </c>
      <c r="L912" s="114">
        <f t="shared" si="187"/>
        <v>-0.37729044525567706</v>
      </c>
      <c r="M912" s="114">
        <f t="shared" si="187"/>
        <v>0</v>
      </c>
      <c r="N912" s="114">
        <f t="shared" si="187"/>
        <v>0</v>
      </c>
      <c r="O912" s="114">
        <f t="shared" si="187"/>
        <v>0</v>
      </c>
      <c r="P912" s="114">
        <f t="shared" si="187"/>
        <v>0</v>
      </c>
      <c r="Q912" s="114">
        <f t="shared" si="187"/>
        <v>0</v>
      </c>
      <c r="R912" s="9"/>
      <c r="S912" s="12"/>
      <c r="T912" s="12"/>
      <c r="U912" s="12"/>
      <c r="V912" s="12"/>
      <c r="W912" s="12"/>
      <c r="X912" s="12"/>
      <c r="Y912" s="12"/>
      <c r="Z912" s="12"/>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12"/>
      <c r="BE912" s="12"/>
      <c r="BF912" s="12"/>
      <c r="BG912" s="12"/>
      <c r="BH912" s="12"/>
      <c r="BI912" s="12"/>
      <c r="BJ912" s="12"/>
      <c r="BK912" s="12"/>
      <c r="BL912" s="12"/>
    </row>
    <row r="913" spans="1:64" ht="12" hidden="1" customHeight="1" outlineLevel="1">
      <c r="A913" s="9"/>
      <c r="B913" s="9"/>
      <c r="C913" s="9"/>
      <c r="D913" s="278" t="str">
        <f>Asset22</f>
        <v>Other - short life (4)</v>
      </c>
      <c r="E913" s="9"/>
      <c r="F913" s="9"/>
      <c r="G913" s="207">
        <f t="shared" si="166"/>
        <v>0</v>
      </c>
      <c r="H913" s="114">
        <f>H$361*H$7</f>
        <v>0</v>
      </c>
      <c r="I913" s="114">
        <f t="shared" ref="I913:P913" si="188">I$361*I$7</f>
        <v>-0.67109908144085617</v>
      </c>
      <c r="J913" s="114">
        <f t="shared" si="188"/>
        <v>-1.2354528104072988</v>
      </c>
      <c r="K913" s="114">
        <f t="shared" si="188"/>
        <v>-1.7443290785456913</v>
      </c>
      <c r="L913" s="114">
        <f t="shared" si="188"/>
        <v>-3.1895322939580395</v>
      </c>
      <c r="M913" s="114">
        <f t="shared" si="188"/>
        <v>0</v>
      </c>
      <c r="N913" s="114">
        <f t="shared" si="188"/>
        <v>0</v>
      </c>
      <c r="O913" s="114">
        <f t="shared" si="188"/>
        <v>0</v>
      </c>
      <c r="P913" s="114">
        <f t="shared" si="188"/>
        <v>0</v>
      </c>
      <c r="Q913" s="114">
        <f>Q$361*Q$7</f>
        <v>0</v>
      </c>
      <c r="R913" s="9"/>
      <c r="S913" s="12"/>
      <c r="T913" s="12"/>
      <c r="U913" s="12"/>
      <c r="V913" s="12"/>
      <c r="W913" s="12"/>
      <c r="X913" s="12"/>
      <c r="Y913" s="12"/>
      <c r="Z913" s="12"/>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c r="AX913" s="227"/>
      <c r="AY913" s="227"/>
      <c r="AZ913" s="227"/>
      <c r="BA913" s="227"/>
      <c r="BB913" s="227"/>
      <c r="BC913" s="227"/>
      <c r="BD913" s="12"/>
      <c r="BE913" s="12"/>
      <c r="BF913" s="12"/>
      <c r="BG913" s="12"/>
      <c r="BH913" s="12"/>
      <c r="BI913" s="12"/>
      <c r="BJ913" s="12"/>
      <c r="BK913" s="12"/>
      <c r="BL913" s="12"/>
    </row>
    <row r="914" spans="1:64" ht="12" hidden="1" customHeight="1" outlineLevel="1">
      <c r="A914" s="9"/>
      <c r="B914" s="9"/>
      <c r="C914" s="9"/>
      <c r="D914" s="278" t="str">
        <f>Asset23</f>
        <v>Land and Easements</v>
      </c>
      <c r="E914" s="9"/>
      <c r="F914" s="9"/>
      <c r="G914" s="207">
        <f t="shared" ref="G914:G920" si="189">-(G946-G816)</f>
        <v>0</v>
      </c>
      <c r="H914" s="114">
        <f>H$374*H$7</f>
        <v>0</v>
      </c>
      <c r="I914" s="114">
        <f t="shared" ref="I914:P914" si="190">I$374*I$7</f>
        <v>0</v>
      </c>
      <c r="J914" s="114">
        <f t="shared" si="190"/>
        <v>0</v>
      </c>
      <c r="K914" s="114">
        <f t="shared" si="190"/>
        <v>0</v>
      </c>
      <c r="L914" s="114">
        <f t="shared" si="190"/>
        <v>0</v>
      </c>
      <c r="M914" s="114">
        <f t="shared" si="190"/>
        <v>0</v>
      </c>
      <c r="N914" s="114">
        <f t="shared" si="190"/>
        <v>0</v>
      </c>
      <c r="O914" s="114">
        <f t="shared" si="190"/>
        <v>0</v>
      </c>
      <c r="P914" s="114">
        <f t="shared" si="190"/>
        <v>0</v>
      </c>
      <c r="Q914" s="114">
        <f>Q$374*Q$7</f>
        <v>0</v>
      </c>
      <c r="R914" s="9"/>
      <c r="S914" s="12"/>
      <c r="T914" s="12"/>
      <c r="U914" s="12"/>
      <c r="V914" s="12"/>
      <c r="W914" s="12"/>
      <c r="X914" s="12"/>
      <c r="Y914" s="12"/>
      <c r="Z914" s="12"/>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c r="AX914" s="227"/>
      <c r="AY914" s="227"/>
      <c r="AZ914" s="227"/>
      <c r="BA914" s="227"/>
      <c r="BB914" s="227"/>
      <c r="BC914" s="227"/>
      <c r="BD914" s="12"/>
      <c r="BE914" s="12"/>
      <c r="BF914" s="12"/>
      <c r="BG914" s="12"/>
      <c r="BH914" s="12"/>
      <c r="BI914" s="12"/>
      <c r="BJ914" s="12"/>
      <c r="BK914" s="12"/>
      <c r="BL914" s="12"/>
    </row>
    <row r="915" spans="1:64" ht="12" hidden="1" customHeight="1" outlineLevel="1">
      <c r="A915" s="9"/>
      <c r="B915" s="9"/>
      <c r="C915" s="9"/>
      <c r="D915" s="278" t="str">
        <f>Asset24</f>
        <v>Equity Raising</v>
      </c>
      <c r="E915" s="9"/>
      <c r="F915" s="9"/>
      <c r="G915" s="207">
        <f t="shared" si="189"/>
        <v>0</v>
      </c>
      <c r="H915" s="114">
        <f>H$387*H$7</f>
        <v>0</v>
      </c>
      <c r="I915" s="114">
        <f t="shared" ref="I915:P915" si="191">I$387*I$7</f>
        <v>-1.097707651390554E-2</v>
      </c>
      <c r="J915" s="114">
        <f t="shared" si="191"/>
        <v>-1.1342979064369058E-2</v>
      </c>
      <c r="K915" s="114">
        <f t="shared" si="191"/>
        <v>-1.1522720668105524E-2</v>
      </c>
      <c r="L915" s="114">
        <f t="shared" si="191"/>
        <v>-1.1811077041181237E-2</v>
      </c>
      <c r="M915" s="114">
        <f t="shared" si="191"/>
        <v>0</v>
      </c>
      <c r="N915" s="114">
        <f t="shared" si="191"/>
        <v>0</v>
      </c>
      <c r="O915" s="114">
        <f t="shared" si="191"/>
        <v>0</v>
      </c>
      <c r="P915" s="114">
        <f t="shared" si="191"/>
        <v>0</v>
      </c>
      <c r="Q915" s="114">
        <f>Q$387*Q$7</f>
        <v>0</v>
      </c>
      <c r="R915" s="9"/>
      <c r="S915" s="12"/>
      <c r="T915" s="12"/>
      <c r="U915" s="12"/>
      <c r="V915" s="12"/>
      <c r="W915" s="12"/>
      <c r="X915" s="12"/>
      <c r="Y915" s="12"/>
      <c r="Z915" s="12"/>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c r="AX915" s="227"/>
      <c r="AY915" s="227"/>
      <c r="AZ915" s="227"/>
      <c r="BA915" s="227"/>
      <c r="BB915" s="227"/>
      <c r="BC915" s="227"/>
      <c r="BD915" s="12"/>
      <c r="BE915" s="12"/>
      <c r="BF915" s="12"/>
      <c r="BG915" s="12"/>
      <c r="BH915" s="12"/>
      <c r="BI915" s="12"/>
      <c r="BJ915" s="12"/>
      <c r="BK915" s="12"/>
      <c r="BL915" s="12"/>
    </row>
    <row r="916" spans="1:64" ht="12" hidden="1" customHeight="1" outlineLevel="1">
      <c r="A916" s="9"/>
      <c r="B916" s="9"/>
      <c r="C916" s="9"/>
      <c r="D916" s="278">
        <f>Asset25</f>
        <v>0</v>
      </c>
      <c r="E916" s="9"/>
      <c r="F916" s="9"/>
      <c r="G916" s="207">
        <f t="shared" si="189"/>
        <v>0</v>
      </c>
      <c r="H916" s="114">
        <f>H$400*H$7</f>
        <v>0</v>
      </c>
      <c r="I916" s="114">
        <f t="shared" ref="I916:P916" si="192">I$400*I$7</f>
        <v>0</v>
      </c>
      <c r="J916" s="114">
        <f t="shared" si="192"/>
        <v>0</v>
      </c>
      <c r="K916" s="114">
        <f t="shared" si="192"/>
        <v>0</v>
      </c>
      <c r="L916" s="114">
        <f t="shared" si="192"/>
        <v>0</v>
      </c>
      <c r="M916" s="114">
        <f t="shared" si="192"/>
        <v>0</v>
      </c>
      <c r="N916" s="114">
        <f t="shared" si="192"/>
        <v>0</v>
      </c>
      <c r="O916" s="114">
        <f t="shared" si="192"/>
        <v>0</v>
      </c>
      <c r="P916" s="114">
        <f t="shared" si="192"/>
        <v>0</v>
      </c>
      <c r="Q916" s="114">
        <f>Q$400*Q$7</f>
        <v>0</v>
      </c>
      <c r="R916" s="9"/>
      <c r="S916" s="12"/>
      <c r="T916" s="12"/>
      <c r="U916" s="12"/>
      <c r="V916" s="12"/>
      <c r="W916" s="12"/>
      <c r="X916" s="12"/>
      <c r="Y916" s="12"/>
      <c r="Z916" s="12"/>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12"/>
      <c r="BE916" s="12"/>
      <c r="BF916" s="12"/>
      <c r="BG916" s="12"/>
      <c r="BH916" s="12"/>
      <c r="BI916" s="12"/>
      <c r="BJ916" s="12"/>
      <c r="BK916" s="12"/>
      <c r="BL916" s="12"/>
    </row>
    <row r="917" spans="1:64" ht="12" hidden="1" customHeight="1" outlineLevel="1">
      <c r="A917" s="9"/>
      <c r="B917" s="9"/>
      <c r="C917" s="9"/>
      <c r="D917" s="278">
        <f>Asset26</f>
        <v>0</v>
      </c>
      <c r="E917" s="9"/>
      <c r="F917" s="9"/>
      <c r="G917" s="207">
        <f t="shared" si="189"/>
        <v>0</v>
      </c>
      <c r="H917" s="114">
        <f>H$413*H$7</f>
        <v>0</v>
      </c>
      <c r="I917" s="114">
        <f t="shared" ref="I917:P917" si="193">I$413*I$7</f>
        <v>0</v>
      </c>
      <c r="J917" s="114">
        <f t="shared" si="193"/>
        <v>0</v>
      </c>
      <c r="K917" s="114">
        <f t="shared" si="193"/>
        <v>0</v>
      </c>
      <c r="L917" s="114">
        <f t="shared" si="193"/>
        <v>0</v>
      </c>
      <c r="M917" s="114">
        <f t="shared" si="193"/>
        <v>0</v>
      </c>
      <c r="N917" s="114">
        <f t="shared" si="193"/>
        <v>0</v>
      </c>
      <c r="O917" s="114">
        <f t="shared" si="193"/>
        <v>0</v>
      </c>
      <c r="P917" s="114">
        <f t="shared" si="193"/>
        <v>0</v>
      </c>
      <c r="Q917" s="114">
        <f>Q$413*Q$7</f>
        <v>0</v>
      </c>
      <c r="R917" s="9"/>
      <c r="S917" s="12"/>
      <c r="T917" s="12"/>
      <c r="U917" s="12"/>
      <c r="V917" s="12"/>
      <c r="W917" s="12"/>
      <c r="X917" s="12"/>
      <c r="Y917" s="12"/>
      <c r="Z917" s="12"/>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c r="AX917" s="227"/>
      <c r="AY917" s="227"/>
      <c r="AZ917" s="227"/>
      <c r="BA917" s="227"/>
      <c r="BB917" s="227"/>
      <c r="BC917" s="227"/>
      <c r="BD917" s="12"/>
      <c r="BE917" s="12"/>
      <c r="BF917" s="12"/>
      <c r="BG917" s="12"/>
      <c r="BH917" s="12"/>
      <c r="BI917" s="12"/>
      <c r="BJ917" s="12"/>
      <c r="BK917" s="12"/>
      <c r="BL917" s="12"/>
    </row>
    <row r="918" spans="1:64" ht="12" hidden="1" customHeight="1" outlineLevel="1">
      <c r="A918" s="9"/>
      <c r="B918" s="9"/>
      <c r="C918" s="9"/>
      <c r="D918" s="278">
        <f>Asset27</f>
        <v>0</v>
      </c>
      <c r="E918" s="9"/>
      <c r="F918" s="9"/>
      <c r="G918" s="207">
        <f t="shared" si="189"/>
        <v>0</v>
      </c>
      <c r="H918" s="114">
        <f>H$426*H$7</f>
        <v>0</v>
      </c>
      <c r="I918" s="114">
        <f t="shared" ref="I918:Q918" si="194">I$426*I$7</f>
        <v>0</v>
      </c>
      <c r="J918" s="114">
        <f t="shared" si="194"/>
        <v>0</v>
      </c>
      <c r="K918" s="114">
        <f t="shared" si="194"/>
        <v>0</v>
      </c>
      <c r="L918" s="114">
        <f t="shared" si="194"/>
        <v>0</v>
      </c>
      <c r="M918" s="114">
        <f t="shared" si="194"/>
        <v>0</v>
      </c>
      <c r="N918" s="114">
        <f t="shared" si="194"/>
        <v>0</v>
      </c>
      <c r="O918" s="114">
        <f t="shared" si="194"/>
        <v>0</v>
      </c>
      <c r="P918" s="114">
        <f t="shared" si="194"/>
        <v>0</v>
      </c>
      <c r="Q918" s="114">
        <f t="shared" si="194"/>
        <v>0</v>
      </c>
      <c r="R918" s="9"/>
      <c r="S918" s="12"/>
      <c r="T918" s="12"/>
      <c r="U918" s="12"/>
      <c r="V918" s="12"/>
      <c r="W918" s="12"/>
      <c r="X918" s="12"/>
      <c r="Y918" s="12"/>
      <c r="Z918" s="12"/>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c r="AX918" s="227"/>
      <c r="AY918" s="227"/>
      <c r="AZ918" s="227"/>
      <c r="BA918" s="227"/>
      <c r="BB918" s="227"/>
      <c r="BC918" s="227"/>
      <c r="BD918" s="12"/>
      <c r="BE918" s="12"/>
      <c r="BF918" s="12"/>
      <c r="BG918" s="12"/>
      <c r="BH918" s="12"/>
      <c r="BI918" s="12"/>
      <c r="BJ918" s="12"/>
      <c r="BK918" s="12"/>
      <c r="BL918" s="12"/>
    </row>
    <row r="919" spans="1:64" ht="12" hidden="1" customHeight="1" outlineLevel="1">
      <c r="A919" s="9"/>
      <c r="B919" s="9"/>
      <c r="C919" s="9"/>
      <c r="D919" s="278">
        <f>Asset28</f>
        <v>0</v>
      </c>
      <c r="E919" s="9"/>
      <c r="F919" s="9"/>
      <c r="G919" s="207">
        <f t="shared" si="189"/>
        <v>0</v>
      </c>
      <c r="H919" s="114">
        <f>H$439*H$7</f>
        <v>0</v>
      </c>
      <c r="I919" s="114">
        <f t="shared" ref="I919:P919" si="195">I$439*I$7</f>
        <v>0</v>
      </c>
      <c r="J919" s="114">
        <f t="shared" si="195"/>
        <v>0</v>
      </c>
      <c r="K919" s="114">
        <f t="shared" si="195"/>
        <v>0</v>
      </c>
      <c r="L919" s="114">
        <f t="shared" si="195"/>
        <v>0</v>
      </c>
      <c r="M919" s="114">
        <f t="shared" si="195"/>
        <v>0</v>
      </c>
      <c r="N919" s="114">
        <f t="shared" si="195"/>
        <v>0</v>
      </c>
      <c r="O919" s="114">
        <f t="shared" si="195"/>
        <v>0</v>
      </c>
      <c r="P919" s="114">
        <f t="shared" si="195"/>
        <v>0</v>
      </c>
      <c r="Q919" s="114">
        <f>Q$439*Q$7</f>
        <v>0</v>
      </c>
      <c r="R919" s="9"/>
      <c r="S919" s="12"/>
      <c r="T919" s="12"/>
      <c r="U919" s="12"/>
      <c r="V919" s="12"/>
      <c r="W919" s="12"/>
      <c r="X919" s="12"/>
      <c r="Y919" s="12"/>
      <c r="Z919" s="12"/>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c r="AX919" s="227"/>
      <c r="AY919" s="227"/>
      <c r="AZ919" s="227"/>
      <c r="BA919" s="227"/>
      <c r="BB919" s="227"/>
      <c r="BC919" s="227"/>
      <c r="BD919" s="12"/>
      <c r="BE919" s="12"/>
      <c r="BF919" s="12"/>
      <c r="BG919" s="12"/>
      <c r="BH919" s="12"/>
      <c r="BI919" s="12"/>
      <c r="BJ919" s="12"/>
      <c r="BK919" s="12"/>
      <c r="BL919" s="12"/>
    </row>
    <row r="920" spans="1:64" ht="12" hidden="1" customHeight="1" outlineLevel="1">
      <c r="A920" s="9"/>
      <c r="B920" s="9"/>
      <c r="C920" s="9"/>
      <c r="D920" s="278">
        <f>Asset29</f>
        <v>0</v>
      </c>
      <c r="E920" s="9"/>
      <c r="F920" s="9"/>
      <c r="G920" s="207">
        <f t="shared" si="189"/>
        <v>0</v>
      </c>
      <c r="H920" s="114">
        <f>H$452*H$7</f>
        <v>0</v>
      </c>
      <c r="I920" s="114">
        <f t="shared" ref="I920:P920" si="196">I$452*I$7</f>
        <v>0</v>
      </c>
      <c r="J920" s="114">
        <f t="shared" si="196"/>
        <v>0</v>
      </c>
      <c r="K920" s="114">
        <f t="shared" si="196"/>
        <v>0</v>
      </c>
      <c r="L920" s="114">
        <f t="shared" si="196"/>
        <v>0</v>
      </c>
      <c r="M920" s="114">
        <f t="shared" si="196"/>
        <v>0</v>
      </c>
      <c r="N920" s="114">
        <f t="shared" si="196"/>
        <v>0</v>
      </c>
      <c r="O920" s="114">
        <f t="shared" si="196"/>
        <v>0</v>
      </c>
      <c r="P920" s="114">
        <f t="shared" si="196"/>
        <v>0</v>
      </c>
      <c r="Q920" s="114">
        <f>Q$452*Q$7</f>
        <v>0</v>
      </c>
      <c r="R920" s="9"/>
      <c r="S920" s="12"/>
      <c r="T920" s="12"/>
      <c r="U920" s="12"/>
      <c r="V920" s="12"/>
      <c r="W920" s="12"/>
      <c r="X920" s="12"/>
      <c r="Y920" s="12"/>
      <c r="Z920" s="12"/>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c r="AX920" s="227"/>
      <c r="AY920" s="227"/>
      <c r="AZ920" s="227"/>
      <c r="BA920" s="227"/>
      <c r="BB920" s="227"/>
      <c r="BC920" s="227"/>
      <c r="BD920" s="12"/>
      <c r="BE920" s="12"/>
      <c r="BF920" s="12"/>
      <c r="BG920" s="12"/>
      <c r="BH920" s="12"/>
      <c r="BI920" s="12"/>
      <c r="BJ920" s="12"/>
      <c r="BK920" s="12"/>
      <c r="BL920" s="12"/>
    </row>
    <row r="921" spans="1:64" ht="12" hidden="1" customHeight="1" outlineLevel="1">
      <c r="A921" s="9"/>
      <c r="B921" s="9"/>
      <c r="C921" s="9"/>
      <c r="D921" s="278">
        <f>Asset30</f>
        <v>0</v>
      </c>
      <c r="E921" s="9"/>
      <c r="F921" s="9"/>
      <c r="G921" s="207">
        <f>-(G953-G823)</f>
        <v>0</v>
      </c>
      <c r="H921" s="114">
        <f>H$465*H$7</f>
        <v>0</v>
      </c>
      <c r="I921" s="114">
        <f t="shared" ref="I921:P921" si="197">I$465*I$7</f>
        <v>0</v>
      </c>
      <c r="J921" s="114">
        <f t="shared" si="197"/>
        <v>0</v>
      </c>
      <c r="K921" s="114">
        <f t="shared" si="197"/>
        <v>0</v>
      </c>
      <c r="L921" s="114">
        <f t="shared" si="197"/>
        <v>0</v>
      </c>
      <c r="M921" s="114">
        <f t="shared" si="197"/>
        <v>0</v>
      </c>
      <c r="N921" s="114">
        <f t="shared" si="197"/>
        <v>0</v>
      </c>
      <c r="O921" s="114">
        <f t="shared" si="197"/>
        <v>0</v>
      </c>
      <c r="P921" s="114">
        <f t="shared" si="197"/>
        <v>0</v>
      </c>
      <c r="Q921" s="114">
        <f>Q$465*Q$7</f>
        <v>0</v>
      </c>
      <c r="R921" s="9"/>
      <c r="S921" s="12"/>
      <c r="T921" s="12"/>
      <c r="U921" s="12"/>
      <c r="V921" s="12"/>
      <c r="W921" s="12"/>
      <c r="X921" s="12"/>
      <c r="Y921" s="12"/>
      <c r="Z921" s="12"/>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12"/>
      <c r="BE921" s="12"/>
      <c r="BF921" s="12"/>
      <c r="BG921" s="12"/>
      <c r="BH921" s="12"/>
      <c r="BI921" s="12"/>
      <c r="BJ921" s="12"/>
      <c r="BK921" s="12"/>
      <c r="BL921" s="12"/>
    </row>
    <row r="922" spans="1:64" ht="12" customHeight="1" collapsed="1">
      <c r="A922" s="9"/>
      <c r="B922" s="9"/>
      <c r="C922" s="9"/>
      <c r="D922" s="9"/>
      <c r="E922" s="9"/>
      <c r="F922" s="9"/>
      <c r="G922" s="215"/>
      <c r="H922" s="9"/>
      <c r="I922" s="9"/>
      <c r="J922" s="9"/>
      <c r="K922" s="9"/>
      <c r="L922" s="9"/>
      <c r="M922" s="9"/>
      <c r="N922" s="9"/>
      <c r="O922" s="9"/>
      <c r="P922" s="9"/>
      <c r="Q922" s="9"/>
      <c r="R922" s="9"/>
      <c r="S922" s="12"/>
      <c r="T922" s="12"/>
      <c r="U922" s="12"/>
      <c r="V922" s="12"/>
      <c r="W922" s="12"/>
      <c r="X922" s="12"/>
      <c r="Y922" s="12"/>
      <c r="Z922" s="12"/>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c r="AX922" s="227"/>
      <c r="AY922" s="227"/>
      <c r="AZ922" s="227"/>
      <c r="BA922" s="227"/>
      <c r="BB922" s="227"/>
      <c r="BC922" s="227"/>
      <c r="BD922" s="12"/>
      <c r="BE922" s="12"/>
      <c r="BF922" s="12"/>
      <c r="BG922" s="12"/>
      <c r="BH922" s="12"/>
      <c r="BI922" s="12"/>
      <c r="BJ922" s="12"/>
      <c r="BK922" s="12"/>
      <c r="BL922" s="12"/>
    </row>
    <row r="923" spans="1:64" ht="12" customHeight="1">
      <c r="A923" s="9"/>
      <c r="B923" s="12"/>
      <c r="C923" s="94" t="s">
        <v>42</v>
      </c>
      <c r="D923" s="12"/>
      <c r="E923" s="12"/>
      <c r="F923" s="12"/>
      <c r="G923" s="211">
        <f>SUM(G924:G953)</f>
        <v>20.973665849671004</v>
      </c>
      <c r="H923" s="121">
        <f>SUM(H924:H953)</f>
        <v>25.881018889435236</v>
      </c>
      <c r="I923" s="121">
        <f t="shared" ref="I923:P923" si="198">SUM(I924:I953)</f>
        <v>30.83421424532677</v>
      </c>
      <c r="J923" s="121">
        <f t="shared" si="198"/>
        <v>17.983071242279021</v>
      </c>
      <c r="K923" s="121">
        <f t="shared" si="198"/>
        <v>30.357376299799139</v>
      </c>
      <c r="L923" s="121">
        <f t="shared" si="198"/>
        <v>31.964457883689349</v>
      </c>
      <c r="M923" s="121">
        <f t="shared" si="198"/>
        <v>0</v>
      </c>
      <c r="N923" s="121">
        <f t="shared" si="198"/>
        <v>0</v>
      </c>
      <c r="O923" s="121">
        <f t="shared" si="198"/>
        <v>0</v>
      </c>
      <c r="P923" s="121">
        <f t="shared" si="198"/>
        <v>0</v>
      </c>
      <c r="Q923" s="121">
        <f>SUM(Q924:Q953)</f>
        <v>0</v>
      </c>
      <c r="R923" s="9"/>
      <c r="S923" s="12"/>
      <c r="T923" s="12"/>
      <c r="U923" s="12"/>
      <c r="V923" s="12"/>
      <c r="W923" s="12"/>
      <c r="X923" s="12"/>
      <c r="Y923" s="12"/>
      <c r="Z923" s="12"/>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c r="AX923" s="227"/>
      <c r="AY923" s="227"/>
      <c r="AZ923" s="227"/>
      <c r="BA923" s="227"/>
      <c r="BB923" s="227"/>
      <c r="BC923" s="227"/>
      <c r="BD923" s="12"/>
      <c r="BE923" s="12"/>
      <c r="BF923" s="12"/>
      <c r="BG923" s="12"/>
      <c r="BH923" s="12"/>
      <c r="BI923" s="12"/>
      <c r="BJ923" s="12"/>
      <c r="BK923" s="12"/>
      <c r="BL923" s="12"/>
    </row>
    <row r="924" spans="1:64" ht="12" hidden="1" customHeight="1" outlineLevel="1">
      <c r="A924" s="9"/>
      <c r="B924" s="9"/>
      <c r="C924" s="9"/>
      <c r="D924" s="278" t="str">
        <f>Asset1</f>
        <v>Transmission Lines and Cables</v>
      </c>
      <c r="E924" s="9"/>
      <c r="F924" s="9"/>
      <c r="G924" s="207">
        <f t="shared" ref="G924:L924" si="199">G730*G$6</f>
        <v>7.4409380339197249</v>
      </c>
      <c r="H924" s="114">
        <f t="shared" si="199"/>
        <v>8.4821687642375974</v>
      </c>
      <c r="I924" s="114">
        <f t="shared" si="199"/>
        <v>9.5957796247843241</v>
      </c>
      <c r="J924" s="114">
        <f t="shared" si="199"/>
        <v>4.480510031432356</v>
      </c>
      <c r="K924" s="114">
        <f t="shared" si="199"/>
        <v>6.8074361576070244</v>
      </c>
      <c r="L924" s="114">
        <f t="shared" si="199"/>
        <v>6.5787534212911529</v>
      </c>
      <c r="M924" s="114">
        <f>IF(COUNT($H924:L924)&gt;=Input!$W$7,0,M730*M$6)</f>
        <v>0</v>
      </c>
      <c r="N924" s="114">
        <f>IF(COUNT($H924:M924)&gt;=Input!$W$7,0,N730*N$6)</f>
        <v>0</v>
      </c>
      <c r="O924" s="114">
        <f>IF(COUNT($H924:N924)&gt;=Input!$W$7,0,O730*O$6)</f>
        <v>0</v>
      </c>
      <c r="P924" s="114">
        <f>IF(COUNT($H924:O924)&gt;=Input!$W$7,0,P730*P$6)</f>
        <v>0</v>
      </c>
      <c r="Q924" s="114">
        <f>IF(COUNT($H924:P924)&gt;=Input!$W$7,0,Q730*Q$6)</f>
        <v>0</v>
      </c>
      <c r="R924" s="9"/>
      <c r="S924" s="12"/>
      <c r="T924" s="12"/>
      <c r="U924" s="12"/>
      <c r="V924" s="12"/>
      <c r="W924" s="12"/>
      <c r="X924" s="12"/>
      <c r="Y924" s="12"/>
      <c r="Z924" s="12"/>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c r="AX924" s="227"/>
      <c r="AY924" s="227"/>
      <c r="AZ924" s="227"/>
      <c r="BA924" s="227"/>
      <c r="BB924" s="227"/>
      <c r="BC924" s="227"/>
      <c r="BD924" s="12"/>
      <c r="BE924" s="12"/>
      <c r="BF924" s="12"/>
      <c r="BG924" s="12"/>
      <c r="BH924" s="12"/>
      <c r="BI924" s="12"/>
      <c r="BJ924" s="12"/>
      <c r="BK924" s="12"/>
      <c r="BL924" s="12"/>
    </row>
    <row r="925" spans="1:64" hidden="1" outlineLevel="1">
      <c r="A925" s="9"/>
      <c r="B925" s="9"/>
      <c r="C925" s="9"/>
      <c r="D925" s="278" t="str">
        <f>Asset2</f>
        <v>Transmission Substations</v>
      </c>
      <c r="E925" s="9"/>
      <c r="F925" s="9"/>
      <c r="G925" s="207">
        <f t="shared" ref="G925:L940" si="200">G731*G$6</f>
        <v>8.8885648860530804</v>
      </c>
      <c r="H925" s="114">
        <f t="shared" si="200"/>
        <v>11.309357680296843</v>
      </c>
      <c r="I925" s="114">
        <f t="shared" si="200"/>
        <v>12.954800036324317</v>
      </c>
      <c r="J925" s="114">
        <f t="shared" si="200"/>
        <v>6.1225410413499635</v>
      </c>
      <c r="K925" s="114">
        <f t="shared" si="200"/>
        <v>9.4433912967791453</v>
      </c>
      <c r="L925" s="114">
        <f t="shared" si="200"/>
        <v>9.2855172513398401</v>
      </c>
      <c r="M925" s="114">
        <f>IF(COUNT($H925:L925)&gt;=Input!$W$7,0,M731*M$6)</f>
        <v>0</v>
      </c>
      <c r="N925" s="114">
        <f>IF(COUNT($H925:M925)&gt;=Input!$W$7,0,N731*N$6)</f>
        <v>0</v>
      </c>
      <c r="O925" s="114">
        <f>IF(COUNT($H925:N925)&gt;=Input!$W$7,0,O731*O$6)</f>
        <v>0</v>
      </c>
      <c r="P925" s="114">
        <f>IF(COUNT($H925:O925)&gt;=Input!$W$7,0,P731*P$6)</f>
        <v>0</v>
      </c>
      <c r="Q925" s="114">
        <f>IF(COUNT($H925:P925)&gt;=Input!$W$7,0,Q731*Q$6)</f>
        <v>0</v>
      </c>
      <c r="R925" s="29"/>
      <c r="S925" s="104"/>
      <c r="T925" s="104"/>
      <c r="U925" s="104"/>
      <c r="V925" s="104"/>
      <c r="W925" s="104"/>
      <c r="X925" s="104"/>
      <c r="Y925" s="104"/>
      <c r="Z925" s="104"/>
      <c r="AA925" s="235"/>
      <c r="AB925" s="235"/>
      <c r="AC925" s="235"/>
      <c r="AD925" s="235"/>
      <c r="AE925" s="235"/>
      <c r="AF925" s="235"/>
      <c r="AG925" s="235"/>
      <c r="AH925" s="235"/>
      <c r="AI925" s="235"/>
      <c r="AJ925" s="235"/>
      <c r="AK925" s="235"/>
      <c r="AL925" s="235"/>
      <c r="AM925" s="235"/>
      <c r="AN925" s="235"/>
      <c r="AO925" s="235"/>
      <c r="AP925" s="235"/>
      <c r="AQ925" s="235"/>
      <c r="AR925" s="235"/>
      <c r="AS925" s="235"/>
      <c r="AT925" s="235"/>
      <c r="AU925" s="235"/>
      <c r="AV925" s="235"/>
      <c r="AW925" s="235"/>
      <c r="AX925" s="235"/>
      <c r="AY925" s="235"/>
      <c r="AZ925" s="235"/>
      <c r="BA925" s="235"/>
      <c r="BB925" s="235"/>
      <c r="BC925" s="235"/>
      <c r="BD925" s="104"/>
      <c r="BE925" s="104"/>
      <c r="BF925" s="104"/>
      <c r="BG925" s="104"/>
      <c r="BH925" s="104"/>
      <c r="BI925" s="104"/>
      <c r="BJ925" s="104"/>
      <c r="BK925" s="12"/>
      <c r="BL925" s="12"/>
    </row>
    <row r="926" spans="1:64" ht="12" hidden="1" customHeight="1" outlineLevel="1">
      <c r="A926" s="9"/>
      <c r="B926" s="9"/>
      <c r="C926" s="9"/>
      <c r="D926" s="278" t="str">
        <f>Asset3</f>
        <v>Protection and Control</v>
      </c>
      <c r="E926" s="9"/>
      <c r="F926" s="9"/>
      <c r="G926" s="207">
        <f t="shared" si="200"/>
        <v>0.95889027039944585</v>
      </c>
      <c r="H926" s="114">
        <f t="shared" si="200"/>
        <v>1.4396033732121458</v>
      </c>
      <c r="I926" s="114">
        <f t="shared" si="200"/>
        <v>1.5112171498208851</v>
      </c>
      <c r="J926" s="114">
        <f t="shared" si="200"/>
        <v>0.6446213562856431</v>
      </c>
      <c r="K926" s="114">
        <f t="shared" si="200"/>
        <v>0.87594615333108095</v>
      </c>
      <c r="L926" s="114">
        <f t="shared" si="200"/>
        <v>0.73641375299093614</v>
      </c>
      <c r="M926" s="114">
        <f>IF(COUNT($H926:L926)&gt;=Input!$W$7,0,M732*M$6)</f>
        <v>0</v>
      </c>
      <c r="N926" s="114">
        <f>IF(COUNT($H926:M926)&gt;=Input!$W$7,0,N732*N$6)</f>
        <v>0</v>
      </c>
      <c r="O926" s="114">
        <f>IF(COUNT($H926:N926)&gt;=Input!$W$7,0,O732*O$6)</f>
        <v>0</v>
      </c>
      <c r="P926" s="114">
        <f>IF(COUNT($H926:O926)&gt;=Input!$W$7,0,P732*P$6)</f>
        <v>0</v>
      </c>
      <c r="Q926" s="114">
        <f>IF(COUNT($H926:P926)&gt;=Input!$W$7,0,Q732*Q$6)</f>
        <v>0</v>
      </c>
      <c r="R926" s="9"/>
      <c r="S926" s="12"/>
      <c r="T926" s="12"/>
      <c r="U926" s="12"/>
      <c r="V926" s="12"/>
      <c r="W926" s="12"/>
      <c r="X926" s="12"/>
      <c r="Y926" s="12"/>
      <c r="Z926" s="12"/>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12"/>
      <c r="BE926" s="12"/>
      <c r="BF926" s="12"/>
      <c r="BG926" s="12"/>
      <c r="BH926" s="12"/>
      <c r="BI926" s="12"/>
      <c r="BJ926" s="12"/>
      <c r="BK926" s="12"/>
      <c r="BL926" s="12"/>
    </row>
    <row r="927" spans="1:64" ht="12" hidden="1" customHeight="1" outlineLevel="1">
      <c r="A927" s="9"/>
      <c r="B927" s="9"/>
      <c r="C927" s="9"/>
      <c r="D927" s="278" t="str">
        <f>Asset4</f>
        <v>Refurbishment</v>
      </c>
      <c r="E927" s="9"/>
      <c r="F927" s="9"/>
      <c r="G927" s="207">
        <f t="shared" si="200"/>
        <v>1.1026856796234739</v>
      </c>
      <c r="H927" s="114">
        <f t="shared" si="200"/>
        <v>0.6545884241330916</v>
      </c>
      <c r="I927" s="114">
        <f t="shared" si="200"/>
        <v>0.70003270165505116</v>
      </c>
      <c r="J927" s="114">
        <f t="shared" si="200"/>
        <v>0.30607177476687369</v>
      </c>
      <c r="K927" s="114">
        <f t="shared" si="200"/>
        <v>0.42933346267299111</v>
      </c>
      <c r="L927" s="114">
        <f t="shared" si="200"/>
        <v>0.3770303185093753</v>
      </c>
      <c r="M927" s="114">
        <f>IF(COUNT($H927:L927)&gt;=Input!$W$7,0,M733*M$6)</f>
        <v>0</v>
      </c>
      <c r="N927" s="114">
        <f>IF(COUNT($H927:M927)&gt;=Input!$W$7,0,N733*N$6)</f>
        <v>0</v>
      </c>
      <c r="O927" s="114">
        <f>IF(COUNT($H927:N927)&gt;=Input!$W$7,0,O733*O$6)</f>
        <v>0</v>
      </c>
      <c r="P927" s="114">
        <f>IF(COUNT($H927:O927)&gt;=Input!$W$7,0,P733*P$6)</f>
        <v>0</v>
      </c>
      <c r="Q927" s="114">
        <f>IF(COUNT($H927:P927)&gt;=Input!$W$7,0,Q733*Q$6)</f>
        <v>0</v>
      </c>
      <c r="R927" s="9"/>
      <c r="S927" s="12"/>
      <c r="T927" s="12"/>
      <c r="U927" s="12"/>
      <c r="V927" s="12"/>
      <c r="W927" s="12"/>
      <c r="X927" s="12"/>
      <c r="Y927" s="12"/>
      <c r="Z927" s="12"/>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c r="AX927" s="227"/>
      <c r="AY927" s="227"/>
      <c r="AZ927" s="227"/>
      <c r="BA927" s="227"/>
      <c r="BB927" s="227"/>
      <c r="BC927" s="227"/>
      <c r="BD927" s="12"/>
      <c r="BE927" s="12"/>
      <c r="BF927" s="12"/>
      <c r="BG927" s="12"/>
      <c r="BH927" s="12"/>
      <c r="BI927" s="12"/>
      <c r="BJ927" s="12"/>
      <c r="BK927" s="12"/>
      <c r="BL927" s="12"/>
    </row>
    <row r="928" spans="1:64" ht="12" hidden="1" customHeight="1" outlineLevel="1">
      <c r="A928" s="9"/>
      <c r="B928" s="9"/>
      <c r="C928" s="9"/>
      <c r="D928" s="278" t="str">
        <f>Asset5</f>
        <v>Other</v>
      </c>
      <c r="E928" s="9"/>
      <c r="F928" s="9"/>
      <c r="G928" s="207">
        <f t="shared" si="200"/>
        <v>0.29771417171209974</v>
      </c>
      <c r="H928" s="114">
        <f t="shared" si="200"/>
        <v>0.28734491740762946</v>
      </c>
      <c r="I928" s="114">
        <f t="shared" si="200"/>
        <v>0.27677556302243345</v>
      </c>
      <c r="J928" s="114">
        <f t="shared" si="200"/>
        <v>0.10443839187942562</v>
      </c>
      <c r="K928" s="114">
        <f t="shared" si="200"/>
        <v>0.11610873804991283</v>
      </c>
      <c r="L928" s="114">
        <f t="shared" si="200"/>
        <v>6.6692498085118457E-2</v>
      </c>
      <c r="M928" s="114">
        <f>IF(COUNT($H928:L928)&gt;=Input!$W$7,0,M734*M$6)</f>
        <v>0</v>
      </c>
      <c r="N928" s="114">
        <f>IF(COUNT($H928:M928)&gt;=Input!$W$7,0,N734*N$6)</f>
        <v>0</v>
      </c>
      <c r="O928" s="114">
        <f>IF(COUNT($H928:N928)&gt;=Input!$W$7,0,O734*O$6)</f>
        <v>0</v>
      </c>
      <c r="P928" s="114">
        <f>IF(COUNT($H928:O928)&gt;=Input!$W$7,0,P734*P$6)</f>
        <v>0</v>
      </c>
      <c r="Q928" s="114">
        <f>IF(COUNT($H928:P928)&gt;=Input!$W$7,0,Q734*Q$6)</f>
        <v>0</v>
      </c>
      <c r="R928" s="9"/>
      <c r="S928" s="12"/>
      <c r="T928" s="12"/>
      <c r="U928" s="12"/>
      <c r="V928" s="12"/>
      <c r="W928" s="12"/>
      <c r="X928" s="12"/>
      <c r="Y928" s="12"/>
      <c r="Z928" s="12"/>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c r="AX928" s="227"/>
      <c r="AY928" s="227"/>
      <c r="AZ928" s="227"/>
      <c r="BA928" s="227"/>
      <c r="BB928" s="227"/>
      <c r="BC928" s="227"/>
      <c r="BD928" s="12"/>
      <c r="BE928" s="12"/>
      <c r="BF928" s="12"/>
      <c r="BG928" s="12"/>
      <c r="BH928" s="12"/>
      <c r="BI928" s="12"/>
      <c r="BJ928" s="12"/>
      <c r="BK928" s="12"/>
      <c r="BL928" s="12"/>
    </row>
    <row r="929" spans="1:64" hidden="1" outlineLevel="1">
      <c r="A929" s="9"/>
      <c r="B929" s="9"/>
      <c r="C929" s="9"/>
      <c r="D929" s="278" t="str">
        <f>Asset6</f>
        <v>Other - IT</v>
      </c>
      <c r="E929" s="9"/>
      <c r="F929" s="9"/>
      <c r="G929" s="207">
        <f t="shared" si="200"/>
        <v>1.4488806654732104E-2</v>
      </c>
      <c r="H929" s="114">
        <f t="shared" si="200"/>
        <v>0.66776212128921575</v>
      </c>
      <c r="I929" s="114">
        <f t="shared" si="200"/>
        <v>0.39810993730775968</v>
      </c>
      <c r="J929" s="114">
        <f t="shared" si="200"/>
        <v>2.3499663822691376E-3</v>
      </c>
      <c r="K929" s="114">
        <f t="shared" si="200"/>
        <v>3.8154028674067934E-3</v>
      </c>
      <c r="L929" s="114">
        <f t="shared" si="200"/>
        <v>3.9530378031617285E-3</v>
      </c>
      <c r="M929" s="114">
        <f>IF(COUNT($H929:L929)&gt;=Input!$W$7,0,M735*M$6)</f>
        <v>0</v>
      </c>
      <c r="N929" s="114">
        <f>IF(COUNT($H929:M929)&gt;=Input!$W$7,0,N735*N$6)</f>
        <v>0</v>
      </c>
      <c r="O929" s="114">
        <f>IF(COUNT($H929:N929)&gt;=Input!$W$7,0,O735*O$6)</f>
        <v>0</v>
      </c>
      <c r="P929" s="114">
        <f>IF(COUNT($H929:O929)&gt;=Input!$W$7,0,P735*P$6)</f>
        <v>0</v>
      </c>
      <c r="Q929" s="114">
        <f>IF(COUNT($H929:P929)&gt;=Input!$W$7,0,Q735*Q$6)</f>
        <v>0</v>
      </c>
      <c r="R929" s="9"/>
      <c r="S929" s="12"/>
      <c r="T929" s="12"/>
      <c r="U929" s="12"/>
      <c r="V929" s="12"/>
      <c r="W929" s="12"/>
      <c r="X929" s="12"/>
      <c r="Y929" s="12"/>
      <c r="Z929" s="12"/>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c r="AX929" s="227"/>
      <c r="AY929" s="227"/>
      <c r="AZ929" s="227"/>
      <c r="BA929" s="227"/>
      <c r="BB929" s="227"/>
      <c r="BC929" s="227"/>
      <c r="BD929" s="12"/>
      <c r="BE929" s="12"/>
      <c r="BF929" s="12"/>
      <c r="BG929" s="12"/>
      <c r="BH929" s="12"/>
      <c r="BI929" s="12"/>
      <c r="BJ929" s="12"/>
      <c r="BK929" s="12"/>
      <c r="BL929" s="12"/>
    </row>
    <row r="930" spans="1:64" hidden="1" outlineLevel="1">
      <c r="A930" s="9"/>
      <c r="B930" s="9"/>
      <c r="C930" s="9"/>
      <c r="D930" s="278" t="str">
        <f>Asset7</f>
        <v>Other - General</v>
      </c>
      <c r="E930" s="9"/>
      <c r="F930" s="9"/>
      <c r="G930" s="207">
        <f t="shared" si="200"/>
        <v>6.2134378572478874E-2</v>
      </c>
      <c r="H930" s="114">
        <f t="shared" si="200"/>
        <v>-0.11521248347558458</v>
      </c>
      <c r="I930" s="114">
        <f t="shared" si="200"/>
        <v>-9.1396931378601859E-2</v>
      </c>
      <c r="J930" s="114">
        <f t="shared" si="200"/>
        <v>-2.2682326954694416E-2</v>
      </c>
      <c r="K930" s="114">
        <f t="shared" si="200"/>
        <v>-1.3717588338755987E-4</v>
      </c>
      <c r="L930" s="114">
        <f t="shared" si="200"/>
        <v>-1.4046810458886135E-4</v>
      </c>
      <c r="M930" s="114">
        <f>IF(COUNT($H930:L930)&gt;=Input!$W$7,0,M736*M$6)</f>
        <v>0</v>
      </c>
      <c r="N930" s="114">
        <f>IF(COUNT($H930:M930)&gt;=Input!$W$7,0,N736*N$6)</f>
        <v>0</v>
      </c>
      <c r="O930" s="114">
        <f>IF(COUNT($H930:N930)&gt;=Input!$W$7,0,O736*O$6)</f>
        <v>0</v>
      </c>
      <c r="P930" s="114">
        <f>IF(COUNT($H930:O930)&gt;=Input!$W$7,0,P736*P$6)</f>
        <v>0</v>
      </c>
      <c r="Q930" s="114">
        <f>IF(COUNT($H930:P930)&gt;=Input!$W$7,0,Q736*Q$6)</f>
        <v>0</v>
      </c>
      <c r="R930" s="9"/>
      <c r="S930" s="9"/>
      <c r="T930" s="9"/>
      <c r="U930" s="9"/>
      <c r="V930" s="9"/>
      <c r="W930" s="9"/>
      <c r="X930" s="9"/>
      <c r="Y930" s="9"/>
      <c r="Z930" s="9"/>
      <c r="AB930" s="204"/>
      <c r="AC930" s="204"/>
      <c r="AD930" s="204"/>
      <c r="AE930" s="204"/>
      <c r="AF930" s="204"/>
      <c r="AG930" s="204"/>
      <c r="AH930" s="204"/>
      <c r="AI930" s="204"/>
      <c r="AJ930" s="204"/>
      <c r="AK930" s="204"/>
      <c r="AL930" s="204"/>
      <c r="AM930" s="204"/>
      <c r="AN930" s="204"/>
      <c r="AO930" s="204"/>
      <c r="AP930" s="204"/>
      <c r="AQ930" s="204"/>
      <c r="AR930" s="204"/>
      <c r="AS930" s="204"/>
      <c r="AT930" s="204"/>
      <c r="AU930" s="204"/>
      <c r="AV930" s="204"/>
      <c r="AW930" s="204"/>
      <c r="AX930" s="204"/>
      <c r="AY930" s="204"/>
      <c r="AZ930" s="204"/>
      <c r="BA930" s="204"/>
      <c r="BB930" s="204"/>
      <c r="BC930" s="204"/>
      <c r="BD930" s="9"/>
      <c r="BE930" s="9"/>
      <c r="BF930" s="9"/>
      <c r="BG930" s="9"/>
      <c r="BH930" s="9"/>
      <c r="BI930" s="9"/>
      <c r="BJ930" s="9"/>
      <c r="BK930" s="9"/>
      <c r="BL930" s="9"/>
    </row>
    <row r="931" spans="1:64" hidden="1" outlineLevel="1">
      <c r="A931" s="9"/>
      <c r="B931" s="9"/>
      <c r="C931" s="9"/>
      <c r="D931" s="278" t="str">
        <f>Asset8</f>
        <v>Other - Buildings</v>
      </c>
      <c r="E931" s="9"/>
      <c r="F931" s="9"/>
      <c r="G931" s="207">
        <f t="shared" si="200"/>
        <v>0.16228823108042192</v>
      </c>
      <c r="H931" s="114">
        <f t="shared" si="200"/>
        <v>0.61382329835781424</v>
      </c>
      <c r="I931" s="114">
        <f t="shared" si="200"/>
        <v>0.70888481629966227</v>
      </c>
      <c r="J931" s="114">
        <f t="shared" si="200"/>
        <v>0.33842704655971223</v>
      </c>
      <c r="K931" s="114">
        <f t="shared" si="200"/>
        <v>0.52694486598652623</v>
      </c>
      <c r="L931" s="114">
        <f t="shared" si="200"/>
        <v>0.52336659730633495</v>
      </c>
      <c r="M931" s="114">
        <f>IF(COUNT($H931:L931)&gt;=Input!$W$7,0,M737*M$6)</f>
        <v>0</v>
      </c>
      <c r="N931" s="114">
        <f>IF(COUNT($H931:M931)&gt;=Input!$W$7,0,N737*N$6)</f>
        <v>0</v>
      </c>
      <c r="O931" s="114">
        <f>IF(COUNT($H931:N931)&gt;=Input!$W$7,0,O737*O$6)</f>
        <v>0</v>
      </c>
      <c r="P931" s="114">
        <f>IF(COUNT($H931:O931)&gt;=Input!$W$7,0,P737*P$6)</f>
        <v>0</v>
      </c>
      <c r="Q931" s="114">
        <f>IF(COUNT($H931:P931)&gt;=Input!$W$7,0,Q737*Q$6)</f>
        <v>0</v>
      </c>
      <c r="R931" s="9"/>
      <c r="S931" s="9"/>
      <c r="T931" s="9"/>
      <c r="U931" s="9"/>
      <c r="V931" s="9"/>
      <c r="W931" s="9"/>
      <c r="X931" s="9"/>
      <c r="Y931" s="9"/>
      <c r="Z931" s="9"/>
      <c r="AB931" s="204"/>
      <c r="AC931" s="204"/>
      <c r="AD931" s="204"/>
      <c r="AE931" s="204"/>
      <c r="AF931" s="204"/>
      <c r="AG931" s="204"/>
      <c r="AH931" s="204"/>
      <c r="AI931" s="204"/>
      <c r="AJ931" s="204"/>
      <c r="AK931" s="204"/>
      <c r="AL931" s="204"/>
      <c r="AM931" s="204"/>
      <c r="AN931" s="204"/>
      <c r="AO931" s="204"/>
      <c r="AP931" s="204"/>
      <c r="AQ931" s="204"/>
      <c r="AR931" s="204"/>
      <c r="AS931" s="204"/>
      <c r="AT931" s="204"/>
      <c r="AU931" s="204"/>
      <c r="AV931" s="204"/>
      <c r="AW931" s="204"/>
      <c r="AX931" s="204"/>
      <c r="AY931" s="204"/>
      <c r="AZ931" s="204"/>
      <c r="BA931" s="204"/>
      <c r="BB931" s="204"/>
      <c r="BC931" s="204"/>
      <c r="BD931" s="9"/>
      <c r="BE931" s="9"/>
      <c r="BF931" s="9"/>
      <c r="BG931" s="9"/>
      <c r="BH931" s="9"/>
      <c r="BI931" s="9"/>
      <c r="BJ931" s="9"/>
      <c r="BK931" s="9"/>
      <c r="BL931" s="9"/>
    </row>
    <row r="932" spans="1:64" hidden="1" outlineLevel="1">
      <c r="A932" s="9"/>
      <c r="B932" s="9"/>
      <c r="C932" s="9"/>
      <c r="D932" s="278" t="str">
        <f>Asset9</f>
        <v>Land and Easements</v>
      </c>
      <c r="E932" s="9"/>
      <c r="F932" s="9"/>
      <c r="G932" s="207">
        <f t="shared" si="200"/>
        <v>2.0459613916555459</v>
      </c>
      <c r="H932" s="114">
        <f t="shared" si="200"/>
        <v>2.5415827939764806</v>
      </c>
      <c r="I932" s="114">
        <f t="shared" si="200"/>
        <v>3.0181295678470632</v>
      </c>
      <c r="J932" s="114">
        <f t="shared" si="200"/>
        <v>1.4825899631529624</v>
      </c>
      <c r="K932" s="114">
        <f t="shared" si="200"/>
        <v>2.3784936578181233</v>
      </c>
      <c r="L932" s="114">
        <f t="shared" si="200"/>
        <v>2.4355775056057594</v>
      </c>
      <c r="M932" s="114">
        <f>IF(COUNT($H932:L932)&gt;=Input!$W$7,0,M738*M$6)</f>
        <v>0</v>
      </c>
      <c r="N932" s="114">
        <f>IF(COUNT($H932:M932)&gt;=Input!$W$7,0,N738*N$6)</f>
        <v>0</v>
      </c>
      <c r="O932" s="114">
        <f>IF(COUNT($H932:N932)&gt;=Input!$W$7,0,O738*O$6)</f>
        <v>0</v>
      </c>
      <c r="P932" s="114">
        <f>IF(COUNT($H932:O932)&gt;=Input!$W$7,0,P738*P$6)</f>
        <v>0</v>
      </c>
      <c r="Q932" s="114">
        <f>IF(COUNT($H932:P932)&gt;=Input!$W$7,0,Q738*Q$6)</f>
        <v>0</v>
      </c>
      <c r="R932" s="9"/>
      <c r="S932" s="9"/>
      <c r="T932" s="9"/>
      <c r="U932" s="9"/>
      <c r="V932" s="9"/>
      <c r="W932" s="9"/>
      <c r="X932" s="9"/>
      <c r="Y932" s="9"/>
      <c r="Z932" s="9"/>
      <c r="AB932" s="204"/>
      <c r="AC932" s="204"/>
      <c r="AD932" s="204"/>
      <c r="AE932" s="204"/>
      <c r="AF932" s="204"/>
      <c r="AG932" s="204"/>
      <c r="AH932" s="204"/>
      <c r="AI932" s="204"/>
      <c r="AJ932" s="204"/>
      <c r="AK932" s="204"/>
      <c r="AL932" s="204"/>
      <c r="AM932" s="204"/>
      <c r="AN932" s="204"/>
      <c r="AO932" s="204"/>
      <c r="AP932" s="204"/>
      <c r="AQ932" s="204"/>
      <c r="AR932" s="204"/>
      <c r="AS932" s="204"/>
      <c r="AT932" s="204"/>
      <c r="AU932" s="204"/>
      <c r="AV932" s="204"/>
      <c r="AW932" s="204"/>
      <c r="AX932" s="204"/>
      <c r="AY932" s="204"/>
      <c r="AZ932" s="204"/>
      <c r="BA932" s="204"/>
      <c r="BB932" s="204"/>
      <c r="BC932" s="204"/>
      <c r="BD932" s="9"/>
      <c r="BE932" s="9"/>
      <c r="BF932" s="9"/>
      <c r="BG932" s="9"/>
      <c r="BH932" s="9"/>
      <c r="BI932" s="9"/>
      <c r="BJ932" s="9"/>
      <c r="BK932" s="9"/>
      <c r="BL932" s="9"/>
    </row>
    <row r="933" spans="1:64" hidden="1" outlineLevel="1">
      <c r="A933" s="9"/>
      <c r="B933" s="9"/>
      <c r="C933" s="9"/>
      <c r="D933" s="278" t="str">
        <f>Asset10</f>
        <v>Transmission line assets - long life (60)</v>
      </c>
      <c r="E933" s="9"/>
      <c r="F933" s="9"/>
      <c r="G933" s="207">
        <f t="shared" si="200"/>
        <v>0</v>
      </c>
      <c r="H933" s="114">
        <f t="shared" si="200"/>
        <v>0</v>
      </c>
      <c r="I933" s="114">
        <f t="shared" si="200"/>
        <v>4.1956343721348495E-2</v>
      </c>
      <c r="J933" s="114">
        <f t="shared" si="200"/>
        <v>1.867105419120602</v>
      </c>
      <c r="K933" s="114">
        <f t="shared" si="200"/>
        <v>3.4049825733771386</v>
      </c>
      <c r="L933" s="114">
        <f t="shared" si="200"/>
        <v>3.6827446728889477</v>
      </c>
      <c r="M933" s="114">
        <f>IF(COUNT($H933:L933)&gt;=Input!$W$7,0,M739*M$6)</f>
        <v>0</v>
      </c>
      <c r="N933" s="114">
        <f>IF(COUNT($H933:M933)&gt;=Input!$W$7,0,N739*N$6)</f>
        <v>0</v>
      </c>
      <c r="O933" s="114">
        <f>IF(COUNT($H933:N933)&gt;=Input!$W$7,0,O739*O$6)</f>
        <v>0</v>
      </c>
      <c r="P933" s="114">
        <f>IF(COUNT($H933:O933)&gt;=Input!$W$7,0,P739*P$6)</f>
        <v>0</v>
      </c>
      <c r="Q933" s="114">
        <f>IF(COUNT($H933:P933)&gt;=Input!$W$7,0,Q739*Q$6)</f>
        <v>0</v>
      </c>
      <c r="R933" s="9"/>
      <c r="S933" s="9"/>
      <c r="T933" s="9"/>
      <c r="U933" s="9"/>
      <c r="V933" s="9"/>
      <c r="W933" s="9"/>
      <c r="X933" s="9"/>
      <c r="Y933" s="9"/>
      <c r="Z933" s="9"/>
      <c r="AB933" s="204"/>
      <c r="AC933" s="204"/>
      <c r="AD933" s="204"/>
      <c r="AE933" s="204"/>
      <c r="AF933" s="204"/>
      <c r="AG933" s="204"/>
      <c r="AH933" s="204"/>
      <c r="AI933" s="204"/>
      <c r="AJ933" s="204"/>
      <c r="AK933" s="204"/>
      <c r="AL933" s="204"/>
      <c r="AM933" s="204"/>
      <c r="AN933" s="204"/>
      <c r="AO933" s="204"/>
      <c r="AP933" s="204"/>
      <c r="AQ933" s="204"/>
      <c r="AR933" s="204"/>
      <c r="AS933" s="204"/>
      <c r="AT933" s="204"/>
      <c r="AU933" s="204"/>
      <c r="AV933" s="204"/>
      <c r="AW933" s="204"/>
      <c r="AX933" s="204"/>
      <c r="AY933" s="204"/>
      <c r="AZ933" s="204"/>
      <c r="BA933" s="204"/>
      <c r="BB933" s="204"/>
      <c r="BC933" s="204"/>
      <c r="BD933" s="9"/>
      <c r="BE933" s="9"/>
      <c r="BF933" s="9"/>
      <c r="BG933" s="9"/>
      <c r="BH933" s="9"/>
      <c r="BI933" s="9"/>
      <c r="BJ933" s="9"/>
      <c r="BK933" s="9"/>
      <c r="BL933" s="9"/>
    </row>
    <row r="934" spans="1:64" hidden="1" outlineLevel="1">
      <c r="A934" s="9"/>
      <c r="B934" s="9"/>
      <c r="C934" s="9"/>
      <c r="D934" s="278" t="str">
        <f>Asset11</f>
        <v>Transmission line assets - medium life (45)</v>
      </c>
      <c r="E934" s="9"/>
      <c r="F934" s="9"/>
      <c r="G934" s="207">
        <f t="shared" si="200"/>
        <v>0</v>
      </c>
      <c r="H934" s="114">
        <f t="shared" si="200"/>
        <v>0</v>
      </c>
      <c r="I934" s="114">
        <f t="shared" si="200"/>
        <v>4.5032871818463308E-4</v>
      </c>
      <c r="J934" s="114">
        <f t="shared" si="200"/>
        <v>7.1699824888801712E-4</v>
      </c>
      <c r="K934" s="114">
        <f t="shared" si="200"/>
        <v>6.0632090649221614E-3</v>
      </c>
      <c r="L934" s="114">
        <f t="shared" si="200"/>
        <v>1.6062258025697433E-2</v>
      </c>
      <c r="M934" s="114">
        <f>IF(COUNT($H934:L934)&gt;=Input!$W$7,0,M740*M$6)</f>
        <v>0</v>
      </c>
      <c r="N934" s="114">
        <f>IF(COUNT($H934:M934)&gt;=Input!$W$7,0,N740*N$6)</f>
        <v>0</v>
      </c>
      <c r="O934" s="114">
        <f>IF(COUNT($H934:N934)&gt;=Input!$W$7,0,O740*O$6)</f>
        <v>0</v>
      </c>
      <c r="P934" s="114">
        <f>IF(COUNT($H934:O934)&gt;=Input!$W$7,0,P740*P$6)</f>
        <v>0</v>
      </c>
      <c r="Q934" s="114">
        <f>IF(COUNT($H934:P934)&gt;=Input!$W$7,0,Q740*Q$6)</f>
        <v>0</v>
      </c>
      <c r="R934" s="9"/>
      <c r="S934" s="9"/>
      <c r="T934" s="9"/>
      <c r="U934" s="9"/>
      <c r="V934" s="9"/>
      <c r="W934" s="9"/>
      <c r="X934" s="9"/>
      <c r="Y934" s="9"/>
      <c r="Z934" s="9"/>
      <c r="AB934" s="204"/>
      <c r="AC934" s="204"/>
      <c r="AD934" s="204"/>
      <c r="AE934" s="204"/>
      <c r="AF934" s="204"/>
      <c r="AG934" s="204"/>
      <c r="AH934" s="204"/>
      <c r="AI934" s="204"/>
      <c r="AJ934" s="204"/>
      <c r="AK934" s="204"/>
      <c r="AL934" s="204"/>
      <c r="AM934" s="204"/>
      <c r="AN934" s="204"/>
      <c r="AO934" s="204"/>
      <c r="AP934" s="204"/>
      <c r="AQ934" s="204"/>
      <c r="AR934" s="204"/>
      <c r="AS934" s="204"/>
      <c r="AT934" s="204"/>
      <c r="AU934" s="204"/>
      <c r="AV934" s="204"/>
      <c r="AW934" s="204"/>
      <c r="AX934" s="204"/>
      <c r="AY934" s="204"/>
      <c r="AZ934" s="204"/>
      <c r="BA934" s="204"/>
      <c r="BB934" s="204"/>
      <c r="BC934" s="204"/>
      <c r="BD934" s="9"/>
      <c r="BE934" s="9"/>
      <c r="BF934" s="9"/>
      <c r="BG934" s="9"/>
      <c r="BH934" s="9"/>
      <c r="BI934" s="9"/>
      <c r="BJ934" s="9"/>
      <c r="BK934" s="9"/>
      <c r="BL934" s="9"/>
    </row>
    <row r="935" spans="1:64" hidden="1" outlineLevel="1">
      <c r="A935" s="9"/>
      <c r="B935" s="9"/>
      <c r="C935" s="9"/>
      <c r="D935" s="278" t="str">
        <f>Asset12</f>
        <v>Transmission line assets - short life (10)</v>
      </c>
      <c r="E935" s="9"/>
      <c r="F935" s="9"/>
      <c r="G935" s="207">
        <f t="shared" si="200"/>
        <v>0</v>
      </c>
      <c r="H935" s="114">
        <f t="shared" si="200"/>
        <v>0</v>
      </c>
      <c r="I935" s="114">
        <f t="shared" si="200"/>
        <v>1.2621044724241401E-2</v>
      </c>
      <c r="J935" s="114">
        <f t="shared" si="200"/>
        <v>1.1974501415830672E-2</v>
      </c>
      <c r="K935" s="114">
        <f t="shared" si="200"/>
        <v>3.0670609651710295E-2</v>
      </c>
      <c r="L935" s="114">
        <f t="shared" si="200"/>
        <v>4.4685786854098151E-2</v>
      </c>
      <c r="M935" s="114">
        <f>IF(COUNT($H935:L935)&gt;=Input!$W$7,0,M741*M$6)</f>
        <v>0</v>
      </c>
      <c r="N935" s="114">
        <f>IF(COUNT($H935:M935)&gt;=Input!$W$7,0,N741*N$6)</f>
        <v>0</v>
      </c>
      <c r="O935" s="114">
        <f>IF(COUNT($H935:N935)&gt;=Input!$W$7,0,O741*O$6)</f>
        <v>0</v>
      </c>
      <c r="P935" s="114">
        <f>IF(COUNT($H935:O935)&gt;=Input!$W$7,0,P741*P$6)</f>
        <v>0</v>
      </c>
      <c r="Q935" s="114">
        <f>IF(COUNT($H935:P935)&gt;=Input!$W$7,0,Q741*Q$6)</f>
        <v>0</v>
      </c>
      <c r="R935" s="9"/>
      <c r="S935" s="9"/>
      <c r="T935" s="9"/>
      <c r="U935" s="9"/>
      <c r="V935" s="9"/>
      <c r="W935" s="9"/>
      <c r="X935" s="9"/>
      <c r="Y935" s="9"/>
      <c r="Z935" s="9"/>
      <c r="AB935" s="204"/>
      <c r="AC935" s="204"/>
      <c r="AD935" s="204"/>
      <c r="AE935" s="204"/>
      <c r="AF935" s="204"/>
      <c r="AG935" s="204"/>
      <c r="AH935" s="204"/>
      <c r="AI935" s="204"/>
      <c r="AJ935" s="204"/>
      <c r="AK935" s="204"/>
      <c r="AL935" s="204"/>
      <c r="AM935" s="204"/>
      <c r="AN935" s="204"/>
      <c r="AO935" s="204"/>
      <c r="AP935" s="204"/>
      <c r="AQ935" s="204"/>
      <c r="AR935" s="204"/>
      <c r="AS935" s="204"/>
      <c r="AT935" s="204"/>
      <c r="AU935" s="204"/>
      <c r="AV935" s="204"/>
      <c r="AW935" s="204"/>
      <c r="AX935" s="204"/>
      <c r="AY935" s="204"/>
      <c r="AZ935" s="204"/>
      <c r="BA935" s="204"/>
      <c r="BB935" s="204"/>
      <c r="BC935" s="204"/>
      <c r="BD935" s="9"/>
      <c r="BE935" s="9"/>
      <c r="BF935" s="9"/>
      <c r="BG935" s="9"/>
      <c r="BH935" s="9"/>
      <c r="BI935" s="9"/>
      <c r="BJ935" s="9"/>
      <c r="BK935" s="9"/>
      <c r="BL935" s="9"/>
    </row>
    <row r="936" spans="1:64" hidden="1" outlineLevel="1">
      <c r="A936" s="9"/>
      <c r="B936" s="9"/>
      <c r="C936" s="9"/>
      <c r="D936" s="278" t="str">
        <f>Asset13</f>
        <v>Substation assets - long life (60)</v>
      </c>
      <c r="E936" s="9"/>
      <c r="F936" s="9"/>
      <c r="G936" s="207">
        <f t="shared" si="200"/>
        <v>0</v>
      </c>
      <c r="H936" s="114">
        <f t="shared" si="200"/>
        <v>0</v>
      </c>
      <c r="I936" s="114">
        <f t="shared" si="200"/>
        <v>8.3245304135801973E-2</v>
      </c>
      <c r="J936" s="114">
        <f t="shared" si="200"/>
        <v>0.40585957511818793</v>
      </c>
      <c r="K936" s="114">
        <f t="shared" si="200"/>
        <v>0.92464659580225605</v>
      </c>
      <c r="L936" s="114">
        <f t="shared" si="200"/>
        <v>1.1401830302195974</v>
      </c>
      <c r="M936" s="114">
        <f>IF(COUNT($H936:L936)&gt;=Input!$W$7,0,M742*M$6)</f>
        <v>0</v>
      </c>
      <c r="N936" s="114">
        <f>IF(COUNT($H936:M936)&gt;=Input!$W$7,0,N742*N$6)</f>
        <v>0</v>
      </c>
      <c r="O936" s="114">
        <f>IF(COUNT($H936:N936)&gt;=Input!$W$7,0,O742*O$6)</f>
        <v>0</v>
      </c>
      <c r="P936" s="114">
        <f>IF(COUNT($H936:O936)&gt;=Input!$W$7,0,P742*P$6)</f>
        <v>0</v>
      </c>
      <c r="Q936" s="114">
        <f>IF(COUNT($H936:P936)&gt;=Input!$W$7,0,Q742*Q$6)</f>
        <v>0</v>
      </c>
      <c r="R936" s="9"/>
      <c r="S936" s="9"/>
      <c r="T936" s="9"/>
      <c r="U936" s="9"/>
      <c r="V936" s="9"/>
      <c r="W936" s="9"/>
      <c r="X936" s="9"/>
      <c r="Y936" s="9"/>
      <c r="Z936" s="9"/>
      <c r="AB936" s="204"/>
      <c r="AC936" s="204"/>
      <c r="AD936" s="204"/>
      <c r="AE936" s="204"/>
      <c r="AF936" s="204"/>
      <c r="AG936" s="204"/>
      <c r="AH936" s="204"/>
      <c r="AI936" s="204"/>
      <c r="AJ936" s="204"/>
      <c r="AK936" s="204"/>
      <c r="AL936" s="204"/>
      <c r="AM936" s="204"/>
      <c r="AN936" s="204"/>
      <c r="AO936" s="204"/>
      <c r="AP936" s="204"/>
      <c r="AQ936" s="204"/>
      <c r="AR936" s="204"/>
      <c r="AS936" s="204"/>
      <c r="AT936" s="204"/>
      <c r="AU936" s="204"/>
      <c r="AV936" s="204"/>
      <c r="AW936" s="204"/>
      <c r="AX936" s="204"/>
      <c r="AY936" s="204"/>
      <c r="AZ936" s="204"/>
      <c r="BA936" s="204"/>
      <c r="BB936" s="204"/>
      <c r="BC936" s="204"/>
      <c r="BD936" s="9"/>
      <c r="BE936" s="9"/>
      <c r="BF936" s="9"/>
      <c r="BG936" s="9"/>
      <c r="BH936" s="9"/>
      <c r="BI936" s="9"/>
      <c r="BJ936" s="9"/>
      <c r="BK936" s="9"/>
      <c r="BL936" s="9"/>
    </row>
    <row r="937" spans="1:64" hidden="1" outlineLevel="1">
      <c r="A937" s="9"/>
      <c r="B937" s="9"/>
      <c r="C937" s="9"/>
      <c r="D937" s="278" t="str">
        <f>Asset14</f>
        <v>Substation assets - medium life (45)</v>
      </c>
      <c r="E937" s="9"/>
      <c r="F937" s="9"/>
      <c r="G937" s="207">
        <f t="shared" si="200"/>
        <v>0</v>
      </c>
      <c r="H937" s="114">
        <f t="shared" si="200"/>
        <v>0</v>
      </c>
      <c r="I937" s="114">
        <f t="shared" si="200"/>
        <v>0.39244271858024232</v>
      </c>
      <c r="J937" s="114">
        <f t="shared" si="200"/>
        <v>1.0797216789103123</v>
      </c>
      <c r="K937" s="114">
        <f t="shared" si="200"/>
        <v>2.9059017361928192</v>
      </c>
      <c r="L937" s="114">
        <f t="shared" si="200"/>
        <v>3.8893444663752215</v>
      </c>
      <c r="M937" s="114">
        <f>IF(COUNT($H937:L937)&gt;=Input!$W$7,0,M743*M$6)</f>
        <v>0</v>
      </c>
      <c r="N937" s="114">
        <f>IF(COUNT($H937:M937)&gt;=Input!$W$7,0,N743*N$6)</f>
        <v>0</v>
      </c>
      <c r="O937" s="114">
        <f>IF(COUNT($H937:N937)&gt;=Input!$W$7,0,O743*O$6)</f>
        <v>0</v>
      </c>
      <c r="P937" s="114">
        <f>IF(COUNT($H937:O937)&gt;=Input!$W$7,0,P743*P$6)</f>
        <v>0</v>
      </c>
      <c r="Q937" s="114">
        <f>IF(COUNT($H937:P937)&gt;=Input!$W$7,0,Q743*Q$6)</f>
        <v>0</v>
      </c>
      <c r="R937" s="9"/>
      <c r="S937" s="9"/>
      <c r="T937" s="9"/>
      <c r="U937" s="9"/>
      <c r="V937" s="9"/>
      <c r="W937" s="9"/>
      <c r="X937" s="9"/>
      <c r="Y937" s="9"/>
      <c r="Z937" s="9"/>
      <c r="AB937" s="204"/>
      <c r="AC937" s="204"/>
      <c r="AD937" s="204"/>
      <c r="AE937" s="204"/>
      <c r="AF937" s="204"/>
      <c r="AG937" s="204"/>
      <c r="AH937" s="204"/>
      <c r="AI937" s="204"/>
      <c r="AJ937" s="204"/>
      <c r="AK937" s="204"/>
      <c r="AL937" s="204"/>
      <c r="AM937" s="204"/>
      <c r="AN937" s="204"/>
      <c r="AO937" s="204"/>
      <c r="AP937" s="204"/>
      <c r="AQ937" s="204"/>
      <c r="AR937" s="204"/>
      <c r="AS937" s="204"/>
      <c r="AT937" s="204"/>
      <c r="AU937" s="204"/>
      <c r="AV937" s="204"/>
      <c r="AW937" s="204"/>
      <c r="AX937" s="204"/>
      <c r="AY937" s="204"/>
      <c r="AZ937" s="204"/>
      <c r="BA937" s="204"/>
      <c r="BB937" s="204"/>
      <c r="BC937" s="204"/>
      <c r="BD937" s="9"/>
      <c r="BE937" s="9"/>
      <c r="BF937" s="9"/>
      <c r="BG937" s="9"/>
      <c r="BH937" s="9"/>
      <c r="BI937" s="9"/>
      <c r="BJ937" s="9"/>
      <c r="BK937" s="9"/>
      <c r="BL937" s="9"/>
    </row>
    <row r="938" spans="1:64" hidden="1" outlineLevel="1">
      <c r="A938" s="9"/>
      <c r="B938" s="9"/>
      <c r="C938" s="9"/>
      <c r="D938" s="278" t="str">
        <f>Asset15</f>
        <v>Substation assets - short life (15)</v>
      </c>
      <c r="E938" s="9"/>
      <c r="F938" s="9"/>
      <c r="G938" s="207">
        <f t="shared" si="200"/>
        <v>0</v>
      </c>
      <c r="H938" s="114">
        <f t="shared" si="200"/>
        <v>0</v>
      </c>
      <c r="I938" s="114">
        <f t="shared" si="200"/>
        <v>0.41189926630998946</v>
      </c>
      <c r="J938" s="114">
        <f t="shared" si="200"/>
        <v>0.21454026131890258</v>
      </c>
      <c r="K938" s="114">
        <f t="shared" si="200"/>
        <v>0.34764744598748587</v>
      </c>
      <c r="L938" s="114">
        <f t="shared" si="200"/>
        <v>0.43511517694468921</v>
      </c>
      <c r="M938" s="114">
        <f>IF(COUNT($H938:L938)&gt;=Input!$W$7,0,M744*M$6)</f>
        <v>0</v>
      </c>
      <c r="N938" s="114">
        <f>IF(COUNT($H938:M938)&gt;=Input!$W$7,0,N744*N$6)</f>
        <v>0</v>
      </c>
      <c r="O938" s="114">
        <f>IF(COUNT($H938:N938)&gt;=Input!$W$7,0,O744*O$6)</f>
        <v>0</v>
      </c>
      <c r="P938" s="114">
        <f>IF(COUNT($H938:O938)&gt;=Input!$W$7,0,P744*P$6)</f>
        <v>0</v>
      </c>
      <c r="Q938" s="114">
        <f>IF(COUNT($H938:P938)&gt;=Input!$W$7,0,Q744*Q$6)</f>
        <v>0</v>
      </c>
      <c r="R938" s="9"/>
      <c r="S938" s="9"/>
      <c r="T938" s="9"/>
      <c r="U938" s="9"/>
      <c r="V938" s="9"/>
      <c r="W938" s="9"/>
      <c r="X938" s="9"/>
      <c r="Y938" s="9"/>
      <c r="Z938" s="9"/>
      <c r="AB938" s="204"/>
      <c r="AC938" s="204"/>
      <c r="AD938" s="204"/>
      <c r="AE938" s="204"/>
      <c r="AF938" s="204"/>
      <c r="AG938" s="204"/>
      <c r="AH938" s="204"/>
      <c r="AI938" s="204"/>
      <c r="AJ938" s="204"/>
      <c r="AK938" s="204"/>
      <c r="AL938" s="204"/>
      <c r="AM938" s="204"/>
      <c r="AN938" s="204"/>
      <c r="AO938" s="204"/>
      <c r="AP938" s="204"/>
      <c r="AQ938" s="204"/>
      <c r="AR938" s="204"/>
      <c r="AS938" s="204"/>
      <c r="AT938" s="204"/>
      <c r="AU938" s="204"/>
      <c r="AV938" s="204"/>
      <c r="AW938" s="204"/>
      <c r="AX938" s="204"/>
      <c r="AY938" s="204"/>
      <c r="AZ938" s="204"/>
      <c r="BA938" s="204"/>
      <c r="BB938" s="204"/>
      <c r="BC938" s="204"/>
      <c r="BD938" s="9"/>
      <c r="BE938" s="9"/>
      <c r="BF938" s="9"/>
      <c r="BG938" s="9"/>
      <c r="BH938" s="9"/>
      <c r="BI938" s="9"/>
      <c r="BJ938" s="9"/>
      <c r="BK938" s="9"/>
      <c r="BL938" s="9"/>
    </row>
    <row r="939" spans="1:64" hidden="1" outlineLevel="1">
      <c r="A939" s="9"/>
      <c r="B939" s="9"/>
      <c r="C939" s="9"/>
      <c r="D939" s="278" t="str">
        <f>Asset16</f>
        <v>Protection and control - short life (15)</v>
      </c>
      <c r="E939" s="9"/>
      <c r="F939" s="9"/>
      <c r="G939" s="207">
        <f t="shared" si="200"/>
        <v>0</v>
      </c>
      <c r="H939" s="114">
        <f t="shared" si="200"/>
        <v>0</v>
      </c>
      <c r="I939" s="114">
        <f t="shared" si="200"/>
        <v>0.36704176170764691</v>
      </c>
      <c r="J939" s="114">
        <f t="shared" si="200"/>
        <v>0.39494016582284158</v>
      </c>
      <c r="K939" s="114">
        <f t="shared" si="200"/>
        <v>1.1038340819524537</v>
      </c>
      <c r="L939" s="114">
        <f t="shared" si="200"/>
        <v>1.5254210621825277</v>
      </c>
      <c r="M939" s="114">
        <f>IF(COUNT($H939:L939)&gt;=Input!$W$7,0,M745*M$6)</f>
        <v>0</v>
      </c>
      <c r="N939" s="114">
        <f>IF(COUNT($H939:M939)&gt;=Input!$W$7,0,N745*N$6)</f>
        <v>0</v>
      </c>
      <c r="O939" s="114">
        <f>IF(COUNT($H939:N939)&gt;=Input!$W$7,0,O745*O$6)</f>
        <v>0</v>
      </c>
      <c r="P939" s="114">
        <f>IF(COUNT($H939:O939)&gt;=Input!$W$7,0,P745*P$6)</f>
        <v>0</v>
      </c>
      <c r="Q939" s="114">
        <f>IF(COUNT($H939:P939)&gt;=Input!$W$7,0,Q745*Q$6)</f>
        <v>0</v>
      </c>
      <c r="R939" s="9"/>
      <c r="S939" s="9"/>
      <c r="T939" s="9"/>
      <c r="U939" s="9"/>
      <c r="V939" s="9"/>
      <c r="W939" s="9"/>
      <c r="X939" s="9"/>
      <c r="Y939" s="9"/>
      <c r="Z939" s="9"/>
      <c r="AB939" s="204"/>
      <c r="AC939" s="204"/>
      <c r="AD939" s="204"/>
      <c r="AE939" s="204"/>
      <c r="AF939" s="204"/>
      <c r="AG939" s="204"/>
      <c r="AH939" s="204"/>
      <c r="AI939" s="204"/>
      <c r="AJ939" s="204"/>
      <c r="AK939" s="204"/>
      <c r="AL939" s="204"/>
      <c r="AM939" s="204"/>
      <c r="AN939" s="204"/>
      <c r="AO939" s="204"/>
      <c r="AP939" s="204"/>
      <c r="AQ939" s="204"/>
      <c r="AR939" s="204"/>
      <c r="AS939" s="204"/>
      <c r="AT939" s="204"/>
      <c r="AU939" s="204"/>
      <c r="AV939" s="204"/>
      <c r="AW939" s="204"/>
      <c r="AX939" s="204"/>
      <c r="AY939" s="204"/>
      <c r="AZ939" s="204"/>
      <c r="BA939" s="204"/>
      <c r="BB939" s="204"/>
      <c r="BC939" s="204"/>
      <c r="BD939" s="9"/>
      <c r="BE939" s="9"/>
      <c r="BF939" s="9"/>
      <c r="BG939" s="9"/>
      <c r="BH939" s="9"/>
      <c r="BI939" s="9"/>
      <c r="BJ939" s="9"/>
      <c r="BK939" s="9"/>
      <c r="BL939" s="9"/>
    </row>
    <row r="940" spans="1:64" hidden="1" outlineLevel="1">
      <c r="A940" s="9"/>
      <c r="B940" s="9"/>
      <c r="C940" s="9"/>
      <c r="D940" s="278" t="str">
        <f>Asset17</f>
        <v>Protection and control - short life (4)</v>
      </c>
      <c r="E940" s="9"/>
      <c r="F940" s="9"/>
      <c r="G940" s="207">
        <f t="shared" si="200"/>
        <v>0</v>
      </c>
      <c r="H940" s="114">
        <f t="shared" si="200"/>
        <v>0</v>
      </c>
      <c r="I940" s="114">
        <f t="shared" si="200"/>
        <v>1.4449754156110263E-3</v>
      </c>
      <c r="J940" s="114">
        <f t="shared" si="200"/>
        <v>1.7514424646357205E-3</v>
      </c>
      <c r="K940" s="114">
        <f t="shared" si="200"/>
        <v>3.5056195648354577E-2</v>
      </c>
      <c r="L940" s="114">
        <f t="shared" si="200"/>
        <v>3.461361377400142E-2</v>
      </c>
      <c r="M940" s="114">
        <f>IF(COUNT($H940:L940)&gt;=Input!$W$7,0,M746*M$6)</f>
        <v>0</v>
      </c>
      <c r="N940" s="114">
        <f>IF(COUNT($H940:M940)&gt;=Input!$W$7,0,N746*N$6)</f>
        <v>0</v>
      </c>
      <c r="O940" s="114">
        <f>IF(COUNT($H940:N940)&gt;=Input!$W$7,0,O746*O$6)</f>
        <v>0</v>
      </c>
      <c r="P940" s="114">
        <f>IF(COUNT($H940:O940)&gt;=Input!$W$7,0,P746*P$6)</f>
        <v>0</v>
      </c>
      <c r="Q940" s="114">
        <f>IF(COUNT($H940:P940)&gt;=Input!$W$7,0,Q746*Q$6)</f>
        <v>0</v>
      </c>
      <c r="R940" s="9"/>
      <c r="S940" s="9"/>
      <c r="T940" s="9"/>
      <c r="U940" s="9"/>
      <c r="V940" s="9"/>
      <c r="W940" s="9"/>
      <c r="X940" s="9"/>
      <c r="Y940" s="9"/>
      <c r="Z940" s="9"/>
      <c r="AB940" s="204"/>
      <c r="AC940" s="204"/>
      <c r="AD940" s="204"/>
      <c r="AE940" s="204"/>
      <c r="AF940" s="204"/>
      <c r="AG940" s="204"/>
      <c r="AH940" s="204"/>
      <c r="AI940" s="204"/>
      <c r="AJ940" s="204"/>
      <c r="AK940" s="204"/>
      <c r="AL940" s="204"/>
      <c r="AM940" s="204"/>
      <c r="AN940" s="204"/>
      <c r="AO940" s="204"/>
      <c r="AP940" s="204"/>
      <c r="AQ940" s="204"/>
      <c r="AR940" s="204"/>
      <c r="AS940" s="204"/>
      <c r="AT940" s="204"/>
      <c r="AU940" s="204"/>
      <c r="AV940" s="204"/>
      <c r="AW940" s="204"/>
      <c r="AX940" s="204"/>
      <c r="AY940" s="204"/>
      <c r="AZ940" s="204"/>
      <c r="BA940" s="204"/>
      <c r="BB940" s="204"/>
      <c r="BC940" s="204"/>
      <c r="BD940" s="9"/>
      <c r="BE940" s="9"/>
      <c r="BF940" s="9"/>
      <c r="BG940" s="9"/>
      <c r="BH940" s="9"/>
      <c r="BI940" s="9"/>
      <c r="BJ940" s="9"/>
      <c r="BK940" s="9"/>
      <c r="BL940" s="9"/>
    </row>
    <row r="941" spans="1:64" hidden="1" outlineLevel="1">
      <c r="A941" s="9"/>
      <c r="B941" s="9"/>
      <c r="C941" s="9"/>
      <c r="D941" s="278" t="str">
        <f>Asset18</f>
        <v>Transmission operations - short life (10)</v>
      </c>
      <c r="E941" s="9"/>
      <c r="F941" s="9"/>
      <c r="G941" s="207">
        <f t="shared" ref="G941:L943" si="201">G747*G$6</f>
        <v>0</v>
      </c>
      <c r="H941" s="114">
        <f t="shared" si="201"/>
        <v>0</v>
      </c>
      <c r="I941" s="114">
        <f t="shared" si="201"/>
        <v>3.9716085337225024E-2</v>
      </c>
      <c r="J941" s="114">
        <f t="shared" si="201"/>
        <v>4.4103074696859888E-2</v>
      </c>
      <c r="K941" s="114">
        <f t="shared" si="201"/>
        <v>0.12999632573660685</v>
      </c>
      <c r="L941" s="114">
        <f t="shared" si="201"/>
        <v>0.1664332153796183</v>
      </c>
      <c r="M941" s="114">
        <f>IF(COUNT($H941:L941)&gt;=Input!$W$7,0,M747*M$6)</f>
        <v>0</v>
      </c>
      <c r="N941" s="114">
        <f>IF(COUNT($H941:M941)&gt;=Input!$W$7,0,N747*N$6)</f>
        <v>0</v>
      </c>
      <c r="O941" s="114">
        <f>IF(COUNT($H941:N941)&gt;=Input!$W$7,0,O747*O$6)</f>
        <v>0</v>
      </c>
      <c r="P941" s="114">
        <f>IF(COUNT($H941:O941)&gt;=Input!$W$7,0,P747*P$6)</f>
        <v>0</v>
      </c>
      <c r="Q941" s="114">
        <f>IF(COUNT($H941:P941)&gt;=Input!$W$7,0,Q747*Q$6)</f>
        <v>0</v>
      </c>
      <c r="R941" s="9"/>
      <c r="S941" s="9"/>
      <c r="T941" s="9"/>
      <c r="U941" s="9"/>
      <c r="V941" s="9"/>
      <c r="W941" s="9"/>
      <c r="X941" s="9"/>
      <c r="Y941" s="9"/>
      <c r="Z941" s="9"/>
      <c r="AB941" s="204"/>
      <c r="AC941" s="204"/>
      <c r="AD941" s="204"/>
      <c r="AE941" s="204"/>
      <c r="AF941" s="204"/>
      <c r="AG941" s="204"/>
      <c r="AH941" s="204"/>
      <c r="AI941" s="204"/>
      <c r="AJ941" s="204"/>
      <c r="AK941" s="204"/>
      <c r="AL941" s="204"/>
      <c r="AM941" s="204"/>
      <c r="AN941" s="204"/>
      <c r="AO941" s="204"/>
      <c r="AP941" s="204"/>
      <c r="AQ941" s="204"/>
      <c r="AR941" s="204"/>
      <c r="AS941" s="204"/>
      <c r="AT941" s="204"/>
      <c r="AU941" s="204"/>
      <c r="AV941" s="204"/>
      <c r="AW941" s="204"/>
      <c r="AX941" s="204"/>
      <c r="AY941" s="204"/>
      <c r="AZ941" s="204"/>
      <c r="BA941" s="204"/>
      <c r="BB941" s="204"/>
      <c r="BC941" s="204"/>
      <c r="BD941" s="9"/>
      <c r="BE941" s="9"/>
      <c r="BF941" s="9"/>
      <c r="BG941" s="9"/>
      <c r="BH941" s="9"/>
      <c r="BI941" s="9"/>
      <c r="BJ941" s="9"/>
      <c r="BK941" s="9"/>
      <c r="BL941" s="9"/>
    </row>
    <row r="942" spans="1:64" hidden="1" outlineLevel="1">
      <c r="A942" s="9"/>
      <c r="B942" s="9"/>
      <c r="C942" s="9"/>
      <c r="D942" s="278" t="str">
        <f>Asset19</f>
        <v>Transmission operations - short life (4)</v>
      </c>
      <c r="E942" s="9"/>
      <c r="F942" s="9"/>
      <c r="G942" s="207">
        <f t="shared" si="201"/>
        <v>0</v>
      </c>
      <c r="H942" s="114">
        <f t="shared" si="201"/>
        <v>0</v>
      </c>
      <c r="I942" s="114">
        <f t="shared" si="201"/>
        <v>1.5594580489075942E-3</v>
      </c>
      <c r="J942" s="114">
        <f t="shared" si="201"/>
        <v>1.6434772073152099E-3</v>
      </c>
      <c r="K942" s="114">
        <f t="shared" si="201"/>
        <v>1.8896558314000726E-3</v>
      </c>
      <c r="L942" s="114">
        <f t="shared" si="201"/>
        <v>5.3466436737808157E-3</v>
      </c>
      <c r="M942" s="114">
        <f>IF(COUNT($H942:L942)&gt;=Input!$W$7,0,M748*M$6)</f>
        <v>0</v>
      </c>
      <c r="N942" s="114">
        <f>IF(COUNT($H942:M942)&gt;=Input!$W$7,0,N748*N$6)</f>
        <v>0</v>
      </c>
      <c r="O942" s="114">
        <f>IF(COUNT($H942:N942)&gt;=Input!$W$7,0,O748*O$6)</f>
        <v>0</v>
      </c>
      <c r="P942" s="114">
        <f>IF(COUNT($H942:O942)&gt;=Input!$W$7,0,P748*P$6)</f>
        <v>0</v>
      </c>
      <c r="Q942" s="114">
        <f>IF(COUNT($H942:P942)&gt;=Input!$W$7,0,Q748*Q$6)</f>
        <v>0</v>
      </c>
      <c r="R942" s="9"/>
      <c r="S942" s="9"/>
      <c r="T942" s="9"/>
      <c r="U942" s="9"/>
      <c r="V942" s="9"/>
      <c r="W942" s="9"/>
      <c r="X942" s="9"/>
      <c r="Y942" s="9"/>
      <c r="Z942" s="9"/>
      <c r="AB942" s="204"/>
      <c r="AC942" s="204"/>
      <c r="AD942" s="204"/>
      <c r="AE942" s="204"/>
      <c r="AF942" s="204"/>
      <c r="AG942" s="204"/>
      <c r="AH942" s="204"/>
      <c r="AI942" s="204"/>
      <c r="AJ942" s="204"/>
      <c r="AK942" s="204"/>
      <c r="AL942" s="204"/>
      <c r="AM942" s="204"/>
      <c r="AN942" s="204"/>
      <c r="AO942" s="204"/>
      <c r="AP942" s="204"/>
      <c r="AQ942" s="204"/>
      <c r="AR942" s="204"/>
      <c r="AS942" s="204"/>
      <c r="AT942" s="204"/>
      <c r="AU942" s="204"/>
      <c r="AV942" s="204"/>
      <c r="AW942" s="204"/>
      <c r="AX942" s="204"/>
      <c r="AY942" s="204"/>
      <c r="AZ942" s="204"/>
      <c r="BA942" s="204"/>
      <c r="BB942" s="204"/>
      <c r="BC942" s="204"/>
      <c r="BD942" s="9"/>
      <c r="BE942" s="9"/>
      <c r="BF942" s="9"/>
      <c r="BG942" s="9"/>
      <c r="BH942" s="9"/>
      <c r="BI942" s="9"/>
      <c r="BJ942" s="9"/>
      <c r="BK942" s="9"/>
      <c r="BL942" s="9"/>
    </row>
    <row r="943" spans="1:64" hidden="1" outlineLevel="1">
      <c r="A943" s="9"/>
      <c r="B943" s="9"/>
      <c r="C943" s="9"/>
      <c r="D943" s="278" t="str">
        <f>Asset20</f>
        <v>Other - medium life (40)</v>
      </c>
      <c r="E943" s="9"/>
      <c r="F943" s="9"/>
      <c r="G943" s="207">
        <f t="shared" si="201"/>
        <v>0</v>
      </c>
      <c r="H943" s="114">
        <f>H749*H$6</f>
        <v>0</v>
      </c>
      <c r="I943" s="114">
        <f t="shared" si="201"/>
        <v>0.28347357310700583</v>
      </c>
      <c r="J943" s="114">
        <f t="shared" si="201"/>
        <v>0.37450758772165427</v>
      </c>
      <c r="K943" s="114">
        <f t="shared" si="201"/>
        <v>0.62809493943161609</v>
      </c>
      <c r="L943" s="114">
        <f t="shared" si="201"/>
        <v>0.62963543347181095</v>
      </c>
      <c r="M943" s="114">
        <f>IF(COUNT($H943:L943)&gt;=Input!$W$7,0,M749*M$6)</f>
        <v>0</v>
      </c>
      <c r="N943" s="114">
        <f>IF(COUNT($H943:M943)&gt;=Input!$W$7,0,N749*N$6)</f>
        <v>0</v>
      </c>
      <c r="O943" s="114">
        <f>IF(COUNT($H943:N943)&gt;=Input!$W$7,0,O749*O$6)</f>
        <v>0</v>
      </c>
      <c r="P943" s="114">
        <f>IF(COUNT($H943:O943)&gt;=Input!$W$7,0,P749*P$6)</f>
        <v>0</v>
      </c>
      <c r="Q943" s="114">
        <f>IF(COUNT($H943:P943)&gt;=Input!$W$7,0,Q749*Q$6)</f>
        <v>0</v>
      </c>
      <c r="R943" s="9"/>
      <c r="S943" s="9"/>
      <c r="T943" s="9"/>
      <c r="U943" s="9"/>
      <c r="V943" s="9"/>
      <c r="W943" s="9"/>
      <c r="X943" s="9"/>
      <c r="Y943" s="9"/>
      <c r="Z943" s="9"/>
      <c r="AB943" s="204"/>
      <c r="AC943" s="204"/>
      <c r="AD943" s="204"/>
      <c r="AE943" s="204"/>
      <c r="AF943" s="204"/>
      <c r="AG943" s="204"/>
      <c r="AH943" s="204"/>
      <c r="AI943" s="204"/>
      <c r="AJ943" s="204"/>
      <c r="AK943" s="204"/>
      <c r="AL943" s="204"/>
      <c r="AM943" s="204"/>
      <c r="AN943" s="204"/>
      <c r="AO943" s="204"/>
      <c r="AP943" s="204"/>
      <c r="AQ943" s="204"/>
      <c r="AR943" s="204"/>
      <c r="AS943" s="204"/>
      <c r="AT943" s="204"/>
      <c r="AU943" s="204"/>
      <c r="AV943" s="204"/>
      <c r="AW943" s="204"/>
      <c r="AX943" s="204"/>
      <c r="AY943" s="204"/>
      <c r="AZ943" s="204"/>
      <c r="BA943" s="204"/>
      <c r="BB943" s="204"/>
      <c r="BC943" s="204"/>
      <c r="BD943" s="9"/>
      <c r="BE943" s="9"/>
      <c r="BF943" s="9"/>
      <c r="BG943" s="9"/>
      <c r="BH943" s="9"/>
      <c r="BI943" s="9"/>
      <c r="BJ943" s="9"/>
      <c r="BK943" s="9"/>
      <c r="BL943" s="9"/>
    </row>
    <row r="944" spans="1:64" hidden="1" outlineLevel="1">
      <c r="A944" s="9"/>
      <c r="B944" s="9"/>
      <c r="C944" s="9"/>
      <c r="D944" s="278" t="str">
        <f>Asset21</f>
        <v>Other - short life (9)</v>
      </c>
      <c r="E944" s="9"/>
      <c r="F944" s="9"/>
      <c r="G944" s="207">
        <f t="shared" ref="G944:L944" si="202">G750*G$6</f>
        <v>0</v>
      </c>
      <c r="H944" s="114">
        <f t="shared" si="202"/>
        <v>0</v>
      </c>
      <c r="I944" s="114">
        <f t="shared" si="202"/>
        <v>2.423441106819646E-2</v>
      </c>
      <c r="J944" s="114">
        <f t="shared" si="202"/>
        <v>2.7276880852338887E-2</v>
      </c>
      <c r="K944" s="114">
        <f t="shared" si="202"/>
        <v>6.7644014610593925E-2</v>
      </c>
      <c r="L944" s="114">
        <f t="shared" si="202"/>
        <v>6.6796387267453822E-2</v>
      </c>
      <c r="M944" s="114">
        <f>IF(COUNT($H944:L944)&gt;=Input!$W$7,0,M750*M$6)</f>
        <v>0</v>
      </c>
      <c r="N944" s="114">
        <f>IF(COUNT($H944:M944)&gt;=Input!$W$7,0,N750*N$6)</f>
        <v>0</v>
      </c>
      <c r="O944" s="114">
        <f>IF(COUNT($H944:N944)&gt;=Input!$W$7,0,O750*O$6)</f>
        <v>0</v>
      </c>
      <c r="P944" s="114">
        <f>IF(COUNT($H944:O944)&gt;=Input!$W$7,0,P750*P$6)</f>
        <v>0</v>
      </c>
      <c r="Q944" s="114">
        <f>IF(COUNT($H944:P944)&gt;=Input!$W$7,0,Q750*Q$6)</f>
        <v>0</v>
      </c>
      <c r="R944" s="9"/>
      <c r="S944" s="9"/>
      <c r="T944" s="9"/>
      <c r="U944" s="9"/>
      <c r="V944" s="9"/>
      <c r="W944" s="9"/>
      <c r="X944" s="9"/>
      <c r="Y944" s="9"/>
      <c r="Z944" s="9"/>
      <c r="AB944" s="204"/>
      <c r="AC944" s="204"/>
      <c r="AD944" s="204"/>
      <c r="AE944" s="204"/>
      <c r="AF944" s="204"/>
      <c r="AG944" s="204"/>
      <c r="AH944" s="204"/>
      <c r="AI944" s="204"/>
      <c r="AJ944" s="204"/>
      <c r="AK944" s="204"/>
      <c r="AL944" s="204"/>
      <c r="AM944" s="204"/>
      <c r="AN944" s="204"/>
      <c r="AO944" s="204"/>
      <c r="AP944" s="204"/>
      <c r="AQ944" s="204"/>
      <c r="AR944" s="204"/>
      <c r="AS944" s="204"/>
      <c r="AT944" s="204"/>
      <c r="AU944" s="204"/>
      <c r="AV944" s="204"/>
      <c r="AW944" s="204"/>
      <c r="AX944" s="204"/>
      <c r="AY944" s="204"/>
      <c r="AZ944" s="204"/>
      <c r="BA944" s="204"/>
      <c r="BB944" s="204"/>
      <c r="BC944" s="204"/>
      <c r="BD944" s="9"/>
      <c r="BE944" s="9"/>
      <c r="BF944" s="9"/>
      <c r="BG944" s="9"/>
      <c r="BH944" s="9"/>
      <c r="BI944" s="9"/>
      <c r="BJ944" s="9"/>
      <c r="BK944" s="9"/>
      <c r="BL944" s="9"/>
    </row>
    <row r="945" spans="1:64" hidden="1" outlineLevel="1">
      <c r="A945" s="9"/>
      <c r="B945" s="9"/>
      <c r="C945" s="9"/>
      <c r="D945" s="278" t="str">
        <f>Asset22</f>
        <v>Other - short life (4)</v>
      </c>
      <c r="E945" s="9"/>
      <c r="F945" s="9"/>
      <c r="G945" s="207">
        <f t="shared" ref="G945:L945" si="203">G751*G$6</f>
        <v>0</v>
      </c>
      <c r="H945" s="114">
        <f t="shared" si="203"/>
        <v>0</v>
      </c>
      <c r="I945" s="114">
        <f t="shared" si="203"/>
        <v>8.696816166508374E-2</v>
      </c>
      <c r="J945" s="114">
        <f t="shared" si="203"/>
        <v>6.5331995611284374E-2</v>
      </c>
      <c r="K945" s="114">
        <f t="shared" si="203"/>
        <v>0.12210864558579608</v>
      </c>
      <c r="L945" s="114">
        <f t="shared" si="203"/>
        <v>0.21816440358040179</v>
      </c>
      <c r="M945" s="114">
        <f>IF(COUNT($H945:L945)&gt;=Input!$W$7,0,M751*M$6)</f>
        <v>0</v>
      </c>
      <c r="N945" s="114">
        <f>IF(COUNT($H945:M945)&gt;=Input!$W$7,0,N751*N$6)</f>
        <v>0</v>
      </c>
      <c r="O945" s="114">
        <f>IF(COUNT($H945:N945)&gt;=Input!$W$7,0,O751*O$6)</f>
        <v>0</v>
      </c>
      <c r="P945" s="114">
        <f>IF(COUNT($H945:O945)&gt;=Input!$W$7,0,P751*P$6)</f>
        <v>0</v>
      </c>
      <c r="Q945" s="114">
        <f>IF(COUNT($H945:P945)&gt;=Input!$W$7,0,Q751*Q$6)</f>
        <v>0</v>
      </c>
      <c r="R945" s="9"/>
      <c r="S945" s="9"/>
      <c r="T945" s="9"/>
      <c r="U945" s="9"/>
      <c r="V945" s="9"/>
      <c r="W945" s="9"/>
      <c r="X945" s="9"/>
      <c r="Y945" s="9"/>
      <c r="Z945" s="9"/>
      <c r="AB945" s="204"/>
      <c r="AC945" s="204"/>
      <c r="AD945" s="204"/>
      <c r="AE945" s="204"/>
      <c r="AF945" s="204"/>
      <c r="AG945" s="204"/>
      <c r="AH945" s="204"/>
      <c r="AI945" s="204"/>
      <c r="AJ945" s="204"/>
      <c r="AK945" s="204"/>
      <c r="AL945" s="204"/>
      <c r="AM945" s="204"/>
      <c r="AN945" s="204"/>
      <c r="AO945" s="204"/>
      <c r="AP945" s="204"/>
      <c r="AQ945" s="204"/>
      <c r="AR945" s="204"/>
      <c r="AS945" s="204"/>
      <c r="AT945" s="204"/>
      <c r="AU945" s="204"/>
      <c r="AV945" s="204"/>
      <c r="AW945" s="204"/>
      <c r="AX945" s="204"/>
      <c r="AY945" s="204"/>
      <c r="AZ945" s="204"/>
      <c r="BA945" s="204"/>
      <c r="BB945" s="204"/>
      <c r="BC945" s="204"/>
      <c r="BD945" s="9"/>
      <c r="BE945" s="9"/>
      <c r="BF945" s="9"/>
      <c r="BG945" s="9"/>
      <c r="BH945" s="9"/>
      <c r="BI945" s="9"/>
      <c r="BJ945" s="9"/>
      <c r="BK945" s="9"/>
      <c r="BL945" s="9"/>
    </row>
    <row r="946" spans="1:64" hidden="1" outlineLevel="1">
      <c r="A946" s="9"/>
      <c r="B946" s="9"/>
      <c r="C946" s="9"/>
      <c r="D946" s="278" t="str">
        <f>Asset23</f>
        <v>Land and Easements</v>
      </c>
      <c r="E946" s="9"/>
      <c r="F946" s="9"/>
      <c r="G946" s="207">
        <f t="shared" ref="G946:L946" si="204">G752*G$6</f>
        <v>0</v>
      </c>
      <c r="H946" s="114">
        <f t="shared" si="204"/>
        <v>0</v>
      </c>
      <c r="I946" s="114">
        <f t="shared" si="204"/>
        <v>0</v>
      </c>
      <c r="J946" s="114">
        <f t="shared" si="204"/>
        <v>2.7620782070362487E-2</v>
      </c>
      <c r="K946" s="114">
        <f t="shared" si="204"/>
        <v>5.6384867315226364E-2</v>
      </c>
      <c r="L946" s="114">
        <f t="shared" si="204"/>
        <v>9.1646093594005509E-2</v>
      </c>
      <c r="M946" s="114">
        <f>IF(COUNT($H946:L946)&gt;=Input!$W$7,0,M752*M$6)</f>
        <v>0</v>
      </c>
      <c r="N946" s="114">
        <f>IF(COUNT($H946:M946)&gt;=Input!$W$7,0,N752*N$6)</f>
        <v>0</v>
      </c>
      <c r="O946" s="114">
        <f>IF(COUNT($H946:N946)&gt;=Input!$W$7,0,O752*O$6)</f>
        <v>0</v>
      </c>
      <c r="P946" s="114">
        <f>IF(COUNT($H946:O946)&gt;=Input!$W$7,0,P752*P$6)</f>
        <v>0</v>
      </c>
      <c r="Q946" s="114">
        <f>IF(COUNT($H946:P946)&gt;=Input!$W$7,0,Q752*Q$6)</f>
        <v>0</v>
      </c>
      <c r="R946" s="9"/>
      <c r="S946" s="9"/>
      <c r="T946" s="9"/>
      <c r="U946" s="9"/>
      <c r="V946" s="9"/>
      <c r="W946" s="9"/>
      <c r="X946" s="9"/>
      <c r="Y946" s="9"/>
      <c r="Z946" s="9"/>
      <c r="AB946" s="204"/>
      <c r="AC946" s="204"/>
      <c r="AD946" s="204"/>
      <c r="AE946" s="204"/>
      <c r="AF946" s="204"/>
      <c r="AG946" s="204"/>
      <c r="AH946" s="204"/>
      <c r="AI946" s="204"/>
      <c r="AJ946" s="204"/>
      <c r="AK946" s="204"/>
      <c r="AL946" s="204"/>
      <c r="AM946" s="204"/>
      <c r="AN946" s="204"/>
      <c r="AO946" s="204"/>
      <c r="AP946" s="204"/>
      <c r="AQ946" s="204"/>
      <c r="AR946" s="204"/>
      <c r="AS946" s="204"/>
      <c r="AT946" s="204"/>
      <c r="AU946" s="204"/>
      <c r="AV946" s="204"/>
      <c r="AW946" s="204"/>
      <c r="AX946" s="204"/>
      <c r="AY946" s="204"/>
      <c r="AZ946" s="204"/>
      <c r="BA946" s="204"/>
      <c r="BB946" s="204"/>
      <c r="BC946" s="204"/>
      <c r="BD946" s="9"/>
      <c r="BE946" s="9"/>
      <c r="BF946" s="9"/>
      <c r="BG946" s="9"/>
      <c r="BH946" s="9"/>
      <c r="BI946" s="9"/>
      <c r="BJ946" s="9"/>
      <c r="BK946" s="9"/>
      <c r="BL946" s="9"/>
    </row>
    <row r="947" spans="1:64" hidden="1" outlineLevel="1">
      <c r="A947" s="9"/>
      <c r="B947" s="9"/>
      <c r="C947" s="9"/>
      <c r="D947" s="278" t="str">
        <f>Asset24</f>
        <v>Equity Raising</v>
      </c>
      <c r="E947" s="9"/>
      <c r="F947" s="9"/>
      <c r="G947" s="207">
        <f t="shared" ref="G947:L947" si="205">G753*G$6</f>
        <v>0</v>
      </c>
      <c r="H947" s="114">
        <f t="shared" si="205"/>
        <v>0</v>
      </c>
      <c r="I947" s="114">
        <f t="shared" si="205"/>
        <v>1.4828347104386968E-2</v>
      </c>
      <c r="J947" s="114">
        <f t="shared" si="205"/>
        <v>7.1101568444927529E-3</v>
      </c>
      <c r="K947" s="114">
        <f t="shared" si="205"/>
        <v>1.1122844381937325E-2</v>
      </c>
      <c r="L947" s="114">
        <f t="shared" si="205"/>
        <v>1.1101724630401188E-2</v>
      </c>
      <c r="M947" s="114">
        <f>IF(COUNT($H947:L947)&gt;=Input!$W$7,0,M753*M$6)</f>
        <v>0</v>
      </c>
      <c r="N947" s="114">
        <f>IF(COUNT($H947:M947)&gt;=Input!$W$7,0,N753*N$6)</f>
        <v>0</v>
      </c>
      <c r="O947" s="114">
        <f>IF(COUNT($H947:N947)&gt;=Input!$W$7,0,O753*O$6)</f>
        <v>0</v>
      </c>
      <c r="P947" s="114">
        <f>IF(COUNT($H947:O947)&gt;=Input!$W$7,0,P753*P$6)</f>
        <v>0</v>
      </c>
      <c r="Q947" s="114">
        <f>IF(COUNT($H947:P947)&gt;=Input!$W$7,0,Q753*Q$6)</f>
        <v>0</v>
      </c>
      <c r="R947" s="9"/>
      <c r="S947" s="9"/>
      <c r="T947" s="9"/>
      <c r="U947" s="9"/>
      <c r="V947" s="9"/>
      <c r="W947" s="9"/>
      <c r="X947" s="9"/>
      <c r="Y947" s="9"/>
      <c r="Z947" s="9"/>
      <c r="AB947" s="204"/>
      <c r="AC947" s="204"/>
      <c r="AD947" s="204"/>
      <c r="AE947" s="204"/>
      <c r="AF947" s="204"/>
      <c r="AG947" s="204"/>
      <c r="AH947" s="204"/>
      <c r="AI947" s="204"/>
      <c r="AJ947" s="204"/>
      <c r="AK947" s="204"/>
      <c r="AL947" s="204"/>
      <c r="AM947" s="204"/>
      <c r="AN947" s="204"/>
      <c r="AO947" s="204"/>
      <c r="AP947" s="204"/>
      <c r="AQ947" s="204"/>
      <c r="AR947" s="204"/>
      <c r="AS947" s="204"/>
      <c r="AT947" s="204"/>
      <c r="AU947" s="204"/>
      <c r="AV947" s="204"/>
      <c r="AW947" s="204"/>
      <c r="AX947" s="204"/>
      <c r="AY947" s="204"/>
      <c r="AZ947" s="204"/>
      <c r="BA947" s="204"/>
      <c r="BB947" s="204"/>
      <c r="BC947" s="204"/>
      <c r="BD947" s="9"/>
      <c r="BE947" s="9"/>
      <c r="BF947" s="9"/>
      <c r="BG947" s="9"/>
      <c r="BH947" s="9"/>
      <c r="BI947" s="9"/>
      <c r="BJ947" s="9"/>
      <c r="BK947" s="9"/>
      <c r="BL947" s="9"/>
    </row>
    <row r="948" spans="1:64" hidden="1" outlineLevel="1">
      <c r="A948" s="9"/>
      <c r="B948" s="9"/>
      <c r="C948" s="9"/>
      <c r="D948" s="278">
        <f>Asset25</f>
        <v>0</v>
      </c>
      <c r="E948" s="9"/>
      <c r="F948" s="9"/>
      <c r="G948" s="207">
        <f t="shared" ref="G948:L948" si="206">G754*G$6</f>
        <v>0</v>
      </c>
      <c r="H948" s="114">
        <f t="shared" si="206"/>
        <v>0</v>
      </c>
      <c r="I948" s="114">
        <f t="shared" si="206"/>
        <v>0</v>
      </c>
      <c r="J948" s="114">
        <f t="shared" si="206"/>
        <v>0</v>
      </c>
      <c r="K948" s="114">
        <f t="shared" si="206"/>
        <v>0</v>
      </c>
      <c r="L948" s="114">
        <f t="shared" si="206"/>
        <v>0</v>
      </c>
      <c r="M948" s="114">
        <f>IF(COUNT($H948:L948)&gt;=Input!$W$7,0,M754*M$6)</f>
        <v>0</v>
      </c>
      <c r="N948" s="114">
        <f>IF(COUNT($H948:M948)&gt;=Input!$W$7,0,N754*N$6)</f>
        <v>0</v>
      </c>
      <c r="O948" s="114">
        <f>IF(COUNT($H948:N948)&gt;=Input!$W$7,0,O754*O$6)</f>
        <v>0</v>
      </c>
      <c r="P948" s="114">
        <f>IF(COUNT($H948:O948)&gt;=Input!$W$7,0,P754*P$6)</f>
        <v>0</v>
      </c>
      <c r="Q948" s="114">
        <f>IF(COUNT($H948:P948)&gt;=Input!$W$7,0,Q754*Q$6)</f>
        <v>0</v>
      </c>
      <c r="R948" s="9"/>
      <c r="S948" s="9"/>
      <c r="T948" s="9"/>
      <c r="U948" s="9"/>
      <c r="V948" s="9"/>
      <c r="W948" s="9"/>
      <c r="X948" s="9"/>
      <c r="Y948" s="9"/>
      <c r="Z948" s="9"/>
      <c r="AB948" s="204"/>
      <c r="AC948" s="204"/>
      <c r="AD948" s="204"/>
      <c r="AE948" s="204"/>
      <c r="AF948" s="204"/>
      <c r="AG948" s="204"/>
      <c r="AH948" s="204"/>
      <c r="AI948" s="204"/>
      <c r="AJ948" s="204"/>
      <c r="AK948" s="204"/>
      <c r="AL948" s="204"/>
      <c r="AM948" s="204"/>
      <c r="AN948" s="204"/>
      <c r="AO948" s="204"/>
      <c r="AP948" s="204"/>
      <c r="AQ948" s="204"/>
      <c r="AR948" s="204"/>
      <c r="AS948" s="204"/>
      <c r="AT948" s="204"/>
      <c r="AU948" s="204"/>
      <c r="AV948" s="204"/>
      <c r="AW948" s="204"/>
      <c r="AX948" s="204"/>
      <c r="AY948" s="204"/>
      <c r="AZ948" s="204"/>
      <c r="BA948" s="204"/>
      <c r="BB948" s="204"/>
      <c r="BC948" s="204"/>
      <c r="BD948" s="9"/>
      <c r="BE948" s="9"/>
      <c r="BF948" s="9"/>
      <c r="BG948" s="9"/>
      <c r="BH948" s="9"/>
      <c r="BI948" s="9"/>
      <c r="BJ948" s="9"/>
      <c r="BK948" s="9"/>
      <c r="BL948" s="9"/>
    </row>
    <row r="949" spans="1:64" hidden="1" outlineLevel="1">
      <c r="A949" s="9"/>
      <c r="B949" s="9"/>
      <c r="C949" s="9"/>
      <c r="D949" s="278">
        <f>Asset26</f>
        <v>0</v>
      </c>
      <c r="E949" s="9"/>
      <c r="F949" s="9"/>
      <c r="G949" s="207">
        <f t="shared" ref="G949:L949" si="207">G755*G$6</f>
        <v>0</v>
      </c>
      <c r="H949" s="114">
        <f t="shared" si="207"/>
        <v>0</v>
      </c>
      <c r="I949" s="114">
        <f t="shared" si="207"/>
        <v>0</v>
      </c>
      <c r="J949" s="114">
        <f t="shared" si="207"/>
        <v>0</v>
      </c>
      <c r="K949" s="114">
        <f t="shared" si="207"/>
        <v>0</v>
      </c>
      <c r="L949" s="114">
        <f t="shared" si="207"/>
        <v>0</v>
      </c>
      <c r="M949" s="114">
        <f>IF(COUNT($H949:L949)&gt;=Input!$W$7,0,M755*M$6)</f>
        <v>0</v>
      </c>
      <c r="N949" s="114">
        <f>IF(COUNT($H949:M949)&gt;=Input!$W$7,0,N755*N$6)</f>
        <v>0</v>
      </c>
      <c r="O949" s="114">
        <f>IF(COUNT($H949:N949)&gt;=Input!$W$7,0,O755*O$6)</f>
        <v>0</v>
      </c>
      <c r="P949" s="114">
        <f>IF(COUNT($H949:O949)&gt;=Input!$W$7,0,P755*P$6)</f>
        <v>0</v>
      </c>
      <c r="Q949" s="114">
        <f>IF(COUNT($H949:P949)&gt;=Input!$W$7,0,Q755*Q$6)</f>
        <v>0</v>
      </c>
      <c r="R949" s="9"/>
      <c r="S949" s="9"/>
      <c r="T949" s="9"/>
      <c r="U949" s="9"/>
      <c r="V949" s="9"/>
      <c r="W949" s="9"/>
      <c r="X949" s="9"/>
      <c r="Y949" s="9"/>
      <c r="Z949" s="9"/>
      <c r="AB949" s="204"/>
      <c r="AC949" s="204"/>
      <c r="AD949" s="204"/>
      <c r="AE949" s="204"/>
      <c r="AF949" s="204"/>
      <c r="AG949" s="204"/>
      <c r="AH949" s="204"/>
      <c r="AI949" s="204"/>
      <c r="AJ949" s="204"/>
      <c r="AK949" s="204"/>
      <c r="AL949" s="204"/>
      <c r="AM949" s="204"/>
      <c r="AN949" s="204"/>
      <c r="AO949" s="204"/>
      <c r="AP949" s="204"/>
      <c r="AQ949" s="204"/>
      <c r="AR949" s="204"/>
      <c r="AS949" s="204"/>
      <c r="AT949" s="204"/>
      <c r="AU949" s="204"/>
      <c r="AV949" s="204"/>
      <c r="AW949" s="204"/>
      <c r="AX949" s="204"/>
      <c r="AY949" s="204"/>
      <c r="AZ949" s="204"/>
      <c r="BA949" s="204"/>
      <c r="BB949" s="204"/>
      <c r="BC949" s="204"/>
      <c r="BD949" s="9"/>
      <c r="BE949" s="9"/>
      <c r="BF949" s="9"/>
      <c r="BG949" s="9"/>
      <c r="BH949" s="9"/>
      <c r="BI949" s="9"/>
      <c r="BJ949" s="9"/>
      <c r="BK949" s="9"/>
      <c r="BL949" s="9"/>
    </row>
    <row r="950" spans="1:64" hidden="1" outlineLevel="1">
      <c r="A950" s="9"/>
      <c r="B950" s="9"/>
      <c r="C950" s="9"/>
      <c r="D950" s="278">
        <f>Asset27</f>
        <v>0</v>
      </c>
      <c r="E950" s="9"/>
      <c r="F950" s="9"/>
      <c r="G950" s="207">
        <f t="shared" ref="G950:L950" si="208">G756*G$6</f>
        <v>0</v>
      </c>
      <c r="H950" s="114">
        <f t="shared" si="208"/>
        <v>0</v>
      </c>
      <c r="I950" s="114">
        <f t="shared" si="208"/>
        <v>0</v>
      </c>
      <c r="J950" s="114">
        <f t="shared" si="208"/>
        <v>0</v>
      </c>
      <c r="K950" s="114">
        <f t="shared" si="208"/>
        <v>0</v>
      </c>
      <c r="L950" s="114">
        <f t="shared" si="208"/>
        <v>0</v>
      </c>
      <c r="M950" s="114">
        <f>IF(COUNT($H950:L950)&gt;=Input!$W$7,0,M756*M$6)</f>
        <v>0</v>
      </c>
      <c r="N950" s="114">
        <f>IF(COUNT($H950:M950)&gt;=Input!$W$7,0,N756*N$6)</f>
        <v>0</v>
      </c>
      <c r="O950" s="114">
        <f>IF(COUNT($H950:N950)&gt;=Input!$W$7,0,O756*O$6)</f>
        <v>0</v>
      </c>
      <c r="P950" s="114">
        <f>IF(COUNT($H950:O950)&gt;=Input!$W$7,0,P756*P$6)</f>
        <v>0</v>
      </c>
      <c r="Q950" s="114">
        <f>IF(COUNT($H950:P950)&gt;=Input!$W$7,0,Q756*Q$6)</f>
        <v>0</v>
      </c>
      <c r="R950" s="9"/>
      <c r="S950" s="9"/>
      <c r="T950" s="9"/>
      <c r="U950" s="9"/>
      <c r="V950" s="9"/>
      <c r="W950" s="9"/>
      <c r="X950" s="9"/>
      <c r="Y950" s="9"/>
      <c r="Z950" s="9"/>
      <c r="AB950" s="204"/>
      <c r="AC950" s="204"/>
      <c r="AD950" s="204"/>
      <c r="AE950" s="204"/>
      <c r="AF950" s="204"/>
      <c r="AG950" s="204"/>
      <c r="AH950" s="204"/>
      <c r="AI950" s="204"/>
      <c r="AJ950" s="204"/>
      <c r="AK950" s="204"/>
      <c r="AL950" s="204"/>
      <c r="AM950" s="204"/>
      <c r="AN950" s="204"/>
      <c r="AO950" s="204"/>
      <c r="AP950" s="204"/>
      <c r="AQ950" s="204"/>
      <c r="AR950" s="204"/>
      <c r="AS950" s="204"/>
      <c r="AT950" s="204"/>
      <c r="AU950" s="204"/>
      <c r="AV950" s="204"/>
      <c r="AW950" s="204"/>
      <c r="AX950" s="204"/>
      <c r="AY950" s="204"/>
      <c r="AZ950" s="204"/>
      <c r="BA950" s="204"/>
      <c r="BB950" s="204"/>
      <c r="BC950" s="204"/>
      <c r="BD950" s="9"/>
      <c r="BE950" s="9"/>
      <c r="BF950" s="9"/>
      <c r="BG950" s="9"/>
      <c r="BH950" s="9"/>
      <c r="BI950" s="9"/>
      <c r="BJ950" s="9"/>
      <c r="BK950" s="9"/>
      <c r="BL950" s="9"/>
    </row>
    <row r="951" spans="1:64" hidden="1" outlineLevel="1">
      <c r="A951" s="9"/>
      <c r="B951" s="9"/>
      <c r="C951" s="9"/>
      <c r="D951" s="278">
        <f>Asset28</f>
        <v>0</v>
      </c>
      <c r="E951" s="9"/>
      <c r="F951" s="9"/>
      <c r="G951" s="207">
        <f t="shared" ref="G951:L951" si="209">G757*G$6</f>
        <v>0</v>
      </c>
      <c r="H951" s="114">
        <f t="shared" si="209"/>
        <v>0</v>
      </c>
      <c r="I951" s="114">
        <f t="shared" si="209"/>
        <v>0</v>
      </c>
      <c r="J951" s="114">
        <f t="shared" si="209"/>
        <v>0</v>
      </c>
      <c r="K951" s="114">
        <f t="shared" si="209"/>
        <v>0</v>
      </c>
      <c r="L951" s="114">
        <f t="shared" si="209"/>
        <v>0</v>
      </c>
      <c r="M951" s="114">
        <f>IF(COUNT($H951:L951)&gt;=Input!$W$7,0,M757*M$6)</f>
        <v>0</v>
      </c>
      <c r="N951" s="114">
        <f>IF(COUNT($H951:M951)&gt;=Input!$W$7,0,N757*N$6)</f>
        <v>0</v>
      </c>
      <c r="O951" s="114">
        <f>IF(COUNT($H951:N951)&gt;=Input!$W$7,0,O757*O$6)</f>
        <v>0</v>
      </c>
      <c r="P951" s="114">
        <f>IF(COUNT($H951:O951)&gt;=Input!$W$7,0,P757*P$6)</f>
        <v>0</v>
      </c>
      <c r="Q951" s="114">
        <f>IF(COUNT($H951:P951)&gt;=Input!$W$7,0,Q757*Q$6)</f>
        <v>0</v>
      </c>
      <c r="R951" s="9"/>
      <c r="S951" s="9"/>
      <c r="T951" s="9"/>
      <c r="U951" s="9"/>
      <c r="V951" s="9"/>
      <c r="W951" s="9"/>
      <c r="X951" s="9"/>
      <c r="Y951" s="9"/>
      <c r="Z951" s="9"/>
      <c r="AB951" s="204"/>
      <c r="AC951" s="204"/>
      <c r="AD951" s="204"/>
      <c r="AE951" s="204"/>
      <c r="AF951" s="204"/>
      <c r="AG951" s="204"/>
      <c r="AH951" s="204"/>
      <c r="AI951" s="204"/>
      <c r="AJ951" s="204"/>
      <c r="AK951" s="204"/>
      <c r="AL951" s="204"/>
      <c r="AM951" s="204"/>
      <c r="AN951" s="204"/>
      <c r="AO951" s="204"/>
      <c r="AP951" s="204"/>
      <c r="AQ951" s="204"/>
      <c r="AR951" s="204"/>
      <c r="AS951" s="204"/>
      <c r="AT951" s="204"/>
      <c r="AU951" s="204"/>
      <c r="AV951" s="204"/>
      <c r="AW951" s="204"/>
      <c r="AX951" s="204"/>
      <c r="AY951" s="204"/>
      <c r="AZ951" s="204"/>
      <c r="BA951" s="204"/>
      <c r="BB951" s="204"/>
      <c r="BC951" s="204"/>
      <c r="BD951" s="9"/>
      <c r="BE951" s="9"/>
      <c r="BF951" s="9"/>
      <c r="BG951" s="9"/>
      <c r="BH951" s="9"/>
      <c r="BI951" s="9"/>
      <c r="BJ951" s="9"/>
      <c r="BK951" s="9"/>
      <c r="BL951" s="9"/>
    </row>
    <row r="952" spans="1:64" hidden="1" outlineLevel="1">
      <c r="A952" s="9"/>
      <c r="B952" s="9"/>
      <c r="C952" s="9"/>
      <c r="D952" s="278">
        <f>Asset29</f>
        <v>0</v>
      </c>
      <c r="E952" s="9"/>
      <c r="F952" s="9"/>
      <c r="G952" s="207">
        <f t="shared" ref="G952:L952" si="210">G758*G$6</f>
        <v>0</v>
      </c>
      <c r="H952" s="114">
        <f t="shared" si="210"/>
        <v>0</v>
      </c>
      <c r="I952" s="114">
        <f t="shared" si="210"/>
        <v>0</v>
      </c>
      <c r="J952" s="114">
        <f t="shared" si="210"/>
        <v>0</v>
      </c>
      <c r="K952" s="114">
        <f t="shared" si="210"/>
        <v>0</v>
      </c>
      <c r="L952" s="114">
        <f t="shared" si="210"/>
        <v>0</v>
      </c>
      <c r="M952" s="114">
        <f>IF(COUNT($H952:L952)&gt;=Input!$W$7,0,M758*M$6)</f>
        <v>0</v>
      </c>
      <c r="N952" s="114">
        <f>IF(COUNT($H952:M952)&gt;=Input!$W$7,0,N758*N$6)</f>
        <v>0</v>
      </c>
      <c r="O952" s="114">
        <f>IF(COUNT($H952:N952)&gt;=Input!$W$7,0,O758*O$6)</f>
        <v>0</v>
      </c>
      <c r="P952" s="114">
        <f>IF(COUNT($H952:O952)&gt;=Input!$W$7,0,P758*P$6)</f>
        <v>0</v>
      </c>
      <c r="Q952" s="114">
        <f>IF(COUNT($H952:P952)&gt;=Input!$W$7,0,Q758*Q$6)</f>
        <v>0</v>
      </c>
      <c r="R952" s="9"/>
      <c r="S952" s="9"/>
      <c r="T952" s="9"/>
      <c r="U952" s="9"/>
      <c r="V952" s="9"/>
      <c r="W952" s="9"/>
      <c r="X952" s="9"/>
      <c r="Y952" s="9"/>
      <c r="Z952" s="9"/>
      <c r="AB952" s="204"/>
      <c r="AC952" s="204"/>
      <c r="AD952" s="204"/>
      <c r="AE952" s="204"/>
      <c r="AF952" s="204"/>
      <c r="AG952" s="204"/>
      <c r="AH952" s="204"/>
      <c r="AI952" s="204"/>
      <c r="AJ952" s="204"/>
      <c r="AK952" s="204"/>
      <c r="AL952" s="204"/>
      <c r="AM952" s="204"/>
      <c r="AN952" s="204"/>
      <c r="AO952" s="204"/>
      <c r="AP952" s="204"/>
      <c r="AQ952" s="204"/>
      <c r="AR952" s="204"/>
      <c r="AS952" s="204"/>
      <c r="AT952" s="204"/>
      <c r="AU952" s="204"/>
      <c r="AV952" s="204"/>
      <c r="AW952" s="204"/>
      <c r="AX952" s="204"/>
      <c r="AY952" s="204"/>
      <c r="AZ952" s="204"/>
      <c r="BA952" s="204"/>
      <c r="BB952" s="204"/>
      <c r="BC952" s="204"/>
      <c r="BD952" s="9"/>
      <c r="BE952" s="9"/>
      <c r="BF952" s="9"/>
      <c r="BG952" s="9"/>
      <c r="BH952" s="9"/>
      <c r="BI952" s="9"/>
      <c r="BJ952" s="9"/>
      <c r="BK952" s="9"/>
      <c r="BL952" s="9"/>
    </row>
    <row r="953" spans="1:64" hidden="1" outlineLevel="1">
      <c r="A953" s="9"/>
      <c r="B953" s="9"/>
      <c r="C953" s="9"/>
      <c r="D953" s="278">
        <f>Asset30</f>
        <v>0</v>
      </c>
      <c r="E953" s="9"/>
      <c r="F953" s="9"/>
      <c r="G953" s="207">
        <f t="shared" ref="G953:L953" si="211">G759*G$6</f>
        <v>0</v>
      </c>
      <c r="H953" s="114">
        <f t="shared" si="211"/>
        <v>0</v>
      </c>
      <c r="I953" s="114">
        <f t="shared" si="211"/>
        <v>0</v>
      </c>
      <c r="J953" s="114">
        <f t="shared" si="211"/>
        <v>0</v>
      </c>
      <c r="K953" s="114">
        <f t="shared" si="211"/>
        <v>0</v>
      </c>
      <c r="L953" s="114">
        <f t="shared" si="211"/>
        <v>0</v>
      </c>
      <c r="M953" s="114">
        <f>IF(COUNT($H953:L953)&gt;=Input!$W$7,0,M759*M$6)</f>
        <v>0</v>
      </c>
      <c r="N953" s="114">
        <f>IF(COUNT($H953:M953)&gt;=Input!$W$7,0,N759*N$6)</f>
        <v>0</v>
      </c>
      <c r="O953" s="114">
        <f>IF(COUNT($H953:N953)&gt;=Input!$W$7,0,O759*O$6)</f>
        <v>0</v>
      </c>
      <c r="P953" s="114">
        <f>IF(COUNT($H953:O953)&gt;=Input!$W$7,0,P759*P$6)</f>
        <v>0</v>
      </c>
      <c r="Q953" s="114">
        <f>IF(COUNT($H953:P953)&gt;=Input!$W$7,0,Q759*Q$6)</f>
        <v>0</v>
      </c>
      <c r="R953" s="9"/>
      <c r="S953" s="9"/>
      <c r="T953" s="9"/>
      <c r="U953" s="9"/>
      <c r="V953" s="9"/>
      <c r="W953" s="9"/>
      <c r="X953" s="9"/>
      <c r="Y953" s="9"/>
      <c r="Z953" s="9"/>
      <c r="AB953" s="204"/>
      <c r="AC953" s="204"/>
      <c r="AD953" s="204"/>
      <c r="AE953" s="204"/>
      <c r="AF953" s="204"/>
      <c r="AG953" s="204"/>
      <c r="AH953" s="204"/>
      <c r="AI953" s="204"/>
      <c r="AJ953" s="204"/>
      <c r="AK953" s="204"/>
      <c r="AL953" s="204"/>
      <c r="AM953" s="204"/>
      <c r="AN953" s="204"/>
      <c r="AO953" s="204"/>
      <c r="AP953" s="204"/>
      <c r="AQ953" s="204"/>
      <c r="AR953" s="204"/>
      <c r="AS953" s="204"/>
      <c r="AT953" s="204"/>
      <c r="AU953" s="204"/>
      <c r="AV953" s="204"/>
      <c r="AW953" s="204"/>
      <c r="AX953" s="204"/>
      <c r="AY953" s="204"/>
      <c r="AZ953" s="204"/>
      <c r="BA953" s="204"/>
      <c r="BB953" s="204"/>
      <c r="BC953" s="204"/>
      <c r="BD953" s="9"/>
      <c r="BE953" s="9"/>
      <c r="BF953" s="9"/>
      <c r="BG953" s="9"/>
      <c r="BH953" s="9"/>
      <c r="BI953" s="9"/>
      <c r="BJ953" s="9"/>
      <c r="BK953" s="9"/>
      <c r="BL953" s="9"/>
    </row>
    <row r="954" spans="1:64" collapsed="1">
      <c r="A954" s="9"/>
      <c r="B954" s="9"/>
      <c r="C954" s="9"/>
      <c r="D954" s="9"/>
      <c r="E954" s="9"/>
      <c r="F954" s="9"/>
      <c r="G954" s="12"/>
      <c r="H954" s="9"/>
      <c r="I954" s="9"/>
      <c r="J954" s="9"/>
      <c r="K954" s="9"/>
      <c r="L954" s="9"/>
      <c r="M954" s="9"/>
      <c r="N954" s="9"/>
      <c r="O954" s="9"/>
      <c r="P954" s="9"/>
      <c r="Q954" s="9"/>
      <c r="R954" s="9"/>
      <c r="S954" s="9"/>
      <c r="T954" s="9"/>
      <c r="U954" s="9"/>
      <c r="V954" s="9"/>
      <c r="W954" s="9"/>
      <c r="X954" s="9"/>
      <c r="Y954" s="9"/>
      <c r="Z954" s="9"/>
      <c r="AB954" s="204"/>
      <c r="AC954" s="204"/>
      <c r="AD954" s="204"/>
      <c r="AE954" s="204"/>
      <c r="AF954" s="204"/>
      <c r="AG954" s="204"/>
      <c r="AH954" s="204"/>
      <c r="AI954" s="204"/>
      <c r="AJ954" s="204"/>
      <c r="AK954" s="204"/>
      <c r="AL954" s="204"/>
      <c r="AM954" s="204"/>
      <c r="AN954" s="204"/>
      <c r="AO954" s="204"/>
      <c r="AP954" s="204"/>
      <c r="AQ954" s="204"/>
      <c r="AR954" s="204"/>
      <c r="AS954" s="204"/>
      <c r="AT954" s="204"/>
      <c r="AU954" s="204"/>
      <c r="AV954" s="204"/>
      <c r="AW954" s="204"/>
      <c r="AX954" s="204"/>
      <c r="AY954" s="204"/>
      <c r="AZ954" s="204"/>
      <c r="BA954" s="204"/>
      <c r="BB954" s="204"/>
      <c r="BC954" s="204"/>
      <c r="BD954" s="9"/>
      <c r="BE954" s="9"/>
      <c r="BF954" s="9"/>
      <c r="BG954" s="9"/>
      <c r="BH954" s="9"/>
      <c r="BI954" s="9"/>
      <c r="BJ954" s="9"/>
      <c r="BK954" s="9"/>
      <c r="BL954" s="9"/>
    </row>
    <row r="955" spans="1:64">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B955" s="204"/>
      <c r="AC955" s="204"/>
      <c r="AD955" s="204"/>
      <c r="AE955" s="204"/>
      <c r="AF955" s="204"/>
      <c r="AG955" s="204"/>
      <c r="AH955" s="204"/>
      <c r="AI955" s="204"/>
      <c r="AJ955" s="204"/>
      <c r="AK955" s="204"/>
      <c r="AL955" s="204"/>
      <c r="AM955" s="204"/>
      <c r="AN955" s="204"/>
      <c r="AO955" s="204"/>
      <c r="AP955" s="204"/>
      <c r="AQ955" s="204"/>
      <c r="AR955" s="204"/>
      <c r="AS955" s="204"/>
      <c r="AT955" s="204"/>
      <c r="AU955" s="204"/>
      <c r="AV955" s="204"/>
      <c r="AW955" s="204"/>
      <c r="AX955" s="204"/>
      <c r="AY955" s="204"/>
      <c r="AZ955" s="204"/>
      <c r="BA955" s="204"/>
      <c r="BB955" s="204"/>
      <c r="BC955" s="204"/>
    </row>
    <row r="956" spans="1:64">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B956" s="204"/>
      <c r="AC956" s="204"/>
      <c r="AD956" s="204"/>
      <c r="AE956" s="204"/>
      <c r="AF956" s="204"/>
      <c r="AG956" s="204"/>
      <c r="AH956" s="204"/>
      <c r="AI956" s="204"/>
      <c r="AJ956" s="204"/>
      <c r="AK956" s="204"/>
      <c r="AL956" s="204"/>
      <c r="AM956" s="204"/>
      <c r="AN956" s="204"/>
      <c r="AO956" s="204"/>
      <c r="AP956" s="204"/>
      <c r="AQ956" s="204"/>
      <c r="AR956" s="204"/>
      <c r="AS956" s="204"/>
      <c r="AT956" s="204"/>
      <c r="AU956" s="204"/>
      <c r="AV956" s="204"/>
      <c r="AW956" s="204"/>
      <c r="AX956" s="204"/>
      <c r="AY956" s="204"/>
      <c r="AZ956" s="204"/>
      <c r="BA956" s="204"/>
      <c r="BB956" s="204"/>
      <c r="BC956" s="204"/>
    </row>
    <row r="957" spans="1:64">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B957" s="204"/>
      <c r="AC957" s="204"/>
      <c r="AD957" s="204"/>
      <c r="AE957" s="204"/>
      <c r="AF957" s="204"/>
      <c r="AG957" s="204"/>
      <c r="AH957" s="204"/>
      <c r="AI957" s="204"/>
      <c r="AJ957" s="204"/>
      <c r="AK957" s="204"/>
      <c r="AL957" s="204"/>
      <c r="AM957" s="204"/>
      <c r="AN957" s="204"/>
      <c r="AO957" s="204"/>
      <c r="AP957" s="204"/>
      <c r="AQ957" s="204"/>
      <c r="AR957" s="204"/>
      <c r="AS957" s="204"/>
      <c r="AT957" s="204"/>
      <c r="AU957" s="204"/>
      <c r="AV957" s="204"/>
      <c r="AW957" s="204"/>
      <c r="AX957" s="204"/>
      <c r="AY957" s="204"/>
      <c r="AZ957" s="204"/>
      <c r="BA957" s="204"/>
      <c r="BB957" s="204"/>
      <c r="BC957" s="204"/>
    </row>
    <row r="958" spans="1:64">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B958" s="204"/>
      <c r="AC958" s="204"/>
      <c r="AD958" s="204"/>
      <c r="AE958" s="204"/>
      <c r="AF958" s="204"/>
      <c r="AG958" s="204"/>
      <c r="AH958" s="204"/>
      <c r="AI958" s="204"/>
      <c r="AJ958" s="204"/>
      <c r="AK958" s="204"/>
      <c r="AL958" s="204"/>
      <c r="AM958" s="204"/>
      <c r="AN958" s="204"/>
      <c r="AO958" s="204"/>
      <c r="AP958" s="204"/>
      <c r="AQ958" s="204"/>
      <c r="AR958" s="204"/>
      <c r="AS958" s="204"/>
      <c r="AT958" s="204"/>
      <c r="AU958" s="204"/>
      <c r="AV958" s="204"/>
      <c r="AW958" s="204"/>
      <c r="AX958" s="204"/>
      <c r="AY958" s="204"/>
      <c r="AZ958" s="204"/>
      <c r="BA958" s="204"/>
      <c r="BB958" s="204"/>
      <c r="BC958" s="204"/>
    </row>
    <row r="959" spans="1:64">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B959" s="204"/>
      <c r="AC959" s="204"/>
      <c r="AD959" s="204"/>
      <c r="AE959" s="204"/>
      <c r="AF959" s="204"/>
      <c r="AG959" s="204"/>
      <c r="AH959" s="204"/>
      <c r="AI959" s="204"/>
      <c r="AJ959" s="204"/>
      <c r="AK959" s="204"/>
      <c r="AL959" s="204"/>
      <c r="AM959" s="204"/>
      <c r="AN959" s="204"/>
      <c r="AO959" s="204"/>
      <c r="AP959" s="204"/>
      <c r="AQ959" s="204"/>
      <c r="AR959" s="204"/>
      <c r="AS959" s="204"/>
      <c r="AT959" s="204"/>
      <c r="AU959" s="204"/>
      <c r="AV959" s="204"/>
      <c r="AW959" s="204"/>
      <c r="AX959" s="204"/>
      <c r="AY959" s="204"/>
      <c r="AZ959" s="204"/>
      <c r="BA959" s="204"/>
      <c r="BB959" s="204"/>
      <c r="BC959" s="204"/>
    </row>
    <row r="960" spans="1:64">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B960" s="204"/>
      <c r="AC960" s="204"/>
      <c r="AD960" s="204"/>
      <c r="AE960" s="204"/>
      <c r="AF960" s="204"/>
      <c r="AG960" s="204"/>
      <c r="AH960" s="204"/>
      <c r="AI960" s="204"/>
      <c r="AJ960" s="204"/>
      <c r="AK960" s="204"/>
      <c r="AL960" s="204"/>
      <c r="AM960" s="204"/>
      <c r="AN960" s="204"/>
      <c r="AO960" s="204"/>
      <c r="AP960" s="204"/>
      <c r="AQ960" s="204"/>
      <c r="AR960" s="204"/>
      <c r="AS960" s="204"/>
      <c r="AT960" s="204"/>
      <c r="AU960" s="204"/>
      <c r="AV960" s="204"/>
      <c r="AW960" s="204"/>
      <c r="AX960" s="204"/>
      <c r="AY960" s="204"/>
      <c r="AZ960" s="204"/>
      <c r="BA960" s="204"/>
      <c r="BB960" s="204"/>
      <c r="BC960" s="204"/>
    </row>
    <row r="961" spans="1:5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B961" s="204"/>
      <c r="AC961" s="204"/>
      <c r="AD961" s="204"/>
      <c r="AE961" s="204"/>
      <c r="AF961" s="204"/>
      <c r="AG961" s="204"/>
      <c r="AH961" s="204"/>
      <c r="AI961" s="204"/>
      <c r="AJ961" s="204"/>
      <c r="AK961" s="204"/>
      <c r="AL961" s="204"/>
      <c r="AM961" s="204"/>
      <c r="AN961" s="204"/>
      <c r="AO961" s="204"/>
      <c r="AP961" s="204"/>
      <c r="AQ961" s="204"/>
      <c r="AR961" s="204"/>
      <c r="AS961" s="204"/>
      <c r="AT961" s="204"/>
      <c r="AU961" s="204"/>
      <c r="AV961" s="204"/>
      <c r="AW961" s="204"/>
      <c r="AX961" s="204"/>
      <c r="AY961" s="204"/>
      <c r="AZ961" s="204"/>
      <c r="BA961" s="204"/>
      <c r="BB961" s="204"/>
      <c r="BC961" s="204"/>
    </row>
    <row r="962" spans="1:5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B962" s="204"/>
      <c r="AC962" s="204"/>
      <c r="AD962" s="204"/>
      <c r="AE962" s="204"/>
      <c r="AF962" s="204"/>
      <c r="AG962" s="204"/>
      <c r="AH962" s="204"/>
      <c r="AI962" s="204"/>
      <c r="AJ962" s="204"/>
      <c r="AK962" s="204"/>
      <c r="AL962" s="204"/>
      <c r="AM962" s="204"/>
      <c r="AN962" s="204"/>
      <c r="AO962" s="204"/>
      <c r="AP962" s="204"/>
      <c r="AQ962" s="204"/>
      <c r="AR962" s="204"/>
      <c r="AS962" s="204"/>
      <c r="AT962" s="204"/>
      <c r="AU962" s="204"/>
      <c r="AV962" s="204"/>
      <c r="AW962" s="204"/>
      <c r="AX962" s="204"/>
      <c r="AY962" s="204"/>
      <c r="AZ962" s="204"/>
      <c r="BA962" s="204"/>
      <c r="BB962" s="204"/>
      <c r="BC962" s="204"/>
    </row>
    <row r="963" spans="1:5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B963" s="204"/>
      <c r="AC963" s="204"/>
      <c r="AD963" s="204"/>
      <c r="AE963" s="204"/>
      <c r="AF963" s="204"/>
      <c r="AG963" s="204"/>
      <c r="AH963" s="204"/>
      <c r="AI963" s="204"/>
      <c r="AJ963" s="204"/>
      <c r="AK963" s="204"/>
      <c r="AL963" s="204"/>
      <c r="AM963" s="204"/>
      <c r="AN963" s="204"/>
      <c r="AO963" s="204"/>
      <c r="AP963" s="204"/>
      <c r="AQ963" s="204"/>
      <c r="AR963" s="204"/>
      <c r="AS963" s="204"/>
      <c r="AT963" s="204"/>
      <c r="AU963" s="204"/>
      <c r="AV963" s="204"/>
      <c r="AW963" s="204"/>
      <c r="AX963" s="204"/>
      <c r="AY963" s="204"/>
      <c r="AZ963" s="204"/>
      <c r="BA963" s="204"/>
      <c r="BB963" s="204"/>
      <c r="BC963" s="204"/>
    </row>
    <row r="964" spans="1:5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B964" s="204"/>
      <c r="AC964" s="204"/>
      <c r="AD964" s="204"/>
      <c r="AE964" s="204"/>
      <c r="AF964" s="204"/>
      <c r="AG964" s="204"/>
      <c r="AH964" s="204"/>
      <c r="AI964" s="204"/>
      <c r="AJ964" s="204"/>
      <c r="AK964" s="204"/>
      <c r="AL964" s="204"/>
      <c r="AM964" s="204"/>
      <c r="AN964" s="204"/>
      <c r="AO964" s="204"/>
      <c r="AP964" s="204"/>
      <c r="AQ964" s="204"/>
      <c r="AR964" s="204"/>
      <c r="AS964" s="204"/>
      <c r="AT964" s="204"/>
      <c r="AU964" s="204"/>
      <c r="AV964" s="204"/>
      <c r="AW964" s="204"/>
      <c r="AX964" s="204"/>
      <c r="AY964" s="204"/>
      <c r="AZ964" s="204"/>
      <c r="BA964" s="204"/>
      <c r="BB964" s="204"/>
      <c r="BC964" s="204"/>
    </row>
    <row r="965" spans="1:5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B965" s="204"/>
      <c r="AC965" s="204"/>
      <c r="AD965" s="204"/>
      <c r="AE965" s="204"/>
      <c r="AF965" s="204"/>
      <c r="AG965" s="204"/>
      <c r="AH965" s="204"/>
      <c r="AI965" s="204"/>
      <c r="AJ965" s="204"/>
      <c r="AK965" s="204"/>
      <c r="AL965" s="204"/>
      <c r="AM965" s="204"/>
      <c r="AN965" s="204"/>
      <c r="AO965" s="204"/>
      <c r="AP965" s="204"/>
      <c r="AQ965" s="204"/>
      <c r="AR965" s="204"/>
      <c r="AS965" s="204"/>
      <c r="AT965" s="204"/>
      <c r="AU965" s="204"/>
      <c r="AV965" s="204"/>
      <c r="AW965" s="204"/>
      <c r="AX965" s="204"/>
      <c r="AY965" s="204"/>
      <c r="AZ965" s="204"/>
      <c r="BA965" s="204"/>
      <c r="BB965" s="204"/>
      <c r="BC965" s="204"/>
    </row>
    <row r="966" spans="1:5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B966" s="204"/>
      <c r="AC966" s="204"/>
      <c r="AD966" s="204"/>
      <c r="AE966" s="204"/>
      <c r="AF966" s="204"/>
      <c r="AG966" s="204"/>
      <c r="AH966" s="204"/>
      <c r="AI966" s="204"/>
      <c r="AJ966" s="204"/>
      <c r="AK966" s="204"/>
      <c r="AL966" s="204"/>
      <c r="AM966" s="204"/>
      <c r="AN966" s="204"/>
      <c r="AO966" s="204"/>
      <c r="AP966" s="204"/>
      <c r="AQ966" s="204"/>
      <c r="AR966" s="204"/>
      <c r="AS966" s="204"/>
      <c r="AT966" s="204"/>
      <c r="AU966" s="204"/>
      <c r="AV966" s="204"/>
      <c r="AW966" s="204"/>
      <c r="AX966" s="204"/>
      <c r="AY966" s="204"/>
      <c r="AZ966" s="204"/>
      <c r="BA966" s="204"/>
      <c r="BB966" s="204"/>
      <c r="BC966" s="204"/>
    </row>
    <row r="967" spans="1:5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B967" s="204"/>
      <c r="AC967" s="204"/>
      <c r="AD967" s="204"/>
      <c r="AE967" s="204"/>
      <c r="AF967" s="204"/>
      <c r="AG967" s="204"/>
      <c r="AH967" s="204"/>
      <c r="AI967" s="204"/>
      <c r="AJ967" s="204"/>
      <c r="AK967" s="204"/>
      <c r="AL967" s="204"/>
      <c r="AM967" s="204"/>
      <c r="AN967" s="204"/>
      <c r="AO967" s="204"/>
      <c r="AP967" s="204"/>
      <c r="AQ967" s="204"/>
      <c r="AR967" s="204"/>
      <c r="AS967" s="204"/>
      <c r="AT967" s="204"/>
      <c r="AU967" s="204"/>
      <c r="AV967" s="204"/>
      <c r="AW967" s="204"/>
      <c r="AX967" s="204"/>
      <c r="AY967" s="204"/>
      <c r="AZ967" s="204"/>
      <c r="BA967" s="204"/>
      <c r="BB967" s="204"/>
      <c r="BC967" s="204"/>
    </row>
    <row r="968" spans="1:5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B968" s="204"/>
      <c r="AC968" s="204"/>
      <c r="AD968" s="204"/>
      <c r="AE968" s="204"/>
      <c r="AF968" s="204"/>
      <c r="AG968" s="204"/>
      <c r="AH968" s="204"/>
      <c r="AI968" s="204"/>
      <c r="AJ968" s="204"/>
      <c r="AK968" s="204"/>
      <c r="AL968" s="204"/>
      <c r="AM968" s="204"/>
      <c r="AN968" s="204"/>
      <c r="AO968" s="204"/>
      <c r="AP968" s="204"/>
      <c r="AQ968" s="204"/>
      <c r="AR968" s="204"/>
      <c r="AS968" s="204"/>
      <c r="AT968" s="204"/>
      <c r="AU968" s="204"/>
      <c r="AV968" s="204"/>
      <c r="AW968" s="204"/>
      <c r="AX968" s="204"/>
      <c r="AY968" s="204"/>
      <c r="AZ968" s="204"/>
      <c r="BA968" s="204"/>
      <c r="BB968" s="204"/>
      <c r="BC968" s="204"/>
    </row>
    <row r="969" spans="1:5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B969" s="204"/>
      <c r="AC969" s="204"/>
      <c r="AD969" s="204"/>
      <c r="AE969" s="204"/>
      <c r="AF969" s="204"/>
      <c r="AG969" s="204"/>
      <c r="AH969" s="204"/>
      <c r="AI969" s="204"/>
      <c r="AJ969" s="204"/>
      <c r="AK969" s="204"/>
      <c r="AL969" s="204"/>
      <c r="AM969" s="204"/>
      <c r="AN969" s="204"/>
      <c r="AO969" s="204"/>
      <c r="AP969" s="204"/>
      <c r="AQ969" s="204"/>
      <c r="AR969" s="204"/>
      <c r="AS969" s="204"/>
      <c r="AT969" s="204"/>
      <c r="AU969" s="204"/>
      <c r="AV969" s="204"/>
      <c r="AW969" s="204"/>
      <c r="AX969" s="204"/>
      <c r="AY969" s="204"/>
      <c r="AZ969" s="204"/>
      <c r="BA969" s="204"/>
      <c r="BB969" s="204"/>
      <c r="BC969" s="204"/>
    </row>
    <row r="970" spans="1:5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B970" s="204"/>
      <c r="AC970" s="204"/>
      <c r="AD970" s="204"/>
      <c r="AE970" s="204"/>
      <c r="AF970" s="204"/>
      <c r="AG970" s="204"/>
      <c r="AH970" s="204"/>
      <c r="AI970" s="204"/>
      <c r="AJ970" s="204"/>
      <c r="AK970" s="204"/>
      <c r="AL970" s="204"/>
      <c r="AM970" s="204"/>
      <c r="AN970" s="204"/>
      <c r="AO970" s="204"/>
      <c r="AP970" s="204"/>
      <c r="AQ970" s="204"/>
      <c r="AR970" s="204"/>
      <c r="AS970" s="204"/>
      <c r="AT970" s="204"/>
      <c r="AU970" s="204"/>
      <c r="AV970" s="204"/>
      <c r="AW970" s="204"/>
      <c r="AX970" s="204"/>
      <c r="AY970" s="204"/>
      <c r="AZ970" s="204"/>
      <c r="BA970" s="204"/>
      <c r="BB970" s="204"/>
      <c r="BC970" s="204"/>
    </row>
    <row r="971" spans="1:5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B971" s="204"/>
      <c r="AC971" s="204"/>
      <c r="AD971" s="204"/>
      <c r="AE971" s="204"/>
      <c r="AF971" s="204"/>
      <c r="AG971" s="204"/>
      <c r="AH971" s="204"/>
      <c r="AI971" s="204"/>
      <c r="AJ971" s="204"/>
      <c r="AK971" s="204"/>
      <c r="AL971" s="204"/>
      <c r="AM971" s="204"/>
      <c r="AN971" s="204"/>
      <c r="AO971" s="204"/>
      <c r="AP971" s="204"/>
      <c r="AQ971" s="204"/>
      <c r="AR971" s="204"/>
      <c r="AS971" s="204"/>
      <c r="AT971" s="204"/>
      <c r="AU971" s="204"/>
      <c r="AV971" s="204"/>
      <c r="AW971" s="204"/>
      <c r="AX971" s="204"/>
      <c r="AY971" s="204"/>
      <c r="AZ971" s="204"/>
      <c r="BA971" s="204"/>
      <c r="BB971" s="204"/>
      <c r="BC971" s="204"/>
    </row>
    <row r="972" spans="1:5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B972" s="204"/>
      <c r="AC972" s="204"/>
      <c r="AD972" s="204"/>
      <c r="AE972" s="204"/>
      <c r="AF972" s="204"/>
      <c r="AG972" s="204"/>
      <c r="AH972" s="204"/>
      <c r="AI972" s="204"/>
      <c r="AJ972" s="204"/>
      <c r="AK972" s="204"/>
      <c r="AL972" s="204"/>
      <c r="AM972" s="204"/>
      <c r="AN972" s="204"/>
      <c r="AO972" s="204"/>
      <c r="AP972" s="204"/>
      <c r="AQ972" s="204"/>
      <c r="AR972" s="204"/>
      <c r="AS972" s="204"/>
      <c r="AT972" s="204"/>
      <c r="AU972" s="204"/>
      <c r="AV972" s="204"/>
      <c r="AW972" s="204"/>
      <c r="AX972" s="204"/>
      <c r="AY972" s="204"/>
      <c r="AZ972" s="204"/>
      <c r="BA972" s="204"/>
      <c r="BB972" s="204"/>
      <c r="BC972" s="204"/>
    </row>
    <row r="973" spans="1:5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B973" s="204"/>
      <c r="AC973" s="204"/>
      <c r="AD973" s="204"/>
      <c r="AE973" s="204"/>
      <c r="AF973" s="204"/>
      <c r="AG973" s="204"/>
      <c r="AH973" s="204"/>
      <c r="AI973" s="204"/>
      <c r="AJ973" s="204"/>
      <c r="AK973" s="204"/>
      <c r="AL973" s="204"/>
      <c r="AM973" s="204"/>
      <c r="AN973" s="204"/>
      <c r="AO973" s="204"/>
      <c r="AP973" s="204"/>
      <c r="AQ973" s="204"/>
      <c r="AR973" s="204"/>
      <c r="AS973" s="204"/>
      <c r="AT973" s="204"/>
      <c r="AU973" s="204"/>
      <c r="AV973" s="204"/>
      <c r="AW973" s="204"/>
      <c r="AX973" s="204"/>
      <c r="AY973" s="204"/>
      <c r="AZ973" s="204"/>
      <c r="BA973" s="204"/>
      <c r="BB973" s="204"/>
      <c r="BC973" s="204"/>
    </row>
    <row r="974" spans="1:5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B974" s="204"/>
      <c r="AC974" s="204"/>
      <c r="AD974" s="204"/>
      <c r="AE974" s="204"/>
      <c r="AF974" s="204"/>
      <c r="AG974" s="204"/>
      <c r="AH974" s="204"/>
      <c r="AI974" s="204"/>
      <c r="AJ974" s="204"/>
      <c r="AK974" s="204"/>
      <c r="AL974" s="204"/>
      <c r="AM974" s="204"/>
      <c r="AN974" s="204"/>
      <c r="AO974" s="204"/>
      <c r="AP974" s="204"/>
      <c r="AQ974" s="204"/>
      <c r="AR974" s="204"/>
      <c r="AS974" s="204"/>
      <c r="AT974" s="204"/>
      <c r="AU974" s="204"/>
      <c r="AV974" s="204"/>
      <c r="AW974" s="204"/>
      <c r="AX974" s="204"/>
      <c r="AY974" s="204"/>
      <c r="AZ974" s="204"/>
      <c r="BA974" s="204"/>
      <c r="BB974" s="204"/>
      <c r="BC974" s="204"/>
    </row>
    <row r="975" spans="1:5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B975" s="204"/>
      <c r="AC975" s="204"/>
      <c r="AD975" s="204"/>
      <c r="AE975" s="204"/>
      <c r="AF975" s="204"/>
      <c r="AG975" s="204"/>
      <c r="AH975" s="204"/>
      <c r="AI975" s="204"/>
      <c r="AJ975" s="204"/>
      <c r="AK975" s="204"/>
      <c r="AL975" s="204"/>
      <c r="AM975" s="204"/>
      <c r="AN975" s="204"/>
      <c r="AO975" s="204"/>
      <c r="AP975" s="204"/>
      <c r="AQ975" s="204"/>
      <c r="AR975" s="204"/>
      <c r="AS975" s="204"/>
      <c r="AT975" s="204"/>
      <c r="AU975" s="204"/>
      <c r="AV975" s="204"/>
      <c r="AW975" s="204"/>
      <c r="AX975" s="204"/>
      <c r="AY975" s="204"/>
      <c r="AZ975" s="204"/>
      <c r="BA975" s="204"/>
      <c r="BB975" s="204"/>
      <c r="BC975" s="204"/>
    </row>
    <row r="976" spans="1:5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B976" s="204"/>
      <c r="AC976" s="204"/>
      <c r="AD976" s="204"/>
      <c r="AE976" s="204"/>
      <c r="AF976" s="204"/>
      <c r="AG976" s="204"/>
      <c r="AH976" s="204"/>
      <c r="AI976" s="204"/>
      <c r="AJ976" s="204"/>
      <c r="AK976" s="204"/>
      <c r="AL976" s="204"/>
      <c r="AM976" s="204"/>
      <c r="AN976" s="204"/>
      <c r="AO976" s="204"/>
      <c r="AP976" s="204"/>
      <c r="AQ976" s="204"/>
      <c r="AR976" s="204"/>
      <c r="AS976" s="204"/>
      <c r="AT976" s="204"/>
      <c r="AU976" s="204"/>
      <c r="AV976" s="204"/>
      <c r="AW976" s="204"/>
      <c r="AX976" s="204"/>
      <c r="AY976" s="204"/>
      <c r="AZ976" s="204"/>
      <c r="BA976" s="204"/>
      <c r="BB976" s="204"/>
      <c r="BC976" s="204"/>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2:26">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2:26">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2:26">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2:26">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2:26">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2:26">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2:26">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2:26">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spans="2:26">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spans="2:26">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spans="2:26">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spans="2:26">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spans="2:26">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2:26">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2:26">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2:26">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2:26">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2:26">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2:26">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2:26">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2:26">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2:26">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2:26">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2:26">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2:26">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2:26">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2:26">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2:26">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2:26">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2:26">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spans="2:26">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spans="2:26">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spans="2:26">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2:26">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2:26">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2:26">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2:26">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2:26">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2:26">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2:26">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2:26">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2:26">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2:26">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2:26">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2:26">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2:26">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2:26">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2:26">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2:26">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2:26">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2:26">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2:26">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2:26">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2:26">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2:26">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2: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2: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2: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2: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2: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2: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2: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2: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2: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sheetData>
  <mergeCells count="30">
    <mergeCell ref="E207:E217"/>
    <mergeCell ref="E220:E230"/>
    <mergeCell ref="E259:E269"/>
    <mergeCell ref="E272:E282"/>
    <mergeCell ref="E233:E243"/>
    <mergeCell ref="E246:E256"/>
    <mergeCell ref="E194:E204"/>
    <mergeCell ref="E129:E139"/>
    <mergeCell ref="E142:E152"/>
    <mergeCell ref="E155:E165"/>
    <mergeCell ref="E168:E178"/>
    <mergeCell ref="E77:E87"/>
    <mergeCell ref="E90:E100"/>
    <mergeCell ref="E103:E113"/>
    <mergeCell ref="E116:E126"/>
    <mergeCell ref="E181:E191"/>
    <mergeCell ref="E337:E347"/>
    <mergeCell ref="E350:E360"/>
    <mergeCell ref="E363:E373"/>
    <mergeCell ref="E376:E386"/>
    <mergeCell ref="E285:E295"/>
    <mergeCell ref="E298:E308"/>
    <mergeCell ref="E311:E321"/>
    <mergeCell ref="E324:E334"/>
    <mergeCell ref="E441:E451"/>
    <mergeCell ref="E454:E464"/>
    <mergeCell ref="E389:E399"/>
    <mergeCell ref="E402:E412"/>
    <mergeCell ref="E415:E425"/>
    <mergeCell ref="E428:E438"/>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954" max="16383" man="1"/>
  </rowBreaks>
  <colBreaks count="1" manualBreakCount="1">
    <brk id="1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810"/>
  <sheetViews>
    <sheetView zoomScaleNormal="100" workbookViewId="0">
      <pane ySplit="4" topLeftCell="A5" activePane="bottomLeft" state="frozen"/>
      <selection pane="bottomLeft" activeCell="L361" sqref="L361"/>
    </sheetView>
  </sheetViews>
  <sheetFormatPr defaultRowHeight="13.2" outlineLevelRow="1"/>
  <cols>
    <col min="1" max="1" width="1.88671875" customWidth="1"/>
    <col min="2" max="2" width="2.44140625" customWidth="1"/>
    <col min="3" max="3" width="24.6640625" customWidth="1"/>
    <col min="4" max="4" width="17.33203125" customWidth="1"/>
    <col min="5" max="5" width="3.6640625" customWidth="1"/>
    <col min="6" max="6" width="3.5546875" customWidth="1"/>
    <col min="7" max="7" width="12.6640625" bestFit="1" customWidth="1"/>
    <col min="8" max="8" width="10" customWidth="1"/>
    <col min="9" max="9" width="10.109375" customWidth="1"/>
    <col min="10" max="11" width="10" customWidth="1"/>
    <col min="12" max="12" width="10.6640625" customWidth="1"/>
    <col min="13" max="13" width="11" customWidth="1"/>
    <col min="14" max="14" width="10.33203125" bestFit="1" customWidth="1"/>
    <col min="15" max="15" width="10" bestFit="1" customWidth="1"/>
    <col min="16" max="26" width="9.5546875" bestFit="1" customWidth="1"/>
    <col min="27" max="27" width="9.5546875" style="204" bestFit="1" customWidth="1"/>
    <col min="28" max="62" width="9.554687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27"/>
      <c r="BL1" s="227"/>
    </row>
    <row r="2" spans="1:256" ht="15.6">
      <c r="A2" s="9"/>
      <c r="B2" s="9"/>
      <c r="C2" s="58"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256" s="1" customFormat="1">
      <c r="A3" s="59"/>
      <c r="B3" s="59"/>
      <c r="C3" s="60"/>
      <c r="D3" s="59"/>
      <c r="E3" s="59"/>
      <c r="F3" s="59"/>
      <c r="G3" s="61">
        <v>0</v>
      </c>
      <c r="H3" s="61">
        <f t="shared" ref="H3:M3" si="0">G3+1</f>
        <v>1</v>
      </c>
      <c r="I3" s="61">
        <f t="shared" si="0"/>
        <v>2</v>
      </c>
      <c r="J3" s="61">
        <f t="shared" si="0"/>
        <v>3</v>
      </c>
      <c r="K3" s="61">
        <f t="shared" si="0"/>
        <v>4</v>
      </c>
      <c r="L3" s="61">
        <f t="shared" si="0"/>
        <v>5</v>
      </c>
      <c r="M3" s="61">
        <f t="shared" si="0"/>
        <v>6</v>
      </c>
      <c r="N3" s="53"/>
      <c r="O3" s="53"/>
      <c r="P3" s="53"/>
      <c r="Q3" s="53"/>
      <c r="R3" s="53"/>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6">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1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27"/>
      <c r="BL4" s="227"/>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255"/>
      <c r="B5" s="255"/>
      <c r="C5" s="182" t="s">
        <v>95</v>
      </c>
      <c r="D5" s="255"/>
      <c r="E5" s="255"/>
      <c r="F5" s="255"/>
      <c r="G5" s="255"/>
      <c r="H5" s="255"/>
      <c r="I5" s="255"/>
      <c r="J5" s="255"/>
      <c r="K5" s="255"/>
      <c r="L5" s="255"/>
      <c r="M5" s="255"/>
      <c r="N5" s="255"/>
      <c r="O5" s="255"/>
      <c r="P5" s="255"/>
      <c r="Q5" s="255"/>
      <c r="R5" s="255"/>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7"/>
      <c r="BL5" s="227"/>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4"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7"/>
      <c r="BL6" s="227"/>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4" t="s">
        <v>85</v>
      </c>
      <c r="D7" s="9"/>
      <c r="E7" s="9"/>
      <c r="F7" s="9"/>
      <c r="G7" s="317">
        <f>SUM(G8:G37)</f>
        <v>850.48215020415546</v>
      </c>
      <c r="H7" s="369">
        <f>SUM(H8:H37)</f>
        <v>951.44464304669577</v>
      </c>
      <c r="I7" s="369">
        <f t="shared" ref="I7:P7" si="1">SUM(I8:I37)</f>
        <v>1068.6084014067494</v>
      </c>
      <c r="J7" s="369">
        <f t="shared" si="1"/>
        <v>1170.92621750375</v>
      </c>
      <c r="K7" s="369">
        <f t="shared" si="1"/>
        <v>1270.9804875868954</v>
      </c>
      <c r="L7" s="369">
        <f t="shared" si="1"/>
        <v>1335.4954732894739</v>
      </c>
      <c r="M7" s="141">
        <f t="shared" si="1"/>
        <v>0</v>
      </c>
      <c r="N7" s="141">
        <f t="shared" si="1"/>
        <v>0</v>
      </c>
      <c r="O7" s="141">
        <f t="shared" si="1"/>
        <v>0</v>
      </c>
      <c r="P7" s="141">
        <f t="shared" si="1"/>
        <v>0</v>
      </c>
      <c r="Q7" s="141">
        <f>SUM(Q8:Q37)</f>
        <v>0</v>
      </c>
      <c r="R7" s="141"/>
      <c r="S7" s="140"/>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27"/>
      <c r="BL7" s="227"/>
    </row>
    <row r="8" spans="1:256" hidden="1" outlineLevel="1">
      <c r="A8" s="9"/>
      <c r="B8" s="9"/>
      <c r="C8" s="9"/>
      <c r="D8" s="278" t="str">
        <f>Asset1</f>
        <v>Transmission Lines and Cables</v>
      </c>
      <c r="E8" s="9"/>
      <c r="F8" s="9"/>
      <c r="G8" s="207">
        <f>'Actual RAB roll forward'!G470</f>
        <v>301.73003727544352</v>
      </c>
      <c r="H8" s="370">
        <f t="shared" ref="H8:H27" si="2">G8+G40+G72+G104+G136+G168</f>
        <v>293.69509346172714</v>
      </c>
      <c r="I8" s="370">
        <f t="shared" ref="I8:L27" si="3">H8+H40+H72</f>
        <v>287.87338874353077</v>
      </c>
      <c r="J8" s="370">
        <f t="shared" si="3"/>
        <v>282.75218662646068</v>
      </c>
      <c r="K8" s="370">
        <f t="shared" si="3"/>
        <v>272.02514885797677</v>
      </c>
      <c r="L8" s="370">
        <f t="shared" si="3"/>
        <v>263.1501368516461</v>
      </c>
      <c r="M8" s="114">
        <f>IF(COUNT($H8:L8)&gt;=Input!$W$7,0,L8+L40+L72)</f>
        <v>0</v>
      </c>
      <c r="N8" s="114">
        <f>IF(COUNT($H8:M8)&gt;=Input!$W$7,0,M8+M40+M72)</f>
        <v>0</v>
      </c>
      <c r="O8" s="114">
        <f>IF(COUNT($H8:N8)&gt;=Input!$W$7,0,N8+N40+N72)</f>
        <v>0</v>
      </c>
      <c r="P8" s="114">
        <f>IF(COUNT($H8:O8)&gt;=Input!$W$7,0,O8+O40+O72)</f>
        <v>0</v>
      </c>
      <c r="Q8" s="114">
        <f>IF(COUNT($H8:P8)&gt;=Input!$W$7,0,P8+P40+P72)</f>
        <v>0</v>
      </c>
      <c r="R8" s="114"/>
      <c r="S8" s="9"/>
      <c r="T8" s="9"/>
      <c r="U8" s="9"/>
      <c r="V8" s="9"/>
      <c r="W8" s="9"/>
      <c r="X8" s="9"/>
      <c r="Y8" s="9"/>
      <c r="Z8" s="9"/>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row>
    <row r="9" spans="1:256" hidden="1" outlineLevel="1">
      <c r="A9" s="9"/>
      <c r="B9" s="9"/>
      <c r="C9" s="44"/>
      <c r="D9" s="278" t="str">
        <f>Asset2</f>
        <v>Transmission Substations</v>
      </c>
      <c r="E9" s="9"/>
      <c r="F9" s="9"/>
      <c r="G9" s="207">
        <f>'Actual RAB roll forward'!G471</f>
        <v>360.43130612945083</v>
      </c>
      <c r="H9" s="370">
        <f t="shared" si="2"/>
        <v>391.58650968027865</v>
      </c>
      <c r="I9" s="370">
        <f t="shared" si="3"/>
        <v>388.64400108973086</v>
      </c>
      <c r="J9" s="370">
        <f t="shared" si="3"/>
        <v>386.37607214518869</v>
      </c>
      <c r="K9" s="370">
        <f t="shared" si="3"/>
        <v>377.35791621929479</v>
      </c>
      <c r="L9" s="370">
        <f t="shared" si="3"/>
        <v>371.4206900535936</v>
      </c>
      <c r="M9" s="114">
        <f>IF(COUNT($H9:L9)&gt;=Input!$W$7,0,L9+L41+L73)</f>
        <v>0</v>
      </c>
      <c r="N9" s="114">
        <f>IF(COUNT($H9:M9)&gt;=Input!$W$7,0,M9+M41+M73)</f>
        <v>0</v>
      </c>
      <c r="O9" s="114">
        <f>IF(COUNT($H9:N9)&gt;=Input!$W$7,0,N9+N41+N73)</f>
        <v>0</v>
      </c>
      <c r="P9" s="114">
        <f>IF(COUNT($H9:O9)&gt;=Input!$W$7,0,O9+O41+O73)</f>
        <v>0</v>
      </c>
      <c r="Q9" s="114">
        <f>IF(COUNT($H9:P9)&gt;=Input!$W$7,0,P9+P41+P73)</f>
        <v>0</v>
      </c>
      <c r="R9" s="114"/>
      <c r="S9" s="104"/>
      <c r="T9" s="104"/>
      <c r="U9" s="104"/>
      <c r="V9" s="104"/>
      <c r="W9" s="104"/>
      <c r="X9" s="104"/>
      <c r="Y9" s="104"/>
      <c r="Z9" s="104"/>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7"/>
      <c r="BL9" s="227"/>
    </row>
    <row r="10" spans="1:256" hidden="1" outlineLevel="1">
      <c r="A10" s="9"/>
      <c r="B10" s="9"/>
      <c r="C10" s="44"/>
      <c r="D10" s="278" t="str">
        <f>Asset3</f>
        <v>Protection and Control</v>
      </c>
      <c r="E10" s="9"/>
      <c r="F10" s="9"/>
      <c r="G10" s="207">
        <f>'Actual RAB roll forward'!G472</f>
        <v>38.883000464697361</v>
      </c>
      <c r="H10" s="370">
        <f t="shared" si="2"/>
        <v>49.846266797470605</v>
      </c>
      <c r="I10" s="370">
        <f t="shared" si="3"/>
        <v>45.336514494626712</v>
      </c>
      <c r="J10" s="370">
        <f t="shared" si="3"/>
        <v>40.68021201988288</v>
      </c>
      <c r="K10" s="370">
        <f t="shared" si="3"/>
        <v>35.002808287110007</v>
      </c>
      <c r="L10" s="370">
        <f t="shared" si="3"/>
        <v>29.456550119637445</v>
      </c>
      <c r="M10" s="114">
        <f>IF(COUNT($H10:L10)&gt;=Input!$W$7,0,L10+L42+L74)</f>
        <v>0</v>
      </c>
      <c r="N10" s="114">
        <f>IF(COUNT($H10:M10)&gt;=Input!$W$7,0,M10+M42+M74)</f>
        <v>0</v>
      </c>
      <c r="O10" s="114">
        <f>IF(COUNT($H10:N10)&gt;=Input!$W$7,0,N10+N42+N74)</f>
        <v>0</v>
      </c>
      <c r="P10" s="114">
        <f>IF(COUNT($H10:O10)&gt;=Input!$W$7,0,O10+O42+O74)</f>
        <v>0</v>
      </c>
      <c r="Q10" s="114">
        <f>IF(COUNT($H10:P10)&gt;=Input!$W$7,0,P10+P42+P74)</f>
        <v>0</v>
      </c>
      <c r="R10" s="114"/>
      <c r="S10" s="104"/>
      <c r="T10" s="104"/>
      <c r="U10" s="104"/>
      <c r="V10" s="104"/>
      <c r="W10" s="104"/>
      <c r="X10" s="104"/>
      <c r="Y10" s="104"/>
      <c r="Z10" s="104"/>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7"/>
      <c r="BL10" s="227"/>
    </row>
    <row r="11" spans="1:256" hidden="1" outlineLevel="1">
      <c r="A11" s="9"/>
      <c r="B11" s="9"/>
      <c r="C11" s="44"/>
      <c r="D11" s="278" t="str">
        <f>Asset4</f>
        <v>Refurbishment</v>
      </c>
      <c r="E11" s="9"/>
      <c r="F11" s="9"/>
      <c r="G11" s="207">
        <f>'Actual RAB roll forward'!G473</f>
        <v>44.713904308731671</v>
      </c>
      <c r="H11" s="370">
        <f t="shared" si="2"/>
        <v>22.665124185608324</v>
      </c>
      <c r="I11" s="370">
        <f t="shared" si="3"/>
        <v>21.00098104965161</v>
      </c>
      <c r="J11" s="370">
        <f t="shared" si="3"/>
        <v>19.315315214752168</v>
      </c>
      <c r="K11" s="370">
        <f t="shared" si="3"/>
        <v>17.156165168412731</v>
      </c>
      <c r="L11" s="370">
        <f t="shared" si="3"/>
        <v>15.081212740375012</v>
      </c>
      <c r="M11" s="114">
        <f>IF(COUNT($H11:L11)&gt;=Input!$W$7,0,L11+L43+L75)</f>
        <v>0</v>
      </c>
      <c r="N11" s="114">
        <f>IF(COUNT($H11:M11)&gt;=Input!$W$7,0,M11+M43+M75)</f>
        <v>0</v>
      </c>
      <c r="O11" s="114">
        <f>IF(COUNT($H11:N11)&gt;=Input!$W$7,0,N11+N43+N75)</f>
        <v>0</v>
      </c>
      <c r="P11" s="114">
        <f>IF(COUNT($H11:O11)&gt;=Input!$W$7,0,O11+O43+O75)</f>
        <v>0</v>
      </c>
      <c r="Q11" s="114">
        <f>IF(COUNT($H11:P11)&gt;=Input!$W$7,0,P11+P43+P75)</f>
        <v>0</v>
      </c>
      <c r="R11" s="114"/>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7"/>
      <c r="BL11" s="227"/>
    </row>
    <row r="12" spans="1:256" hidden="1" outlineLevel="1">
      <c r="A12" s="9"/>
      <c r="B12" s="9"/>
      <c r="C12" s="44"/>
      <c r="D12" s="278" t="str">
        <f>Asset5</f>
        <v>Other</v>
      </c>
      <c r="E12" s="9"/>
      <c r="F12" s="9"/>
      <c r="G12" s="207">
        <f>'Actual RAB roll forward'!G474</f>
        <v>12.072309662925591</v>
      </c>
      <c r="H12" s="370">
        <f t="shared" si="2"/>
        <v>9.9493177652391811</v>
      </c>
      <c r="I12" s="370">
        <f t="shared" si="3"/>
        <v>8.3032668906730329</v>
      </c>
      <c r="J12" s="370">
        <f t="shared" si="3"/>
        <v>6.5908085161051186</v>
      </c>
      <c r="K12" s="370">
        <f t="shared" si="3"/>
        <v>4.6397051724745184</v>
      </c>
      <c r="L12" s="370">
        <f t="shared" si="3"/>
        <v>2.6676999234047383</v>
      </c>
      <c r="M12" s="114">
        <f>IF(COUNT($H12:L12)&gt;=Input!$W$7,0,L12+L44+L76)</f>
        <v>0</v>
      </c>
      <c r="N12" s="114">
        <f>IF(COUNT($H12:M12)&gt;=Input!$W$7,0,M12+M44+M76)</f>
        <v>0</v>
      </c>
      <c r="O12" s="114">
        <f>IF(COUNT($H12:N12)&gt;=Input!$W$7,0,N12+N44+N76)</f>
        <v>0</v>
      </c>
      <c r="P12" s="114">
        <f>IF(COUNT($H12:O12)&gt;=Input!$W$7,0,O12+O44+O76)</f>
        <v>0</v>
      </c>
      <c r="Q12" s="114">
        <f>IF(COUNT($H12:P12)&gt;=Input!$W$7,0,P12+P44+P76)</f>
        <v>0</v>
      </c>
      <c r="R12" s="114"/>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7"/>
      <c r="BL12" s="227"/>
    </row>
    <row r="13" spans="1:256" hidden="1" outlineLevel="1">
      <c r="A13" s="9"/>
      <c r="B13" s="9"/>
      <c r="C13" s="44"/>
      <c r="D13" s="278" t="str">
        <f>Asset6</f>
        <v>Other - IT</v>
      </c>
      <c r="E13" s="9"/>
      <c r="F13" s="9"/>
      <c r="G13" s="207">
        <f>'Actual RAB roll forward'!G475</f>
        <v>0.58752110984938422</v>
      </c>
      <c r="H13" s="370">
        <f t="shared" si="2"/>
        <v>23.121263449639123</v>
      </c>
      <c r="I13" s="370">
        <f t="shared" si="3"/>
        <v>11.943298119232832</v>
      </c>
      <c r="J13" s="370">
        <f t="shared" si="3"/>
        <v>0.14829966419534024</v>
      </c>
      <c r="K13" s="370">
        <f t="shared" si="3"/>
        <v>0.15246349858157551</v>
      </c>
      <c r="L13" s="370">
        <f t="shared" si="3"/>
        <v>0.15812151212646913</v>
      </c>
      <c r="M13" s="114">
        <f>IF(COUNT($H13:L13)&gt;=Input!$W$7,0,L13+L45+L77)</f>
        <v>0</v>
      </c>
      <c r="N13" s="114">
        <f>IF(COUNT($H13:M13)&gt;=Input!$W$7,0,M13+M45+M77)</f>
        <v>0</v>
      </c>
      <c r="O13" s="114">
        <f>IF(COUNT($H13:N13)&gt;=Input!$W$7,0,N13+N45+N77)</f>
        <v>0</v>
      </c>
      <c r="P13" s="114">
        <f>IF(COUNT($H13:O13)&gt;=Input!$W$7,0,O13+O45+O77)</f>
        <v>0</v>
      </c>
      <c r="Q13" s="114">
        <f>IF(COUNT($H13:P13)&gt;=Input!$W$7,0,P13+P45+P77)</f>
        <v>0</v>
      </c>
      <c r="R13" s="114"/>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7"/>
      <c r="BL13" s="227"/>
    </row>
    <row r="14" spans="1:256" hidden="1" outlineLevel="1">
      <c r="A14" s="9"/>
      <c r="B14" s="9"/>
      <c r="C14" s="44"/>
      <c r="D14" s="278" t="str">
        <f>Asset7</f>
        <v>Other - General</v>
      </c>
      <c r="E14" s="9"/>
      <c r="F14" s="9"/>
      <c r="G14" s="207">
        <f>'Actual RAB roll forward'!G476</f>
        <v>2.5195490511140073</v>
      </c>
      <c r="H14" s="370">
        <f t="shared" si="2"/>
        <v>-3.9892322403421208</v>
      </c>
      <c r="I14" s="370">
        <f t="shared" si="3"/>
        <v>-2.7419079413580656</v>
      </c>
      <c r="J14" s="370">
        <f t="shared" si="3"/>
        <v>-1.4314168474623092</v>
      </c>
      <c r="K14" s="370">
        <f t="shared" si="3"/>
        <v>-5.4815483001668941E-3</v>
      </c>
      <c r="L14" s="370">
        <f t="shared" si="3"/>
        <v>-5.618724183554454E-3</v>
      </c>
      <c r="M14" s="114">
        <f>IF(COUNT($H14:L14)&gt;=Input!$W$7,0,L14+L46+L78)</f>
        <v>0</v>
      </c>
      <c r="N14" s="114">
        <f>IF(COUNT($H14:M14)&gt;=Input!$W$7,0,M14+M46+M78)</f>
        <v>0</v>
      </c>
      <c r="O14" s="114">
        <f>IF(COUNT($H14:N14)&gt;=Input!$W$7,0,N14+N46+N78)</f>
        <v>0</v>
      </c>
      <c r="P14" s="114">
        <f>IF(COUNT($H14:O14)&gt;=Input!$W$7,0,O14+O46+O78)</f>
        <v>0</v>
      </c>
      <c r="Q14" s="114">
        <f>IF(COUNT($H14:P14)&gt;=Input!$W$7,0,P14+P46+P78)</f>
        <v>0</v>
      </c>
      <c r="R14" s="114"/>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7"/>
      <c r="BL14" s="227"/>
    </row>
    <row r="15" spans="1:256" hidden="1" outlineLevel="1">
      <c r="A15" s="9"/>
      <c r="B15" s="9"/>
      <c r="C15" s="44"/>
      <c r="D15" s="278" t="str">
        <f>Asset8</f>
        <v>Other - Buildings</v>
      </c>
      <c r="E15" s="9"/>
      <c r="F15" s="9"/>
      <c r="G15" s="207">
        <f>'Actual RAB roll forward'!G477</f>
        <v>6.5807877703110798</v>
      </c>
      <c r="H15" s="370">
        <f t="shared" si="2"/>
        <v>21.253631705639343</v>
      </c>
      <c r="I15" s="370">
        <f t="shared" si="3"/>
        <v>21.266544488989943</v>
      </c>
      <c r="J15" s="370">
        <f t="shared" si="3"/>
        <v>21.357163973964497</v>
      </c>
      <c r="K15" s="370">
        <f t="shared" si="3"/>
        <v>21.056716844821594</v>
      </c>
      <c r="L15" s="370">
        <f t="shared" si="3"/>
        <v>20.934663892253397</v>
      </c>
      <c r="M15" s="114">
        <f>IF(COUNT($H15:L15)&gt;=Input!$W$7,0,L15+L47+L79)</f>
        <v>0</v>
      </c>
      <c r="N15" s="114">
        <f>IF(COUNT($H15:M15)&gt;=Input!$W$7,0,M15+M47+M79)</f>
        <v>0</v>
      </c>
      <c r="O15" s="114">
        <f>IF(COUNT($H15:N15)&gt;=Input!$W$7,0,N15+N47+N79)</f>
        <v>0</v>
      </c>
      <c r="P15" s="114">
        <f>IF(COUNT($H15:O15)&gt;=Input!$W$7,0,O15+O47+O79)</f>
        <v>0</v>
      </c>
      <c r="Q15" s="114">
        <f>IF(COUNT($H15:P15)&gt;=Input!$W$7,0,P15+P47+P79)</f>
        <v>0</v>
      </c>
      <c r="R15" s="114"/>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7"/>
      <c r="BL15" s="227"/>
    </row>
    <row r="16" spans="1:256" hidden="1" outlineLevel="1">
      <c r="A16" s="9"/>
      <c r="B16" s="9"/>
      <c r="C16" s="44"/>
      <c r="D16" s="278" t="str">
        <f>Asset9</f>
        <v>Land and Easements</v>
      </c>
      <c r="E16" s="9"/>
      <c r="F16" s="9"/>
      <c r="G16" s="207">
        <f>'Actual RAB roll forward'!G478</f>
        <v>82.96373443163202</v>
      </c>
      <c r="H16" s="370">
        <f t="shared" si="2"/>
        <v>88.002304241435738</v>
      </c>
      <c r="I16" s="370">
        <f t="shared" si="3"/>
        <v>90.543887035412212</v>
      </c>
      <c r="J16" s="370">
        <f t="shared" si="3"/>
        <v>93.562016603259281</v>
      </c>
      <c r="K16" s="370">
        <f t="shared" si="3"/>
        <v>95.044606566412241</v>
      </c>
      <c r="L16" s="370">
        <f t="shared" si="3"/>
        <v>97.423100224230367</v>
      </c>
      <c r="M16" s="114">
        <f>IF(COUNT($H16:L16)&gt;=Input!$W$7,0,L16+L48+L80)</f>
        <v>0</v>
      </c>
      <c r="N16" s="114">
        <f>IF(COUNT($H16:M16)&gt;=Input!$W$7,0,M16+M48+M80)</f>
        <v>0</v>
      </c>
      <c r="O16" s="114">
        <f>IF(COUNT($H16:N16)&gt;=Input!$W$7,0,N16+N48+N80)</f>
        <v>0</v>
      </c>
      <c r="P16" s="114">
        <f>IF(COUNT($H16:O16)&gt;=Input!$W$7,0,O16+O48+O80)</f>
        <v>0</v>
      </c>
      <c r="Q16" s="114">
        <f>IF(COUNT($H16:P16)&gt;=Input!$W$7,0,P16+P48+P80)</f>
        <v>0</v>
      </c>
      <c r="R16" s="114"/>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7"/>
      <c r="BL16" s="227"/>
    </row>
    <row r="17" spans="1:64" hidden="1" outlineLevel="1">
      <c r="A17" s="9"/>
      <c r="B17" s="9"/>
      <c r="C17" s="44"/>
      <c r="D17" s="278" t="str">
        <f>Asset10</f>
        <v>Transmission line assets - long life (60)</v>
      </c>
      <c r="E17" s="9"/>
      <c r="F17" s="9"/>
      <c r="G17" s="207">
        <f>'Actual RAB roll forward'!G479</f>
        <v>0</v>
      </c>
      <c r="H17" s="370">
        <f t="shared" si="2"/>
        <v>27.66680798284586</v>
      </c>
      <c r="I17" s="370">
        <f t="shared" si="3"/>
        <v>92.310585960736006</v>
      </c>
      <c r="J17" s="370">
        <f t="shared" si="3"/>
        <v>125.74070397631078</v>
      </c>
      <c r="K17" s="370">
        <f t="shared" si="3"/>
        <v>143.7798761171029</v>
      </c>
      <c r="L17" s="370">
        <f t="shared" si="3"/>
        <v>165.81637745715099</v>
      </c>
      <c r="M17" s="114">
        <f>IF(COUNT($H17:L17)&gt;=Input!$W$7,0,L17+L49+L81)</f>
        <v>0</v>
      </c>
      <c r="N17" s="114">
        <f>IF(COUNT($H17:M17)&gt;=Input!$W$7,0,M17+M49+M81)</f>
        <v>0</v>
      </c>
      <c r="O17" s="114">
        <f>IF(COUNT($H17:N17)&gt;=Input!$W$7,0,N17+N49+N81)</f>
        <v>0</v>
      </c>
      <c r="P17" s="114">
        <f>IF(COUNT($H17:O17)&gt;=Input!$W$7,0,O17+O49+O81)</f>
        <v>0</v>
      </c>
      <c r="Q17" s="114">
        <f>IF(COUNT($H17:P17)&gt;=Input!$W$7,0,P17+P49+P81)</f>
        <v>0</v>
      </c>
      <c r="R17" s="114"/>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7"/>
      <c r="BL17" s="227"/>
    </row>
    <row r="18" spans="1:64" hidden="1" outlineLevel="1">
      <c r="A18" s="9"/>
      <c r="B18" s="9"/>
      <c r="C18" s="44"/>
      <c r="D18" s="278" t="str">
        <f>Asset11</f>
        <v>Transmission line assets - medium life (45)</v>
      </c>
      <c r="E18" s="9"/>
      <c r="F18" s="9"/>
      <c r="G18" s="207">
        <f>'Actual RAB roll forward'!G480</f>
        <v>0</v>
      </c>
      <c r="H18" s="370">
        <f t="shared" si="2"/>
        <v>0.7908975054500671</v>
      </c>
      <c r="I18" s="370">
        <f t="shared" si="3"/>
        <v>1.5493988269492391</v>
      </c>
      <c r="J18" s="370">
        <f t="shared" si="3"/>
        <v>6.8773371001882975</v>
      </c>
      <c r="K18" s="370">
        <f t="shared" si="3"/>
        <v>20.498044690447816</v>
      </c>
      <c r="L18" s="370">
        <f t="shared" si="3"/>
        <v>22.463561847458177</v>
      </c>
      <c r="M18" s="114">
        <f>IF(COUNT($H18:L18)&gt;=Input!$W$7,0,L18+L50+L82)</f>
        <v>0</v>
      </c>
      <c r="N18" s="114">
        <f>IF(COUNT($H18:M18)&gt;=Input!$W$7,0,M18+M50+M82)</f>
        <v>0</v>
      </c>
      <c r="O18" s="114">
        <f>IF(COUNT($H18:N18)&gt;=Input!$W$7,0,N18+N50+N82)</f>
        <v>0</v>
      </c>
      <c r="P18" s="114">
        <f>IF(COUNT($H18:O18)&gt;=Input!$W$7,0,O18+O50+O82)</f>
        <v>0</v>
      </c>
      <c r="Q18" s="114">
        <f>IF(COUNT($H18:P18)&gt;=Input!$W$7,0,P18+P50+P82)</f>
        <v>0</v>
      </c>
      <c r="R18" s="114"/>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7"/>
      <c r="BL18" s="227"/>
    </row>
    <row r="19" spans="1:64" hidden="1" outlineLevel="1">
      <c r="A19" s="9"/>
      <c r="B19" s="9"/>
      <c r="C19" s="44"/>
      <c r="D19" s="278" t="str">
        <f>Asset12</f>
        <v>Transmission line assets - short life (10)</v>
      </c>
      <c r="E19" s="9"/>
      <c r="F19" s="9"/>
      <c r="G19" s="207">
        <f>'Actual RAB roll forward'!G481</f>
        <v>0</v>
      </c>
      <c r="H19" s="370">
        <f t="shared" si="2"/>
        <v>2.0824479126873228</v>
      </c>
      <c r="I19" s="370">
        <f t="shared" si="3"/>
        <v>6.8718305602559902</v>
      </c>
      <c r="J19" s="370">
        <f t="shared" si="3"/>
        <v>9.5580513455797362</v>
      </c>
      <c r="K19" s="370">
        <f t="shared" si="3"/>
        <v>11.058212376226157</v>
      </c>
      <c r="L19" s="370">
        <f t="shared" si="3"/>
        <v>13.33676514439874</v>
      </c>
      <c r="M19" s="114">
        <f>IF(COUNT($H19:L19)&gt;=Input!$W$7,0,L19+L51+L83)</f>
        <v>0</v>
      </c>
      <c r="N19" s="114">
        <f>IF(COUNT($H19:M19)&gt;=Input!$W$7,0,M19+M51+M83)</f>
        <v>0</v>
      </c>
      <c r="O19" s="114">
        <f>IF(COUNT($H19:N19)&gt;=Input!$W$7,0,N19+N51+N83)</f>
        <v>0</v>
      </c>
      <c r="P19" s="114">
        <f>IF(COUNT($H19:O19)&gt;=Input!$W$7,0,O19+O51+O83)</f>
        <v>0</v>
      </c>
      <c r="Q19" s="114">
        <f>IF(COUNT($H19:P19)&gt;=Input!$W$7,0,P19+P51+P83)</f>
        <v>0</v>
      </c>
      <c r="R19" s="114"/>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7"/>
      <c r="BL19" s="227"/>
    </row>
    <row r="20" spans="1:64" hidden="1" outlineLevel="1">
      <c r="A20" s="9"/>
      <c r="B20" s="9"/>
      <c r="C20" s="44"/>
      <c r="D20" s="278" t="str">
        <f>Asset13</f>
        <v>Substation assets - long life (60)</v>
      </c>
      <c r="E20" s="9"/>
      <c r="F20" s="9"/>
      <c r="G20" s="207">
        <f>'Actual RAB roll forward'!G482</f>
        <v>0</v>
      </c>
      <c r="H20" s="370">
        <f t="shared" si="2"/>
        <v>3.63820723960978</v>
      </c>
      <c r="I20" s="370">
        <f t="shared" si="3"/>
        <v>12.960044613844756</v>
      </c>
      <c r="J20" s="370">
        <f t="shared" si="3"/>
        <v>26.366942432017616</v>
      </c>
      <c r="K20" s="370">
        <f t="shared" si="3"/>
        <v>41.683337411307967</v>
      </c>
      <c r="L20" s="370">
        <f t="shared" si="3"/>
        <v>52.879187878577319</v>
      </c>
      <c r="M20" s="114">
        <f>IF(COUNT($H20:L20)&gt;=Input!$W$7,0,L20+L52+L84)</f>
        <v>0</v>
      </c>
      <c r="N20" s="114">
        <f>IF(COUNT($H20:M20)&gt;=Input!$W$7,0,M20+M52+M84)</f>
        <v>0</v>
      </c>
      <c r="O20" s="114">
        <f>IF(COUNT($H20:N20)&gt;=Input!$W$7,0,N20+N52+N84)</f>
        <v>0</v>
      </c>
      <c r="P20" s="114">
        <f>IF(COUNT($H20:O20)&gt;=Input!$W$7,0,O20+O52+O84)</f>
        <v>0</v>
      </c>
      <c r="Q20" s="114">
        <f>IF(COUNT($H20:P20)&gt;=Input!$W$7,0,P20+P52+P84)</f>
        <v>0</v>
      </c>
      <c r="R20" s="114"/>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7"/>
      <c r="BL20" s="227"/>
    </row>
    <row r="21" spans="1:64" hidden="1" outlineLevel="1">
      <c r="A21" s="9"/>
      <c r="B21" s="9"/>
      <c r="C21" s="44"/>
      <c r="D21" s="278" t="str">
        <f>Asset14</f>
        <v>Substation assets - medium life (45)</v>
      </c>
      <c r="E21" s="9"/>
      <c r="F21" s="9"/>
      <c r="G21" s="207">
        <f>'Actual RAB roll forward'!G483</f>
        <v>0</v>
      </c>
      <c r="H21" s="370">
        <f t="shared" si="2"/>
        <v>9.1604921113680948</v>
      </c>
      <c r="I21" s="370">
        <f t="shared" si="3"/>
        <v>36.518344103139718</v>
      </c>
      <c r="J21" s="370">
        <f t="shared" si="3"/>
        <v>72.538453238452377</v>
      </c>
      <c r="K21" s="370">
        <f t="shared" si="3"/>
        <v>108.86591418495497</v>
      </c>
      <c r="L21" s="370">
        <f t="shared" si="3"/>
        <v>137.6748436446828</v>
      </c>
      <c r="M21" s="114">
        <f>IF(COUNT($H21:L21)&gt;=Input!$W$7,0,L21+L53+L85)</f>
        <v>0</v>
      </c>
      <c r="N21" s="114">
        <f>IF(COUNT($H21:M21)&gt;=Input!$W$7,0,M21+M53+M85)</f>
        <v>0</v>
      </c>
      <c r="O21" s="114">
        <f>IF(COUNT($H21:N21)&gt;=Input!$W$7,0,N21+N53+N85)</f>
        <v>0</v>
      </c>
      <c r="P21" s="114">
        <f>IF(COUNT($H21:O21)&gt;=Input!$W$7,0,O21+O53+O85)</f>
        <v>0</v>
      </c>
      <c r="Q21" s="114">
        <f>IF(COUNT($H21:P21)&gt;=Input!$W$7,0,P21+P53+P85)</f>
        <v>0</v>
      </c>
      <c r="R21" s="114"/>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7"/>
      <c r="BL21" s="227"/>
    </row>
    <row r="22" spans="1:64" hidden="1" outlineLevel="1">
      <c r="A22" s="9"/>
      <c r="B22" s="9"/>
      <c r="C22" s="44"/>
      <c r="D22" s="278" t="str">
        <f>Asset15</f>
        <v>Substation assets - short life (15)</v>
      </c>
      <c r="E22" s="9"/>
      <c r="F22" s="9"/>
      <c r="G22" s="207">
        <f>'Actual RAB roll forward'!G484</f>
        <v>0</v>
      </c>
      <c r="H22" s="370">
        <f t="shared" si="2"/>
        <v>0.36737337230990852</v>
      </c>
      <c r="I22" s="370">
        <f t="shared" si="3"/>
        <v>4.1929034966384187</v>
      </c>
      <c r="J22" s="370">
        <f t="shared" si="3"/>
        <v>6.3287533337739896</v>
      </c>
      <c r="K22" s="370">
        <f t="shared" si="3"/>
        <v>8.5327724152600073</v>
      </c>
      <c r="L22" s="370">
        <f t="shared" si="3"/>
        <v>10.436419640495611</v>
      </c>
      <c r="M22" s="114">
        <f>IF(COUNT($H22:L22)&gt;=Input!$W$7,0,L22+L54+L86)</f>
        <v>0</v>
      </c>
      <c r="N22" s="114">
        <f>IF(COUNT($H22:M22)&gt;=Input!$W$7,0,M22+M54+M86)</f>
        <v>0</v>
      </c>
      <c r="O22" s="114">
        <f>IF(COUNT($H22:N22)&gt;=Input!$W$7,0,N22+N54+N86)</f>
        <v>0</v>
      </c>
      <c r="P22" s="114">
        <f>IF(COUNT($H22:O22)&gt;=Input!$W$7,0,O22+O54+O86)</f>
        <v>0</v>
      </c>
      <c r="Q22" s="114">
        <f>IF(COUNT($H22:P22)&gt;=Input!$W$7,0,P22+P54+P86)</f>
        <v>0</v>
      </c>
      <c r="R22" s="114"/>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7"/>
      <c r="BL22" s="227"/>
    </row>
    <row r="23" spans="1:64" hidden="1" outlineLevel="1">
      <c r="A23" s="9"/>
      <c r="B23" s="9"/>
      <c r="C23" s="44"/>
      <c r="D23" s="278" t="str">
        <f>Asset16</f>
        <v>Protection and control - short life (15)</v>
      </c>
      <c r="E23" s="9"/>
      <c r="F23" s="9"/>
      <c r="G23" s="207">
        <f>'Actual RAB roll forward'!G485</f>
        <v>0</v>
      </c>
      <c r="H23" s="370">
        <f t="shared" si="2"/>
        <v>4.0917857999755638</v>
      </c>
      <c r="I23" s="370">
        <f t="shared" si="3"/>
        <v>16.684643631014179</v>
      </c>
      <c r="J23" s="370">
        <f t="shared" si="3"/>
        <v>31.251569716820317</v>
      </c>
      <c r="K23" s="370">
        <f t="shared" si="3"/>
        <v>60.840215119248732</v>
      </c>
      <c r="L23" s="370">
        <f t="shared" si="3"/>
        <v>76.453571777275315</v>
      </c>
      <c r="M23" s="114">
        <f>IF(COUNT($H23:L23)&gt;=Input!$W$7,0,L23+L55+L87)</f>
        <v>0</v>
      </c>
      <c r="N23" s="114">
        <f>IF(COUNT($H23:M23)&gt;=Input!$W$7,0,M23+M55+M87)</f>
        <v>0</v>
      </c>
      <c r="O23" s="114">
        <f>IF(COUNT($H23:N23)&gt;=Input!$W$7,0,N23+N55+N87)</f>
        <v>0</v>
      </c>
      <c r="P23" s="114">
        <f>IF(COUNT($H23:O23)&gt;=Input!$W$7,0,O23+O55+O87)</f>
        <v>0</v>
      </c>
      <c r="Q23" s="114">
        <f>IF(COUNT($H23:P23)&gt;=Input!$W$7,0,P23+P55+P87)</f>
        <v>0</v>
      </c>
      <c r="R23" s="114"/>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7"/>
      <c r="BL23" s="227"/>
    </row>
    <row r="24" spans="1:64" hidden="1" outlineLevel="1">
      <c r="A24" s="9"/>
      <c r="B24" s="9"/>
      <c r="C24" s="44"/>
      <c r="D24" s="278" t="str">
        <f>Asset17</f>
        <v>Protection and control - short life (4)</v>
      </c>
      <c r="E24" s="9"/>
      <c r="F24" s="9"/>
      <c r="G24" s="207">
        <f>'Actual RAB roll forward'!G486</f>
        <v>0</v>
      </c>
      <c r="H24" s="370">
        <f t="shared" si="2"/>
        <v>0</v>
      </c>
      <c r="I24" s="370">
        <f t="shared" si="3"/>
        <v>0.26273554153129208</v>
      </c>
      <c r="J24" s="370">
        <f t="shared" si="3"/>
        <v>0.65003214773107276</v>
      </c>
      <c r="K24" s="370">
        <f t="shared" si="3"/>
        <v>1.6209993729670653</v>
      </c>
      <c r="L24" s="370">
        <f t="shared" si="3"/>
        <v>1.2944674114621304</v>
      </c>
      <c r="M24" s="114">
        <f>IF(COUNT($H24:L24)&gt;=Input!$W$7,0,L24+L56+L88)</f>
        <v>0</v>
      </c>
      <c r="N24" s="114">
        <f>IF(COUNT($H24:M24)&gt;=Input!$W$7,0,M24+M56+M88)</f>
        <v>0</v>
      </c>
      <c r="O24" s="114">
        <f>IF(COUNT($H24:N24)&gt;=Input!$W$7,0,N24+N56+N88)</f>
        <v>0</v>
      </c>
      <c r="P24" s="114">
        <f>IF(COUNT($H24:O24)&gt;=Input!$W$7,0,O24+O56+O88)</f>
        <v>0</v>
      </c>
      <c r="Q24" s="114">
        <f>IF(COUNT($H24:P24)&gt;=Input!$W$7,0,P24+P56+P88)</f>
        <v>0</v>
      </c>
      <c r="R24" s="114"/>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7"/>
      <c r="BL24" s="227"/>
    </row>
    <row r="25" spans="1:64" hidden="1" outlineLevel="1">
      <c r="A25" s="9"/>
      <c r="B25" s="9"/>
      <c r="C25" s="44"/>
      <c r="D25" s="278" t="str">
        <f>Asset18</f>
        <v>Transmission operations - short life (10)</v>
      </c>
      <c r="E25" s="9"/>
      <c r="F25" s="9"/>
      <c r="G25" s="207">
        <f>'Actual RAB roll forward'!G487</f>
        <v>0</v>
      </c>
      <c r="H25" s="370">
        <f t="shared" si="2"/>
        <v>0</v>
      </c>
      <c r="I25" s="370">
        <f t="shared" si="3"/>
        <v>1.2611305993502018</v>
      </c>
      <c r="J25" s="370">
        <f t="shared" si="3"/>
        <v>3.3186026949529803</v>
      </c>
      <c r="K25" s="370">
        <f t="shared" si="3"/>
        <v>5.2644247957765735</v>
      </c>
      <c r="L25" s="370">
        <f t="shared" si="3"/>
        <v>6.9501791643717885</v>
      </c>
      <c r="M25" s="114">
        <f>IF(COUNT($H25:L25)&gt;=Input!$W$7,0,L25+L57+L89)</f>
        <v>0</v>
      </c>
      <c r="N25" s="114">
        <f>IF(COUNT($H25:M25)&gt;=Input!$W$7,0,M25+M57+M89)</f>
        <v>0</v>
      </c>
      <c r="O25" s="114">
        <f>IF(COUNT($H25:N25)&gt;=Input!$W$7,0,N25+N57+N89)</f>
        <v>0</v>
      </c>
      <c r="P25" s="114">
        <f>IF(COUNT($H25:O25)&gt;=Input!$W$7,0,O25+O57+O89)</f>
        <v>0</v>
      </c>
      <c r="Q25" s="114">
        <f>IF(COUNT($H25:P25)&gt;=Input!$W$7,0,P25+P57+P89)</f>
        <v>0</v>
      </c>
      <c r="R25" s="114"/>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7"/>
      <c r="BL25" s="227"/>
    </row>
    <row r="26" spans="1:64" hidden="1" outlineLevel="1">
      <c r="A26" s="9"/>
      <c r="B26" s="9"/>
      <c r="C26" s="44"/>
      <c r="D26" s="278" t="str">
        <f>Asset19</f>
        <v>Transmission operations - short life (4)</v>
      </c>
      <c r="E26" s="9"/>
      <c r="F26" s="9"/>
      <c r="G26" s="207">
        <f>'Actual RAB roll forward'!G488</f>
        <v>0</v>
      </c>
      <c r="H26" s="370">
        <f t="shared" si="2"/>
        <v>0</v>
      </c>
      <c r="I26" s="370">
        <f t="shared" si="3"/>
        <v>1.0509421661251683E-2</v>
      </c>
      <c r="J26" s="370">
        <f t="shared" si="3"/>
        <v>-1.1739883972360591E-3</v>
      </c>
      <c r="K26" s="370">
        <f t="shared" si="3"/>
        <v>0.11515635950779998</v>
      </c>
      <c r="L26" s="370">
        <f t="shared" si="3"/>
        <v>8.7717196095625879E-2</v>
      </c>
      <c r="M26" s="114">
        <f>IF(COUNT($H26:L26)&gt;=Input!$W$7,0,L26+L58+L90)</f>
        <v>0</v>
      </c>
      <c r="N26" s="114">
        <f>IF(COUNT($H26:M26)&gt;=Input!$W$7,0,M26+M58+M90)</f>
        <v>0</v>
      </c>
      <c r="O26" s="114">
        <f>IF(COUNT($H26:N26)&gt;=Input!$W$7,0,N26+N58+N90)</f>
        <v>0</v>
      </c>
      <c r="P26" s="114">
        <f>IF(COUNT($H26:O26)&gt;=Input!$W$7,0,O26+O58+O90)</f>
        <v>0</v>
      </c>
      <c r="Q26" s="114">
        <f>IF(COUNT($H26:P26)&gt;=Input!$W$7,0,P26+P58+P90)</f>
        <v>0</v>
      </c>
      <c r="R26" s="114"/>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7"/>
      <c r="BL26" s="227"/>
    </row>
    <row r="27" spans="1:64" hidden="1" outlineLevel="1">
      <c r="A27" s="9"/>
      <c r="B27" s="9"/>
      <c r="C27" s="44"/>
      <c r="D27" s="278" t="str">
        <f>Asset20</f>
        <v>Other - medium life (40)</v>
      </c>
      <c r="E27" s="9"/>
      <c r="F27" s="9"/>
      <c r="G27" s="207">
        <f>'Actual RAB roll forward'!G489</f>
        <v>0</v>
      </c>
      <c r="H27" s="370">
        <f t="shared" si="2"/>
        <v>6.8615870000000001</v>
      </c>
      <c r="I27" s="370">
        <f t="shared" si="3"/>
        <v>18.630628826655428</v>
      </c>
      <c r="J27" s="370">
        <f t="shared" si="3"/>
        <v>28.890984428113992</v>
      </c>
      <c r="K27" s="370">
        <f t="shared" si="3"/>
        <v>29.45307022140446</v>
      </c>
      <c r="L27" s="370">
        <f t="shared" si="3"/>
        <v>29.74214108471115</v>
      </c>
      <c r="M27" s="114">
        <f>IF(COUNT($H27:L27)&gt;=Input!$W$7,0,L27+L59+L91)</f>
        <v>0</v>
      </c>
      <c r="N27" s="114">
        <f>IF(COUNT($H27:M27)&gt;=Input!$W$7,0,M27+M59+M91)</f>
        <v>0</v>
      </c>
      <c r="O27" s="114">
        <f>IF(COUNT($H27:N27)&gt;=Input!$W$7,0,N27+N59+N91)</f>
        <v>0</v>
      </c>
      <c r="P27" s="114">
        <f>IF(COUNT($H27:O27)&gt;=Input!$W$7,0,O27+O59+O91)</f>
        <v>0</v>
      </c>
      <c r="Q27" s="114">
        <f>IF(COUNT($H27:P27)&gt;=Input!$W$7,0,P27+P59+P91)</f>
        <v>0</v>
      </c>
      <c r="R27" s="114"/>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7"/>
      <c r="BL27" s="227"/>
    </row>
    <row r="28" spans="1:64" hidden="1" outlineLevel="1">
      <c r="A28" s="9"/>
      <c r="B28" s="9"/>
      <c r="C28" s="44"/>
      <c r="D28" s="278" t="str">
        <f>Asset21</f>
        <v>Other - short life (9)</v>
      </c>
      <c r="E28" s="9"/>
      <c r="F28" s="9"/>
      <c r="G28" s="207">
        <f>'Actual RAB roll forward'!G490</f>
        <v>0</v>
      </c>
      <c r="H28" s="370">
        <f t="shared" ref="H28:H35" si="4">G28+G60+G92+G124+G156+G188</f>
        <v>0</v>
      </c>
      <c r="I28" s="370">
        <f>H28+H60+H92</f>
        <v>0.39935802312756402</v>
      </c>
      <c r="J28" s="370">
        <f t="shared" ref="J28:L36" si="5">I28+I60+I92</f>
        <v>0.8350981173079407</v>
      </c>
      <c r="K28" s="370">
        <f t="shared" si="5"/>
        <v>1.3641522679057971</v>
      </c>
      <c r="L28" s="370">
        <f t="shared" si="5"/>
        <v>1.2721736172775602</v>
      </c>
      <c r="M28" s="114">
        <f>IF(COUNT($H28:L28)&gt;=Input!$W$7,0,L28+L60+L92)</f>
        <v>0</v>
      </c>
      <c r="N28" s="114">
        <f>IF(COUNT($H28:M28)&gt;=Input!$W$7,0,M28+M60+M92)</f>
        <v>0</v>
      </c>
      <c r="O28" s="114">
        <f>IF(COUNT($H28:N28)&gt;=Input!$W$7,0,N28+N60+N92)</f>
        <v>0</v>
      </c>
      <c r="P28" s="114">
        <f>IF(COUNT($H28:O28)&gt;=Input!$W$7,0,O28+O60+O92)</f>
        <v>0</v>
      </c>
      <c r="Q28" s="114">
        <f>IF(COUNT($H28:P28)&gt;=Input!$W$7,0,P28+P60+P92)</f>
        <v>0</v>
      </c>
      <c r="R28" s="114"/>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7"/>
      <c r="BL28" s="227"/>
    </row>
    <row r="29" spans="1:64" hidden="1" outlineLevel="1">
      <c r="A29" s="9"/>
      <c r="B29" s="9"/>
      <c r="C29" s="44"/>
      <c r="D29" s="278" t="str">
        <f>Asset22</f>
        <v>Other - short life (4)</v>
      </c>
      <c r="E29" s="9"/>
      <c r="F29" s="9"/>
      <c r="G29" s="207">
        <f>'Actual RAB roll forward'!G491</f>
        <v>0</v>
      </c>
      <c r="H29" s="370">
        <f t="shared" si="4"/>
        <v>0.53168400000000005</v>
      </c>
      <c r="I29" s="370">
        <f t="shared" ref="I29:I37" si="6">H29+H61+H93</f>
        <v>3.6578283063153352</v>
      </c>
      <c r="J29" s="370">
        <f t="shared" si="5"/>
        <v>6.6643062178273764</v>
      </c>
      <c r="K29" s="370">
        <f t="shared" si="5"/>
        <v>10.484266863925818</v>
      </c>
      <c r="L29" s="370">
        <f t="shared" si="5"/>
        <v>11.037310679340939</v>
      </c>
      <c r="M29" s="114">
        <f>IF(COUNT($H29:L29)&gt;=Input!$W$7,0,L29+L61+L93)</f>
        <v>0</v>
      </c>
      <c r="N29" s="114">
        <f>IF(COUNT($H29:M29)&gt;=Input!$W$7,0,M29+M61+M93)</f>
        <v>0</v>
      </c>
      <c r="O29" s="114">
        <f>IF(COUNT($H29:N29)&gt;=Input!$W$7,0,N29+N61+N93)</f>
        <v>0</v>
      </c>
      <c r="P29" s="114">
        <f>IF(COUNT($H29:O29)&gt;=Input!$W$7,0,O29+O61+O93)</f>
        <v>0</v>
      </c>
      <c r="Q29" s="114">
        <f>IF(COUNT($H29:P29)&gt;=Input!$W$7,0,P29+P61+P93)</f>
        <v>0</v>
      </c>
      <c r="R29" s="114"/>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7"/>
      <c r="BL29" s="227"/>
    </row>
    <row r="30" spans="1:64" hidden="1" outlineLevel="1">
      <c r="A30" s="9"/>
      <c r="B30" s="9"/>
      <c r="C30" s="44"/>
      <c r="D30" s="278" t="str">
        <f>Asset23</f>
        <v>Land and Easements</v>
      </c>
      <c r="E30" s="9"/>
      <c r="F30" s="9"/>
      <c r="G30" s="207">
        <f>'Actual RAB roll forward'!G492</f>
        <v>0</v>
      </c>
      <c r="H30" s="370">
        <f t="shared" si="4"/>
        <v>0.12308107575340384</v>
      </c>
      <c r="I30" s="370">
        <f t="shared" si="6"/>
        <v>0.68363511190814463</v>
      </c>
      <c r="J30" s="370">
        <f t="shared" si="5"/>
        <v>2.1071971430023702</v>
      </c>
      <c r="K30" s="370">
        <f t="shared" si="5"/>
        <v>4.5455274625726929</v>
      </c>
      <c r="L30" s="370">
        <f t="shared" si="5"/>
        <v>5.3201311678759655</v>
      </c>
      <c r="M30" s="114">
        <f>IF(COUNT($H30:L30)&gt;=Input!$W$7,0,L30+L62+L94)</f>
        <v>0</v>
      </c>
      <c r="N30" s="114">
        <f>IF(COUNT($H30:M30)&gt;=Input!$W$7,0,M30+M62+M94)</f>
        <v>0</v>
      </c>
      <c r="O30" s="114">
        <f>IF(COUNT($H30:N30)&gt;=Input!$W$7,0,N30+N62+N94)</f>
        <v>0</v>
      </c>
      <c r="P30" s="114">
        <f>IF(COUNT($H30:O30)&gt;=Input!$W$7,0,O30+O62+O94)</f>
        <v>0</v>
      </c>
      <c r="Q30" s="114">
        <f>IF(COUNT($H30:P30)&gt;=Input!$W$7,0,P30+P62+P94)</f>
        <v>0</v>
      </c>
      <c r="R30" s="114"/>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7"/>
      <c r="BL30" s="227"/>
    </row>
    <row r="31" spans="1:64" hidden="1" outlineLevel="1">
      <c r="A31" s="9"/>
      <c r="B31" s="9"/>
      <c r="C31" s="44"/>
      <c r="D31" s="278" t="str">
        <f>Asset24</f>
        <v>Equity Raising</v>
      </c>
      <c r="E31" s="9"/>
      <c r="F31" s="9"/>
      <c r="G31" s="207">
        <f>'Actual RAB roll forward'!G493</f>
        <v>0</v>
      </c>
      <c r="H31" s="370">
        <f t="shared" si="4"/>
        <v>0</v>
      </c>
      <c r="I31" s="370">
        <f t="shared" si="6"/>
        <v>0.44485041313161061</v>
      </c>
      <c r="J31" s="370">
        <f t="shared" si="5"/>
        <v>0.44870168372209202</v>
      </c>
      <c r="K31" s="370">
        <f t="shared" si="5"/>
        <v>0.44446886150221571</v>
      </c>
      <c r="L31" s="370">
        <f t="shared" si="5"/>
        <v>0.44406898521604748</v>
      </c>
      <c r="M31" s="114">
        <f>IF(COUNT($H31:L31)&gt;=Input!$W$7,0,L31+L63+L95)</f>
        <v>0</v>
      </c>
      <c r="N31" s="114">
        <f>IF(COUNT($H31:M31)&gt;=Input!$W$7,0,M31+M63+M95)</f>
        <v>0</v>
      </c>
      <c r="O31" s="114">
        <f>IF(COUNT($H31:N31)&gt;=Input!$W$7,0,N31+N63+N95)</f>
        <v>0</v>
      </c>
      <c r="P31" s="114">
        <f>IF(COUNT($H31:O31)&gt;=Input!$W$7,0,O31+O63+O95)</f>
        <v>0</v>
      </c>
      <c r="Q31" s="114">
        <f>IF(COUNT($H31:P31)&gt;=Input!$W$7,0,P31+P63+P95)</f>
        <v>0</v>
      </c>
      <c r="R31" s="114"/>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7"/>
      <c r="BL31" s="227"/>
    </row>
    <row r="32" spans="1:64" hidden="1" outlineLevel="1">
      <c r="A32" s="9"/>
      <c r="B32" s="9"/>
      <c r="C32" s="44"/>
      <c r="D32" s="278">
        <f>Asset25</f>
        <v>0</v>
      </c>
      <c r="E32" s="9"/>
      <c r="F32" s="9"/>
      <c r="G32" s="207">
        <f>'Actual RAB roll forward'!G494</f>
        <v>0</v>
      </c>
      <c r="H32" s="370">
        <f t="shared" si="4"/>
        <v>0</v>
      </c>
      <c r="I32" s="370">
        <f t="shared" si="6"/>
        <v>0</v>
      </c>
      <c r="J32" s="370">
        <f t="shared" si="5"/>
        <v>0</v>
      </c>
      <c r="K32" s="370">
        <f t="shared" si="5"/>
        <v>0</v>
      </c>
      <c r="L32" s="370">
        <f t="shared" si="5"/>
        <v>0</v>
      </c>
      <c r="M32" s="114">
        <f>IF(COUNT($H32:L32)&gt;=Input!$W$7,0,L32+L64+L96)</f>
        <v>0</v>
      </c>
      <c r="N32" s="114">
        <f>IF(COUNT($H32:M32)&gt;=Input!$W$7,0,M32+M64+M96)</f>
        <v>0</v>
      </c>
      <c r="O32" s="114">
        <f>IF(COUNT($H32:N32)&gt;=Input!$W$7,0,N32+N64+N96)</f>
        <v>0</v>
      </c>
      <c r="P32" s="114">
        <f>IF(COUNT($H32:O32)&gt;=Input!$W$7,0,O32+O64+O96)</f>
        <v>0</v>
      </c>
      <c r="Q32" s="114">
        <f>IF(COUNT($H32:P32)&gt;=Input!$W$7,0,P32+P64+P96)</f>
        <v>0</v>
      </c>
      <c r="R32" s="114"/>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7"/>
      <c r="BL32" s="227"/>
    </row>
    <row r="33" spans="1:64" hidden="1" outlineLevel="1">
      <c r="A33" s="9"/>
      <c r="B33" s="9"/>
      <c r="C33" s="44"/>
      <c r="D33" s="278">
        <f>Asset26</f>
        <v>0</v>
      </c>
      <c r="E33" s="9"/>
      <c r="F33" s="9"/>
      <c r="G33" s="207">
        <f>'Actual RAB roll forward'!G495</f>
        <v>0</v>
      </c>
      <c r="H33" s="370">
        <f t="shared" si="4"/>
        <v>0</v>
      </c>
      <c r="I33" s="370">
        <f t="shared" si="6"/>
        <v>0</v>
      </c>
      <c r="J33" s="370">
        <f t="shared" si="5"/>
        <v>0</v>
      </c>
      <c r="K33" s="370">
        <f t="shared" si="5"/>
        <v>0</v>
      </c>
      <c r="L33" s="370">
        <f t="shared" si="5"/>
        <v>0</v>
      </c>
      <c r="M33" s="114">
        <f>IF(COUNT($H33:L33)&gt;=Input!$W$7,0,L33+L65+L97)</f>
        <v>0</v>
      </c>
      <c r="N33" s="114">
        <f>IF(COUNT($H33:M33)&gt;=Input!$W$7,0,M33+M65+M97)</f>
        <v>0</v>
      </c>
      <c r="O33" s="114">
        <f>IF(COUNT($H33:N33)&gt;=Input!$W$7,0,N33+N65+N97)</f>
        <v>0</v>
      </c>
      <c r="P33" s="114">
        <f>IF(COUNT($H33:O33)&gt;=Input!$W$7,0,O33+O65+O97)</f>
        <v>0</v>
      </c>
      <c r="Q33" s="114">
        <f>IF(COUNT($H33:P33)&gt;=Input!$W$7,0,P33+P65+P97)</f>
        <v>0</v>
      </c>
      <c r="R33" s="114"/>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7"/>
      <c r="BL33" s="227"/>
    </row>
    <row r="34" spans="1:64" hidden="1" outlineLevel="1">
      <c r="A34" s="9"/>
      <c r="B34" s="9"/>
      <c r="C34" s="44"/>
      <c r="D34" s="278">
        <f>Asset27</f>
        <v>0</v>
      </c>
      <c r="E34" s="9"/>
      <c r="F34" s="9"/>
      <c r="G34" s="207">
        <f>'Actual RAB roll forward'!G496</f>
        <v>0</v>
      </c>
      <c r="H34" s="370">
        <f t="shared" si="4"/>
        <v>0</v>
      </c>
      <c r="I34" s="370">
        <f t="shared" si="6"/>
        <v>0</v>
      </c>
      <c r="J34" s="370">
        <f t="shared" si="5"/>
        <v>0</v>
      </c>
      <c r="K34" s="370">
        <f t="shared" si="5"/>
        <v>0</v>
      </c>
      <c r="L34" s="370">
        <f t="shared" si="5"/>
        <v>0</v>
      </c>
      <c r="M34" s="114">
        <f>IF(COUNT($H34:L34)&gt;=Input!$W$7,0,L34+L66+L98)</f>
        <v>0</v>
      </c>
      <c r="N34" s="114">
        <f>IF(COUNT($H34:M34)&gt;=Input!$W$7,0,M34+M66+M98)</f>
        <v>0</v>
      </c>
      <c r="O34" s="114">
        <f>IF(COUNT($H34:N34)&gt;=Input!$W$7,0,N34+N66+N98)</f>
        <v>0</v>
      </c>
      <c r="P34" s="114">
        <f>IF(COUNT($H34:O34)&gt;=Input!$W$7,0,O34+O66+O98)</f>
        <v>0</v>
      </c>
      <c r="Q34" s="114">
        <f>IF(COUNT($H34:P34)&gt;=Input!$W$7,0,P34+P66+P98)</f>
        <v>0</v>
      </c>
      <c r="R34" s="114"/>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7"/>
      <c r="BL34" s="227"/>
    </row>
    <row r="35" spans="1:64" hidden="1" outlineLevel="1">
      <c r="A35" s="9"/>
      <c r="B35" s="9"/>
      <c r="C35" s="44"/>
      <c r="D35" s="278">
        <f>Asset28</f>
        <v>0</v>
      </c>
      <c r="E35" s="9"/>
      <c r="F35" s="9"/>
      <c r="G35" s="207">
        <f>'Actual RAB roll forward'!G497</f>
        <v>0</v>
      </c>
      <c r="H35" s="370">
        <f t="shared" si="4"/>
        <v>0</v>
      </c>
      <c r="I35" s="370">
        <f t="shared" si="6"/>
        <v>0</v>
      </c>
      <c r="J35" s="370">
        <f t="shared" si="5"/>
        <v>0</v>
      </c>
      <c r="K35" s="370">
        <f t="shared" si="5"/>
        <v>0</v>
      </c>
      <c r="L35" s="370">
        <f t="shared" si="5"/>
        <v>0</v>
      </c>
      <c r="M35" s="114">
        <f>IF(COUNT($H35:L35)&gt;=Input!$W$7,0,L35+L67+L99)</f>
        <v>0</v>
      </c>
      <c r="N35" s="114">
        <f>IF(COUNT($H35:M35)&gt;=Input!$W$7,0,M35+M67+M99)</f>
        <v>0</v>
      </c>
      <c r="O35" s="114">
        <f>IF(COUNT($H35:N35)&gt;=Input!$W$7,0,N35+N67+N99)</f>
        <v>0</v>
      </c>
      <c r="P35" s="114">
        <f>IF(COUNT($H35:O35)&gt;=Input!$W$7,0,O35+O67+O99)</f>
        <v>0</v>
      </c>
      <c r="Q35" s="114">
        <f>IF(COUNT($H35:P35)&gt;=Input!$W$7,0,P35+P67+P99)</f>
        <v>0</v>
      </c>
      <c r="R35" s="114"/>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7"/>
      <c r="BL35" s="227"/>
    </row>
    <row r="36" spans="1:64" hidden="1" outlineLevel="1">
      <c r="A36" s="9"/>
      <c r="B36" s="9"/>
      <c r="C36" s="44"/>
      <c r="D36" s="278">
        <f>Asset29</f>
        <v>0</v>
      </c>
      <c r="E36" s="9"/>
      <c r="F36" s="9"/>
      <c r="G36" s="207">
        <f>'Actual RAB roll forward'!G498</f>
        <v>0</v>
      </c>
      <c r="H36" s="370">
        <f>G36+G68+G100+G132+G164+G196</f>
        <v>0</v>
      </c>
      <c r="I36" s="370">
        <f t="shared" si="6"/>
        <v>0</v>
      </c>
      <c r="J36" s="370">
        <f t="shared" si="5"/>
        <v>0</v>
      </c>
      <c r="K36" s="370">
        <f t="shared" si="5"/>
        <v>0</v>
      </c>
      <c r="L36" s="370">
        <f t="shared" si="5"/>
        <v>0</v>
      </c>
      <c r="M36" s="114">
        <f>IF(COUNT($H36:L36)&gt;=Input!$W$7,0,L36+L68+L100)</f>
        <v>0</v>
      </c>
      <c r="N36" s="114">
        <f>IF(COUNT($H36:M36)&gt;=Input!$W$7,0,M36+M68+M100)</f>
        <v>0</v>
      </c>
      <c r="O36" s="114">
        <f>IF(COUNT($H36:N36)&gt;=Input!$W$7,0,N36+N68+N100)</f>
        <v>0</v>
      </c>
      <c r="P36" s="114">
        <f>IF(COUNT($H36:O36)&gt;=Input!$W$7,0,O36+O68+O100)</f>
        <v>0</v>
      </c>
      <c r="Q36" s="114">
        <f>IF(COUNT($H36:P36)&gt;=Input!$W$7,0,P36+P68+P100)</f>
        <v>0</v>
      </c>
      <c r="R36" s="114"/>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7"/>
      <c r="BL36" s="227"/>
    </row>
    <row r="37" spans="1:64" hidden="1" outlineLevel="1">
      <c r="A37" s="9"/>
      <c r="B37" s="9"/>
      <c r="C37" s="44"/>
      <c r="D37" s="278">
        <f>Asset30</f>
        <v>0</v>
      </c>
      <c r="E37" s="9"/>
      <c r="F37" s="9"/>
      <c r="G37" s="207">
        <f>'Actual RAB roll forward'!G499</f>
        <v>0</v>
      </c>
      <c r="H37" s="370">
        <f>G37+G69+G101+G133+G165+G197</f>
        <v>0</v>
      </c>
      <c r="I37" s="370">
        <f t="shared" si="6"/>
        <v>0</v>
      </c>
      <c r="J37" s="370">
        <f>I37+I69+I101</f>
        <v>0</v>
      </c>
      <c r="K37" s="370">
        <f>J37+J69+J101</f>
        <v>0</v>
      </c>
      <c r="L37" s="370">
        <f>K37+K69+K101</f>
        <v>0</v>
      </c>
      <c r="M37" s="114">
        <f>IF(COUNT($H37:L37)&gt;=Input!$W$7,0,L37+L69+L101)</f>
        <v>0</v>
      </c>
      <c r="N37" s="114">
        <f>IF(COUNT($H37:M37)&gt;=Input!$W$7,0,M37+M69+M101)</f>
        <v>0</v>
      </c>
      <c r="O37" s="114">
        <f>IF(COUNT($H37:N37)&gt;=Input!$W$7,0,N37+N69+N101)</f>
        <v>0</v>
      </c>
      <c r="P37" s="114">
        <f>IF(COUNT($H37:O37)&gt;=Input!$W$7,0,O37+O69+O101)</f>
        <v>0</v>
      </c>
      <c r="Q37" s="114">
        <f>IF(COUNT($H37:P37)&gt;=Input!$W$7,0,P37+P69+P101)</f>
        <v>0</v>
      </c>
      <c r="R37" s="114"/>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7"/>
      <c r="BL37" s="227"/>
    </row>
    <row r="38" spans="1:64" collapsed="1">
      <c r="A38" s="9"/>
      <c r="B38" s="9"/>
      <c r="C38" s="44"/>
      <c r="D38" s="116"/>
      <c r="E38" s="9"/>
      <c r="F38" s="9"/>
      <c r="G38" s="216"/>
      <c r="H38" s="371"/>
      <c r="I38" s="371"/>
      <c r="J38" s="371"/>
      <c r="K38" s="371"/>
      <c r="L38" s="371"/>
      <c r="M38" s="35"/>
      <c r="N38" s="104"/>
      <c r="O38" s="29"/>
      <c r="P38" s="29"/>
      <c r="Q38" s="29"/>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7"/>
      <c r="BL38" s="227"/>
    </row>
    <row r="39" spans="1:64">
      <c r="A39" s="9"/>
      <c r="B39" s="9"/>
      <c r="C39" s="44" t="s">
        <v>31</v>
      </c>
      <c r="D39" s="9"/>
      <c r="E39" s="9"/>
      <c r="F39" s="9"/>
      <c r="G39" s="208">
        <f>SUM(G40:G69)</f>
        <v>83.128654385774468</v>
      </c>
      <c r="H39" s="371">
        <f>SUM(H40:H69)</f>
        <v>139.52653667813638</v>
      </c>
      <c r="I39" s="371">
        <f t="shared" ref="I39:P39" si="7">SUM(I40:I69)</f>
        <v>121.08376390295061</v>
      </c>
      <c r="J39" s="371">
        <f t="shared" si="7"/>
        <v>131.1856399581313</v>
      </c>
      <c r="K39" s="371">
        <f t="shared" si="7"/>
        <v>89.049251090831746</v>
      </c>
      <c r="L39" s="371">
        <f t="shared" si="7"/>
        <v>91.395275282769177</v>
      </c>
      <c r="M39" s="35">
        <f t="shared" si="7"/>
        <v>0</v>
      </c>
      <c r="N39" s="35">
        <f t="shared" si="7"/>
        <v>0</v>
      </c>
      <c r="O39" s="35">
        <f t="shared" si="7"/>
        <v>0</v>
      </c>
      <c r="P39" s="35">
        <f t="shared" si="7"/>
        <v>0</v>
      </c>
      <c r="Q39" s="35">
        <f>SUM(Q40:Q69)</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7"/>
      <c r="BL39" s="227"/>
    </row>
    <row r="40" spans="1:64" hidden="1" outlineLevel="1">
      <c r="A40" s="9"/>
      <c r="B40" s="9"/>
      <c r="C40" s="44"/>
      <c r="D40" s="278" t="str">
        <f>Asset1</f>
        <v>Transmission Lines and Cables</v>
      </c>
      <c r="E40" s="9"/>
      <c r="F40" s="9"/>
      <c r="G40" s="207">
        <f>'Actual RAB roll forward'!G502</f>
        <v>3.4044998441965704</v>
      </c>
      <c r="H40" s="370">
        <f>'Actual RAB roll forward'!H502</f>
        <v>0</v>
      </c>
      <c r="I40" s="370">
        <f>'Actual RAB roll forward'!I502</f>
        <v>0</v>
      </c>
      <c r="J40" s="370">
        <f>'Actual RAB roll forward'!J502</f>
        <v>0</v>
      </c>
      <c r="K40" s="370">
        <f>'Actual RAB roll forward'!K502</f>
        <v>-0.23392054602619189</v>
      </c>
      <c r="L40" s="370">
        <f>'Actual RAB roll forward'!L502</f>
        <v>0</v>
      </c>
      <c r="M40" s="114">
        <f>'Actual RAB roll forward'!M502</f>
        <v>0</v>
      </c>
      <c r="N40" s="114">
        <f>'Actual RAB roll forward'!N502</f>
        <v>0</v>
      </c>
      <c r="O40" s="114">
        <f>'Actual RAB roll forward'!O502</f>
        <v>0</v>
      </c>
      <c r="P40" s="114">
        <f>'Actual RAB roll forward'!P502</f>
        <v>0</v>
      </c>
      <c r="Q40" s="114">
        <f>'Actual RAB roll forward'!Q502</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7"/>
      <c r="BL40" s="227"/>
    </row>
    <row r="41" spans="1:64" hidden="1" outlineLevel="1">
      <c r="A41" s="9"/>
      <c r="B41" s="9"/>
      <c r="C41" s="44"/>
      <c r="D41" s="278" t="str">
        <f>Asset2</f>
        <v>Transmission Substations</v>
      </c>
      <c r="E41" s="9"/>
      <c r="F41" s="9"/>
      <c r="G41" s="207">
        <f>'Actual RAB roll forward'!G503</f>
        <v>62.450138395488089</v>
      </c>
      <c r="H41" s="370">
        <f>'Actual RAB roll forward'!H503</f>
        <v>0</v>
      </c>
      <c r="I41" s="370">
        <f>'Actual RAB roll forward'!I503</f>
        <v>-0.55925646393252604</v>
      </c>
      <c r="J41" s="370">
        <f>'Actual RAB roll forward'!J503</f>
        <v>0</v>
      </c>
      <c r="K41" s="370">
        <f>'Actual RAB roll forward'!K503</f>
        <v>0</v>
      </c>
      <c r="L41" s="370">
        <f>'Actual RAB roll forward'!L503</f>
        <v>0</v>
      </c>
      <c r="M41" s="114">
        <f>'Actual RAB roll forward'!M503</f>
        <v>0</v>
      </c>
      <c r="N41" s="114">
        <f>'Actual RAB roll forward'!N503</f>
        <v>0</v>
      </c>
      <c r="O41" s="114">
        <f>'Actual RAB roll forward'!O503</f>
        <v>0</v>
      </c>
      <c r="P41" s="114">
        <f>'Actual RAB roll forward'!P503</f>
        <v>0</v>
      </c>
      <c r="Q41" s="114">
        <f>'Actual RAB roll forward'!Q503</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7"/>
      <c r="BL41" s="227"/>
    </row>
    <row r="42" spans="1:64" hidden="1" outlineLevel="1">
      <c r="A42" s="9"/>
      <c r="B42" s="9"/>
      <c r="C42" s="44"/>
      <c r="D42" s="278" t="str">
        <f>Asset3</f>
        <v>Protection and Control</v>
      </c>
      <c r="E42" s="9"/>
      <c r="F42" s="9"/>
      <c r="G42" s="207">
        <f>'Actual RAB roll forward'!G504</f>
        <v>9.4118856801581483</v>
      </c>
      <c r="H42" s="370">
        <f>'Actual RAB roll forward'!H504</f>
        <v>0</v>
      </c>
      <c r="I42" s="370">
        <f>'Actual RAB roll forward'!I504</f>
        <v>-4.6341401907779946E-2</v>
      </c>
      <c r="J42" s="370">
        <f>'Actual RAB roll forward'!J504</f>
        <v>0</v>
      </c>
      <c r="K42" s="370">
        <f>'Actual RAB roll forward'!K504</f>
        <v>0</v>
      </c>
      <c r="L42" s="370">
        <f>'Actual RAB roll forward'!L504</f>
        <v>0</v>
      </c>
      <c r="M42" s="114">
        <f>'Actual RAB roll forward'!M504</f>
        <v>0</v>
      </c>
      <c r="N42" s="114">
        <f>'Actual RAB roll forward'!N504</f>
        <v>0</v>
      </c>
      <c r="O42" s="114">
        <f>'Actual RAB roll forward'!O504</f>
        <v>0</v>
      </c>
      <c r="P42" s="114">
        <f>'Actual RAB roll forward'!P504</f>
        <v>0</v>
      </c>
      <c r="Q42" s="114">
        <f>'Actual RAB roll forward'!Q504</f>
        <v>0</v>
      </c>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7"/>
      <c r="BL42" s="227"/>
    </row>
    <row r="43" spans="1:64" hidden="1" outlineLevel="1">
      <c r="A43" s="9"/>
      <c r="B43" s="9"/>
      <c r="C43" s="44"/>
      <c r="D43" s="278" t="str">
        <f>Asset4</f>
        <v>Refurbishment</v>
      </c>
      <c r="E43" s="9"/>
      <c r="F43" s="9"/>
      <c r="G43" s="207">
        <f>'Actual RAB roll forward'!G505</f>
        <v>0</v>
      </c>
      <c r="H43" s="370">
        <f>'Actual RAB roll forward'!H505</f>
        <v>0</v>
      </c>
      <c r="I43" s="370">
        <f>'Actual RAB roll forward'!I505</f>
        <v>0</v>
      </c>
      <c r="J43" s="370">
        <f>'Actual RAB roll forward'!J505</f>
        <v>0</v>
      </c>
      <c r="K43" s="370">
        <f>'Actual RAB roll forward'!K505</f>
        <v>0</v>
      </c>
      <c r="L43" s="370">
        <f>'Actual RAB roll forward'!L505</f>
        <v>0</v>
      </c>
      <c r="M43" s="114">
        <f>'Actual RAB roll forward'!M505</f>
        <v>0</v>
      </c>
      <c r="N43" s="114">
        <f>'Actual RAB roll forward'!N505</f>
        <v>0</v>
      </c>
      <c r="O43" s="114">
        <f>'Actual RAB roll forward'!O505</f>
        <v>0</v>
      </c>
      <c r="P43" s="114">
        <f>'Actual RAB roll forward'!P505</f>
        <v>0</v>
      </c>
      <c r="Q43" s="114">
        <f>'Actual RAB roll forward'!Q505</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7"/>
      <c r="BL43" s="227"/>
    </row>
    <row r="44" spans="1:64" hidden="1" outlineLevel="1">
      <c r="A44" s="9"/>
      <c r="B44" s="9"/>
      <c r="C44" s="44"/>
      <c r="D44" s="278" t="str">
        <f>Asset5</f>
        <v>Other</v>
      </c>
      <c r="E44" s="9"/>
      <c r="F44" s="9"/>
      <c r="G44" s="207">
        <f>'Actual RAB roll forward'!G506</f>
        <v>0</v>
      </c>
      <c r="H44" s="370">
        <f>'Actual RAB roll forward'!H506</f>
        <v>0</v>
      </c>
      <c r="I44" s="370">
        <f>'Actual RAB roll forward'!I506</f>
        <v>0</v>
      </c>
      <c r="J44" s="370">
        <f>'Actual RAB roll forward'!J506</f>
        <v>0</v>
      </c>
      <c r="K44" s="370">
        <f>'Actual RAB roll forward'!K506</f>
        <v>0</v>
      </c>
      <c r="L44" s="370">
        <f>'Actual RAB roll forward'!L506</f>
        <v>0</v>
      </c>
      <c r="M44" s="114">
        <f>'Actual RAB roll forward'!M506</f>
        <v>0</v>
      </c>
      <c r="N44" s="114">
        <f>'Actual RAB roll forward'!N506</f>
        <v>0</v>
      </c>
      <c r="O44" s="114">
        <f>'Actual RAB roll forward'!O506</f>
        <v>0</v>
      </c>
      <c r="P44" s="114">
        <f>'Actual RAB roll forward'!P506</f>
        <v>0</v>
      </c>
      <c r="Q44" s="114">
        <f>'Actual RAB roll forward'!Q506</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7"/>
      <c r="BL44" s="227"/>
    </row>
    <row r="45" spans="1:64" hidden="1" outlineLevel="1">
      <c r="A45" s="9"/>
      <c r="B45" s="9"/>
      <c r="C45" s="44"/>
      <c r="D45" s="278" t="str">
        <f>Asset6</f>
        <v>Other - IT</v>
      </c>
      <c r="E45" s="9"/>
      <c r="F45" s="9"/>
      <c r="G45" s="207">
        <f>'Actual RAB roll forward'!G507</f>
        <v>4.7021850436574333</v>
      </c>
      <c r="H45" s="370">
        <f>'Actual RAB roll forward'!H507</f>
        <v>0</v>
      </c>
      <c r="I45" s="370">
        <f>'Actual RAB roll forward'!I507</f>
        <v>-5.2660683986113562E-3</v>
      </c>
      <c r="J45" s="370">
        <f>'Actual RAB roll forward'!J507</f>
        <v>0</v>
      </c>
      <c r="K45" s="370">
        <f>'Actual RAB roll forward'!K507</f>
        <v>0</v>
      </c>
      <c r="L45" s="370">
        <f>'Actual RAB roll forward'!L507</f>
        <v>0</v>
      </c>
      <c r="M45" s="114">
        <f>'Actual RAB roll forward'!M507</f>
        <v>0</v>
      </c>
      <c r="N45" s="114">
        <f>'Actual RAB roll forward'!N507</f>
        <v>0</v>
      </c>
      <c r="O45" s="114">
        <f>'Actual RAB roll forward'!O507</f>
        <v>0</v>
      </c>
      <c r="P45" s="114">
        <f>'Actual RAB roll forward'!P507</f>
        <v>0</v>
      </c>
      <c r="Q45" s="114">
        <f>'Actual RAB roll forward'!Q507</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7"/>
      <c r="BL45" s="227"/>
    </row>
    <row r="46" spans="1:64" hidden="1" outlineLevel="1">
      <c r="A46" s="9"/>
      <c r="B46" s="9"/>
      <c r="C46" s="44"/>
      <c r="D46" s="278" t="str">
        <f>Asset7</f>
        <v>Other - General</v>
      </c>
      <c r="E46" s="9"/>
      <c r="F46" s="9"/>
      <c r="G46" s="207">
        <f>'Actual RAB roll forward'!G508</f>
        <v>0</v>
      </c>
      <c r="H46" s="370">
        <f>'Actual RAB roll forward'!H508</f>
        <v>0</v>
      </c>
      <c r="I46" s="370">
        <f>'Actual RAB roll forward'!I508</f>
        <v>0</v>
      </c>
      <c r="J46" s="370">
        <f>'Actual RAB roll forward'!J508</f>
        <v>0</v>
      </c>
      <c r="K46" s="370">
        <f>'Actual RAB roll forward'!K508</f>
        <v>0</v>
      </c>
      <c r="L46" s="370">
        <f>'Actual RAB roll forward'!L508</f>
        <v>0</v>
      </c>
      <c r="M46" s="114">
        <f>'Actual RAB roll forward'!M508</f>
        <v>0</v>
      </c>
      <c r="N46" s="114">
        <f>'Actual RAB roll forward'!N508</f>
        <v>0</v>
      </c>
      <c r="O46" s="114">
        <f>'Actual RAB roll forward'!O508</f>
        <v>0</v>
      </c>
      <c r="P46" s="114">
        <f>'Actual RAB roll forward'!P508</f>
        <v>0</v>
      </c>
      <c r="Q46" s="114">
        <f>'Actual RAB roll forward'!Q508</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7"/>
      <c r="BL46" s="227"/>
    </row>
    <row r="47" spans="1:64" hidden="1" outlineLevel="1">
      <c r="A47" s="9"/>
      <c r="B47" s="9"/>
      <c r="C47" s="44"/>
      <c r="D47" s="278" t="str">
        <f>Asset8</f>
        <v>Other - Buildings</v>
      </c>
      <c r="E47" s="9"/>
      <c r="F47" s="9"/>
      <c r="G47" s="207">
        <f>'Actual RAB roll forward'!G509</f>
        <v>3.149271747091551</v>
      </c>
      <c r="H47" s="370">
        <f>'Actual RAB roll forward'!H509</f>
        <v>0</v>
      </c>
      <c r="I47" s="370">
        <f>'Actual RAB roll forward'!I509</f>
        <v>0</v>
      </c>
      <c r="J47" s="370">
        <f>'Actual RAB roll forward'!J509</f>
        <v>0</v>
      </c>
      <c r="K47" s="370">
        <f>'Actual RAB roll forward'!K509</f>
        <v>0</v>
      </c>
      <c r="L47" s="370">
        <f>'Actual RAB roll forward'!L509</f>
        <v>0</v>
      </c>
      <c r="M47" s="114">
        <f>'Actual RAB roll forward'!M509</f>
        <v>0</v>
      </c>
      <c r="N47" s="114">
        <f>'Actual RAB roll forward'!N509</f>
        <v>0</v>
      </c>
      <c r="O47" s="114">
        <f>'Actual RAB roll forward'!O509</f>
        <v>0</v>
      </c>
      <c r="P47" s="114">
        <f>'Actual RAB roll forward'!P509</f>
        <v>0</v>
      </c>
      <c r="Q47" s="114">
        <f>'Actual RAB roll forward'!Q509</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7"/>
      <c r="BL47" s="227"/>
    </row>
    <row r="48" spans="1:64" hidden="1" outlineLevel="1">
      <c r="A48" s="9"/>
      <c r="B48" s="9"/>
      <c r="C48" s="44"/>
      <c r="D48" s="278" t="str">
        <f>Asset9</f>
        <v>Land and Easements</v>
      </c>
      <c r="E48" s="9"/>
      <c r="F48" s="9"/>
      <c r="G48" s="207">
        <f>'Actual RAB roll forward'!G510</f>
        <v>1.0673675182676838E-2</v>
      </c>
      <c r="H48" s="370">
        <f>'Actual RAB roll forward'!H510</f>
        <v>0</v>
      </c>
      <c r="I48" s="370">
        <f>'Actual RAB roll forward'!I510</f>
        <v>0</v>
      </c>
      <c r="J48" s="370">
        <f>'Actual RAB roll forward'!J510</f>
        <v>0</v>
      </c>
      <c r="K48" s="370">
        <f>'Actual RAB roll forward'!K510</f>
        <v>0</v>
      </c>
      <c r="L48" s="370">
        <f>'Actual RAB roll forward'!L510</f>
        <v>0</v>
      </c>
      <c r="M48" s="114">
        <f>'Actual RAB roll forward'!M510</f>
        <v>0</v>
      </c>
      <c r="N48" s="114">
        <f>'Actual RAB roll forward'!N510</f>
        <v>0</v>
      </c>
      <c r="O48" s="114">
        <f>'Actual RAB roll forward'!O510</f>
        <v>0</v>
      </c>
      <c r="P48" s="114">
        <f>'Actual RAB roll forward'!P510</f>
        <v>0</v>
      </c>
      <c r="Q48" s="114">
        <f>'Actual RAB roll forward'!Q510</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7"/>
      <c r="BL48" s="227"/>
    </row>
    <row r="49" spans="1:64" hidden="1" outlineLevel="1">
      <c r="A49" s="9"/>
      <c r="B49" s="9"/>
      <c r="C49" s="44"/>
      <c r="D49" s="278" t="str">
        <f>Asset10</f>
        <v>Transmission line assets - long life (60)</v>
      </c>
      <c r="E49" s="9"/>
      <c r="F49" s="9"/>
      <c r="G49" s="207">
        <f>'Actual RAB roll forward'!G511</f>
        <v>0</v>
      </c>
      <c r="H49" s="370">
        <f>'Actual RAB roll forward'!H511</f>
        <v>63.844736592103978</v>
      </c>
      <c r="I49" s="370">
        <f>'Actual RAB roll forward'!I511</f>
        <v>30.374682523190305</v>
      </c>
      <c r="J49" s="370">
        <f>'Actual RAB roll forward'!J511</f>
        <v>18.076206389454747</v>
      </c>
      <c r="K49" s="370">
        <f>'Actual RAB roll forward'!K511</f>
        <v>20.811585798922184</v>
      </c>
      <c r="L49" s="370">
        <f>'Actual RAB roll forward'!L511</f>
        <v>25.429844672359192</v>
      </c>
      <c r="M49" s="114">
        <f>'Actual RAB roll forward'!M511</f>
        <v>0</v>
      </c>
      <c r="N49" s="114">
        <f>'Actual RAB roll forward'!N511</f>
        <v>0</v>
      </c>
      <c r="O49" s="114">
        <f>'Actual RAB roll forward'!O511</f>
        <v>0</v>
      </c>
      <c r="P49" s="114">
        <f>'Actual RAB roll forward'!P511</f>
        <v>0</v>
      </c>
      <c r="Q49" s="114">
        <f>'Actual RAB roll forward'!Q511</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7"/>
      <c r="BL49" s="227"/>
    </row>
    <row r="50" spans="1:64" hidden="1" outlineLevel="1">
      <c r="A50" s="9"/>
      <c r="B50" s="9"/>
      <c r="C50" s="44"/>
      <c r="D50" s="278" t="str">
        <f>Asset11</f>
        <v>Transmission line assets - medium life (45)</v>
      </c>
      <c r="E50" s="9"/>
      <c r="F50" s="9"/>
      <c r="G50" s="207">
        <f>'Actual RAB roll forward'!G512</f>
        <v>0</v>
      </c>
      <c r="H50" s="370">
        <f>'Actual RAB roll forward'!H512</f>
        <v>0.73565951628761772</v>
      </c>
      <c r="I50" s="370">
        <f>'Actual RAB roll forward'!I512</f>
        <v>5.276600535408579</v>
      </c>
      <c r="J50" s="370">
        <f>'Actual RAB roll forward'!J512</f>
        <v>13.512773580562936</v>
      </c>
      <c r="K50" s="370">
        <f>'Actual RAB roll forward'!K512</f>
        <v>1.4580697711946486</v>
      </c>
      <c r="L50" s="370">
        <f>'Actual RAB roll forward'!L512</f>
        <v>0.17660151023258094</v>
      </c>
      <c r="M50" s="114">
        <f>'Actual RAB roll forward'!M512</f>
        <v>0</v>
      </c>
      <c r="N50" s="114">
        <f>'Actual RAB roll forward'!N512</f>
        <v>0</v>
      </c>
      <c r="O50" s="114">
        <f>'Actual RAB roll forward'!O512</f>
        <v>0</v>
      </c>
      <c r="P50" s="114">
        <f>'Actual RAB roll forward'!P512</f>
        <v>0</v>
      </c>
      <c r="Q50" s="114">
        <f>'Actual RAB roll forward'!Q512</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7"/>
      <c r="BL50" s="227"/>
    </row>
    <row r="51" spans="1:64" hidden="1" outlineLevel="1">
      <c r="A51" s="9"/>
      <c r="B51" s="9"/>
      <c r="C51" s="44"/>
      <c r="D51" s="278" t="str">
        <f>Asset12</f>
        <v>Transmission line assets - short life (10)</v>
      </c>
      <c r="E51" s="9"/>
      <c r="F51" s="9"/>
      <c r="G51" s="207">
        <f>'Actual RAB roll forward'!G513</f>
        <v>0</v>
      </c>
      <c r="H51" s="370">
        <f>'Actual RAB roll forward'!H513</f>
        <v>4.7292397475632573</v>
      </c>
      <c r="I51" s="370">
        <f>'Actual RAB roll forward'!I513</f>
        <v>2.496116420941783</v>
      </c>
      <c r="J51" s="370">
        <f>'Actual RAB roll forward'!J513</f>
        <v>1.4306414069065863</v>
      </c>
      <c r="K51" s="370">
        <f>'Actual RAB roll forward'!K513</f>
        <v>2.1399009591633695</v>
      </c>
      <c r="L51" s="370">
        <f>'Actual RAB roll forward'!L513</f>
        <v>2.3382108201111671</v>
      </c>
      <c r="M51" s="114">
        <f>'Actual RAB roll forward'!M513</f>
        <v>0</v>
      </c>
      <c r="N51" s="114">
        <f>'Actual RAB roll forward'!N513</f>
        <v>0</v>
      </c>
      <c r="O51" s="114">
        <f>'Actual RAB roll forward'!O513</f>
        <v>0</v>
      </c>
      <c r="P51" s="114">
        <f>'Actual RAB roll forward'!P513</f>
        <v>0</v>
      </c>
      <c r="Q51" s="114">
        <f>'Actual RAB roll forward'!Q513</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7"/>
      <c r="BL51" s="227"/>
    </row>
    <row r="52" spans="1:64" hidden="1" outlineLevel="1">
      <c r="A52" s="9"/>
      <c r="B52" s="9"/>
      <c r="C52" s="44"/>
      <c r="D52" s="278" t="str">
        <f>Asset13</f>
        <v>Substation assets - long life (60)</v>
      </c>
      <c r="E52" s="9"/>
      <c r="F52" s="9"/>
      <c r="G52" s="207">
        <f>'Actual RAB roll forward'!G514</f>
        <v>0</v>
      </c>
      <c r="H52" s="370">
        <f>'Actual RAB roll forward'!H514</f>
        <v>9.2167627969177257</v>
      </c>
      <c r="I52" s="370">
        <f>'Actual RAB roll forward'!I514</f>
        <v>13.017721081367274</v>
      </c>
      <c r="J52" s="370">
        <f>'Actual RAB roll forward'!J514</f>
        <v>15.340235231720985</v>
      </c>
      <c r="K52" s="370">
        <f>'Actual RAB roll forward'!K514</f>
        <v>10.793912191074055</v>
      </c>
      <c r="L52" s="370">
        <f>'Actual RAB roll forward'!L514</f>
        <v>11.276449240300483</v>
      </c>
      <c r="M52" s="114">
        <f>'Actual RAB roll forward'!M514</f>
        <v>0</v>
      </c>
      <c r="N52" s="114">
        <f>'Actual RAB roll forward'!N514</f>
        <v>0</v>
      </c>
      <c r="O52" s="114">
        <f>'Actual RAB roll forward'!O514</f>
        <v>0</v>
      </c>
      <c r="P52" s="114">
        <f>'Actual RAB roll forward'!P514</f>
        <v>0</v>
      </c>
      <c r="Q52" s="114">
        <f>'Actual RAB roll forward'!Q514</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7"/>
      <c r="BL52" s="227"/>
    </row>
    <row r="53" spans="1:64" hidden="1" outlineLevel="1">
      <c r="A53" s="9"/>
      <c r="B53" s="9"/>
      <c r="C53" s="44"/>
      <c r="D53" s="278" t="str">
        <f>Asset14</f>
        <v>Substation assets - medium life (45)</v>
      </c>
      <c r="E53" s="9"/>
      <c r="F53" s="9"/>
      <c r="G53" s="207">
        <f>'Actual RAB roll forward'!G515</f>
        <v>0</v>
      </c>
      <c r="H53" s="370">
        <f>'Actual RAB roll forward'!H515</f>
        <v>27.093289042706839</v>
      </c>
      <c r="I53" s="370">
        <f>'Actual RAB roll forward'!I515</f>
        <v>35.072015534751628</v>
      </c>
      <c r="J53" s="370">
        <f>'Actual RAB roll forward'!J515</f>
        <v>36.747643145286681</v>
      </c>
      <c r="K53" s="370">
        <f>'Actual RAB roll forward'!K515</f>
        <v>28.77327613228001</v>
      </c>
      <c r="L53" s="370">
        <f>'Actual RAB roll forward'!L515</f>
        <v>24.48635230970886</v>
      </c>
      <c r="M53" s="114">
        <f>'Actual RAB roll forward'!M515</f>
        <v>0</v>
      </c>
      <c r="N53" s="114">
        <f>'Actual RAB roll forward'!N515</f>
        <v>0</v>
      </c>
      <c r="O53" s="114">
        <f>'Actual RAB roll forward'!O515</f>
        <v>0</v>
      </c>
      <c r="P53" s="114">
        <f>'Actual RAB roll forward'!P515</f>
        <v>0</v>
      </c>
      <c r="Q53" s="114">
        <f>'Actual RAB roll forward'!Q515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7"/>
      <c r="BL53" s="227"/>
    </row>
    <row r="54" spans="1:64" hidden="1" outlineLevel="1">
      <c r="A54" s="9"/>
      <c r="B54" s="9"/>
      <c r="C54" s="44"/>
      <c r="D54" s="278" t="str">
        <f>Asset15</f>
        <v>Substation assets - short life (15)</v>
      </c>
      <c r="E54" s="9"/>
      <c r="F54" s="9"/>
      <c r="G54" s="207">
        <f>'Actual RAB roll forward'!G516</f>
        <v>0</v>
      </c>
      <c r="H54" s="370">
        <f>'Actual RAB roll forward'!H516</f>
        <v>3.8149200630343612</v>
      </c>
      <c r="I54" s="370">
        <f>'Actual RAB roll forward'!I516</f>
        <v>2.8436769352501328</v>
      </c>
      <c r="J54" s="370">
        <f>'Actual RAB roll forward'!J516</f>
        <v>3.0910208499587553</v>
      </c>
      <c r="K54" s="370">
        <f>'Actual RAB roll forward'!K516</f>
        <v>2.7692835942114198</v>
      </c>
      <c r="L54" s="370">
        <f>'Actual RAB roll forward'!L516</f>
        <v>5.4675372512194214</v>
      </c>
      <c r="M54" s="114">
        <f>'Actual RAB roll forward'!M516</f>
        <v>0</v>
      </c>
      <c r="N54" s="114">
        <f>'Actual RAB roll forward'!N516</f>
        <v>0</v>
      </c>
      <c r="O54" s="114">
        <f>'Actual RAB roll forward'!O516</f>
        <v>0</v>
      </c>
      <c r="P54" s="114">
        <f>'Actual RAB roll forward'!P516</f>
        <v>0</v>
      </c>
      <c r="Q54" s="114">
        <f>'Actual RAB roll forward'!Q516</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7"/>
      <c r="BL54" s="227"/>
    </row>
    <row r="55" spans="1:64" hidden="1" outlineLevel="1">
      <c r="A55" s="9"/>
      <c r="B55" s="9"/>
      <c r="C55" s="44"/>
      <c r="D55" s="278" t="str">
        <f>Asset16</f>
        <v>Protection and control - short life (15)</v>
      </c>
      <c r="E55" s="9"/>
      <c r="F55" s="9"/>
      <c r="G55" s="207">
        <f>'Actual RAB roll forward'!G517</f>
        <v>0</v>
      </c>
      <c r="H55" s="370">
        <f>'Actual RAB roll forward'!H517</f>
        <v>12.474683511905747</v>
      </c>
      <c r="I55" s="370">
        <f>'Actual RAB roll forward'!I517</f>
        <v>14.766055789706243</v>
      </c>
      <c r="J55" s="370">
        <f>'Actual RAB roll forward'!J517</f>
        <v>30.85903957335513</v>
      </c>
      <c r="K55" s="370">
        <f>'Actual RAB roll forward'!K517</f>
        <v>17.276553332068968</v>
      </c>
      <c r="L55" s="370">
        <f>'Actual RAB roll forward'!L517</f>
        <v>14.605535349199268</v>
      </c>
      <c r="M55" s="114">
        <f>'Actual RAB roll forward'!M517</f>
        <v>0</v>
      </c>
      <c r="N55" s="114">
        <f>'Actual RAB roll forward'!N517</f>
        <v>0</v>
      </c>
      <c r="O55" s="114">
        <f>'Actual RAB roll forward'!O517</f>
        <v>0</v>
      </c>
      <c r="P55" s="114">
        <f>'Actual RAB roll forward'!P517</f>
        <v>0</v>
      </c>
      <c r="Q55" s="114">
        <f>'Actual RAB roll forward'!Q517</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7"/>
      <c r="BL55" s="227"/>
    </row>
    <row r="56" spans="1:64" hidden="1" outlineLevel="1">
      <c r="A56" s="9"/>
      <c r="B56" s="9"/>
      <c r="C56" s="44"/>
      <c r="D56" s="278" t="str">
        <f>Asset17</f>
        <v>Protection and control - short life (4)</v>
      </c>
      <c r="E56" s="9"/>
      <c r="F56" s="9"/>
      <c r="G56" s="207">
        <f>'Actual RAB roll forward'!G518</f>
        <v>0</v>
      </c>
      <c r="H56" s="370">
        <f>'Actual RAB roll forward'!H518</f>
        <v>0.26273554153129208</v>
      </c>
      <c r="I56" s="370">
        <f>'Actual RAB roll forward'!I518</f>
        <v>0.38968906149724036</v>
      </c>
      <c r="J56" s="370">
        <f>'Actual RAB roll forward'!J518</f>
        <v>0.99205061062865463</v>
      </c>
      <c r="K56" s="370">
        <f>'Actual RAB roll forward'!K518</f>
        <v>0</v>
      </c>
      <c r="L56" s="370">
        <f>'Actual RAB roll forward'!L518</f>
        <v>0</v>
      </c>
      <c r="M56" s="114">
        <f>'Actual RAB roll forward'!M518</f>
        <v>0</v>
      </c>
      <c r="N56" s="114">
        <f>'Actual RAB roll forward'!N518</f>
        <v>0</v>
      </c>
      <c r="O56" s="114">
        <f>'Actual RAB roll forward'!O518</f>
        <v>0</v>
      </c>
      <c r="P56" s="114">
        <f>'Actual RAB roll forward'!P518</f>
        <v>0</v>
      </c>
      <c r="Q56" s="114">
        <f>'Actual RAB roll forward'!Q518</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7"/>
      <c r="BL56" s="227"/>
    </row>
    <row r="57" spans="1:64" hidden="1" outlineLevel="1">
      <c r="A57" s="9"/>
      <c r="B57" s="9"/>
      <c r="C57" s="44"/>
      <c r="D57" s="278" t="str">
        <f>Asset18</f>
        <v>Transmission operations - short life (10)</v>
      </c>
      <c r="E57" s="9"/>
      <c r="F57" s="9"/>
      <c r="G57" s="207">
        <f>'Actual RAB roll forward'!G519</f>
        <v>0</v>
      </c>
      <c r="H57" s="370">
        <f>'Actual RAB roll forward'!H519</f>
        <v>1.2611305993502018</v>
      </c>
      <c r="I57" s="370">
        <f>'Actual RAB roll forward'!I519</f>
        <v>2.1380237698362108</v>
      </c>
      <c r="J57" s="370">
        <f>'Actual RAB roll forward'!J519</f>
        <v>2.1929539813896577</v>
      </c>
      <c r="K57" s="370">
        <f>'Actual RAB roll forward'!K519</f>
        <v>2.1294112485792351</v>
      </c>
      <c r="L57" s="370">
        <f>'Actual RAB roll forward'!L519</f>
        <v>0.92089198929964999</v>
      </c>
      <c r="M57" s="114">
        <f>'Actual RAB roll forward'!M519</f>
        <v>0</v>
      </c>
      <c r="N57" s="114">
        <f>'Actual RAB roll forward'!N519</f>
        <v>0</v>
      </c>
      <c r="O57" s="114">
        <f>'Actual RAB roll forward'!O519</f>
        <v>0</v>
      </c>
      <c r="P57" s="114">
        <f>'Actual RAB roll forward'!P519</f>
        <v>0</v>
      </c>
      <c r="Q57" s="114">
        <f>'Actual RAB roll forward'!Q519</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7"/>
      <c r="BL57" s="227"/>
    </row>
    <row r="58" spans="1:64" hidden="1" outlineLevel="1">
      <c r="A58" s="9"/>
      <c r="B58" s="9"/>
      <c r="C58" s="44"/>
      <c r="D58" s="278" t="str">
        <f>Asset19</f>
        <v>Transmission operations - short life (4)</v>
      </c>
      <c r="E58" s="9"/>
      <c r="F58" s="9"/>
      <c r="G58" s="207">
        <f>'Actual RAB roll forward'!G520</f>
        <v>0</v>
      </c>
      <c r="H58" s="370">
        <f>'Actual RAB roll forward'!H520</f>
        <v>1.0509421661251683E-2</v>
      </c>
      <c r="I58" s="370">
        <f>'Actual RAB roll forward'!I520</f>
        <v>0</v>
      </c>
      <c r="J58" s="370">
        <f>'Actual RAB roll forward'!J520</f>
        <v>0.14619693209264387</v>
      </c>
      <c r="K58" s="370">
        <f>'Actual RAB roll forward'!K520</f>
        <v>0</v>
      </c>
      <c r="L58" s="370">
        <f>'Actual RAB roll forward'!L520</f>
        <v>0</v>
      </c>
      <c r="M58" s="114">
        <f>'Actual RAB roll forward'!M520</f>
        <v>0</v>
      </c>
      <c r="N58" s="114">
        <f>'Actual RAB roll forward'!N520</f>
        <v>0</v>
      </c>
      <c r="O58" s="114">
        <f>'Actual RAB roll forward'!O520</f>
        <v>0</v>
      </c>
      <c r="P58" s="114">
        <f>'Actual RAB roll forward'!P520</f>
        <v>0</v>
      </c>
      <c r="Q58" s="114">
        <f>'Actual RAB roll forward'!Q520</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7"/>
      <c r="BL58" s="227"/>
    </row>
    <row r="59" spans="1:64" hidden="1" outlineLevel="1">
      <c r="A59" s="9"/>
      <c r="B59" s="9"/>
      <c r="C59" s="44"/>
      <c r="D59" s="278" t="str">
        <f>Asset20</f>
        <v>Other - medium life (40)</v>
      </c>
      <c r="E59" s="9"/>
      <c r="F59" s="9"/>
      <c r="G59" s="207">
        <f>'Actual RAB roll forward'!G521</f>
        <v>0</v>
      </c>
      <c r="H59" s="370">
        <f>'Actual RAB roll forward'!H521</f>
        <v>11.570873249038103</v>
      </c>
      <c r="I59" s="370">
        <f>'Actual RAB roll forward'!I521</f>
        <v>9.8580800422004593</v>
      </c>
      <c r="J59" s="370">
        <f>'Actual RAB roll forward'!J521</f>
        <v>0.71949775865594012</v>
      </c>
      <c r="K59" s="370">
        <f>'Actual RAB roll forward'!K521</f>
        <v>0.22028392226681745</v>
      </c>
      <c r="L59" s="370">
        <f>'Actual RAB roll forward'!L521</f>
        <v>2.5582728157446906</v>
      </c>
      <c r="M59" s="114">
        <f>'Actual RAB roll forward'!M521</f>
        <v>0</v>
      </c>
      <c r="N59" s="114">
        <f>'Actual RAB roll forward'!N521</f>
        <v>0</v>
      </c>
      <c r="O59" s="114">
        <f>'Actual RAB roll forward'!O521</f>
        <v>0</v>
      </c>
      <c r="P59" s="114">
        <f>'Actual RAB roll forward'!P521</f>
        <v>0</v>
      </c>
      <c r="Q59" s="114">
        <f>'Actual RAB roll forward'!Q521</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7"/>
      <c r="BL59" s="227"/>
    </row>
    <row r="60" spans="1:64" hidden="1" outlineLevel="1">
      <c r="A60" s="9"/>
      <c r="B60" s="9"/>
      <c r="C60" s="44"/>
      <c r="D60" s="278" t="str">
        <f>Asset21</f>
        <v>Other - short life (9)</v>
      </c>
      <c r="E60" s="9"/>
      <c r="F60" s="9"/>
      <c r="G60" s="207">
        <f>'Actual RAB roll forward'!G522</f>
        <v>0</v>
      </c>
      <c r="H60" s="370">
        <f>'Actual RAB roll forward'!H522</f>
        <v>0.39935802312756402</v>
      </c>
      <c r="I60" s="370">
        <f>'Actual RAB roll forward'!I522</f>
        <v>0.50554256626669025</v>
      </c>
      <c r="J60" s="370">
        <f>'Actual RAB roll forward'!J522</f>
        <v>0.72263055005792542</v>
      </c>
      <c r="K60" s="370">
        <f>'Actual RAB roll forward'!K522</f>
        <v>0.21503906697475039</v>
      </c>
      <c r="L60" s="370">
        <f>'Actual RAB roll forward'!L522</f>
        <v>0.52876307226373143</v>
      </c>
      <c r="M60" s="114">
        <f>'Actual RAB roll forward'!M522</f>
        <v>0</v>
      </c>
      <c r="N60" s="114">
        <f>'Actual RAB roll forward'!N522</f>
        <v>0</v>
      </c>
      <c r="O60" s="114">
        <f>'Actual RAB roll forward'!O522</f>
        <v>0</v>
      </c>
      <c r="P60" s="114">
        <f>'Actual RAB roll forward'!P522</f>
        <v>0</v>
      </c>
      <c r="Q60" s="114">
        <f>'Actual RAB roll forward'!Q522</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7"/>
      <c r="BL60" s="227"/>
    </row>
    <row r="61" spans="1:64" hidden="1" outlineLevel="1">
      <c r="A61" s="9"/>
      <c r="B61" s="9"/>
      <c r="C61" s="44"/>
      <c r="D61" s="278" t="str">
        <f>Asset22</f>
        <v>Other - short life (4)</v>
      </c>
      <c r="E61" s="9"/>
      <c r="F61" s="9"/>
      <c r="G61" s="207">
        <f>'Actual RAB roll forward'!G523</f>
        <v>0</v>
      </c>
      <c r="H61" s="370">
        <f>'Actual RAB roll forward'!H523</f>
        <v>3.1107888117304978</v>
      </c>
      <c r="I61" s="370">
        <f>'Actual RAB roll forward'!I523</f>
        <v>3.5556493827423874</v>
      </c>
      <c r="J61" s="370">
        <f>'Actual RAB roll forward'!J523</f>
        <v>4.9498104151366569</v>
      </c>
      <c r="K61" s="370">
        <f>'Actual RAB roll forward'!K523</f>
        <v>2.0350038533220278</v>
      </c>
      <c r="L61" s="370">
        <f>'Actual RAB roll forward'!L523</f>
        <v>2.318069767356294</v>
      </c>
      <c r="M61" s="114">
        <f>'Actual RAB roll forward'!M523</f>
        <v>0</v>
      </c>
      <c r="N61" s="114">
        <f>'Actual RAB roll forward'!N523</f>
        <v>0</v>
      </c>
      <c r="O61" s="114">
        <f>'Actual RAB roll forward'!O523</f>
        <v>0</v>
      </c>
      <c r="P61" s="114">
        <f>'Actual RAB roll forward'!P523</f>
        <v>0</v>
      </c>
      <c r="Q61" s="114">
        <f>'Actual RAB roll forward'!Q523</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7"/>
      <c r="BL61" s="227"/>
    </row>
    <row r="62" spans="1:64" hidden="1" outlineLevel="1">
      <c r="A62" s="9"/>
      <c r="B62" s="9"/>
      <c r="C62" s="44"/>
      <c r="D62" s="278" t="str">
        <f>Asset23</f>
        <v>Land and Easements</v>
      </c>
      <c r="E62" s="9"/>
      <c r="F62" s="9"/>
      <c r="G62" s="207">
        <f>'Actual RAB roll forward'!G524</f>
        <v>0</v>
      </c>
      <c r="H62" s="370">
        <f>'Actual RAB roll forward'!H524</f>
        <v>0.55699934804633922</v>
      </c>
      <c r="I62" s="370">
        <f>'Actual RAB roll forward'!I524</f>
        <v>1.4007741940306209</v>
      </c>
      <c r="J62" s="370">
        <f>'Actual RAB roll forward'!J524</f>
        <v>2.4049395329239913</v>
      </c>
      <c r="K62" s="370">
        <f>'Actual RAB roll forward'!K524</f>
        <v>0.66085176680045243</v>
      </c>
      <c r="L62" s="370">
        <f>'Actual RAB roll forward'!L524</f>
        <v>1.2887464849738366</v>
      </c>
      <c r="M62" s="114">
        <f>'Actual RAB roll forward'!M524</f>
        <v>0</v>
      </c>
      <c r="N62" s="114">
        <f>'Actual RAB roll forward'!N524</f>
        <v>0</v>
      </c>
      <c r="O62" s="114">
        <f>'Actual RAB roll forward'!O524</f>
        <v>0</v>
      </c>
      <c r="P62" s="114">
        <f>'Actual RAB roll forward'!P524</f>
        <v>0</v>
      </c>
      <c r="Q62" s="114">
        <f>'Actual RAB roll forward'!Q524</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7"/>
      <c r="BL62" s="227"/>
    </row>
    <row r="63" spans="1:64" hidden="1" outlineLevel="1">
      <c r="A63" s="9"/>
      <c r="B63" s="9"/>
      <c r="C63" s="44"/>
      <c r="D63" s="278" t="str">
        <f>Asset24</f>
        <v>Equity Raising</v>
      </c>
      <c r="E63" s="9"/>
      <c r="F63" s="9"/>
      <c r="G63" s="207">
        <f>'Actual RAB roll forward'!G525</f>
        <v>0</v>
      </c>
      <c r="H63" s="370">
        <f>'Actual RAB roll forward'!H525</f>
        <v>0.44485041313161061</v>
      </c>
      <c r="I63" s="370">
        <f>'Actual RAB roll forward'!I525</f>
        <v>0</v>
      </c>
      <c r="J63" s="370">
        <f>'Actual RAB roll forward'!J525</f>
        <v>0</v>
      </c>
      <c r="K63" s="370">
        <f>'Actual RAB roll forward'!K525</f>
        <v>0</v>
      </c>
      <c r="L63" s="370">
        <f>'Actual RAB roll forward'!L525</f>
        <v>0</v>
      </c>
      <c r="M63" s="114">
        <f>'Actual RAB roll forward'!M525</f>
        <v>0</v>
      </c>
      <c r="N63" s="114">
        <f>'Actual RAB roll forward'!N525</f>
        <v>0</v>
      </c>
      <c r="O63" s="114">
        <f>'Actual RAB roll forward'!O525</f>
        <v>0</v>
      </c>
      <c r="P63" s="114">
        <f>'Actual RAB roll forward'!P525</f>
        <v>0</v>
      </c>
      <c r="Q63" s="114">
        <f>'Actual RAB roll forward'!Q525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7"/>
      <c r="BL63" s="227"/>
    </row>
    <row r="64" spans="1:64" hidden="1" outlineLevel="1">
      <c r="A64" s="9"/>
      <c r="B64" s="9"/>
      <c r="C64" s="44"/>
      <c r="D64" s="278">
        <f>Asset25</f>
        <v>0</v>
      </c>
      <c r="E64" s="9"/>
      <c r="F64" s="9"/>
      <c r="G64" s="207">
        <f>'Actual RAB roll forward'!G526</f>
        <v>0</v>
      </c>
      <c r="H64" s="370">
        <f>'Actual RAB roll forward'!H526</f>
        <v>0</v>
      </c>
      <c r="I64" s="370">
        <f>'Actual RAB roll forward'!I526</f>
        <v>0</v>
      </c>
      <c r="J64" s="370">
        <f>'Actual RAB roll forward'!J526</f>
        <v>0</v>
      </c>
      <c r="K64" s="370">
        <f>'Actual RAB roll forward'!K526</f>
        <v>0</v>
      </c>
      <c r="L64" s="370">
        <f>'Actual RAB roll forward'!L526</f>
        <v>0</v>
      </c>
      <c r="M64" s="114">
        <f>'Actual RAB roll forward'!M526</f>
        <v>0</v>
      </c>
      <c r="N64" s="114">
        <f>'Actual RAB roll forward'!N526</f>
        <v>0</v>
      </c>
      <c r="O64" s="114">
        <f>'Actual RAB roll forward'!O526</f>
        <v>0</v>
      </c>
      <c r="P64" s="114">
        <f>'Actual RAB roll forward'!P526</f>
        <v>0</v>
      </c>
      <c r="Q64" s="114">
        <f>'Actual RAB roll forward'!Q526</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7"/>
      <c r="BL64" s="227"/>
    </row>
    <row r="65" spans="1:64" hidden="1" outlineLevel="1">
      <c r="A65" s="9"/>
      <c r="B65" s="9"/>
      <c r="C65" s="44"/>
      <c r="D65" s="278">
        <f>Asset26</f>
        <v>0</v>
      </c>
      <c r="E65" s="9"/>
      <c r="F65" s="9"/>
      <c r="G65" s="207">
        <f>'Actual RAB roll forward'!G527</f>
        <v>0</v>
      </c>
      <c r="H65" s="370">
        <f>'Actual RAB roll forward'!H527</f>
        <v>0</v>
      </c>
      <c r="I65" s="370">
        <f>'Actual RAB roll forward'!I527</f>
        <v>0</v>
      </c>
      <c r="J65" s="370">
        <f>'Actual RAB roll forward'!J527</f>
        <v>0</v>
      </c>
      <c r="K65" s="370">
        <f>'Actual RAB roll forward'!K527</f>
        <v>0</v>
      </c>
      <c r="L65" s="370">
        <f>'Actual RAB roll forward'!L527</f>
        <v>0</v>
      </c>
      <c r="M65" s="114">
        <f>'Actual RAB roll forward'!M527</f>
        <v>0</v>
      </c>
      <c r="N65" s="114">
        <f>'Actual RAB roll forward'!N527</f>
        <v>0</v>
      </c>
      <c r="O65" s="114">
        <f>'Actual RAB roll forward'!O527</f>
        <v>0</v>
      </c>
      <c r="P65" s="114">
        <f>'Actual RAB roll forward'!P527</f>
        <v>0</v>
      </c>
      <c r="Q65" s="114">
        <f>'Actual RAB roll forward'!Q527</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7"/>
      <c r="BL65" s="227"/>
    </row>
    <row r="66" spans="1:64" hidden="1" outlineLevel="1">
      <c r="A66" s="9"/>
      <c r="B66" s="9"/>
      <c r="C66" s="44"/>
      <c r="D66" s="278">
        <f>Asset27</f>
        <v>0</v>
      </c>
      <c r="E66" s="9"/>
      <c r="F66" s="9"/>
      <c r="G66" s="207">
        <f>'Actual RAB roll forward'!G528</f>
        <v>0</v>
      </c>
      <c r="H66" s="370">
        <f>'Actual RAB roll forward'!H528</f>
        <v>0</v>
      </c>
      <c r="I66" s="370">
        <f>'Actual RAB roll forward'!I528</f>
        <v>0</v>
      </c>
      <c r="J66" s="370">
        <f>'Actual RAB roll forward'!J528</f>
        <v>0</v>
      </c>
      <c r="K66" s="370">
        <f>'Actual RAB roll forward'!K528</f>
        <v>0</v>
      </c>
      <c r="L66" s="370">
        <f>'Actual RAB roll forward'!L528</f>
        <v>0</v>
      </c>
      <c r="M66" s="114">
        <f>'Actual RAB roll forward'!M528</f>
        <v>0</v>
      </c>
      <c r="N66" s="114">
        <f>'Actual RAB roll forward'!N528</f>
        <v>0</v>
      </c>
      <c r="O66" s="114">
        <f>'Actual RAB roll forward'!O528</f>
        <v>0</v>
      </c>
      <c r="P66" s="114">
        <f>'Actual RAB roll forward'!P528</f>
        <v>0</v>
      </c>
      <c r="Q66" s="114">
        <f>'Actual RAB roll forward'!Q528</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7"/>
      <c r="BL66" s="227"/>
    </row>
    <row r="67" spans="1:64" hidden="1" outlineLevel="1">
      <c r="A67" s="9"/>
      <c r="B67" s="9"/>
      <c r="C67" s="44"/>
      <c r="D67" s="278">
        <f>Asset28</f>
        <v>0</v>
      </c>
      <c r="E67" s="9"/>
      <c r="F67" s="9"/>
      <c r="G67" s="207">
        <f>'Actual RAB roll forward'!G529</f>
        <v>0</v>
      </c>
      <c r="H67" s="370">
        <f>'Actual RAB roll forward'!H529</f>
        <v>0</v>
      </c>
      <c r="I67" s="370">
        <f>'Actual RAB roll forward'!I529</f>
        <v>0</v>
      </c>
      <c r="J67" s="370">
        <f>'Actual RAB roll forward'!J529</f>
        <v>0</v>
      </c>
      <c r="K67" s="370">
        <f>'Actual RAB roll forward'!K529</f>
        <v>0</v>
      </c>
      <c r="L67" s="370">
        <f>'Actual RAB roll forward'!L529</f>
        <v>0</v>
      </c>
      <c r="M67" s="114">
        <f>'Actual RAB roll forward'!M529</f>
        <v>0</v>
      </c>
      <c r="N67" s="114">
        <f>'Actual RAB roll forward'!N529</f>
        <v>0</v>
      </c>
      <c r="O67" s="114">
        <f>'Actual RAB roll forward'!O529</f>
        <v>0</v>
      </c>
      <c r="P67" s="114">
        <f>'Actual RAB roll forward'!P529</f>
        <v>0</v>
      </c>
      <c r="Q67" s="114">
        <f>'Actual RAB roll forward'!Q529</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7"/>
      <c r="BL67" s="227"/>
    </row>
    <row r="68" spans="1:64" hidden="1" outlineLevel="1">
      <c r="A68" s="9"/>
      <c r="B68" s="9"/>
      <c r="C68" s="44"/>
      <c r="D68" s="278">
        <f>Asset29</f>
        <v>0</v>
      </c>
      <c r="E68" s="9"/>
      <c r="F68" s="9"/>
      <c r="G68" s="207">
        <f>'Actual RAB roll forward'!G530</f>
        <v>0</v>
      </c>
      <c r="H68" s="370">
        <f>'Actual RAB roll forward'!H530</f>
        <v>0</v>
      </c>
      <c r="I68" s="370">
        <f>'Actual RAB roll forward'!I530</f>
        <v>0</v>
      </c>
      <c r="J68" s="370">
        <f>'Actual RAB roll forward'!J530</f>
        <v>0</v>
      </c>
      <c r="K68" s="370">
        <f>'Actual RAB roll forward'!K530</f>
        <v>0</v>
      </c>
      <c r="L68" s="370">
        <f>'Actual RAB roll forward'!L530</f>
        <v>0</v>
      </c>
      <c r="M68" s="114">
        <f>'Actual RAB roll forward'!M530</f>
        <v>0</v>
      </c>
      <c r="N68" s="114">
        <f>'Actual RAB roll forward'!N530</f>
        <v>0</v>
      </c>
      <c r="O68" s="114">
        <f>'Actual RAB roll forward'!O530</f>
        <v>0</v>
      </c>
      <c r="P68" s="114">
        <f>'Actual RAB roll forward'!P530</f>
        <v>0</v>
      </c>
      <c r="Q68" s="114">
        <f>'Actual RAB roll forward'!Q530</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7"/>
      <c r="BL68" s="227"/>
    </row>
    <row r="69" spans="1:64" hidden="1" outlineLevel="1">
      <c r="A69" s="9"/>
      <c r="B69" s="9"/>
      <c r="C69" s="44"/>
      <c r="D69" s="278">
        <f>Asset30</f>
        <v>0</v>
      </c>
      <c r="E69" s="9"/>
      <c r="F69" s="9"/>
      <c r="G69" s="207">
        <f>'Actual RAB roll forward'!G531</f>
        <v>0</v>
      </c>
      <c r="H69" s="370">
        <f>'Actual RAB roll forward'!H531</f>
        <v>0</v>
      </c>
      <c r="I69" s="370">
        <f>'Actual RAB roll forward'!I531</f>
        <v>0</v>
      </c>
      <c r="J69" s="370">
        <f>'Actual RAB roll forward'!J531</f>
        <v>0</v>
      </c>
      <c r="K69" s="370">
        <f>'Actual RAB roll forward'!K531</f>
        <v>0</v>
      </c>
      <c r="L69" s="370">
        <f>'Actual RAB roll forward'!L531</f>
        <v>0</v>
      </c>
      <c r="M69" s="114">
        <f>'Actual RAB roll forward'!M531</f>
        <v>0</v>
      </c>
      <c r="N69" s="114">
        <f>'Actual RAB roll forward'!N531</f>
        <v>0</v>
      </c>
      <c r="O69" s="114">
        <f>'Actual RAB roll forward'!O531</f>
        <v>0</v>
      </c>
      <c r="P69" s="114">
        <f>'Actual RAB roll forward'!P531</f>
        <v>0</v>
      </c>
      <c r="Q69" s="114">
        <f>'Actual RAB roll forward'!Q531</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7"/>
      <c r="BL69" s="227"/>
    </row>
    <row r="70" spans="1:64" collapsed="1">
      <c r="A70" s="9"/>
      <c r="B70" s="9"/>
      <c r="C70" s="44"/>
      <c r="D70" s="116"/>
      <c r="E70" s="9"/>
      <c r="F70" s="9"/>
      <c r="G70" s="216"/>
      <c r="H70" s="371"/>
      <c r="I70" s="371"/>
      <c r="J70" s="371"/>
      <c r="K70" s="371"/>
      <c r="L70" s="371"/>
      <c r="M70" s="35"/>
      <c r="N70" s="104"/>
      <c r="O70" s="29"/>
      <c r="P70" s="29"/>
      <c r="Q70" s="29"/>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7"/>
      <c r="BL70" s="227"/>
    </row>
    <row r="71" spans="1:64">
      <c r="A71" s="9"/>
      <c r="B71" s="9"/>
      <c r="C71" s="233" t="s">
        <v>71</v>
      </c>
      <c r="D71" s="12"/>
      <c r="E71" s="9"/>
      <c r="F71" s="9"/>
      <c r="G71" s="208">
        <f>SUM(G72:G101)</f>
        <v>-22.262805038529823</v>
      </c>
      <c r="H71" s="371">
        <f>SUM(H72:H101)</f>
        <v>-22.362778318083286</v>
      </c>
      <c r="I71" s="371">
        <f t="shared" ref="I71:P71" si="8">SUM(I72:I101)</f>
        <v>-18.765947805949647</v>
      </c>
      <c r="J71" s="371">
        <f t="shared" si="8"/>
        <v>-31.131369874986259</v>
      </c>
      <c r="K71" s="371">
        <f t="shared" si="8"/>
        <v>-24.534265388253054</v>
      </c>
      <c r="L71" s="371">
        <f t="shared" si="8"/>
        <v>-28.987467434613915</v>
      </c>
      <c r="M71" s="35">
        <f t="shared" si="8"/>
        <v>0</v>
      </c>
      <c r="N71" s="35">
        <f t="shared" si="8"/>
        <v>0</v>
      </c>
      <c r="O71" s="35">
        <f t="shared" si="8"/>
        <v>0</v>
      </c>
      <c r="P71" s="35">
        <f t="shared" si="8"/>
        <v>0</v>
      </c>
      <c r="Q71" s="35">
        <f>SUM(Q72:Q101)</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7"/>
      <c r="BL71" s="227"/>
    </row>
    <row r="72" spans="1:64" hidden="1" outlineLevel="1">
      <c r="A72" s="9"/>
      <c r="B72" s="9"/>
      <c r="C72" s="44"/>
      <c r="D72" s="278" t="str">
        <f>Asset1</f>
        <v>Transmission Lines and Cables</v>
      </c>
      <c r="E72" s="9"/>
      <c r="F72" s="9"/>
      <c r="G72" s="207">
        <f>'Actual RAB roll forward'!G534</f>
        <v>-6.5708704093471146</v>
      </c>
      <c r="H72" s="114">
        <f>'Actual RAB roll forward'!H534</f>
        <v>-5.8217047181963562</v>
      </c>
      <c r="I72" s="114">
        <f>'Actual RAB roll forward'!I534</f>
        <v>-5.121202117070105</v>
      </c>
      <c r="J72" s="114">
        <f>'Actual RAB roll forward'!J534</f>
        <v>-10.727037768483886</v>
      </c>
      <c r="K72" s="114">
        <f>'Actual RAB roll forward'!K534</f>
        <v>-8.6410914603044979</v>
      </c>
      <c r="L72" s="114">
        <f>'Actual RAB roll forward'!L534</f>
        <v>-9.2523777466326536</v>
      </c>
      <c r="M72" s="114">
        <f>'Actual RAB roll forward'!M534</f>
        <v>0</v>
      </c>
      <c r="N72" s="114">
        <f>'Actual RAB roll forward'!N534</f>
        <v>0</v>
      </c>
      <c r="O72" s="114">
        <f>'Actual RAB roll forward'!O534</f>
        <v>0</v>
      </c>
      <c r="P72" s="114">
        <f>'Actual RAB roll forward'!P534</f>
        <v>0</v>
      </c>
      <c r="Q72" s="114">
        <f>'Actual RAB roll forward'!Q534</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7"/>
      <c r="BL72" s="227"/>
    </row>
    <row r="73" spans="1:64" hidden="1" outlineLevel="1">
      <c r="A73" s="9"/>
      <c r="B73" s="9"/>
      <c r="C73" s="44"/>
      <c r="D73" s="278" t="str">
        <f>Asset2</f>
        <v>Transmission Substations</v>
      </c>
      <c r="E73" s="9"/>
      <c r="F73" s="9"/>
      <c r="G73" s="207">
        <f>'Actual RAB roll forward'!G535</f>
        <v>-4.6151674774377103</v>
      </c>
      <c r="H73" s="114">
        <f>'Actual RAB roll forward'!H535</f>
        <v>-2.9425085905477655</v>
      </c>
      <c r="I73" s="114">
        <f>'Actual RAB roll forward'!I535</f>
        <v>-1.7086724806096676</v>
      </c>
      <c r="J73" s="114">
        <f>'Actual RAB roll forward'!J535</f>
        <v>-9.0181559258938808</v>
      </c>
      <c r="K73" s="114">
        <f>'Actual RAB roll forward'!K535</f>
        <v>-5.937226165701162</v>
      </c>
      <c r="L73" s="114">
        <f>'Actual RAB roll forward'!L535</f>
        <v>-6.4800005480393725</v>
      </c>
      <c r="M73" s="114">
        <f>'Actual RAB roll forward'!M535</f>
        <v>0</v>
      </c>
      <c r="N73" s="114">
        <f>'Actual RAB roll forward'!N535</f>
        <v>0</v>
      </c>
      <c r="O73" s="114">
        <f>'Actual RAB roll forward'!O535</f>
        <v>0</v>
      </c>
      <c r="P73" s="114">
        <f>'Actual RAB roll forward'!P535</f>
        <v>0</v>
      </c>
      <c r="Q73" s="114">
        <f>'Actual RAB roll forward'!Q535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7"/>
      <c r="BL73" s="227"/>
    </row>
    <row r="74" spans="1:64" hidden="1" outlineLevel="1">
      <c r="A74" s="9"/>
      <c r="B74" s="9"/>
      <c r="C74" s="44"/>
      <c r="D74" s="278" t="str">
        <f>Asset3</f>
        <v>Protection and Control</v>
      </c>
      <c r="E74" s="9"/>
      <c r="F74" s="9"/>
      <c r="G74" s="207">
        <f>'Actual RAB roll forward'!G536</f>
        <v>-5.514909320251248</v>
      </c>
      <c r="H74" s="114">
        <f>'Actual RAB roll forward'!H536</f>
        <v>-4.5097523028438911</v>
      </c>
      <c r="I74" s="114">
        <f>'Actual RAB roll forward'!I536</f>
        <v>-4.6099610728360485</v>
      </c>
      <c r="J74" s="114">
        <f>'Actual RAB roll forward'!J536</f>
        <v>-5.6774037327728735</v>
      </c>
      <c r="K74" s="114">
        <f>'Actual RAB roll forward'!K536</f>
        <v>-5.5462581674725628</v>
      </c>
      <c r="L74" s="114">
        <f>'Actual RAB roll forward'!L536</f>
        <v>-5.8465063916566429</v>
      </c>
      <c r="M74" s="114">
        <f>'Actual RAB roll forward'!M536</f>
        <v>0</v>
      </c>
      <c r="N74" s="114">
        <f>'Actual RAB roll forward'!N536</f>
        <v>0</v>
      </c>
      <c r="O74" s="114">
        <f>'Actual RAB roll forward'!O536</f>
        <v>0</v>
      </c>
      <c r="P74" s="114">
        <f>'Actual RAB roll forward'!P536</f>
        <v>0</v>
      </c>
      <c r="Q74" s="114">
        <f>'Actual RAB roll forward'!Q536</f>
        <v>0</v>
      </c>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7"/>
      <c r="BL74" s="227"/>
    </row>
    <row r="75" spans="1:64" hidden="1" outlineLevel="1">
      <c r="A75" s="9"/>
      <c r="B75" s="9"/>
      <c r="C75" s="44"/>
      <c r="D75" s="278" t="str">
        <f>Asset4</f>
        <v>Refurbishment</v>
      </c>
      <c r="E75" s="9"/>
      <c r="F75" s="9"/>
      <c r="G75" s="207">
        <f>'Actual RAB roll forward'!G537</f>
        <v>-3.1271970408972707</v>
      </c>
      <c r="H75" s="114">
        <f>'Actual RAB roll forward'!H537</f>
        <v>-1.664143135956714</v>
      </c>
      <c r="I75" s="114">
        <f>'Actual RAB roll forward'!I537</f>
        <v>-1.6856658348994422</v>
      </c>
      <c r="J75" s="114">
        <f>'Actual RAB roll forward'!J537</f>
        <v>-2.1591500463394362</v>
      </c>
      <c r="K75" s="114">
        <f>'Actual RAB roll forward'!K537</f>
        <v>-2.0749524280377196</v>
      </c>
      <c r="L75" s="114">
        <f>'Actual RAB roll forward'!L537</f>
        <v>-2.1899253892861883</v>
      </c>
      <c r="M75" s="114">
        <f>'Actual RAB roll forward'!M537</f>
        <v>0</v>
      </c>
      <c r="N75" s="114">
        <f>'Actual RAB roll forward'!N537</f>
        <v>0</v>
      </c>
      <c r="O75" s="114">
        <f>'Actual RAB roll forward'!O537</f>
        <v>0</v>
      </c>
      <c r="P75" s="114">
        <f>'Actual RAB roll forward'!P537</f>
        <v>0</v>
      </c>
      <c r="Q75" s="114">
        <f>'Actual RAB roll forward'!Q537</f>
        <v>0</v>
      </c>
      <c r="R75" s="29"/>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7"/>
      <c r="BL75" s="227"/>
    </row>
    <row r="76" spans="1:64" hidden="1" outlineLevel="1">
      <c r="A76" s="9"/>
      <c r="B76" s="9"/>
      <c r="C76" s="44"/>
      <c r="D76" s="278" t="str">
        <f>Asset5</f>
        <v>Other</v>
      </c>
      <c r="E76" s="9"/>
      <c r="F76" s="9"/>
      <c r="G76" s="207">
        <f>'Actual RAB roll forward'!G538</f>
        <v>-1.6357162905502329</v>
      </c>
      <c r="H76" s="114">
        <f>'Actual RAB roll forward'!H538</f>
        <v>-1.6460508745661473</v>
      </c>
      <c r="I76" s="114">
        <f>'Actual RAB roll forward'!I538</f>
        <v>-1.7124583745679143</v>
      </c>
      <c r="J76" s="114">
        <f>'Actual RAB roll forward'!J538</f>
        <v>-1.9511033436306005</v>
      </c>
      <c r="K76" s="114">
        <f>'Actual RAB roll forward'!K538</f>
        <v>-1.9720052490697801</v>
      </c>
      <c r="L76" s="114">
        <f>'Actual RAB roll forward'!L538</f>
        <v>-2.0736765938173498</v>
      </c>
      <c r="M76" s="114">
        <f>'Actual RAB roll forward'!M538</f>
        <v>0</v>
      </c>
      <c r="N76" s="114">
        <f>'Actual RAB roll forward'!N538</f>
        <v>0</v>
      </c>
      <c r="O76" s="114">
        <f>'Actual RAB roll forward'!O538</f>
        <v>0</v>
      </c>
      <c r="P76" s="114">
        <f>'Actual RAB roll forward'!P538</f>
        <v>0</v>
      </c>
      <c r="Q76" s="114">
        <f>'Actual RAB roll forward'!Q538</f>
        <v>0</v>
      </c>
      <c r="R76" s="29"/>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7"/>
      <c r="BL76" s="227"/>
    </row>
    <row r="77" spans="1:64" hidden="1" outlineLevel="1">
      <c r="A77" s="9"/>
      <c r="B77" s="9"/>
      <c r="C77" s="44"/>
      <c r="D77" s="278" t="str">
        <f>Asset6</f>
        <v>Other - IT</v>
      </c>
      <c r="E77" s="9"/>
      <c r="F77" s="9"/>
      <c r="G77" s="207">
        <f>'Actual RAB roll forward'!G539</f>
        <v>-1.3605739922335367</v>
      </c>
      <c r="H77" s="114">
        <f>'Actual RAB roll forward'!H539</f>
        <v>-11.177965330406291</v>
      </c>
      <c r="I77" s="114">
        <f>'Actual RAB roll forward'!I539</f>
        <v>-11.78973238663888</v>
      </c>
      <c r="J77" s="114">
        <f>'Actual RAB roll forward'!J539</f>
        <v>4.1638343862352711E-3</v>
      </c>
      <c r="K77" s="114">
        <f>'Actual RAB roll forward'!K539</f>
        <v>5.6580135448936128E-3</v>
      </c>
      <c r="L77" s="114">
        <f>'Actual RAB roll forward'!L539</f>
        <v>5.8417598589640338E-3</v>
      </c>
      <c r="M77" s="114">
        <f>'Actual RAB roll forward'!M539</f>
        <v>0</v>
      </c>
      <c r="N77" s="114">
        <f>'Actual RAB roll forward'!N539</f>
        <v>0</v>
      </c>
      <c r="O77" s="114">
        <f>'Actual RAB roll forward'!O539</f>
        <v>0</v>
      </c>
      <c r="P77" s="114">
        <f>'Actual RAB roll forward'!P539</f>
        <v>0</v>
      </c>
      <c r="Q77" s="114">
        <f>'Actual RAB roll forward'!Q539</f>
        <v>0</v>
      </c>
      <c r="R77" s="29"/>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7"/>
      <c r="BL77" s="227"/>
    </row>
    <row r="78" spans="1:64" hidden="1" outlineLevel="1">
      <c r="A78" s="9"/>
      <c r="B78" s="9"/>
      <c r="C78" s="44"/>
      <c r="D78" s="278" t="str">
        <f>Asset7</f>
        <v>Other - General</v>
      </c>
      <c r="E78" s="9"/>
      <c r="F78" s="9"/>
      <c r="G78" s="207">
        <f>'Actual RAB roll forward'!G540</f>
        <v>-1.4546996008642703</v>
      </c>
      <c r="H78" s="114">
        <f>'Actual RAB roll forward'!H540</f>
        <v>1.2473242989840549</v>
      </c>
      <c r="I78" s="114">
        <f>'Actual RAB roll forward'!I540</f>
        <v>1.3104910938957564</v>
      </c>
      <c r="J78" s="114">
        <f>'Actual RAB roll forward'!J540</f>
        <v>1.4259352991621423</v>
      </c>
      <c r="K78" s="114">
        <f>'Actual RAB roll forward'!K540</f>
        <v>-1.3717588338755987E-4</v>
      </c>
      <c r="L78" s="114">
        <f>'Actual RAB roll forward'!L540</f>
        <v>-1.4046810458886135E-4</v>
      </c>
      <c r="M78" s="114">
        <f>'Actual RAB roll forward'!M540</f>
        <v>0</v>
      </c>
      <c r="N78" s="114">
        <f>'Actual RAB roll forward'!N540</f>
        <v>0</v>
      </c>
      <c r="O78" s="114">
        <f>'Actual RAB roll forward'!O540</f>
        <v>0</v>
      </c>
      <c r="P78" s="114">
        <f>'Actual RAB roll forward'!P540</f>
        <v>0</v>
      </c>
      <c r="Q78" s="114">
        <f>'Actual RAB roll forward'!Q540</f>
        <v>0</v>
      </c>
      <c r="R78" s="29"/>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7"/>
      <c r="BL78" s="227"/>
    </row>
    <row r="79" spans="1:64" hidden="1" outlineLevel="1">
      <c r="A79" s="9"/>
      <c r="B79" s="9"/>
      <c r="C79" s="44"/>
      <c r="D79" s="278" t="str">
        <f>Asset8</f>
        <v>Other - Buildings</v>
      </c>
      <c r="E79" s="9"/>
      <c r="F79" s="9"/>
      <c r="G79" s="207">
        <f>'Actual RAB roll forward'!G541</f>
        <v>-2.9632298603983503E-2</v>
      </c>
      <c r="H79" s="114">
        <f>'Actual RAB roll forward'!H541</f>
        <v>1.2912783350601642E-2</v>
      </c>
      <c r="I79" s="114">
        <f>'Actual RAB roll forward'!I541</f>
        <v>9.0619484974551856E-2</v>
      </c>
      <c r="J79" s="114">
        <f>'Actual RAB roll forward'!J541</f>
        <v>-0.30044712914290184</v>
      </c>
      <c r="K79" s="114">
        <f>'Actual RAB roll forward'!K541</f>
        <v>-0.12205295256819504</v>
      </c>
      <c r="L79" s="114">
        <f>'Actual RAB roll forward'!L541</f>
        <v>-0.14187240789890487</v>
      </c>
      <c r="M79" s="114">
        <f>'Actual RAB roll forward'!M541</f>
        <v>0</v>
      </c>
      <c r="N79" s="114">
        <f>'Actual RAB roll forward'!N541</f>
        <v>0</v>
      </c>
      <c r="O79" s="114">
        <f>'Actual RAB roll forward'!O541</f>
        <v>0</v>
      </c>
      <c r="P79" s="114">
        <f>'Actual RAB roll forward'!P541</f>
        <v>0</v>
      </c>
      <c r="Q79" s="114">
        <f>'Actual RAB roll forward'!Q541</f>
        <v>0</v>
      </c>
      <c r="R79" s="29"/>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7"/>
      <c r="BL79" s="227"/>
    </row>
    <row r="80" spans="1:64" hidden="1" outlineLevel="1">
      <c r="A80" s="9"/>
      <c r="B80" s="9"/>
      <c r="C80" s="44"/>
      <c r="D80" s="278" t="str">
        <f>Asset9</f>
        <v>Land and Easements</v>
      </c>
      <c r="E80" s="9"/>
      <c r="F80" s="9"/>
      <c r="G80" s="207">
        <f>'Actual RAB roll forward'!G542</f>
        <v>2.0459613916555419</v>
      </c>
      <c r="H80" s="114">
        <f>'Actual RAB roll forward'!H542</f>
        <v>2.5415827939764806</v>
      </c>
      <c r="I80" s="114">
        <f>'Actual RAB roll forward'!I542</f>
        <v>3.0181295678470632</v>
      </c>
      <c r="J80" s="114">
        <f>'Actual RAB roll forward'!J542</f>
        <v>1.4825899631529624</v>
      </c>
      <c r="K80" s="114">
        <f>'Actual RAB roll forward'!K542</f>
        <v>2.3784936578181233</v>
      </c>
      <c r="L80" s="114">
        <f>'Actual RAB roll forward'!L542</f>
        <v>2.4355775056057594</v>
      </c>
      <c r="M80" s="114">
        <f>'Actual RAB roll forward'!M542</f>
        <v>0</v>
      </c>
      <c r="N80" s="114">
        <f>'Actual RAB roll forward'!N542</f>
        <v>0</v>
      </c>
      <c r="O80" s="114">
        <f>'Actual RAB roll forward'!O542</f>
        <v>0</v>
      </c>
      <c r="P80" s="114">
        <f>'Actual RAB roll forward'!P542</f>
        <v>0</v>
      </c>
      <c r="Q80" s="114">
        <f>'Actual RAB roll forward'!Q542</f>
        <v>0</v>
      </c>
      <c r="R80" s="29"/>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7"/>
      <c r="BL80" s="227"/>
    </row>
    <row r="81" spans="1:64" hidden="1" outlineLevel="1">
      <c r="A81" s="9"/>
      <c r="B81" s="9"/>
      <c r="C81" s="44"/>
      <c r="D81" s="278" t="str">
        <f>Asset10</f>
        <v>Transmission line assets - long life (60)</v>
      </c>
      <c r="E81" s="9"/>
      <c r="F81" s="9"/>
      <c r="G81" s="207">
        <f>'Actual RAB roll forward'!G543</f>
        <v>0</v>
      </c>
      <c r="H81" s="114">
        <f>'Actual RAB roll forward'!H543</f>
        <v>0.79904138578616113</v>
      </c>
      <c r="I81" s="114">
        <f>'Actual RAB roll forward'!I543</f>
        <v>3.0554354923844786</v>
      </c>
      <c r="J81" s="114">
        <f>'Actual RAB roll forward'!J543</f>
        <v>-3.703424866261984E-2</v>
      </c>
      <c r="K81" s="114">
        <f>'Actual RAB roll forward'!K543</f>
        <v>1.2249155411259047</v>
      </c>
      <c r="L81" s="114">
        <f>'Actual RAB roll forward'!L543</f>
        <v>1.538332641023358</v>
      </c>
      <c r="M81" s="114">
        <f>'Actual RAB roll forward'!M543</f>
        <v>0</v>
      </c>
      <c r="N81" s="114">
        <f>'Actual RAB roll forward'!N543</f>
        <v>0</v>
      </c>
      <c r="O81" s="114">
        <f>'Actual RAB roll forward'!O543</f>
        <v>0</v>
      </c>
      <c r="P81" s="114">
        <f>'Actual RAB roll forward'!P543</f>
        <v>0</v>
      </c>
      <c r="Q81" s="114">
        <f>'Actual RAB roll forward'!Q543</f>
        <v>0</v>
      </c>
      <c r="R81" s="29"/>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7"/>
      <c r="BL81" s="227"/>
    </row>
    <row r="82" spans="1:64" hidden="1" outlineLevel="1">
      <c r="A82" s="9"/>
      <c r="B82" s="9"/>
      <c r="C82" s="44"/>
      <c r="D82" s="278" t="str">
        <f>Asset11</f>
        <v>Transmission line assets - medium life (45)</v>
      </c>
      <c r="E82" s="9"/>
      <c r="F82" s="9"/>
      <c r="G82" s="207">
        <f>'Actual RAB roll forward'!G544</f>
        <v>0</v>
      </c>
      <c r="H82" s="114">
        <f>'Actual RAB roll forward'!H544</f>
        <v>2.2841805211554256E-2</v>
      </c>
      <c r="I82" s="114">
        <f>'Actual RAB roll forward'!I544</f>
        <v>5.1337737830479582E-2</v>
      </c>
      <c r="J82" s="114">
        <f>'Actual RAB roll forward'!J544</f>
        <v>0.1079340096965799</v>
      </c>
      <c r="K82" s="114">
        <f>'Actual RAB roll forward'!K544</f>
        <v>0.50744738581571147</v>
      </c>
      <c r="L82" s="114">
        <f>'Actual RAB roll forward'!L544</f>
        <v>0.54683075245962087</v>
      </c>
      <c r="M82" s="114">
        <f>'Actual RAB roll forward'!M544</f>
        <v>0</v>
      </c>
      <c r="N82" s="114">
        <f>'Actual RAB roll forward'!N544</f>
        <v>0</v>
      </c>
      <c r="O82" s="114">
        <f>'Actual RAB roll forward'!O544</f>
        <v>0</v>
      </c>
      <c r="P82" s="114">
        <f>'Actual RAB roll forward'!P544</f>
        <v>0</v>
      </c>
      <c r="Q82" s="114">
        <f>'Actual RAB roll forward'!Q544</f>
        <v>0</v>
      </c>
      <c r="R82" s="29"/>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7"/>
      <c r="BL82" s="227"/>
    </row>
    <row r="83" spans="1:64" hidden="1" outlineLevel="1">
      <c r="A83" s="9"/>
      <c r="B83" s="9"/>
      <c r="C83" s="44"/>
      <c r="D83" s="278" t="str">
        <f>Asset12</f>
        <v>Transmission line assets - short life (10)</v>
      </c>
      <c r="E83" s="9"/>
      <c r="F83" s="9"/>
      <c r="G83" s="207">
        <f>'Actual RAB roll forward'!G545</f>
        <v>0</v>
      </c>
      <c r="H83" s="114">
        <f>'Actual RAB roll forward'!H545</f>
        <v>6.014290000540997E-2</v>
      </c>
      <c r="I83" s="114">
        <f>'Actual RAB roll forward'!I545</f>
        <v>0.1901043643819626</v>
      </c>
      <c r="J83" s="114">
        <f>'Actual RAB roll forward'!J545</f>
        <v>6.9519623739834543E-2</v>
      </c>
      <c r="K83" s="114">
        <f>'Actual RAB roll forward'!K545</f>
        <v>0.13865180900921314</v>
      </c>
      <c r="L83" s="114">
        <f>'Actual RAB roll forward'!L545</f>
        <v>0.12328429775129413</v>
      </c>
      <c r="M83" s="114">
        <f>'Actual RAB roll forward'!M545</f>
        <v>0</v>
      </c>
      <c r="N83" s="114">
        <f>'Actual RAB roll forward'!N545</f>
        <v>0</v>
      </c>
      <c r="O83" s="114">
        <f>'Actual RAB roll forward'!O545</f>
        <v>0</v>
      </c>
      <c r="P83" s="114">
        <f>'Actual RAB roll forward'!P545</f>
        <v>0</v>
      </c>
      <c r="Q83" s="114">
        <f>'Actual RAB roll forward'!Q545</f>
        <v>0</v>
      </c>
      <c r="R83" s="29"/>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7"/>
      <c r="BL83" s="227"/>
    </row>
    <row r="84" spans="1:64" hidden="1" outlineLevel="1">
      <c r="A84" s="9"/>
      <c r="B84" s="9"/>
      <c r="C84" s="44"/>
      <c r="D84" s="278" t="str">
        <f>Asset13</f>
        <v>Substation assets - long life (60)</v>
      </c>
      <c r="E84" s="9"/>
      <c r="F84" s="9"/>
      <c r="G84" s="207">
        <f>'Actual RAB roll forward'!G546</f>
        <v>0</v>
      </c>
      <c r="H84" s="114">
        <f>'Actual RAB roll forward'!H546</f>
        <v>0.10507457731724984</v>
      </c>
      <c r="I84" s="114">
        <f>'Actual RAB roll forward'!I546</f>
        <v>0.38917673680558723</v>
      </c>
      <c r="J84" s="114">
        <f>'Actual RAB roll forward'!J546</f>
        <v>-2.3840252430637976E-2</v>
      </c>
      <c r="K84" s="114">
        <f>'Actual RAB roll forward'!K546</f>
        <v>0.4019382761952971</v>
      </c>
      <c r="L84" s="114">
        <f>'Actual RAB roll forward'!L546</f>
        <v>0.52166950612373653</v>
      </c>
      <c r="M84" s="114">
        <f>'Actual RAB roll forward'!M546</f>
        <v>0</v>
      </c>
      <c r="N84" s="114">
        <f>'Actual RAB roll forward'!N546</f>
        <v>0</v>
      </c>
      <c r="O84" s="114">
        <f>'Actual RAB roll forward'!O546</f>
        <v>0</v>
      </c>
      <c r="P84" s="114">
        <f>'Actual RAB roll forward'!P546</f>
        <v>0</v>
      </c>
      <c r="Q84" s="114">
        <f>'Actual RAB roll forward'!Q546</f>
        <v>0</v>
      </c>
      <c r="R84" s="29"/>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7"/>
      <c r="BL84" s="227"/>
    </row>
    <row r="85" spans="1:64" hidden="1" outlineLevel="1">
      <c r="A85" s="9"/>
      <c r="B85" s="9"/>
      <c r="C85" s="44"/>
      <c r="D85" s="278" t="str">
        <f>Asset14</f>
        <v>Substation assets - medium life (45)</v>
      </c>
      <c r="E85" s="9"/>
      <c r="F85" s="9"/>
      <c r="G85" s="207">
        <f>'Actual RAB roll forward'!G547</f>
        <v>0</v>
      </c>
      <c r="H85" s="114">
        <f>'Actual RAB roll forward'!H547</f>
        <v>0.26456294906478223</v>
      </c>
      <c r="I85" s="114">
        <f>'Actual RAB roll forward'!I547</f>
        <v>0.94809360056104419</v>
      </c>
      <c r="J85" s="114">
        <f>'Actual RAB roll forward'!J547</f>
        <v>-0.42018219878407792</v>
      </c>
      <c r="K85" s="114">
        <f>'Actual RAB roll forward'!K547</f>
        <v>3.5653327447806138E-2</v>
      </c>
      <c r="L85" s="114">
        <f>'Actual RAB roll forward'!L547</f>
        <v>-0.20788114162676674</v>
      </c>
      <c r="M85" s="114">
        <f>'Actual RAB roll forward'!M547</f>
        <v>0</v>
      </c>
      <c r="N85" s="114">
        <f>'Actual RAB roll forward'!N547</f>
        <v>0</v>
      </c>
      <c r="O85" s="114">
        <f>'Actual RAB roll forward'!O547</f>
        <v>0</v>
      </c>
      <c r="P85" s="114">
        <f>'Actual RAB roll forward'!P547</f>
        <v>0</v>
      </c>
      <c r="Q85" s="114">
        <f>'Actual RAB roll forward'!Q547</f>
        <v>0</v>
      </c>
      <c r="R85" s="29"/>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7"/>
      <c r="BL85" s="227"/>
    </row>
    <row r="86" spans="1:64" hidden="1" outlineLevel="1">
      <c r="A86" s="9"/>
      <c r="B86" s="9"/>
      <c r="C86" s="44"/>
      <c r="D86" s="278" t="str">
        <f>Asset15</f>
        <v>Substation assets - short life (15)</v>
      </c>
      <c r="E86" s="9"/>
      <c r="F86" s="9"/>
      <c r="G86" s="207">
        <f>'Actual RAB roll forward'!G548</f>
        <v>0</v>
      </c>
      <c r="H86" s="114">
        <f>'Actual RAB roll forward'!H548</f>
        <v>1.061006129414897E-2</v>
      </c>
      <c r="I86" s="114">
        <f>'Actual RAB roll forward'!I548</f>
        <v>-0.70782709811456168</v>
      </c>
      <c r="J86" s="114">
        <f>'Actual RAB roll forward'!J548</f>
        <v>-0.88700176847273793</v>
      </c>
      <c r="K86" s="114">
        <f>'Actual RAB roll forward'!K548</f>
        <v>-0.86563636897581597</v>
      </c>
      <c r="L86" s="114">
        <f>'Actual RAB roll forward'!L548</f>
        <v>-1.1352880600317983</v>
      </c>
      <c r="M86" s="114">
        <f>'Actual RAB roll forward'!M548</f>
        <v>0</v>
      </c>
      <c r="N86" s="114">
        <f>'Actual RAB roll forward'!N548</f>
        <v>0</v>
      </c>
      <c r="O86" s="114">
        <f>'Actual RAB roll forward'!O548</f>
        <v>0</v>
      </c>
      <c r="P86" s="114">
        <f>'Actual RAB roll forward'!P548</f>
        <v>0</v>
      </c>
      <c r="Q86" s="114">
        <f>'Actual RAB roll forward'!Q548</f>
        <v>0</v>
      </c>
      <c r="R86" s="29"/>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7"/>
      <c r="BL86" s="227"/>
    </row>
    <row r="87" spans="1:64" hidden="1" outlineLevel="1">
      <c r="A87" s="9"/>
      <c r="B87" s="9"/>
      <c r="C87" s="44"/>
      <c r="D87" s="278" t="str">
        <f>Asset16</f>
        <v>Protection and control - short life (15)</v>
      </c>
      <c r="E87" s="9"/>
      <c r="F87" s="9"/>
      <c r="G87" s="207">
        <f>'Actual RAB roll forward'!G549</f>
        <v>0</v>
      </c>
      <c r="H87" s="114">
        <f>'Actual RAB roll forward'!H549</f>
        <v>0.11817431913286813</v>
      </c>
      <c r="I87" s="114">
        <f>'Actual RAB roll forward'!I549</f>
        <v>-0.19912970390010509</v>
      </c>
      <c r="J87" s="114">
        <f>'Actual RAB roll forward'!J549</f>
        <v>-1.2703941709267146</v>
      </c>
      <c r="K87" s="114">
        <f>'Actual RAB roll forward'!K549</f>
        <v>-1.6631966740423867</v>
      </c>
      <c r="L87" s="114">
        <f>'Actual RAB roll forward'!L549</f>
        <v>-2.6517572135338199</v>
      </c>
      <c r="M87" s="114">
        <f>'Actual RAB roll forward'!M549</f>
        <v>0</v>
      </c>
      <c r="N87" s="114">
        <f>'Actual RAB roll forward'!N549</f>
        <v>0</v>
      </c>
      <c r="O87" s="114">
        <f>'Actual RAB roll forward'!O549</f>
        <v>0</v>
      </c>
      <c r="P87" s="114">
        <f>'Actual RAB roll forward'!P549</f>
        <v>0</v>
      </c>
      <c r="Q87" s="114">
        <f>'Actual RAB roll forward'!Q549</f>
        <v>0</v>
      </c>
      <c r="R87" s="29"/>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7"/>
      <c r="BL87" s="227"/>
    </row>
    <row r="88" spans="1:64" hidden="1" outlineLevel="1">
      <c r="A88" s="9"/>
      <c r="B88" s="9"/>
      <c r="C88" s="44"/>
      <c r="D88" s="278" t="str">
        <f>Asset17</f>
        <v>Protection and control - short life (4)</v>
      </c>
      <c r="E88" s="9"/>
      <c r="F88" s="9"/>
      <c r="G88" s="207">
        <f>'Actual RAB roll forward'!G550</f>
        <v>0</v>
      </c>
      <c r="H88" s="114">
        <f>'Actual RAB roll forward'!H550</f>
        <v>0</v>
      </c>
      <c r="I88" s="114">
        <f>'Actual RAB roll forward'!I550</f>
        <v>-2.3924552974596558E-3</v>
      </c>
      <c r="J88" s="114">
        <f>'Actual RAB roll forward'!J550</f>
        <v>-2.1083385392661871E-2</v>
      </c>
      <c r="K88" s="114">
        <f>'Actual RAB roll forward'!K550</f>
        <v>-0.32653196150493491</v>
      </c>
      <c r="L88" s="114">
        <f>'Actual RAB roll forward'!L550</f>
        <v>-0.42483287480272147</v>
      </c>
      <c r="M88" s="114">
        <f>'Actual RAB roll forward'!M550</f>
        <v>0</v>
      </c>
      <c r="N88" s="114">
        <f>'Actual RAB roll forward'!N550</f>
        <v>0</v>
      </c>
      <c r="O88" s="114">
        <f>'Actual RAB roll forward'!O550</f>
        <v>0</v>
      </c>
      <c r="P88" s="114">
        <f>'Actual RAB roll forward'!P550</f>
        <v>0</v>
      </c>
      <c r="Q88" s="114">
        <f>'Actual RAB roll forward'!Q550</f>
        <v>0</v>
      </c>
      <c r="R88" s="29"/>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7"/>
      <c r="BL88" s="227"/>
    </row>
    <row r="89" spans="1:64" hidden="1" outlineLevel="1">
      <c r="A89" s="9"/>
      <c r="B89" s="9"/>
      <c r="C89" s="44"/>
      <c r="D89" s="278" t="str">
        <f>Asset18</f>
        <v>Transmission operations - short life (10)</v>
      </c>
      <c r="E89" s="9"/>
      <c r="F89" s="9"/>
      <c r="G89" s="207">
        <f>'Actual RAB roll forward'!G551</f>
        <v>0</v>
      </c>
      <c r="H89" s="114">
        <f>'Actual RAB roll forward'!H551</f>
        <v>0</v>
      </c>
      <c r="I89" s="114">
        <f>'Actual RAB roll forward'!I551</f>
        <v>-8.0551674233432125E-2</v>
      </c>
      <c r="J89" s="114">
        <f>'Actual RAB roll forward'!J551</f>
        <v>-0.24713188056606411</v>
      </c>
      <c r="K89" s="114">
        <f>'Actual RAB roll forward'!K551</f>
        <v>-0.44365687998402009</v>
      </c>
      <c r="L89" s="114">
        <f>'Actual RAB roll forward'!L551</f>
        <v>-0.61162694995224431</v>
      </c>
      <c r="M89" s="114">
        <f>'Actual RAB roll forward'!M551</f>
        <v>0</v>
      </c>
      <c r="N89" s="114">
        <f>'Actual RAB roll forward'!N551</f>
        <v>0</v>
      </c>
      <c r="O89" s="114">
        <f>'Actual RAB roll forward'!O551</f>
        <v>0</v>
      </c>
      <c r="P89" s="114">
        <f>'Actual RAB roll forward'!P551</f>
        <v>0</v>
      </c>
      <c r="Q89" s="114">
        <f>'Actual RAB roll forward'!Q551</f>
        <v>0</v>
      </c>
      <c r="R89" s="29"/>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7"/>
      <c r="BL89" s="227"/>
    </row>
    <row r="90" spans="1:64" hidden="1" outlineLevel="1">
      <c r="A90" s="9"/>
      <c r="B90" s="9"/>
      <c r="C90" s="44"/>
      <c r="D90" s="278" t="str">
        <f>Asset19</f>
        <v>Transmission operations - short life (4)</v>
      </c>
      <c r="E90" s="9"/>
      <c r="F90" s="9"/>
      <c r="G90" s="207">
        <f>'Actual RAB roll forward'!G552</f>
        <v>0</v>
      </c>
      <c r="H90" s="114">
        <f>'Actual RAB roll forward'!H552</f>
        <v>0</v>
      </c>
      <c r="I90" s="114">
        <f>'Actual RAB roll forward'!I552</f>
        <v>-1.1683410058487742E-2</v>
      </c>
      <c r="J90" s="114">
        <f>'Actual RAB roll forward'!J552</f>
        <v>-2.9866584187607816E-2</v>
      </c>
      <c r="K90" s="114">
        <f>'Actual RAB roll forward'!K552</f>
        <v>-2.7439163412174106E-2</v>
      </c>
      <c r="L90" s="114">
        <f>'Actual RAB roll forward'!L552</f>
        <v>-7.1626864945339916E-2</v>
      </c>
      <c r="M90" s="114">
        <f>'Actual RAB roll forward'!M552</f>
        <v>0</v>
      </c>
      <c r="N90" s="114">
        <f>'Actual RAB roll forward'!N552</f>
        <v>0</v>
      </c>
      <c r="O90" s="114">
        <f>'Actual RAB roll forward'!O552</f>
        <v>0</v>
      </c>
      <c r="P90" s="114">
        <f>'Actual RAB roll forward'!P552</f>
        <v>0</v>
      </c>
      <c r="Q90" s="114">
        <f>'Actual RAB roll forward'!Q552</f>
        <v>0</v>
      </c>
      <c r="R90" s="29"/>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7"/>
      <c r="BL90" s="227"/>
    </row>
    <row r="91" spans="1:64" hidden="1" outlineLevel="1">
      <c r="A91" s="9"/>
      <c r="B91" s="9"/>
      <c r="C91" s="44"/>
      <c r="D91" s="278" t="str">
        <f>Asset20</f>
        <v>Other - medium life (40)</v>
      </c>
      <c r="E91" s="9"/>
      <c r="F91" s="9"/>
      <c r="G91" s="207">
        <f>'Actual RAB roll forward'!G553</f>
        <v>0</v>
      </c>
      <c r="H91" s="114">
        <f>'Actual RAB roll forward'!H553</f>
        <v>0.19816857761732828</v>
      </c>
      <c r="I91" s="114">
        <f>'Actual RAB roll forward'!I553</f>
        <v>0.40227555925810521</v>
      </c>
      <c r="J91" s="114">
        <f>'Actual RAB roll forward'!J553</f>
        <v>-0.15741196536547314</v>
      </c>
      <c r="K91" s="114">
        <f>'Actual RAB roll forward'!K553</f>
        <v>6.8786941039874705E-2</v>
      </c>
      <c r="L91" s="114">
        <f>'Actual RAB roll forward'!L553</f>
        <v>5.5300457903882383E-2</v>
      </c>
      <c r="M91" s="114">
        <f>'Actual RAB roll forward'!M553</f>
        <v>0</v>
      </c>
      <c r="N91" s="114">
        <f>'Actual RAB roll forward'!N553</f>
        <v>0</v>
      </c>
      <c r="O91" s="114">
        <f>'Actual RAB roll forward'!O553</f>
        <v>0</v>
      </c>
      <c r="P91" s="114">
        <f>'Actual RAB roll forward'!P553</f>
        <v>0</v>
      </c>
      <c r="Q91" s="114">
        <f>'Actual RAB roll forward'!Q553</f>
        <v>0</v>
      </c>
      <c r="R91" s="29"/>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7"/>
      <c r="BL91" s="227"/>
    </row>
    <row r="92" spans="1:64" hidden="1" outlineLevel="1">
      <c r="A92" s="9"/>
      <c r="B92" s="9"/>
      <c r="C92" s="44"/>
      <c r="D92" s="278" t="str">
        <f>Asset21</f>
        <v>Other - short life (9)</v>
      </c>
      <c r="E92" s="9"/>
      <c r="F92" s="9"/>
      <c r="G92" s="207">
        <f>'Actual RAB roll forward'!G554</f>
        <v>0</v>
      </c>
      <c r="H92" s="114">
        <f>'Actual RAB roll forward'!H554</f>
        <v>0</v>
      </c>
      <c r="I92" s="114">
        <f>'Actual RAB roll forward'!I554</f>
        <v>-6.9802472086313669E-2</v>
      </c>
      <c r="J92" s="114">
        <f>'Actual RAB roll forward'!J554</f>
        <v>-0.19357639946006905</v>
      </c>
      <c r="K92" s="114">
        <f>'Actual RAB roll forward'!K554</f>
        <v>-0.30701771760298724</v>
      </c>
      <c r="L92" s="114">
        <f>'Actual RAB roll forward'!L554</f>
        <v>-0.34548610482373804</v>
      </c>
      <c r="M92" s="114">
        <f>'Actual RAB roll forward'!M554</f>
        <v>0</v>
      </c>
      <c r="N92" s="114">
        <f>'Actual RAB roll forward'!N554</f>
        <v>0</v>
      </c>
      <c r="O92" s="114">
        <f>'Actual RAB roll forward'!O554</f>
        <v>0</v>
      </c>
      <c r="P92" s="114">
        <f>'Actual RAB roll forward'!P554</f>
        <v>0</v>
      </c>
      <c r="Q92" s="114">
        <f>'Actual RAB roll forward'!Q554</f>
        <v>0</v>
      </c>
      <c r="R92" s="29"/>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7"/>
      <c r="BL92" s="227"/>
    </row>
    <row r="93" spans="1:64" hidden="1" outlineLevel="1">
      <c r="A93" s="9"/>
      <c r="B93" s="9"/>
      <c r="C93" s="44"/>
      <c r="D93" s="278" t="str">
        <f>Asset22</f>
        <v>Other - short life (4)</v>
      </c>
      <c r="E93" s="9"/>
      <c r="F93" s="9"/>
      <c r="G93" s="207">
        <f>'Actual RAB roll forward'!G555</f>
        <v>0</v>
      </c>
      <c r="H93" s="114">
        <f>'Actual RAB roll forward'!H555</f>
        <v>1.5355494584837528E-2</v>
      </c>
      <c r="I93" s="114">
        <f>'Actual RAB roll forward'!I555</f>
        <v>-0.54917147123034549</v>
      </c>
      <c r="J93" s="114">
        <f>'Actual RAB roll forward'!J555</f>
        <v>-1.1298497690382165</v>
      </c>
      <c r="K93" s="114">
        <f>'Actual RAB roll forward'!K555</f>
        <v>-1.4819600379069071</v>
      </c>
      <c r="L93" s="114">
        <f>'Actual RAB roll forward'!L555</f>
        <v>-2.9135995269745161</v>
      </c>
      <c r="M93" s="114">
        <f>'Actual RAB roll forward'!M555</f>
        <v>0</v>
      </c>
      <c r="N93" s="114">
        <f>'Actual RAB roll forward'!N555</f>
        <v>0</v>
      </c>
      <c r="O93" s="114">
        <f>'Actual RAB roll forward'!O555</f>
        <v>0</v>
      </c>
      <c r="P93" s="114">
        <f>'Actual RAB roll forward'!P555</f>
        <v>0</v>
      </c>
      <c r="Q93" s="114">
        <f>'Actual RAB roll forward'!Q555</f>
        <v>0</v>
      </c>
      <c r="R93" s="29"/>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7"/>
      <c r="BL93" s="227"/>
    </row>
    <row r="94" spans="1:64" hidden="1" outlineLevel="1">
      <c r="A94" s="9"/>
      <c r="B94" s="9"/>
      <c r="C94" s="44"/>
      <c r="D94" s="278" t="str">
        <f>Asset23</f>
        <v>Land and Easements</v>
      </c>
      <c r="E94" s="9"/>
      <c r="F94" s="9"/>
      <c r="G94" s="207">
        <f>'Actual RAB roll forward'!G556</f>
        <v>0</v>
      </c>
      <c r="H94" s="114">
        <f>'Actual RAB roll forward'!H556</f>
        <v>3.5546881084015506E-3</v>
      </c>
      <c r="I94" s="114">
        <f>'Actual RAB roll forward'!I556</f>
        <v>2.2787837063604741E-2</v>
      </c>
      <c r="J94" s="114">
        <f>'Actual RAB roll forward'!J556</f>
        <v>3.3390786646331022E-2</v>
      </c>
      <c r="K94" s="114">
        <f>'Actual RAB roll forward'!K556</f>
        <v>0.1137519385028201</v>
      </c>
      <c r="L94" s="114">
        <f>'Actual RAB roll forward'!L556</f>
        <v>0.13300327919689914</v>
      </c>
      <c r="M94" s="114">
        <f>'Actual RAB roll forward'!M556</f>
        <v>0</v>
      </c>
      <c r="N94" s="114">
        <f>'Actual RAB roll forward'!N556</f>
        <v>0</v>
      </c>
      <c r="O94" s="114">
        <f>'Actual RAB roll forward'!O556</f>
        <v>0</v>
      </c>
      <c r="P94" s="114">
        <f>'Actual RAB roll forward'!P556</f>
        <v>0</v>
      </c>
      <c r="Q94" s="114">
        <f>'Actual RAB roll forward'!Q556</f>
        <v>0</v>
      </c>
      <c r="R94" s="29"/>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7"/>
      <c r="BL94" s="227"/>
    </row>
    <row r="95" spans="1:64" hidden="1" outlineLevel="1">
      <c r="A95" s="9"/>
      <c r="B95" s="9"/>
      <c r="C95" s="44"/>
      <c r="D95" s="278" t="str">
        <f>Asset24</f>
        <v>Equity Raising</v>
      </c>
      <c r="E95" s="9"/>
      <c r="F95" s="9"/>
      <c r="G95" s="207">
        <f>'Actual RAB roll forward'!G557</f>
        <v>0</v>
      </c>
      <c r="H95" s="114">
        <f>'Actual RAB roll forward'!H557</f>
        <v>0</v>
      </c>
      <c r="I95" s="114">
        <f>'Actual RAB roll forward'!I557</f>
        <v>3.851270590481428E-3</v>
      </c>
      <c r="J95" s="114">
        <f>'Actual RAB roll forward'!J557</f>
        <v>-4.2328222198763053E-3</v>
      </c>
      <c r="K95" s="114">
        <f>'Actual RAB roll forward'!K557</f>
        <v>-3.9987628616819891E-4</v>
      </c>
      <c r="L95" s="114">
        <f>'Actual RAB roll forward'!L557</f>
        <v>-7.0935241078004876E-4</v>
      </c>
      <c r="M95" s="114">
        <f>'Actual RAB roll forward'!M557</f>
        <v>0</v>
      </c>
      <c r="N95" s="114">
        <f>'Actual RAB roll forward'!N557</f>
        <v>0</v>
      </c>
      <c r="O95" s="114">
        <f>'Actual RAB roll forward'!O557</f>
        <v>0</v>
      </c>
      <c r="P95" s="114">
        <f>'Actual RAB roll forward'!P557</f>
        <v>0</v>
      </c>
      <c r="Q95" s="114">
        <f>'Actual RAB roll forward'!Q557</f>
        <v>0</v>
      </c>
      <c r="R95" s="29"/>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7"/>
      <c r="BL95" s="227"/>
    </row>
    <row r="96" spans="1:64" hidden="1" outlineLevel="1">
      <c r="A96" s="9"/>
      <c r="B96" s="9"/>
      <c r="C96" s="44"/>
      <c r="D96" s="278">
        <f>Asset25</f>
        <v>0</v>
      </c>
      <c r="E96" s="9"/>
      <c r="F96" s="9"/>
      <c r="G96" s="207">
        <f>'Actual RAB roll forward'!G558</f>
        <v>0</v>
      </c>
      <c r="H96" s="114">
        <f>'Actual RAB roll forward'!H558</f>
        <v>0</v>
      </c>
      <c r="I96" s="114">
        <f>'Actual RAB roll forward'!I558</f>
        <v>0</v>
      </c>
      <c r="J96" s="114">
        <f>'Actual RAB roll forward'!J558</f>
        <v>0</v>
      </c>
      <c r="K96" s="114">
        <f>'Actual RAB roll forward'!K558</f>
        <v>0</v>
      </c>
      <c r="L96" s="114">
        <f>'Actual RAB roll forward'!L558</f>
        <v>0</v>
      </c>
      <c r="M96" s="114">
        <f>'Actual RAB roll forward'!M558</f>
        <v>0</v>
      </c>
      <c r="N96" s="114">
        <f>'Actual RAB roll forward'!N558</f>
        <v>0</v>
      </c>
      <c r="O96" s="114">
        <f>'Actual RAB roll forward'!O558</f>
        <v>0</v>
      </c>
      <c r="P96" s="114">
        <f>'Actual RAB roll forward'!P558</f>
        <v>0</v>
      </c>
      <c r="Q96" s="114">
        <f>'Actual RAB roll forward'!Q558</f>
        <v>0</v>
      </c>
      <c r="R96" s="29"/>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7"/>
      <c r="BL96" s="227"/>
    </row>
    <row r="97" spans="1:64" hidden="1" outlineLevel="1">
      <c r="A97" s="9"/>
      <c r="B97" s="9"/>
      <c r="C97" s="44"/>
      <c r="D97" s="278">
        <f>Asset26</f>
        <v>0</v>
      </c>
      <c r="E97" s="9"/>
      <c r="F97" s="9"/>
      <c r="G97" s="207">
        <f>'Actual RAB roll forward'!G559</f>
        <v>0</v>
      </c>
      <c r="H97" s="114">
        <f>'Actual RAB roll forward'!H559</f>
        <v>0</v>
      </c>
      <c r="I97" s="114">
        <f>'Actual RAB roll forward'!I559</f>
        <v>0</v>
      </c>
      <c r="J97" s="114">
        <f>'Actual RAB roll forward'!J559</f>
        <v>0</v>
      </c>
      <c r="K97" s="114">
        <f>'Actual RAB roll forward'!K559</f>
        <v>0</v>
      </c>
      <c r="L97" s="114">
        <f>'Actual RAB roll forward'!L559</f>
        <v>0</v>
      </c>
      <c r="M97" s="114">
        <f>'Actual RAB roll forward'!M559</f>
        <v>0</v>
      </c>
      <c r="N97" s="114">
        <f>'Actual RAB roll forward'!N559</f>
        <v>0</v>
      </c>
      <c r="O97" s="114">
        <f>'Actual RAB roll forward'!O559</f>
        <v>0</v>
      </c>
      <c r="P97" s="114">
        <f>'Actual RAB roll forward'!P559</f>
        <v>0</v>
      </c>
      <c r="Q97" s="114">
        <f>'Actual RAB roll forward'!Q559</f>
        <v>0</v>
      </c>
      <c r="R97" s="29"/>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7"/>
      <c r="BL97" s="227"/>
    </row>
    <row r="98" spans="1:64" hidden="1" outlineLevel="1">
      <c r="A98" s="9"/>
      <c r="B98" s="9"/>
      <c r="C98" s="44"/>
      <c r="D98" s="278">
        <f>Asset27</f>
        <v>0</v>
      </c>
      <c r="E98" s="9"/>
      <c r="F98" s="9"/>
      <c r="G98" s="207">
        <f>'Actual RAB roll forward'!G560</f>
        <v>0</v>
      </c>
      <c r="H98" s="114">
        <f>'Actual RAB roll forward'!H560</f>
        <v>0</v>
      </c>
      <c r="I98" s="114">
        <f>'Actual RAB roll forward'!I560</f>
        <v>0</v>
      </c>
      <c r="J98" s="114">
        <f>'Actual RAB roll forward'!J560</f>
        <v>0</v>
      </c>
      <c r="K98" s="114">
        <f>'Actual RAB roll forward'!K560</f>
        <v>0</v>
      </c>
      <c r="L98" s="114">
        <f>'Actual RAB roll forward'!L560</f>
        <v>0</v>
      </c>
      <c r="M98" s="114">
        <f>'Actual RAB roll forward'!M560</f>
        <v>0</v>
      </c>
      <c r="N98" s="114">
        <f>'Actual RAB roll forward'!N560</f>
        <v>0</v>
      </c>
      <c r="O98" s="114">
        <f>'Actual RAB roll forward'!O560</f>
        <v>0</v>
      </c>
      <c r="P98" s="114">
        <f>'Actual RAB roll forward'!P560</f>
        <v>0</v>
      </c>
      <c r="Q98" s="114">
        <f>'Actual RAB roll forward'!Q560</f>
        <v>0</v>
      </c>
      <c r="R98" s="29"/>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7"/>
      <c r="BL98" s="227"/>
    </row>
    <row r="99" spans="1:64" hidden="1" outlineLevel="1">
      <c r="A99" s="9"/>
      <c r="B99" s="9"/>
      <c r="C99" s="44"/>
      <c r="D99" s="278">
        <f>Asset28</f>
        <v>0</v>
      </c>
      <c r="E99" s="9"/>
      <c r="F99" s="9"/>
      <c r="G99" s="207">
        <f>'Actual RAB roll forward'!G561</f>
        <v>0</v>
      </c>
      <c r="H99" s="114">
        <f>'Actual RAB roll forward'!H561</f>
        <v>0</v>
      </c>
      <c r="I99" s="114">
        <f>'Actual RAB roll forward'!I561</f>
        <v>0</v>
      </c>
      <c r="J99" s="114">
        <f>'Actual RAB roll forward'!J561</f>
        <v>0</v>
      </c>
      <c r="K99" s="114">
        <f>'Actual RAB roll forward'!K561</f>
        <v>0</v>
      </c>
      <c r="L99" s="114">
        <f>'Actual RAB roll forward'!L561</f>
        <v>0</v>
      </c>
      <c r="M99" s="114">
        <f>'Actual RAB roll forward'!M561</f>
        <v>0</v>
      </c>
      <c r="N99" s="114">
        <f>'Actual RAB roll forward'!N561</f>
        <v>0</v>
      </c>
      <c r="O99" s="114">
        <f>'Actual RAB roll forward'!O561</f>
        <v>0</v>
      </c>
      <c r="P99" s="114">
        <f>'Actual RAB roll forward'!P561</f>
        <v>0</v>
      </c>
      <c r="Q99" s="114">
        <f>'Actual RAB roll forward'!Q561</f>
        <v>0</v>
      </c>
      <c r="R99" s="29"/>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7"/>
      <c r="BL99" s="227"/>
    </row>
    <row r="100" spans="1:64" hidden="1" outlineLevel="1">
      <c r="A100" s="9"/>
      <c r="B100" s="9"/>
      <c r="C100" s="44"/>
      <c r="D100" s="278">
        <f>Asset29</f>
        <v>0</v>
      </c>
      <c r="E100" s="9"/>
      <c r="F100" s="9"/>
      <c r="G100" s="207">
        <f>'Actual RAB roll forward'!G562</f>
        <v>0</v>
      </c>
      <c r="H100" s="114">
        <f>'Actual RAB roll forward'!H562</f>
        <v>0</v>
      </c>
      <c r="I100" s="114">
        <f>'Actual RAB roll forward'!I562</f>
        <v>0</v>
      </c>
      <c r="J100" s="114">
        <f>'Actual RAB roll forward'!J562</f>
        <v>0</v>
      </c>
      <c r="K100" s="114">
        <f>'Actual RAB roll forward'!K562</f>
        <v>0</v>
      </c>
      <c r="L100" s="114">
        <f>'Actual RAB roll forward'!L562</f>
        <v>0</v>
      </c>
      <c r="M100" s="114">
        <f>'Actual RAB roll forward'!M562</f>
        <v>0</v>
      </c>
      <c r="N100" s="114">
        <f>'Actual RAB roll forward'!N562</f>
        <v>0</v>
      </c>
      <c r="O100" s="114">
        <f>'Actual RAB roll forward'!O562</f>
        <v>0</v>
      </c>
      <c r="P100" s="114">
        <f>'Actual RAB roll forward'!P562</f>
        <v>0</v>
      </c>
      <c r="Q100" s="114">
        <f>'Actual RAB roll forward'!Q562</f>
        <v>0</v>
      </c>
      <c r="R100" s="29"/>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7"/>
      <c r="BL100" s="227"/>
    </row>
    <row r="101" spans="1:64" hidden="1" outlineLevel="1">
      <c r="A101" s="9"/>
      <c r="B101" s="9"/>
      <c r="C101" s="44"/>
      <c r="D101" s="278">
        <f>Asset30</f>
        <v>0</v>
      </c>
      <c r="E101" s="9"/>
      <c r="F101" s="9"/>
      <c r="G101" s="207">
        <f>'Actual RAB roll forward'!G563</f>
        <v>0</v>
      </c>
      <c r="H101" s="114">
        <f>'Actual RAB roll forward'!H563</f>
        <v>0</v>
      </c>
      <c r="I101" s="114">
        <f>'Actual RAB roll forward'!I563</f>
        <v>0</v>
      </c>
      <c r="J101" s="114">
        <f>'Actual RAB roll forward'!J563</f>
        <v>0</v>
      </c>
      <c r="K101" s="114">
        <f>'Actual RAB roll forward'!K563</f>
        <v>0</v>
      </c>
      <c r="L101" s="114">
        <f>'Actual RAB roll forward'!L563</f>
        <v>0</v>
      </c>
      <c r="M101" s="114">
        <f>'Actual RAB roll forward'!M563</f>
        <v>0</v>
      </c>
      <c r="N101" s="114">
        <f>'Actual RAB roll forward'!N563</f>
        <v>0</v>
      </c>
      <c r="O101" s="114">
        <f>'Actual RAB roll forward'!O563</f>
        <v>0</v>
      </c>
      <c r="P101" s="114">
        <f>'Actual RAB roll forward'!P563</f>
        <v>0</v>
      </c>
      <c r="Q101" s="114">
        <f>'Actual RAB roll forward'!Q563</f>
        <v>0</v>
      </c>
      <c r="R101" s="29"/>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7"/>
      <c r="BL101" s="227"/>
    </row>
    <row r="102" spans="1:64" collapsed="1">
      <c r="A102" s="9"/>
      <c r="B102" s="9"/>
      <c r="C102" s="44"/>
      <c r="D102" s="130"/>
      <c r="E102" s="9"/>
      <c r="F102" s="9"/>
      <c r="G102" s="216"/>
      <c r="H102" s="114"/>
      <c r="I102" s="114"/>
      <c r="J102" s="114"/>
      <c r="K102" s="114"/>
      <c r="L102" s="114"/>
      <c r="M102" s="114"/>
      <c r="N102" s="104"/>
      <c r="O102" s="29"/>
      <c r="P102" s="29"/>
      <c r="Q102" s="29"/>
      <c r="R102" s="29"/>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7"/>
      <c r="BL102" s="227"/>
    </row>
    <row r="103" spans="1:64">
      <c r="A103" s="9"/>
      <c r="B103" s="9"/>
      <c r="C103" s="44" t="s">
        <v>48</v>
      </c>
      <c r="D103" s="116"/>
      <c r="E103" s="9"/>
      <c r="F103" s="9"/>
      <c r="G103" s="318">
        <f>SUM(G104:G133)</f>
        <v>-9.3282752599801135</v>
      </c>
      <c r="H103" s="35"/>
      <c r="I103" s="35"/>
      <c r="J103" s="35"/>
      <c r="K103" s="35"/>
      <c r="L103" s="35"/>
      <c r="M103" s="35"/>
      <c r="N103" s="104"/>
      <c r="O103" s="29"/>
      <c r="P103" s="29"/>
      <c r="Q103" s="29"/>
      <c r="R103" s="29"/>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7"/>
      <c r="BL103" s="227"/>
    </row>
    <row r="104" spans="1:64" hidden="1" outlineLevel="1">
      <c r="A104" s="9"/>
      <c r="B104" s="9"/>
      <c r="C104" s="9"/>
      <c r="D104" s="278" t="str">
        <f>Asset1</f>
        <v>Transmission Lines and Cables</v>
      </c>
      <c r="E104" s="9"/>
      <c r="F104" s="9"/>
      <c r="G104" s="210">
        <f>'Actual RAB roll forward'!G566</f>
        <v>-6.670889526632461</v>
      </c>
      <c r="H104" s="35"/>
      <c r="I104" s="35"/>
      <c r="J104" s="35"/>
      <c r="K104" s="35"/>
      <c r="L104" s="35"/>
      <c r="M104" s="35"/>
      <c r="N104" s="104"/>
      <c r="O104" s="29"/>
      <c r="P104" s="29"/>
      <c r="Q104" s="29"/>
      <c r="R104" s="29"/>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7"/>
      <c r="BL104" s="227"/>
    </row>
    <row r="105" spans="1:64" hidden="1" outlineLevel="1">
      <c r="A105" s="9"/>
      <c r="B105" s="9"/>
      <c r="C105" s="44"/>
      <c r="D105" s="278" t="str">
        <f>Asset2</f>
        <v>Transmission Substations</v>
      </c>
      <c r="E105" s="9"/>
      <c r="F105" s="9"/>
      <c r="G105" s="210">
        <f>'Actual RAB roll forward'!G567</f>
        <v>-24.619744597623882</v>
      </c>
      <c r="H105" s="35"/>
      <c r="I105" s="35"/>
      <c r="J105" s="35"/>
      <c r="K105" s="35"/>
      <c r="L105" s="35"/>
      <c r="M105" s="35"/>
      <c r="N105" s="104"/>
      <c r="O105" s="29"/>
      <c r="P105" s="29"/>
      <c r="Q105" s="29"/>
      <c r="R105" s="29"/>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7"/>
      <c r="BL105" s="227"/>
    </row>
    <row r="106" spans="1:64" hidden="1" outlineLevel="1">
      <c r="A106" s="9"/>
      <c r="B106" s="9"/>
      <c r="C106" s="44"/>
      <c r="D106" s="278" t="str">
        <f>Asset3</f>
        <v>Protection and Control</v>
      </c>
      <c r="E106" s="9"/>
      <c r="F106" s="9"/>
      <c r="G106" s="210">
        <f>'Actual RAB roll forward'!G568</f>
        <v>8.0081413556646659</v>
      </c>
      <c r="H106" s="35"/>
      <c r="I106" s="35"/>
      <c r="J106" s="35"/>
      <c r="K106" s="35"/>
      <c r="L106" s="35"/>
      <c r="M106" s="35"/>
      <c r="N106" s="104"/>
      <c r="O106" s="29"/>
      <c r="P106" s="29"/>
      <c r="Q106" s="29"/>
      <c r="R106" s="29"/>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7"/>
      <c r="BL106" s="227"/>
    </row>
    <row r="107" spans="1:64" hidden="1" outlineLevel="1">
      <c r="A107" s="9"/>
      <c r="B107" s="9"/>
      <c r="C107" s="44"/>
      <c r="D107" s="278" t="str">
        <f>Asset4</f>
        <v>Refurbishment</v>
      </c>
      <c r="E107" s="9"/>
      <c r="F107" s="9"/>
      <c r="G107" s="210">
        <f>'Actual RAB roll forward'!G569</f>
        <v>-15.141625906629972</v>
      </c>
      <c r="H107" s="35"/>
      <c r="I107" s="35"/>
      <c r="J107" s="35"/>
      <c r="K107" s="35"/>
      <c r="L107" s="35"/>
      <c r="M107" s="35"/>
      <c r="N107" s="104"/>
      <c r="O107" s="29"/>
      <c r="P107" s="29"/>
      <c r="Q107" s="29"/>
      <c r="R107" s="29"/>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7"/>
      <c r="BL107" s="227"/>
    </row>
    <row r="108" spans="1:64" hidden="1" outlineLevel="1">
      <c r="A108" s="9"/>
      <c r="B108" s="9"/>
      <c r="C108" s="44"/>
      <c r="D108" s="278" t="str">
        <f>Asset5</f>
        <v>Other</v>
      </c>
      <c r="E108" s="9"/>
      <c r="F108" s="9"/>
      <c r="G108" s="210">
        <f>'Actual RAB roll forward'!G570</f>
        <v>-0.4872756071361764</v>
      </c>
      <c r="H108" s="35"/>
      <c r="I108" s="35"/>
      <c r="J108" s="35"/>
      <c r="K108" s="35"/>
      <c r="L108" s="35"/>
      <c r="M108" s="35"/>
      <c r="N108" s="104"/>
      <c r="O108" s="29"/>
      <c r="P108" s="29"/>
      <c r="Q108" s="29"/>
      <c r="R108" s="29"/>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7"/>
      <c r="BL108" s="227"/>
    </row>
    <row r="109" spans="1:64" hidden="1" outlineLevel="1">
      <c r="A109" s="9"/>
      <c r="B109" s="9"/>
      <c r="C109" s="44"/>
      <c r="D109" s="278" t="str">
        <f>Asset6</f>
        <v>Other - IT</v>
      </c>
      <c r="E109" s="9"/>
      <c r="F109" s="9"/>
      <c r="G109" s="210">
        <f>'Actual RAB roll forward'!G571</f>
        <v>18.655537634766787</v>
      </c>
      <c r="H109" s="35"/>
      <c r="I109" s="35"/>
      <c r="J109" s="35"/>
      <c r="K109" s="35"/>
      <c r="L109" s="35"/>
      <c r="M109" s="35"/>
      <c r="N109" s="104"/>
      <c r="O109" s="29"/>
      <c r="P109" s="29"/>
      <c r="Q109" s="29"/>
      <c r="R109" s="29"/>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7"/>
      <c r="BL109" s="227"/>
    </row>
    <row r="110" spans="1:64" hidden="1" outlineLevel="1">
      <c r="A110" s="9"/>
      <c r="B110" s="9"/>
      <c r="C110" s="44"/>
      <c r="D110" s="278" t="str">
        <f>Asset7</f>
        <v>Other - General</v>
      </c>
      <c r="E110" s="9"/>
      <c r="F110" s="9"/>
      <c r="G110" s="210">
        <f>'Actual RAB roll forward'!G572</f>
        <v>-4.3670255217504392</v>
      </c>
      <c r="H110" s="35"/>
      <c r="I110" s="35"/>
      <c r="J110" s="35"/>
      <c r="K110" s="35"/>
      <c r="L110" s="35"/>
      <c r="M110" s="35"/>
      <c r="N110" s="104"/>
      <c r="O110" s="29"/>
      <c r="P110" s="29"/>
      <c r="Q110" s="29"/>
      <c r="R110" s="29"/>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7"/>
      <c r="BL110" s="227"/>
    </row>
    <row r="111" spans="1:64" hidden="1" outlineLevel="1">
      <c r="A111" s="9"/>
      <c r="B111" s="9"/>
      <c r="C111" s="44"/>
      <c r="D111" s="278" t="str">
        <f>Asset8</f>
        <v>Other - Buildings</v>
      </c>
      <c r="E111" s="9"/>
      <c r="F111" s="9"/>
      <c r="G111" s="210">
        <f>'Actual RAB roll forward'!G573</f>
        <v>12.501824253719461</v>
      </c>
      <c r="H111" s="35"/>
      <c r="I111" s="35"/>
      <c r="J111" s="35"/>
      <c r="K111" s="35"/>
      <c r="L111" s="35"/>
      <c r="M111" s="35"/>
      <c r="N111" s="104"/>
      <c r="O111" s="29"/>
      <c r="P111" s="29"/>
      <c r="Q111" s="29"/>
      <c r="R111" s="29"/>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7"/>
      <c r="BL111" s="227"/>
    </row>
    <row r="112" spans="1:64" hidden="1" outlineLevel="1">
      <c r="A112" s="9"/>
      <c r="B112" s="9"/>
      <c r="C112" s="44"/>
      <c r="D112" s="278" t="str">
        <f>Asset9</f>
        <v>Land and Easements</v>
      </c>
      <c r="E112" s="9"/>
      <c r="F112" s="9"/>
      <c r="G112" s="210">
        <f>'Actual RAB roll forward'!G574</f>
        <v>2.7927826556419029</v>
      </c>
      <c r="H112" s="35"/>
      <c r="I112" s="35"/>
      <c r="J112" s="35"/>
      <c r="K112" s="35"/>
      <c r="L112" s="35"/>
      <c r="M112" s="35"/>
      <c r="N112" s="104"/>
      <c r="O112" s="29"/>
      <c r="P112" s="29"/>
      <c r="Q112" s="29"/>
      <c r="R112" s="29"/>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7"/>
      <c r="BL112" s="227"/>
    </row>
    <row r="113" spans="1:64" hidden="1" outlineLevel="1">
      <c r="A113" s="9"/>
      <c r="B113" s="9"/>
      <c r="C113" s="44"/>
      <c r="D113" s="278" t="str">
        <f>Asset10</f>
        <v>Transmission line assets - long life (60)</v>
      </c>
      <c r="E113" s="9"/>
      <c r="F113" s="9"/>
      <c r="G113" s="210">
        <f>'Actual RAB roll forward'!G575</f>
        <v>0</v>
      </c>
      <c r="H113" s="35"/>
      <c r="I113" s="35"/>
      <c r="J113" s="35"/>
      <c r="K113" s="35"/>
      <c r="L113" s="35"/>
      <c r="M113" s="35"/>
      <c r="N113" s="104"/>
      <c r="O113" s="29"/>
      <c r="P113" s="29"/>
      <c r="Q113" s="29"/>
      <c r="R113" s="29"/>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7"/>
      <c r="BL113" s="227"/>
    </row>
    <row r="114" spans="1:64" hidden="1" outlineLevel="1">
      <c r="A114" s="9"/>
      <c r="B114" s="9"/>
      <c r="C114" s="44"/>
      <c r="D114" s="278" t="str">
        <f>Asset11</f>
        <v>Transmission line assets - medium life (45)</v>
      </c>
      <c r="E114" s="9"/>
      <c r="F114" s="9"/>
      <c r="G114" s="210">
        <f>'Actual RAB roll forward'!G576</f>
        <v>0</v>
      </c>
      <c r="H114" s="35"/>
      <c r="I114" s="35"/>
      <c r="J114" s="35"/>
      <c r="K114" s="35"/>
      <c r="L114" s="35"/>
      <c r="M114" s="35"/>
      <c r="N114" s="104"/>
      <c r="O114" s="29"/>
      <c r="P114" s="29"/>
      <c r="Q114" s="29"/>
      <c r="R114" s="29"/>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7"/>
      <c r="BL114" s="227"/>
    </row>
    <row r="115" spans="1:64" hidden="1" outlineLevel="1">
      <c r="A115" s="9"/>
      <c r="B115" s="9"/>
      <c r="C115" s="44"/>
      <c r="D115" s="278" t="str">
        <f>Asset12</f>
        <v>Transmission line assets - short life (10)</v>
      </c>
      <c r="E115" s="9"/>
      <c r="F115" s="9"/>
      <c r="G115" s="210">
        <f>'Actual RAB roll forward'!G577</f>
        <v>0</v>
      </c>
      <c r="H115" s="35"/>
      <c r="I115" s="35"/>
      <c r="J115" s="35"/>
      <c r="K115" s="35"/>
      <c r="L115" s="35"/>
      <c r="M115" s="35"/>
      <c r="N115" s="104"/>
      <c r="O115" s="29"/>
      <c r="P115" s="29"/>
      <c r="Q115" s="29"/>
      <c r="R115" s="29"/>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7"/>
      <c r="BL115" s="227"/>
    </row>
    <row r="116" spans="1:64" hidden="1" outlineLevel="1">
      <c r="A116" s="9"/>
      <c r="B116" s="9"/>
      <c r="C116" s="44"/>
      <c r="D116" s="278" t="str">
        <f>Asset13</f>
        <v>Substation assets - long life (60)</v>
      </c>
      <c r="E116" s="9"/>
      <c r="F116" s="9"/>
      <c r="G116" s="210">
        <f>'Actual RAB roll forward'!G578</f>
        <v>0</v>
      </c>
      <c r="H116" s="35"/>
      <c r="I116" s="35"/>
      <c r="J116" s="35"/>
      <c r="K116" s="35"/>
      <c r="L116" s="35"/>
      <c r="M116" s="35"/>
      <c r="N116" s="104"/>
      <c r="O116" s="29"/>
      <c r="P116" s="29"/>
      <c r="Q116" s="29"/>
      <c r="R116" s="29"/>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7"/>
      <c r="BL116" s="227"/>
    </row>
    <row r="117" spans="1:64" hidden="1" outlineLevel="1">
      <c r="A117" s="9"/>
      <c r="B117" s="9"/>
      <c r="C117" s="44"/>
      <c r="D117" s="278" t="str">
        <f>Asset14</f>
        <v>Substation assets - medium life (45)</v>
      </c>
      <c r="E117" s="9"/>
      <c r="F117" s="9"/>
      <c r="G117" s="210">
        <f>'Actual RAB roll forward'!G579</f>
        <v>0</v>
      </c>
      <c r="H117" s="35"/>
      <c r="I117" s="35"/>
      <c r="J117" s="35"/>
      <c r="K117" s="35"/>
      <c r="L117" s="35"/>
      <c r="M117" s="35"/>
      <c r="N117" s="104"/>
      <c r="O117" s="29"/>
      <c r="P117" s="29"/>
      <c r="Q117" s="29"/>
      <c r="R117" s="29"/>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7"/>
      <c r="BL117" s="227"/>
    </row>
    <row r="118" spans="1:64" hidden="1" outlineLevel="1">
      <c r="A118" s="9"/>
      <c r="B118" s="9"/>
      <c r="C118" s="44"/>
      <c r="D118" s="278" t="str">
        <f>Asset15</f>
        <v>Substation assets - short life (15)</v>
      </c>
      <c r="E118" s="9"/>
      <c r="F118" s="9"/>
      <c r="G118" s="210">
        <f>'Actual RAB roll forward'!G580</f>
        <v>0</v>
      </c>
      <c r="H118" s="35"/>
      <c r="I118" s="35"/>
      <c r="J118" s="35"/>
      <c r="K118" s="35"/>
      <c r="L118" s="35"/>
      <c r="M118" s="35"/>
      <c r="N118" s="104"/>
      <c r="O118" s="29"/>
      <c r="P118" s="29"/>
      <c r="Q118" s="29"/>
      <c r="R118" s="29"/>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7"/>
      <c r="BL118" s="227"/>
    </row>
    <row r="119" spans="1:64" hidden="1" outlineLevel="1">
      <c r="A119" s="9"/>
      <c r="B119" s="9"/>
      <c r="C119" s="44"/>
      <c r="D119" s="278" t="str">
        <f>Asset16</f>
        <v>Protection and control - short life (15)</v>
      </c>
      <c r="E119" s="9"/>
      <c r="F119" s="9"/>
      <c r="G119" s="210">
        <f>'Actual RAB roll forward'!G581</f>
        <v>0</v>
      </c>
      <c r="H119" s="35"/>
      <c r="I119" s="35"/>
      <c r="J119" s="35"/>
      <c r="K119" s="35"/>
      <c r="L119" s="35"/>
      <c r="M119" s="35"/>
      <c r="N119" s="104"/>
      <c r="O119" s="29"/>
      <c r="P119" s="29"/>
      <c r="Q119" s="29"/>
      <c r="R119" s="29"/>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7"/>
      <c r="BL119" s="227"/>
    </row>
    <row r="120" spans="1:64" hidden="1" outlineLevel="1">
      <c r="A120" s="9"/>
      <c r="B120" s="9"/>
      <c r="C120" s="44"/>
      <c r="D120" s="278" t="str">
        <f>Asset17</f>
        <v>Protection and control - short life (4)</v>
      </c>
      <c r="E120" s="9"/>
      <c r="F120" s="9"/>
      <c r="G120" s="210">
        <f>'Actual RAB roll forward'!G582</f>
        <v>0</v>
      </c>
      <c r="H120" s="35"/>
      <c r="I120" s="35"/>
      <c r="J120" s="35"/>
      <c r="K120" s="35"/>
      <c r="L120" s="35"/>
      <c r="M120" s="35"/>
      <c r="N120" s="104"/>
      <c r="O120" s="29"/>
      <c r="P120" s="29"/>
      <c r="Q120" s="29"/>
      <c r="R120" s="29"/>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7"/>
      <c r="BL120" s="227"/>
    </row>
    <row r="121" spans="1:64" hidden="1" outlineLevel="1">
      <c r="A121" s="9"/>
      <c r="B121" s="9"/>
      <c r="C121" s="44"/>
      <c r="D121" s="278" t="str">
        <f>Asset18</f>
        <v>Transmission operations - short life (10)</v>
      </c>
      <c r="E121" s="9"/>
      <c r="F121" s="9"/>
      <c r="G121" s="210">
        <f>'Actual RAB roll forward'!G583</f>
        <v>0</v>
      </c>
      <c r="H121" s="35"/>
      <c r="I121" s="35"/>
      <c r="J121" s="35"/>
      <c r="K121" s="35"/>
      <c r="L121" s="35"/>
      <c r="M121" s="35"/>
      <c r="N121" s="104"/>
      <c r="O121" s="29"/>
      <c r="P121" s="29"/>
      <c r="Q121" s="29"/>
      <c r="R121" s="29"/>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7"/>
      <c r="BL121" s="227"/>
    </row>
    <row r="122" spans="1:64" hidden="1" outlineLevel="1">
      <c r="A122" s="9"/>
      <c r="B122" s="9"/>
      <c r="C122" s="44"/>
      <c r="D122" s="278" t="str">
        <f>Asset19</f>
        <v>Transmission operations - short life (4)</v>
      </c>
      <c r="E122" s="9"/>
      <c r="F122" s="9"/>
      <c r="G122" s="210">
        <f>'Actual RAB roll forward'!G584</f>
        <v>0</v>
      </c>
      <c r="H122" s="35"/>
      <c r="I122" s="35"/>
      <c r="J122" s="35"/>
      <c r="K122" s="35"/>
      <c r="L122" s="35"/>
      <c r="M122" s="35"/>
      <c r="N122" s="104"/>
      <c r="O122" s="29"/>
      <c r="P122" s="29"/>
      <c r="Q122" s="29"/>
      <c r="R122" s="29"/>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7"/>
      <c r="BL122" s="227"/>
    </row>
    <row r="123" spans="1:64" hidden="1" outlineLevel="1">
      <c r="A123" s="9"/>
      <c r="B123" s="9"/>
      <c r="C123" s="44"/>
      <c r="D123" s="278" t="str">
        <f>Asset20</f>
        <v>Other - medium life (40)</v>
      </c>
      <c r="E123" s="9"/>
      <c r="F123" s="9"/>
      <c r="G123" s="210">
        <f>'Actual RAB roll forward'!G585</f>
        <v>0</v>
      </c>
      <c r="H123" s="35"/>
      <c r="I123" s="35"/>
      <c r="J123" s="35"/>
      <c r="K123" s="35"/>
      <c r="L123" s="35"/>
      <c r="M123" s="35"/>
      <c r="N123" s="104"/>
      <c r="O123" s="29"/>
      <c r="P123" s="29"/>
      <c r="Q123" s="29"/>
      <c r="R123" s="29"/>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7"/>
      <c r="BL123" s="227"/>
    </row>
    <row r="124" spans="1:64" hidden="1" outlineLevel="1">
      <c r="A124" s="9"/>
      <c r="B124" s="9"/>
      <c r="C124" s="44"/>
      <c r="D124" s="278" t="str">
        <f>Asset21</f>
        <v>Other - short life (9)</v>
      </c>
      <c r="E124" s="9"/>
      <c r="F124" s="9"/>
      <c r="G124" s="210">
        <f>'Actual RAB roll forward'!G586</f>
        <v>0</v>
      </c>
      <c r="H124" s="35"/>
      <c r="I124" s="35"/>
      <c r="J124" s="35"/>
      <c r="K124" s="35"/>
      <c r="L124" s="35"/>
      <c r="M124" s="35"/>
      <c r="N124" s="104"/>
      <c r="O124" s="29"/>
      <c r="P124" s="29"/>
      <c r="Q124" s="29"/>
      <c r="R124" s="29"/>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7"/>
      <c r="BL124" s="227"/>
    </row>
    <row r="125" spans="1:64" hidden="1" outlineLevel="1">
      <c r="A125" s="9"/>
      <c r="B125" s="9"/>
      <c r="C125" s="44"/>
      <c r="D125" s="278" t="str">
        <f>Asset22</f>
        <v>Other - short life (4)</v>
      </c>
      <c r="E125" s="9"/>
      <c r="F125" s="9"/>
      <c r="G125" s="210">
        <f>'Actual RAB roll forward'!G587</f>
        <v>0</v>
      </c>
      <c r="H125" s="35"/>
      <c r="I125" s="35"/>
      <c r="J125" s="35"/>
      <c r="K125" s="35"/>
      <c r="L125" s="35"/>
      <c r="M125" s="35"/>
      <c r="N125" s="104"/>
      <c r="O125" s="29"/>
      <c r="P125" s="29"/>
      <c r="Q125" s="29"/>
      <c r="R125" s="29"/>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7"/>
      <c r="BL125" s="227"/>
    </row>
    <row r="126" spans="1:64" hidden="1" outlineLevel="1">
      <c r="A126" s="9"/>
      <c r="B126" s="9"/>
      <c r="C126" s="44"/>
      <c r="D126" s="278" t="str">
        <f>Asset23</f>
        <v>Land and Easements</v>
      </c>
      <c r="E126" s="9"/>
      <c r="F126" s="9"/>
      <c r="G126" s="210">
        <f>'Actual RAB roll forward'!G588</f>
        <v>0</v>
      </c>
      <c r="H126" s="35"/>
      <c r="I126" s="35"/>
      <c r="J126" s="35"/>
      <c r="K126" s="35"/>
      <c r="L126" s="35"/>
      <c r="M126" s="35"/>
      <c r="N126" s="104"/>
      <c r="O126" s="29"/>
      <c r="P126" s="29"/>
      <c r="Q126" s="29"/>
      <c r="R126" s="29"/>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7"/>
      <c r="BL126" s="227"/>
    </row>
    <row r="127" spans="1:64" hidden="1" outlineLevel="1">
      <c r="A127" s="9"/>
      <c r="B127" s="9"/>
      <c r="C127" s="44"/>
      <c r="D127" s="278" t="str">
        <f>Asset24</f>
        <v>Equity Raising</v>
      </c>
      <c r="E127" s="9"/>
      <c r="F127" s="9"/>
      <c r="G127" s="210">
        <f>'Actual RAB roll forward'!G589</f>
        <v>0</v>
      </c>
      <c r="H127" s="35"/>
      <c r="I127" s="35"/>
      <c r="J127" s="35"/>
      <c r="K127" s="35"/>
      <c r="L127" s="35"/>
      <c r="M127" s="35"/>
      <c r="N127" s="104"/>
      <c r="O127" s="29"/>
      <c r="P127" s="29"/>
      <c r="Q127" s="29"/>
      <c r="R127" s="29"/>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7"/>
      <c r="BL127" s="227"/>
    </row>
    <row r="128" spans="1:64" hidden="1" outlineLevel="1">
      <c r="A128" s="9"/>
      <c r="B128" s="9"/>
      <c r="C128" s="44"/>
      <c r="D128" s="278">
        <f>Asset25</f>
        <v>0</v>
      </c>
      <c r="E128" s="9"/>
      <c r="F128" s="9"/>
      <c r="G128" s="210">
        <f>'Actual RAB roll forward'!G590</f>
        <v>0</v>
      </c>
      <c r="H128" s="35"/>
      <c r="I128" s="35"/>
      <c r="J128" s="35"/>
      <c r="K128" s="35"/>
      <c r="L128" s="35"/>
      <c r="M128" s="35"/>
      <c r="N128" s="104"/>
      <c r="O128" s="29"/>
      <c r="P128" s="29"/>
      <c r="Q128" s="29"/>
      <c r="R128" s="29"/>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7"/>
      <c r="BL128" s="227"/>
    </row>
    <row r="129" spans="1:64" hidden="1" outlineLevel="1">
      <c r="A129" s="9"/>
      <c r="B129" s="9"/>
      <c r="C129" s="44"/>
      <c r="D129" s="278">
        <f>Asset26</f>
        <v>0</v>
      </c>
      <c r="E129" s="9"/>
      <c r="F129" s="9"/>
      <c r="G129" s="210">
        <f>'Actual RAB roll forward'!G591</f>
        <v>0</v>
      </c>
      <c r="H129" s="35"/>
      <c r="I129" s="35"/>
      <c r="J129" s="35"/>
      <c r="K129" s="35"/>
      <c r="L129" s="35"/>
      <c r="M129" s="35"/>
      <c r="N129" s="104"/>
      <c r="O129" s="29"/>
      <c r="P129" s="29"/>
      <c r="Q129" s="29"/>
      <c r="R129" s="29"/>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7"/>
      <c r="BL129" s="227"/>
    </row>
    <row r="130" spans="1:64" hidden="1" outlineLevel="1">
      <c r="A130" s="9"/>
      <c r="B130" s="9"/>
      <c r="C130" s="44"/>
      <c r="D130" s="278">
        <f>Asset27</f>
        <v>0</v>
      </c>
      <c r="E130" s="9"/>
      <c r="F130" s="9"/>
      <c r="G130" s="210">
        <f>'Actual RAB roll forward'!G592</f>
        <v>0</v>
      </c>
      <c r="H130" s="35"/>
      <c r="I130" s="35"/>
      <c r="J130" s="35"/>
      <c r="K130" s="35"/>
      <c r="L130" s="35"/>
      <c r="M130" s="35"/>
      <c r="N130" s="104"/>
      <c r="O130" s="29"/>
      <c r="P130" s="29"/>
      <c r="Q130" s="29"/>
      <c r="R130" s="29"/>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7"/>
      <c r="BL130" s="227"/>
    </row>
    <row r="131" spans="1:64" hidden="1" outlineLevel="1">
      <c r="A131" s="9"/>
      <c r="B131" s="9"/>
      <c r="C131" s="44"/>
      <c r="D131" s="278">
        <f>Asset28</f>
        <v>0</v>
      </c>
      <c r="E131" s="9"/>
      <c r="F131" s="9"/>
      <c r="G131" s="210">
        <f>'Actual RAB roll forward'!G593</f>
        <v>0</v>
      </c>
      <c r="H131" s="35"/>
      <c r="I131" s="35"/>
      <c r="J131" s="35"/>
      <c r="K131" s="35"/>
      <c r="L131" s="35"/>
      <c r="M131" s="35"/>
      <c r="N131" s="104"/>
      <c r="O131" s="29"/>
      <c r="P131" s="29"/>
      <c r="Q131" s="29"/>
      <c r="R131" s="29"/>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7"/>
      <c r="BL131" s="227"/>
    </row>
    <row r="132" spans="1:64" hidden="1" outlineLevel="1">
      <c r="A132" s="9"/>
      <c r="B132" s="9"/>
      <c r="C132" s="44"/>
      <c r="D132" s="278">
        <f>Asset29</f>
        <v>0</v>
      </c>
      <c r="E132" s="9"/>
      <c r="F132" s="9"/>
      <c r="G132" s="210">
        <f>'Actual RAB roll forward'!G594</f>
        <v>0</v>
      </c>
      <c r="H132" s="35"/>
      <c r="I132" s="35"/>
      <c r="J132" s="35"/>
      <c r="K132" s="35"/>
      <c r="L132" s="35"/>
      <c r="M132" s="35"/>
      <c r="N132" s="104"/>
      <c r="O132" s="29"/>
      <c r="P132" s="29"/>
      <c r="Q132" s="29"/>
      <c r="R132" s="29"/>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7"/>
      <c r="BL132" s="227"/>
    </row>
    <row r="133" spans="1:64" hidden="1" outlineLevel="1">
      <c r="A133" s="9"/>
      <c r="B133" s="9"/>
      <c r="C133" s="44"/>
      <c r="D133" s="278">
        <f>Asset30</f>
        <v>0</v>
      </c>
      <c r="E133" s="9"/>
      <c r="F133" s="9"/>
      <c r="G133" s="210">
        <f>'Actual RAB roll forward'!G595</f>
        <v>0</v>
      </c>
      <c r="H133" s="35"/>
      <c r="I133" s="35"/>
      <c r="J133" s="35"/>
      <c r="K133" s="35"/>
      <c r="L133" s="35"/>
      <c r="M133" s="35"/>
      <c r="N133" s="104"/>
      <c r="O133" s="29"/>
      <c r="P133" s="29"/>
      <c r="Q133" s="29"/>
      <c r="R133" s="29"/>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27"/>
      <c r="BL133" s="227"/>
    </row>
    <row r="134" spans="1:64" s="9" customFormat="1" collapsed="1">
      <c r="G134" s="215"/>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row>
    <row r="135" spans="1:64">
      <c r="A135" s="9"/>
      <c r="B135" s="9"/>
      <c r="C135" s="44" t="s">
        <v>60</v>
      </c>
      <c r="D135" s="116"/>
      <c r="E135" s="9"/>
      <c r="F135" s="9"/>
      <c r="G135" s="318">
        <f>SUM(G136:G165)</f>
        <v>-5.8894452447240129</v>
      </c>
      <c r="H135" s="35"/>
      <c r="I135" s="35"/>
      <c r="J135" s="35"/>
      <c r="K135" s="35"/>
      <c r="L135" s="35"/>
      <c r="M135" s="35"/>
      <c r="N135" s="104"/>
      <c r="O135" s="29"/>
      <c r="P135" s="29"/>
      <c r="Q135" s="29"/>
      <c r="R135" s="29"/>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7"/>
      <c r="BL135" s="227"/>
    </row>
    <row r="136" spans="1:64" hidden="1" outlineLevel="1">
      <c r="A136" s="9"/>
      <c r="B136" s="9"/>
      <c r="C136" s="9"/>
      <c r="D136" s="278" t="str">
        <f>Asset1</f>
        <v>Transmission Lines and Cables</v>
      </c>
      <c r="E136" s="9"/>
      <c r="F136" s="9"/>
      <c r="G136" s="210">
        <f>'Actual RAB roll forward'!G598</f>
        <v>1.8023162780666071</v>
      </c>
      <c r="H136" s="35"/>
      <c r="I136" s="35"/>
      <c r="J136" s="35"/>
      <c r="K136" s="35"/>
      <c r="L136" s="35"/>
      <c r="M136" s="35"/>
      <c r="N136" s="104"/>
      <c r="O136" s="29"/>
      <c r="P136" s="29"/>
      <c r="Q136" s="29"/>
      <c r="R136" s="29"/>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7"/>
      <c r="BL136" s="227"/>
    </row>
    <row r="137" spans="1:64" hidden="1" outlineLevel="1">
      <c r="A137" s="9"/>
      <c r="B137" s="9"/>
      <c r="C137" s="44"/>
      <c r="D137" s="278" t="str">
        <f>Asset2</f>
        <v>Transmission Substations</v>
      </c>
      <c r="E137" s="9"/>
      <c r="F137" s="9"/>
      <c r="G137" s="210">
        <f>'Actual RAB roll forward'!G599</f>
        <v>-2.0600227695986688</v>
      </c>
      <c r="H137" s="35"/>
      <c r="I137" s="35"/>
      <c r="J137" s="35"/>
      <c r="K137" s="35"/>
      <c r="L137" s="35"/>
      <c r="M137" s="35"/>
      <c r="N137" s="104"/>
      <c r="O137" s="29"/>
      <c r="P137" s="29"/>
      <c r="Q137" s="29"/>
      <c r="R137" s="29"/>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7"/>
      <c r="BL137" s="227"/>
    </row>
    <row r="138" spans="1:64" hidden="1" outlineLevel="1">
      <c r="A138" s="9"/>
      <c r="B138" s="9"/>
      <c r="C138" s="44"/>
      <c r="D138" s="278" t="str">
        <f>Asset3</f>
        <v>Protection and Control</v>
      </c>
      <c r="E138" s="9"/>
      <c r="F138" s="9"/>
      <c r="G138" s="210">
        <f>'Actual RAB roll forward'!G600</f>
        <v>-0.94185138279832004</v>
      </c>
      <c r="H138" s="35"/>
      <c r="I138" s="35"/>
      <c r="J138" s="35"/>
      <c r="K138" s="35"/>
      <c r="L138" s="35"/>
      <c r="M138" s="35"/>
      <c r="N138" s="104"/>
      <c r="O138" s="29"/>
      <c r="P138" s="29"/>
      <c r="Q138" s="29"/>
      <c r="R138" s="29"/>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7"/>
      <c r="BL138" s="227"/>
    </row>
    <row r="139" spans="1:64" hidden="1" outlineLevel="1">
      <c r="A139" s="9"/>
      <c r="B139" s="9"/>
      <c r="C139" s="44"/>
      <c r="D139" s="278" t="str">
        <f>Asset4</f>
        <v>Refurbishment</v>
      </c>
      <c r="E139" s="9"/>
      <c r="F139" s="9"/>
      <c r="G139" s="210">
        <f>'Actual RAB roll forward'!G601</f>
        <v>-3.779957175596103</v>
      </c>
      <c r="H139" s="35"/>
      <c r="I139" s="35"/>
      <c r="J139" s="35"/>
      <c r="K139" s="35"/>
      <c r="L139" s="35"/>
      <c r="M139" s="35"/>
      <c r="N139" s="104"/>
      <c r="O139" s="29"/>
      <c r="P139" s="29"/>
      <c r="Q139" s="29"/>
      <c r="R139" s="29"/>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7"/>
      <c r="BL139" s="227"/>
    </row>
    <row r="140" spans="1:64" hidden="1" outlineLevel="1">
      <c r="A140" s="9"/>
      <c r="B140" s="9"/>
      <c r="C140" s="44"/>
      <c r="D140" s="278" t="str">
        <f>Asset5</f>
        <v>Other</v>
      </c>
      <c r="E140" s="9"/>
      <c r="F140" s="9"/>
      <c r="G140" s="210">
        <f>'Actual RAB roll forward'!G602</f>
        <v>0</v>
      </c>
      <c r="H140" s="35"/>
      <c r="I140" s="35"/>
      <c r="J140" s="35"/>
      <c r="K140" s="35"/>
      <c r="L140" s="35"/>
      <c r="M140" s="35"/>
      <c r="N140" s="104"/>
      <c r="O140" s="29"/>
      <c r="P140" s="29"/>
      <c r="Q140" s="29"/>
      <c r="R140" s="29"/>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7"/>
      <c r="BL140" s="227"/>
    </row>
    <row r="141" spans="1:64" hidden="1" outlineLevel="1">
      <c r="A141" s="9"/>
      <c r="B141" s="9"/>
      <c r="C141" s="44"/>
      <c r="D141" s="278" t="str">
        <f>Asset6</f>
        <v>Other - IT</v>
      </c>
      <c r="E141" s="9"/>
      <c r="F141" s="9"/>
      <c r="G141" s="210">
        <f>'Actual RAB roll forward'!G603</f>
        <v>0.53659365359905431</v>
      </c>
      <c r="H141" s="35"/>
      <c r="I141" s="35"/>
      <c r="J141" s="35"/>
      <c r="K141" s="35"/>
      <c r="L141" s="35"/>
      <c r="M141" s="35"/>
      <c r="N141" s="104"/>
      <c r="O141" s="29"/>
      <c r="P141" s="29"/>
      <c r="Q141" s="29"/>
      <c r="R141" s="29"/>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7"/>
      <c r="BL141" s="227"/>
    </row>
    <row r="142" spans="1:64" hidden="1" outlineLevel="1">
      <c r="A142" s="9"/>
      <c r="B142" s="9"/>
      <c r="C142" s="44"/>
      <c r="D142" s="278" t="str">
        <f>Asset7</f>
        <v>Other - General</v>
      </c>
      <c r="E142" s="9"/>
      <c r="F142" s="9"/>
      <c r="G142" s="210">
        <f>'Actual RAB roll forward'!G604</f>
        <v>-0.6870561688414184</v>
      </c>
      <c r="H142" s="35"/>
      <c r="I142" s="35"/>
      <c r="J142" s="35"/>
      <c r="K142" s="35"/>
      <c r="L142" s="35"/>
      <c r="M142" s="35"/>
      <c r="N142" s="104"/>
      <c r="O142" s="29"/>
      <c r="P142" s="29"/>
      <c r="Q142" s="29"/>
      <c r="R142" s="29"/>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7"/>
      <c r="BL142" s="227"/>
    </row>
    <row r="143" spans="1:64" hidden="1" outlineLevel="1">
      <c r="A143" s="9"/>
      <c r="B143" s="9"/>
      <c r="C143" s="44"/>
      <c r="D143" s="278" t="str">
        <f>Asset8</f>
        <v>Other - Buildings</v>
      </c>
      <c r="E143" s="9"/>
      <c r="F143" s="9"/>
      <c r="G143" s="210">
        <f>'Actual RAB roll forward'!G605</f>
        <v>-0.94861976687876493</v>
      </c>
      <c r="H143" s="35"/>
      <c r="I143" s="35"/>
      <c r="J143" s="35"/>
      <c r="K143" s="35"/>
      <c r="L143" s="35"/>
      <c r="M143" s="35"/>
      <c r="N143" s="104"/>
      <c r="O143" s="29"/>
      <c r="P143" s="29"/>
      <c r="Q143" s="29"/>
      <c r="R143" s="29"/>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7"/>
      <c r="BL143" s="227"/>
    </row>
    <row r="144" spans="1:64" hidden="1" outlineLevel="1">
      <c r="A144" s="9"/>
      <c r="B144" s="9"/>
      <c r="C144" s="44"/>
      <c r="D144" s="278" t="str">
        <f>Asset9</f>
        <v>Land and Easements</v>
      </c>
      <c r="E144" s="9"/>
      <c r="F144" s="9"/>
      <c r="G144" s="210">
        <f>'Actual RAB roll forward'!G606</f>
        <v>0.18915208732360167</v>
      </c>
      <c r="H144" s="35"/>
      <c r="I144" s="35"/>
      <c r="J144" s="35"/>
      <c r="K144" s="35"/>
      <c r="L144" s="35"/>
      <c r="M144" s="35"/>
      <c r="N144" s="104"/>
      <c r="O144" s="29"/>
      <c r="P144" s="29"/>
      <c r="Q144" s="29"/>
      <c r="R144" s="29"/>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7"/>
      <c r="BL144" s="227"/>
    </row>
    <row r="145" spans="1:64" hidden="1" outlineLevel="1">
      <c r="A145" s="9"/>
      <c r="B145" s="9"/>
      <c r="C145" s="44"/>
      <c r="D145" s="278" t="str">
        <f>Asset10</f>
        <v>Transmission line assets - long life (60)</v>
      </c>
      <c r="E145" s="9"/>
      <c r="F145" s="9"/>
      <c r="G145" s="210">
        <f>'Actual RAB roll forward'!G607</f>
        <v>0</v>
      </c>
      <c r="H145" s="35"/>
      <c r="I145" s="35"/>
      <c r="J145" s="35"/>
      <c r="K145" s="35"/>
      <c r="L145" s="35"/>
      <c r="M145" s="35"/>
      <c r="N145" s="104"/>
      <c r="O145" s="29"/>
      <c r="P145" s="29"/>
      <c r="Q145" s="29"/>
      <c r="R145" s="29"/>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7"/>
      <c r="BL145" s="227"/>
    </row>
    <row r="146" spans="1:64" hidden="1" outlineLevel="1">
      <c r="A146" s="9"/>
      <c r="B146" s="9"/>
      <c r="C146" s="44"/>
      <c r="D146" s="278" t="str">
        <f>Asset11</f>
        <v>Transmission line assets - medium life (45)</v>
      </c>
      <c r="E146" s="9"/>
      <c r="F146" s="9"/>
      <c r="G146" s="210">
        <f>'Actual RAB roll forward'!G608</f>
        <v>0</v>
      </c>
      <c r="H146" s="35"/>
      <c r="I146" s="35"/>
      <c r="J146" s="35"/>
      <c r="K146" s="35"/>
      <c r="L146" s="35"/>
      <c r="M146" s="35"/>
      <c r="N146" s="104"/>
      <c r="O146" s="29"/>
      <c r="P146" s="29"/>
      <c r="Q146" s="29"/>
      <c r="R146" s="29"/>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7"/>
      <c r="BL146" s="227"/>
    </row>
    <row r="147" spans="1:64" hidden="1" outlineLevel="1">
      <c r="A147" s="9"/>
      <c r="B147" s="9"/>
      <c r="C147" s="44"/>
      <c r="D147" s="278" t="str">
        <f>Asset12</f>
        <v>Transmission line assets - short life (10)</v>
      </c>
      <c r="E147" s="9"/>
      <c r="F147" s="9"/>
      <c r="G147" s="210">
        <f>'Actual RAB roll forward'!G609</f>
        <v>0</v>
      </c>
      <c r="H147" s="35"/>
      <c r="I147" s="35"/>
      <c r="J147" s="35"/>
      <c r="K147" s="35"/>
      <c r="L147" s="35"/>
      <c r="M147" s="35"/>
      <c r="N147" s="104"/>
      <c r="O147" s="29"/>
      <c r="P147" s="29"/>
      <c r="Q147" s="29"/>
      <c r="R147" s="29"/>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7"/>
      <c r="BL147" s="227"/>
    </row>
    <row r="148" spans="1:64" hidden="1" outlineLevel="1">
      <c r="A148" s="9"/>
      <c r="B148" s="9"/>
      <c r="C148" s="44"/>
      <c r="D148" s="278" t="str">
        <f>Asset13</f>
        <v>Substation assets - long life (60)</v>
      </c>
      <c r="E148" s="9"/>
      <c r="F148" s="9"/>
      <c r="G148" s="210">
        <f>'Actual RAB roll forward'!G610</f>
        <v>0</v>
      </c>
      <c r="H148" s="35"/>
      <c r="I148" s="35"/>
      <c r="J148" s="35"/>
      <c r="K148" s="35"/>
      <c r="L148" s="35"/>
      <c r="M148" s="35"/>
      <c r="N148" s="104"/>
      <c r="O148" s="29"/>
      <c r="P148" s="29"/>
      <c r="Q148" s="29"/>
      <c r="R148" s="29"/>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7"/>
      <c r="BL148" s="227"/>
    </row>
    <row r="149" spans="1:64" hidden="1" outlineLevel="1">
      <c r="A149" s="9"/>
      <c r="B149" s="9"/>
      <c r="C149" s="44"/>
      <c r="D149" s="278" t="str">
        <f>Asset14</f>
        <v>Substation assets - medium life (45)</v>
      </c>
      <c r="E149" s="9"/>
      <c r="F149" s="9"/>
      <c r="G149" s="210">
        <f>'Actual RAB roll forward'!G611</f>
        <v>0</v>
      </c>
      <c r="H149" s="35"/>
      <c r="I149" s="35"/>
      <c r="J149" s="35"/>
      <c r="K149" s="35"/>
      <c r="L149" s="35"/>
      <c r="M149" s="35"/>
      <c r="N149" s="104"/>
      <c r="O149" s="29"/>
      <c r="P149" s="29"/>
      <c r="Q149" s="29"/>
      <c r="R149" s="29"/>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7"/>
      <c r="BL149" s="227"/>
    </row>
    <row r="150" spans="1:64" hidden="1" outlineLevel="1">
      <c r="A150" s="9"/>
      <c r="B150" s="9"/>
      <c r="C150" s="44"/>
      <c r="D150" s="278" t="str">
        <f>Asset15</f>
        <v>Substation assets - short life (15)</v>
      </c>
      <c r="E150" s="9"/>
      <c r="F150" s="9"/>
      <c r="G150" s="210">
        <f>'Actual RAB roll forward'!G612</f>
        <v>0</v>
      </c>
      <c r="H150" s="35"/>
      <c r="I150" s="35"/>
      <c r="J150" s="35"/>
      <c r="K150" s="35"/>
      <c r="L150" s="35"/>
      <c r="M150" s="35"/>
      <c r="N150" s="104"/>
      <c r="O150" s="29"/>
      <c r="P150" s="29"/>
      <c r="Q150" s="29"/>
      <c r="R150" s="29"/>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7"/>
      <c r="BL150" s="227"/>
    </row>
    <row r="151" spans="1:64" hidden="1" outlineLevel="1">
      <c r="A151" s="9"/>
      <c r="B151" s="9"/>
      <c r="C151" s="44"/>
      <c r="D151" s="278" t="str">
        <f>Asset16</f>
        <v>Protection and control - short life (15)</v>
      </c>
      <c r="E151" s="9"/>
      <c r="F151" s="9"/>
      <c r="G151" s="210">
        <f>'Actual RAB roll forward'!G613</f>
        <v>0</v>
      </c>
      <c r="H151" s="35"/>
      <c r="I151" s="35"/>
      <c r="J151" s="35"/>
      <c r="K151" s="35"/>
      <c r="L151" s="35"/>
      <c r="M151" s="35"/>
      <c r="N151" s="104"/>
      <c r="O151" s="29"/>
      <c r="P151" s="29"/>
      <c r="Q151" s="29"/>
      <c r="R151" s="29"/>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7"/>
      <c r="BL151" s="227"/>
    </row>
    <row r="152" spans="1:64" hidden="1" outlineLevel="1">
      <c r="A152" s="9"/>
      <c r="B152" s="9"/>
      <c r="C152" s="44"/>
      <c r="D152" s="278" t="str">
        <f>Asset17</f>
        <v>Protection and control - short life (4)</v>
      </c>
      <c r="E152" s="9"/>
      <c r="F152" s="9"/>
      <c r="G152" s="210">
        <f>'Actual RAB roll forward'!G614</f>
        <v>0</v>
      </c>
      <c r="H152" s="35"/>
      <c r="I152" s="35"/>
      <c r="J152" s="35"/>
      <c r="K152" s="35"/>
      <c r="L152" s="35"/>
      <c r="M152" s="35"/>
      <c r="N152" s="104"/>
      <c r="O152" s="29"/>
      <c r="P152" s="29"/>
      <c r="Q152" s="29"/>
      <c r="R152" s="29"/>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7"/>
      <c r="BL152" s="227"/>
    </row>
    <row r="153" spans="1:64" hidden="1" outlineLevel="1">
      <c r="A153" s="9"/>
      <c r="B153" s="9"/>
      <c r="C153" s="44"/>
      <c r="D153" s="278" t="str">
        <f>Asset18</f>
        <v>Transmission operations - short life (10)</v>
      </c>
      <c r="E153" s="9"/>
      <c r="F153" s="9"/>
      <c r="G153" s="210">
        <f>'Actual RAB roll forward'!G615</f>
        <v>0</v>
      </c>
      <c r="H153" s="35"/>
      <c r="I153" s="35"/>
      <c r="J153" s="35"/>
      <c r="K153" s="35"/>
      <c r="L153" s="35"/>
      <c r="M153" s="35"/>
      <c r="N153" s="104"/>
      <c r="O153" s="29"/>
      <c r="P153" s="29"/>
      <c r="Q153" s="29"/>
      <c r="R153" s="29"/>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7"/>
      <c r="BL153" s="227"/>
    </row>
    <row r="154" spans="1:64" hidden="1" outlineLevel="1">
      <c r="A154" s="9"/>
      <c r="B154" s="9"/>
      <c r="C154" s="44"/>
      <c r="D154" s="278" t="str">
        <f>Asset19</f>
        <v>Transmission operations - short life (4)</v>
      </c>
      <c r="E154" s="9"/>
      <c r="F154" s="9"/>
      <c r="G154" s="210">
        <f>'Actual RAB roll forward'!G616</f>
        <v>0</v>
      </c>
      <c r="H154" s="35"/>
      <c r="I154" s="35"/>
      <c r="J154" s="35"/>
      <c r="K154" s="35"/>
      <c r="L154" s="35"/>
      <c r="M154" s="35"/>
      <c r="N154" s="104"/>
      <c r="O154" s="29"/>
      <c r="P154" s="29"/>
      <c r="Q154" s="29"/>
      <c r="R154" s="29"/>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7"/>
      <c r="BL154" s="227"/>
    </row>
    <row r="155" spans="1:64" hidden="1" outlineLevel="1">
      <c r="A155" s="9"/>
      <c r="B155" s="9"/>
      <c r="C155" s="44"/>
      <c r="D155" s="278" t="str">
        <f>Asset20</f>
        <v>Other - medium life (40)</v>
      </c>
      <c r="E155" s="9"/>
      <c r="F155" s="9"/>
      <c r="G155" s="210">
        <f>'Actual RAB roll forward'!G617</f>
        <v>0</v>
      </c>
      <c r="H155" s="35"/>
      <c r="I155" s="35"/>
      <c r="J155" s="35"/>
      <c r="K155" s="35"/>
      <c r="L155" s="35"/>
      <c r="M155" s="35"/>
      <c r="N155" s="104"/>
      <c r="O155" s="29"/>
      <c r="P155" s="29"/>
      <c r="Q155" s="29"/>
      <c r="R155" s="29"/>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7"/>
      <c r="BL155" s="227"/>
    </row>
    <row r="156" spans="1:64" hidden="1" outlineLevel="1">
      <c r="A156" s="9"/>
      <c r="B156" s="9"/>
      <c r="C156" s="44"/>
      <c r="D156" s="278" t="str">
        <f>Asset21</f>
        <v>Other - short life (9)</v>
      </c>
      <c r="E156" s="9"/>
      <c r="F156" s="9"/>
      <c r="G156" s="210">
        <f>'Actual RAB roll forward'!G618</f>
        <v>0</v>
      </c>
      <c r="H156" s="35"/>
      <c r="I156" s="35"/>
      <c r="J156" s="35"/>
      <c r="K156" s="35"/>
      <c r="L156" s="35"/>
      <c r="M156" s="35"/>
      <c r="N156" s="104"/>
      <c r="O156" s="29"/>
      <c r="P156" s="29"/>
      <c r="Q156" s="29"/>
      <c r="R156" s="29"/>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7"/>
      <c r="BL156" s="227"/>
    </row>
    <row r="157" spans="1:64" hidden="1" outlineLevel="1">
      <c r="A157" s="9"/>
      <c r="B157" s="9"/>
      <c r="C157" s="44"/>
      <c r="D157" s="278" t="str">
        <f>Asset22</f>
        <v>Other - short life (4)</v>
      </c>
      <c r="E157" s="9"/>
      <c r="F157" s="9"/>
      <c r="G157" s="210">
        <f>'Actual RAB roll forward'!G619</f>
        <v>0</v>
      </c>
      <c r="H157" s="35"/>
      <c r="I157" s="35"/>
      <c r="J157" s="35"/>
      <c r="K157" s="35"/>
      <c r="L157" s="35"/>
      <c r="M157" s="35"/>
      <c r="N157" s="104"/>
      <c r="O157" s="29"/>
      <c r="P157" s="29"/>
      <c r="Q157" s="29"/>
      <c r="R157" s="29"/>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7"/>
      <c r="BL157" s="227"/>
    </row>
    <row r="158" spans="1:64" hidden="1" outlineLevel="1">
      <c r="A158" s="9"/>
      <c r="B158" s="9"/>
      <c r="C158" s="44"/>
      <c r="D158" s="278" t="str">
        <f>Asset23</f>
        <v>Land and Easements</v>
      </c>
      <c r="E158" s="9"/>
      <c r="F158" s="9"/>
      <c r="G158" s="210">
        <f>'Actual RAB roll forward'!G620</f>
        <v>0</v>
      </c>
      <c r="H158" s="35"/>
      <c r="I158" s="35"/>
      <c r="J158" s="35"/>
      <c r="K158" s="35"/>
      <c r="L158" s="35"/>
      <c r="M158" s="35"/>
      <c r="N158" s="104"/>
      <c r="O158" s="29"/>
      <c r="P158" s="29"/>
      <c r="Q158" s="29"/>
      <c r="R158" s="29"/>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7"/>
      <c r="BL158" s="227"/>
    </row>
    <row r="159" spans="1:64" hidden="1" outlineLevel="1">
      <c r="A159" s="9"/>
      <c r="B159" s="9"/>
      <c r="C159" s="44"/>
      <c r="D159" s="278" t="str">
        <f>Asset24</f>
        <v>Equity Raising</v>
      </c>
      <c r="E159" s="9"/>
      <c r="F159" s="9"/>
      <c r="G159" s="210">
        <f>'Actual RAB roll forward'!G621</f>
        <v>0</v>
      </c>
      <c r="H159" s="35"/>
      <c r="I159" s="35"/>
      <c r="J159" s="35"/>
      <c r="K159" s="35"/>
      <c r="L159" s="35"/>
      <c r="M159" s="35"/>
      <c r="N159" s="104"/>
      <c r="O159" s="29"/>
      <c r="P159" s="29"/>
      <c r="Q159" s="29"/>
      <c r="R159" s="29"/>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7"/>
      <c r="BL159" s="227"/>
    </row>
    <row r="160" spans="1:64" hidden="1" outlineLevel="1">
      <c r="A160" s="9"/>
      <c r="B160" s="9"/>
      <c r="C160" s="44"/>
      <c r="D160" s="278">
        <f>Asset25</f>
        <v>0</v>
      </c>
      <c r="E160" s="9"/>
      <c r="F160" s="9"/>
      <c r="G160" s="210">
        <f>'Actual RAB roll forward'!G622</f>
        <v>0</v>
      </c>
      <c r="H160" s="35"/>
      <c r="I160" s="35"/>
      <c r="J160" s="35"/>
      <c r="K160" s="35"/>
      <c r="L160" s="35"/>
      <c r="M160" s="35"/>
      <c r="N160" s="104"/>
      <c r="O160" s="29"/>
      <c r="P160" s="29"/>
      <c r="Q160" s="29"/>
      <c r="R160" s="29"/>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7"/>
      <c r="BL160" s="227"/>
    </row>
    <row r="161" spans="1:64" hidden="1" outlineLevel="1">
      <c r="A161" s="9"/>
      <c r="B161" s="9"/>
      <c r="C161" s="44"/>
      <c r="D161" s="278">
        <f>Asset26</f>
        <v>0</v>
      </c>
      <c r="E161" s="9"/>
      <c r="F161" s="9"/>
      <c r="G161" s="210">
        <f>'Actual RAB roll forward'!G623</f>
        <v>0</v>
      </c>
      <c r="H161" s="35"/>
      <c r="I161" s="35"/>
      <c r="J161" s="35"/>
      <c r="K161" s="35"/>
      <c r="L161" s="35"/>
      <c r="M161" s="35"/>
      <c r="N161" s="104"/>
      <c r="O161" s="29"/>
      <c r="P161" s="29"/>
      <c r="Q161" s="29"/>
      <c r="R161" s="29"/>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7"/>
      <c r="BL161" s="227"/>
    </row>
    <row r="162" spans="1:64" hidden="1" outlineLevel="1">
      <c r="A162" s="9"/>
      <c r="B162" s="9"/>
      <c r="C162" s="44"/>
      <c r="D162" s="278">
        <f>Asset27</f>
        <v>0</v>
      </c>
      <c r="E162" s="9"/>
      <c r="F162" s="9"/>
      <c r="G162" s="210">
        <f>'Actual RAB roll forward'!G624</f>
        <v>0</v>
      </c>
      <c r="H162" s="35"/>
      <c r="I162" s="35"/>
      <c r="J162" s="35"/>
      <c r="K162" s="35"/>
      <c r="L162" s="35"/>
      <c r="M162" s="35"/>
      <c r="N162" s="104"/>
      <c r="O162" s="29"/>
      <c r="P162" s="29"/>
      <c r="Q162" s="29"/>
      <c r="R162" s="29"/>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7"/>
      <c r="BL162" s="227"/>
    </row>
    <row r="163" spans="1:64" hidden="1" outlineLevel="1">
      <c r="A163" s="9"/>
      <c r="B163" s="9"/>
      <c r="C163" s="44"/>
      <c r="D163" s="278">
        <f>Asset28</f>
        <v>0</v>
      </c>
      <c r="E163" s="9"/>
      <c r="F163" s="9"/>
      <c r="G163" s="210">
        <f>'Actual RAB roll forward'!G625</f>
        <v>0</v>
      </c>
      <c r="H163" s="35"/>
      <c r="I163" s="35"/>
      <c r="J163" s="35"/>
      <c r="K163" s="35"/>
      <c r="L163" s="35"/>
      <c r="M163" s="35"/>
      <c r="N163" s="104"/>
      <c r="O163" s="29"/>
      <c r="P163" s="29"/>
      <c r="Q163" s="29"/>
      <c r="R163" s="29"/>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7"/>
      <c r="BL163" s="227"/>
    </row>
    <row r="164" spans="1:64" hidden="1" outlineLevel="1">
      <c r="A164" s="9"/>
      <c r="B164" s="9"/>
      <c r="C164" s="44"/>
      <c r="D164" s="278">
        <f>Asset29</f>
        <v>0</v>
      </c>
      <c r="E164" s="9"/>
      <c r="F164" s="9"/>
      <c r="G164" s="210">
        <f>'Actual RAB roll forward'!G626</f>
        <v>0</v>
      </c>
      <c r="H164" s="35"/>
      <c r="I164" s="35"/>
      <c r="J164" s="35"/>
      <c r="K164" s="35"/>
      <c r="L164" s="35"/>
      <c r="M164" s="35"/>
      <c r="N164" s="104"/>
      <c r="O164" s="29"/>
      <c r="P164" s="29"/>
      <c r="Q164" s="29"/>
      <c r="R164" s="29"/>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7"/>
      <c r="BL164" s="227"/>
    </row>
    <row r="165" spans="1:64" hidden="1" outlineLevel="1">
      <c r="A165" s="9"/>
      <c r="B165" s="9"/>
      <c r="C165" s="44"/>
      <c r="D165" s="278">
        <f>Asset30</f>
        <v>0</v>
      </c>
      <c r="E165" s="9"/>
      <c r="F165" s="9"/>
      <c r="G165" s="210">
        <f>'Actual RAB roll forward'!G627</f>
        <v>0</v>
      </c>
      <c r="H165" s="35"/>
      <c r="I165" s="35"/>
      <c r="J165" s="35"/>
      <c r="K165" s="35"/>
      <c r="L165" s="35"/>
      <c r="M165" s="35"/>
      <c r="N165" s="104"/>
      <c r="O165" s="29"/>
      <c r="P165" s="29"/>
      <c r="Q165" s="29"/>
      <c r="R165" s="29"/>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7"/>
      <c r="BL165" s="227"/>
    </row>
    <row r="166" spans="1:64" collapsed="1">
      <c r="A166" s="9"/>
      <c r="B166" s="9"/>
      <c r="C166" s="44"/>
      <c r="D166" s="116"/>
      <c r="E166" s="9"/>
      <c r="F166" s="9"/>
      <c r="G166" s="216"/>
      <c r="H166" s="35"/>
      <c r="I166" s="35"/>
      <c r="J166" s="35"/>
      <c r="K166" s="35"/>
      <c r="L166" s="35"/>
      <c r="M166" s="35"/>
      <c r="N166" s="104"/>
      <c r="O166" s="29"/>
      <c r="P166" s="29"/>
      <c r="Q166" s="29"/>
      <c r="R166" s="29"/>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7"/>
      <c r="BL166" s="227"/>
    </row>
    <row r="167" spans="1:64">
      <c r="A167" s="9"/>
      <c r="B167" s="9"/>
      <c r="C167" s="44" t="s">
        <v>57</v>
      </c>
      <c r="D167" s="130"/>
      <c r="E167" s="9"/>
      <c r="F167" s="9"/>
      <c r="G167" s="318">
        <f>SUM(G168:G197)</f>
        <v>55.314363999999991</v>
      </c>
      <c r="H167" s="114"/>
      <c r="I167" s="114"/>
      <c r="J167" s="114"/>
      <c r="K167" s="114"/>
      <c r="L167" s="114"/>
      <c r="M167" s="114"/>
      <c r="N167" s="104"/>
      <c r="O167" s="29"/>
      <c r="P167" s="29"/>
      <c r="Q167" s="29"/>
      <c r="R167" s="29"/>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7"/>
      <c r="BL167" s="227"/>
    </row>
    <row r="168" spans="1:64" hidden="1" outlineLevel="1">
      <c r="A168" s="9"/>
      <c r="B168" s="9"/>
      <c r="C168" s="44"/>
      <c r="D168" s="278" t="str">
        <f>Asset1</f>
        <v>Transmission Lines and Cables</v>
      </c>
      <c r="E168" s="9"/>
      <c r="F168" s="9"/>
      <c r="G168" s="210">
        <f>'Actual RAB roll forward'!G630</f>
        <v>0</v>
      </c>
      <c r="H168" s="114"/>
      <c r="I168" s="114"/>
      <c r="J168" s="114"/>
      <c r="K168" s="114"/>
      <c r="L168" s="114"/>
      <c r="M168" s="114"/>
      <c r="N168" s="104"/>
      <c r="O168" s="29"/>
      <c r="P168" s="29"/>
      <c r="Q168" s="29"/>
      <c r="R168" s="29"/>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7"/>
      <c r="BL168" s="227"/>
    </row>
    <row r="169" spans="1:64" hidden="1" outlineLevel="1">
      <c r="A169" s="9"/>
      <c r="B169" s="9"/>
      <c r="C169" s="44"/>
      <c r="D169" s="278" t="str">
        <f>Asset2</f>
        <v>Transmission Substations</v>
      </c>
      <c r="E169" s="9"/>
      <c r="F169" s="9"/>
      <c r="G169" s="210">
        <f>'Actual RAB roll forward'!G631</f>
        <v>0</v>
      </c>
      <c r="H169" s="114"/>
      <c r="I169" s="114"/>
      <c r="J169" s="114"/>
      <c r="K169" s="114"/>
      <c r="L169" s="114"/>
      <c r="M169" s="114"/>
      <c r="N169" s="104"/>
      <c r="O169" s="29"/>
      <c r="P169" s="29"/>
      <c r="Q169" s="29"/>
      <c r="R169" s="29"/>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7"/>
      <c r="BL169" s="227"/>
    </row>
    <row r="170" spans="1:64" hidden="1" outlineLevel="1">
      <c r="A170" s="9"/>
      <c r="B170" s="9"/>
      <c r="C170" s="44"/>
      <c r="D170" s="278" t="str">
        <f>Asset3</f>
        <v>Protection and Control</v>
      </c>
      <c r="E170" s="9"/>
      <c r="F170" s="9"/>
      <c r="G170" s="210">
        <f>'Actual RAB roll forward'!G632</f>
        <v>0</v>
      </c>
      <c r="H170" s="114"/>
      <c r="I170" s="114"/>
      <c r="J170" s="114"/>
      <c r="K170" s="114"/>
      <c r="L170" s="114"/>
      <c r="M170" s="114"/>
      <c r="N170" s="104"/>
      <c r="O170" s="29"/>
      <c r="P170" s="29"/>
      <c r="Q170" s="29"/>
      <c r="R170" s="29"/>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7"/>
      <c r="BL170" s="227"/>
    </row>
    <row r="171" spans="1:64" hidden="1" outlineLevel="1">
      <c r="A171" s="9"/>
      <c r="B171" s="9"/>
      <c r="C171" s="44"/>
      <c r="D171" s="278" t="str">
        <f>Asset4</f>
        <v>Refurbishment</v>
      </c>
      <c r="E171" s="9"/>
      <c r="F171" s="9"/>
      <c r="G171" s="210">
        <f>'Actual RAB roll forward'!G633</f>
        <v>0</v>
      </c>
      <c r="H171" s="114"/>
      <c r="I171" s="114"/>
      <c r="J171" s="114"/>
      <c r="K171" s="114"/>
      <c r="L171" s="114"/>
      <c r="M171" s="114"/>
      <c r="N171" s="104"/>
      <c r="O171" s="29"/>
      <c r="P171" s="29"/>
      <c r="Q171" s="29"/>
      <c r="R171" s="29"/>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7"/>
      <c r="BL171" s="227"/>
    </row>
    <row r="172" spans="1:64" hidden="1" outlineLevel="1">
      <c r="A172" s="9"/>
      <c r="B172" s="9"/>
      <c r="C172" s="44"/>
      <c r="D172" s="278" t="str">
        <f>Asset5</f>
        <v>Other</v>
      </c>
      <c r="E172" s="9"/>
      <c r="F172" s="9"/>
      <c r="G172" s="210">
        <f>'Actual RAB roll forward'!G634</f>
        <v>0</v>
      </c>
      <c r="H172" s="114"/>
      <c r="I172" s="114"/>
      <c r="J172" s="114"/>
      <c r="K172" s="114"/>
      <c r="L172" s="114"/>
      <c r="M172" s="114"/>
      <c r="N172" s="104"/>
      <c r="O172" s="29"/>
      <c r="P172" s="29"/>
      <c r="Q172" s="29"/>
      <c r="R172" s="29"/>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7"/>
      <c r="BL172" s="227"/>
    </row>
    <row r="173" spans="1:64" hidden="1" outlineLevel="1">
      <c r="A173" s="9"/>
      <c r="B173" s="9"/>
      <c r="C173" s="44"/>
      <c r="D173" s="278" t="str">
        <f>Asset6</f>
        <v>Other - IT</v>
      </c>
      <c r="E173" s="9"/>
      <c r="F173" s="9"/>
      <c r="G173" s="210">
        <f>'Actual RAB roll forward'!G635</f>
        <v>0</v>
      </c>
      <c r="H173" s="114"/>
      <c r="I173" s="114"/>
      <c r="J173" s="114"/>
      <c r="K173" s="114"/>
      <c r="L173" s="114"/>
      <c r="M173" s="114"/>
      <c r="N173" s="104"/>
      <c r="O173" s="29"/>
      <c r="P173" s="29"/>
      <c r="Q173" s="29"/>
      <c r="R173" s="29"/>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7"/>
      <c r="BL173" s="227"/>
    </row>
    <row r="174" spans="1:64" hidden="1" outlineLevel="1">
      <c r="A174" s="9"/>
      <c r="B174" s="9"/>
      <c r="C174" s="44"/>
      <c r="D174" s="278" t="str">
        <f>Asset7</f>
        <v>Other - General</v>
      </c>
      <c r="E174" s="9"/>
      <c r="F174" s="9"/>
      <c r="G174" s="210">
        <f>'Actual RAB roll forward'!G636</f>
        <v>0</v>
      </c>
      <c r="H174" s="114"/>
      <c r="I174" s="114"/>
      <c r="J174" s="114"/>
      <c r="K174" s="114"/>
      <c r="L174" s="114"/>
      <c r="M174" s="114"/>
      <c r="N174" s="104"/>
      <c r="O174" s="29"/>
      <c r="P174" s="29"/>
      <c r="Q174" s="29"/>
      <c r="R174" s="29"/>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7"/>
      <c r="BL174" s="227"/>
    </row>
    <row r="175" spans="1:64" hidden="1" outlineLevel="1">
      <c r="A175" s="9"/>
      <c r="B175" s="9"/>
      <c r="C175" s="44"/>
      <c r="D175" s="278" t="str">
        <f>Asset8</f>
        <v>Other - Buildings</v>
      </c>
      <c r="E175" s="9"/>
      <c r="F175" s="9"/>
      <c r="G175" s="210">
        <f>'Actual RAB roll forward'!G637</f>
        <v>0</v>
      </c>
      <c r="H175" s="114"/>
      <c r="I175" s="114"/>
      <c r="J175" s="114"/>
      <c r="K175" s="114"/>
      <c r="L175" s="114"/>
      <c r="M175" s="114"/>
      <c r="N175" s="104"/>
      <c r="O175" s="29"/>
      <c r="P175" s="29"/>
      <c r="Q175" s="29"/>
      <c r="R175" s="29"/>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7"/>
      <c r="BL175" s="227"/>
    </row>
    <row r="176" spans="1:64" hidden="1" outlineLevel="1">
      <c r="A176" s="9"/>
      <c r="B176" s="9"/>
      <c r="C176" s="44"/>
      <c r="D176" s="278" t="str">
        <f>Asset9</f>
        <v>Land and Easements</v>
      </c>
      <c r="E176" s="9"/>
      <c r="F176" s="9"/>
      <c r="G176" s="210">
        <f>'Actual RAB roll forward'!G638</f>
        <v>0</v>
      </c>
      <c r="H176" s="114"/>
      <c r="I176" s="114"/>
      <c r="J176" s="114"/>
      <c r="K176" s="114"/>
      <c r="L176" s="114"/>
      <c r="M176" s="114"/>
      <c r="N176" s="104"/>
      <c r="O176" s="29"/>
      <c r="P176" s="29"/>
      <c r="Q176" s="29"/>
      <c r="R176" s="29"/>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7"/>
      <c r="BL176" s="227"/>
    </row>
    <row r="177" spans="1:64" hidden="1" outlineLevel="1">
      <c r="A177" s="9"/>
      <c r="B177" s="9"/>
      <c r="C177" s="44"/>
      <c r="D177" s="278" t="str">
        <f>Asset10</f>
        <v>Transmission line assets - long life (60)</v>
      </c>
      <c r="E177" s="9"/>
      <c r="F177" s="9"/>
      <c r="G177" s="210">
        <f>'Actual RAB roll forward'!G639</f>
        <v>27.66680798284586</v>
      </c>
      <c r="H177" s="114"/>
      <c r="I177" s="114"/>
      <c r="J177" s="114"/>
      <c r="K177" s="114"/>
      <c r="L177" s="114"/>
      <c r="M177" s="114"/>
      <c r="N177" s="104"/>
      <c r="O177" s="29"/>
      <c r="P177" s="29"/>
      <c r="Q177" s="29"/>
      <c r="R177" s="29"/>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7"/>
      <c r="BL177" s="227"/>
    </row>
    <row r="178" spans="1:64" hidden="1" outlineLevel="1">
      <c r="A178" s="9"/>
      <c r="B178" s="9"/>
      <c r="C178" s="44"/>
      <c r="D178" s="278" t="str">
        <f>Asset11</f>
        <v>Transmission line assets - medium life (45)</v>
      </c>
      <c r="E178" s="9"/>
      <c r="F178" s="9"/>
      <c r="G178" s="210">
        <f>'Actual RAB roll forward'!G640</f>
        <v>0.7908975054500671</v>
      </c>
      <c r="H178" s="114"/>
      <c r="I178" s="114"/>
      <c r="J178" s="114"/>
      <c r="K178" s="114"/>
      <c r="L178" s="114"/>
      <c r="M178" s="114"/>
      <c r="N178" s="104"/>
      <c r="O178" s="29"/>
      <c r="P178" s="29"/>
      <c r="Q178" s="29"/>
      <c r="R178" s="29"/>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7"/>
      <c r="BL178" s="227"/>
    </row>
    <row r="179" spans="1:64" hidden="1" outlineLevel="1">
      <c r="A179" s="9"/>
      <c r="B179" s="9"/>
      <c r="C179" s="44"/>
      <c r="D179" s="278" t="str">
        <f>Asset12</f>
        <v>Transmission line assets - short life (10)</v>
      </c>
      <c r="E179" s="9"/>
      <c r="F179" s="9"/>
      <c r="G179" s="210">
        <f>'Actual RAB roll forward'!G641</f>
        <v>2.0824479126873228</v>
      </c>
      <c r="H179" s="114"/>
      <c r="I179" s="114"/>
      <c r="J179" s="114"/>
      <c r="K179" s="114"/>
      <c r="L179" s="114"/>
      <c r="M179" s="114"/>
      <c r="N179" s="104"/>
      <c r="O179" s="29"/>
      <c r="P179" s="29"/>
      <c r="Q179" s="29"/>
      <c r="R179" s="29"/>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7"/>
      <c r="BL179" s="227"/>
    </row>
    <row r="180" spans="1:64" hidden="1" outlineLevel="1">
      <c r="A180" s="9"/>
      <c r="B180" s="9"/>
      <c r="C180" s="44"/>
      <c r="D180" s="278" t="str">
        <f>Asset13</f>
        <v>Substation assets - long life (60)</v>
      </c>
      <c r="E180" s="9"/>
      <c r="F180" s="9"/>
      <c r="G180" s="210">
        <f>'Actual RAB roll forward'!G642</f>
        <v>3.63820723960978</v>
      </c>
      <c r="H180" s="114"/>
      <c r="I180" s="114"/>
      <c r="J180" s="114"/>
      <c r="K180" s="114"/>
      <c r="L180" s="114"/>
      <c r="M180" s="114"/>
      <c r="N180" s="104"/>
      <c r="O180" s="29"/>
      <c r="P180" s="29"/>
      <c r="Q180" s="29"/>
      <c r="R180" s="29"/>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7"/>
      <c r="BL180" s="227"/>
    </row>
    <row r="181" spans="1:64" hidden="1" outlineLevel="1">
      <c r="A181" s="9"/>
      <c r="B181" s="9"/>
      <c r="C181" s="44"/>
      <c r="D181" s="278" t="str">
        <f>Asset14</f>
        <v>Substation assets - medium life (45)</v>
      </c>
      <c r="E181" s="9"/>
      <c r="F181" s="9"/>
      <c r="G181" s="210">
        <f>'Actual RAB roll forward'!G643</f>
        <v>9.1604921113680948</v>
      </c>
      <c r="H181" s="114"/>
      <c r="I181" s="114"/>
      <c r="J181" s="114"/>
      <c r="K181" s="114"/>
      <c r="L181" s="114"/>
      <c r="M181" s="114"/>
      <c r="N181" s="104"/>
      <c r="O181" s="29"/>
      <c r="P181" s="29"/>
      <c r="Q181" s="29"/>
      <c r="R181" s="29"/>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7"/>
      <c r="BL181" s="227"/>
    </row>
    <row r="182" spans="1:64" hidden="1" outlineLevel="1">
      <c r="A182" s="9"/>
      <c r="B182" s="9"/>
      <c r="C182" s="44"/>
      <c r="D182" s="278" t="str">
        <f>Asset15</f>
        <v>Substation assets - short life (15)</v>
      </c>
      <c r="E182" s="9"/>
      <c r="F182" s="9"/>
      <c r="G182" s="210">
        <f>'Actual RAB roll forward'!G644</f>
        <v>0.36737337230990852</v>
      </c>
      <c r="H182" s="114"/>
      <c r="I182" s="114"/>
      <c r="J182" s="114"/>
      <c r="K182" s="114"/>
      <c r="L182" s="114"/>
      <c r="M182" s="114"/>
      <c r="N182" s="104"/>
      <c r="O182" s="29"/>
      <c r="P182" s="29"/>
      <c r="Q182" s="29"/>
      <c r="R182" s="29"/>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7"/>
      <c r="BL182" s="227"/>
    </row>
    <row r="183" spans="1:64" hidden="1" outlineLevel="1">
      <c r="A183" s="9"/>
      <c r="B183" s="9"/>
      <c r="C183" s="44"/>
      <c r="D183" s="278" t="str">
        <f>Asset16</f>
        <v>Protection and control - short life (15)</v>
      </c>
      <c r="E183" s="9"/>
      <c r="F183" s="9"/>
      <c r="G183" s="210">
        <f>'Actual RAB roll forward'!G645</f>
        <v>4.0917857999755638</v>
      </c>
      <c r="H183" s="114"/>
      <c r="I183" s="114"/>
      <c r="J183" s="114"/>
      <c r="K183" s="114"/>
      <c r="L183" s="114"/>
      <c r="M183" s="114"/>
      <c r="N183" s="104"/>
      <c r="O183" s="29"/>
      <c r="P183" s="29"/>
      <c r="Q183" s="29"/>
      <c r="R183" s="29"/>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7"/>
      <c r="BL183" s="227"/>
    </row>
    <row r="184" spans="1:64" hidden="1" outlineLevel="1">
      <c r="A184" s="9"/>
      <c r="B184" s="9"/>
      <c r="C184" s="44"/>
      <c r="D184" s="278" t="str">
        <f>Asset17</f>
        <v>Protection and control - short life (4)</v>
      </c>
      <c r="E184" s="9"/>
      <c r="F184" s="9"/>
      <c r="G184" s="210">
        <f>'Actual RAB roll forward'!G646</f>
        <v>0</v>
      </c>
      <c r="H184" s="114"/>
      <c r="I184" s="114"/>
      <c r="J184" s="114"/>
      <c r="K184" s="114"/>
      <c r="L184" s="114"/>
      <c r="M184" s="114"/>
      <c r="N184" s="104"/>
      <c r="O184" s="29"/>
      <c r="P184" s="29"/>
      <c r="Q184" s="29"/>
      <c r="R184" s="29"/>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7"/>
      <c r="BL184" s="227"/>
    </row>
    <row r="185" spans="1:64" hidden="1" outlineLevel="1">
      <c r="A185" s="9"/>
      <c r="B185" s="9"/>
      <c r="C185" s="44"/>
      <c r="D185" s="278" t="str">
        <f>Asset18</f>
        <v>Transmission operations - short life (10)</v>
      </c>
      <c r="E185" s="9"/>
      <c r="F185" s="9"/>
      <c r="G185" s="210">
        <f>'Actual RAB roll forward'!G647</f>
        <v>0</v>
      </c>
      <c r="H185" s="114"/>
      <c r="I185" s="114"/>
      <c r="J185" s="114"/>
      <c r="K185" s="114"/>
      <c r="L185" s="114"/>
      <c r="M185" s="114"/>
      <c r="N185" s="104"/>
      <c r="O185" s="29"/>
      <c r="P185" s="29"/>
      <c r="Q185" s="29"/>
      <c r="R185" s="29"/>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7"/>
      <c r="BL185" s="227"/>
    </row>
    <row r="186" spans="1:64" hidden="1" outlineLevel="1">
      <c r="A186" s="9"/>
      <c r="B186" s="9"/>
      <c r="C186" s="44"/>
      <c r="D186" s="278" t="str">
        <f>Asset19</f>
        <v>Transmission operations - short life (4)</v>
      </c>
      <c r="E186" s="9"/>
      <c r="F186" s="9"/>
      <c r="G186" s="210">
        <f>'Actual RAB roll forward'!G648</f>
        <v>0</v>
      </c>
      <c r="H186" s="114"/>
      <c r="I186" s="114"/>
      <c r="J186" s="114"/>
      <c r="K186" s="114"/>
      <c r="L186" s="114"/>
      <c r="M186" s="114"/>
      <c r="N186" s="104"/>
      <c r="O186" s="29"/>
      <c r="P186" s="29"/>
      <c r="Q186" s="29"/>
      <c r="R186" s="29"/>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7"/>
      <c r="BL186" s="227"/>
    </row>
    <row r="187" spans="1:64" hidden="1" outlineLevel="1">
      <c r="A187" s="9"/>
      <c r="B187" s="9"/>
      <c r="C187" s="44"/>
      <c r="D187" s="278" t="str">
        <f>Asset20</f>
        <v>Other - medium life (40)</v>
      </c>
      <c r="E187" s="9"/>
      <c r="F187" s="9"/>
      <c r="G187" s="210">
        <f>'Actual RAB roll forward'!G649</f>
        <v>6.8615870000000001</v>
      </c>
      <c r="H187" s="114"/>
      <c r="I187" s="114"/>
      <c r="J187" s="114"/>
      <c r="K187" s="114"/>
      <c r="L187" s="114"/>
      <c r="M187" s="114"/>
      <c r="N187" s="104"/>
      <c r="O187" s="29"/>
      <c r="P187" s="29"/>
      <c r="Q187" s="29"/>
      <c r="R187" s="29"/>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7"/>
      <c r="BL187" s="227"/>
    </row>
    <row r="188" spans="1:64" hidden="1" outlineLevel="1">
      <c r="A188" s="9"/>
      <c r="B188" s="9"/>
      <c r="C188" s="44"/>
      <c r="D188" s="278" t="str">
        <f>Asset21</f>
        <v>Other - short life (9)</v>
      </c>
      <c r="E188" s="9"/>
      <c r="F188" s="9"/>
      <c r="G188" s="210">
        <f>'Actual RAB roll forward'!G650</f>
        <v>0</v>
      </c>
      <c r="H188" s="114"/>
      <c r="I188" s="114"/>
      <c r="J188" s="114"/>
      <c r="K188" s="114"/>
      <c r="L188" s="114"/>
      <c r="M188" s="114"/>
      <c r="N188" s="104"/>
      <c r="O188" s="29"/>
      <c r="P188" s="29"/>
      <c r="Q188" s="29"/>
      <c r="R188" s="29"/>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7"/>
      <c r="BL188" s="227"/>
    </row>
    <row r="189" spans="1:64" hidden="1" outlineLevel="1">
      <c r="A189" s="9"/>
      <c r="B189" s="9"/>
      <c r="C189" s="44"/>
      <c r="D189" s="278" t="str">
        <f>Asset22</f>
        <v>Other - short life (4)</v>
      </c>
      <c r="E189" s="9"/>
      <c r="F189" s="9"/>
      <c r="G189" s="210">
        <f>'Actual RAB roll forward'!G651</f>
        <v>0.53168400000000005</v>
      </c>
      <c r="H189" s="114"/>
      <c r="I189" s="114"/>
      <c r="J189" s="114"/>
      <c r="K189" s="114"/>
      <c r="L189" s="114"/>
      <c r="M189" s="114"/>
      <c r="N189" s="104"/>
      <c r="O189" s="29"/>
      <c r="P189" s="29"/>
      <c r="Q189" s="29"/>
      <c r="R189" s="29"/>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7"/>
      <c r="BL189" s="227"/>
    </row>
    <row r="190" spans="1:64" hidden="1" outlineLevel="1">
      <c r="A190" s="9"/>
      <c r="B190" s="9"/>
      <c r="C190" s="44"/>
      <c r="D190" s="278" t="str">
        <f>Asset23</f>
        <v>Land and Easements</v>
      </c>
      <c r="E190" s="9"/>
      <c r="F190" s="9"/>
      <c r="G190" s="210">
        <f>'Actual RAB roll forward'!G652</f>
        <v>0.12308107575340384</v>
      </c>
      <c r="H190" s="114"/>
      <c r="I190" s="114"/>
      <c r="J190" s="114"/>
      <c r="K190" s="114"/>
      <c r="L190" s="114"/>
      <c r="M190" s="114"/>
      <c r="N190" s="104"/>
      <c r="O190" s="29"/>
      <c r="P190" s="29"/>
      <c r="Q190" s="29"/>
      <c r="R190" s="29"/>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7"/>
      <c r="BL190" s="227"/>
    </row>
    <row r="191" spans="1:64" hidden="1" outlineLevel="1">
      <c r="A191" s="9"/>
      <c r="B191" s="9"/>
      <c r="C191" s="44"/>
      <c r="D191" s="278" t="str">
        <f>Asset24</f>
        <v>Equity Raising</v>
      </c>
      <c r="E191" s="9"/>
      <c r="F191" s="9"/>
      <c r="G191" s="210">
        <f>'Actual RAB roll forward'!G653</f>
        <v>0</v>
      </c>
      <c r="H191" s="114"/>
      <c r="I191" s="114"/>
      <c r="J191" s="114"/>
      <c r="K191" s="114"/>
      <c r="L191" s="114"/>
      <c r="M191" s="114"/>
      <c r="N191" s="104"/>
      <c r="O191" s="29"/>
      <c r="P191" s="29"/>
      <c r="Q191" s="29"/>
      <c r="R191" s="29"/>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7"/>
      <c r="BL191" s="227"/>
    </row>
    <row r="192" spans="1:64" hidden="1" outlineLevel="1">
      <c r="A192" s="9"/>
      <c r="B192" s="9"/>
      <c r="C192" s="44"/>
      <c r="D192" s="278">
        <f>Asset25</f>
        <v>0</v>
      </c>
      <c r="E192" s="9"/>
      <c r="F192" s="9"/>
      <c r="G192" s="210">
        <f>'Actual RAB roll forward'!G654</f>
        <v>0</v>
      </c>
      <c r="H192" s="114"/>
      <c r="I192" s="114"/>
      <c r="J192" s="114"/>
      <c r="K192" s="114"/>
      <c r="L192" s="114"/>
      <c r="M192" s="114"/>
      <c r="N192" s="104"/>
      <c r="O192" s="29"/>
      <c r="P192" s="29"/>
      <c r="Q192" s="29"/>
      <c r="R192" s="29"/>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7"/>
      <c r="BL192" s="227"/>
    </row>
    <row r="193" spans="1:64" hidden="1" outlineLevel="1">
      <c r="A193" s="9"/>
      <c r="B193" s="9"/>
      <c r="C193" s="44"/>
      <c r="D193" s="278">
        <f>Asset26</f>
        <v>0</v>
      </c>
      <c r="E193" s="9"/>
      <c r="F193" s="9"/>
      <c r="G193" s="210">
        <f>'Actual RAB roll forward'!G655</f>
        <v>0</v>
      </c>
      <c r="H193" s="114"/>
      <c r="I193" s="114"/>
      <c r="J193" s="114"/>
      <c r="K193" s="114"/>
      <c r="L193" s="114"/>
      <c r="M193" s="114"/>
      <c r="N193" s="104"/>
      <c r="O193" s="29"/>
      <c r="P193" s="29"/>
      <c r="Q193" s="29"/>
      <c r="R193" s="29"/>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7"/>
      <c r="BL193" s="227"/>
    </row>
    <row r="194" spans="1:64" hidden="1" outlineLevel="1">
      <c r="A194" s="9"/>
      <c r="B194" s="9"/>
      <c r="C194" s="44"/>
      <c r="D194" s="278">
        <f>Asset27</f>
        <v>0</v>
      </c>
      <c r="E194" s="9"/>
      <c r="F194" s="9"/>
      <c r="G194" s="210">
        <f>'Actual RAB roll forward'!G656</f>
        <v>0</v>
      </c>
      <c r="H194" s="114"/>
      <c r="I194" s="114"/>
      <c r="J194" s="114"/>
      <c r="K194" s="114"/>
      <c r="L194" s="114"/>
      <c r="M194" s="114"/>
      <c r="N194" s="104"/>
      <c r="O194" s="29"/>
      <c r="P194" s="29"/>
      <c r="Q194" s="29"/>
      <c r="R194" s="29"/>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7"/>
      <c r="BL194" s="227"/>
    </row>
    <row r="195" spans="1:64" hidden="1" outlineLevel="1">
      <c r="A195" s="9"/>
      <c r="B195" s="9"/>
      <c r="C195" s="44"/>
      <c r="D195" s="278">
        <f>Asset28</f>
        <v>0</v>
      </c>
      <c r="E195" s="9"/>
      <c r="F195" s="9"/>
      <c r="G195" s="210">
        <f>'Actual RAB roll forward'!G657</f>
        <v>0</v>
      </c>
      <c r="H195" s="114"/>
      <c r="I195" s="114"/>
      <c r="J195" s="114"/>
      <c r="K195" s="114"/>
      <c r="L195" s="114"/>
      <c r="M195" s="114"/>
      <c r="N195" s="104"/>
      <c r="O195" s="29"/>
      <c r="P195" s="29"/>
      <c r="Q195" s="29"/>
      <c r="R195" s="29"/>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7"/>
      <c r="BL195" s="227"/>
    </row>
    <row r="196" spans="1:64" hidden="1" outlineLevel="1">
      <c r="A196" s="9"/>
      <c r="B196" s="9"/>
      <c r="C196" s="44"/>
      <c r="D196" s="278">
        <f>Asset29</f>
        <v>0</v>
      </c>
      <c r="E196" s="9"/>
      <c r="F196" s="9"/>
      <c r="G196" s="210">
        <f>'Actual RAB roll forward'!G658</f>
        <v>0</v>
      </c>
      <c r="H196" s="114"/>
      <c r="I196" s="114"/>
      <c r="J196" s="114"/>
      <c r="K196" s="114"/>
      <c r="L196" s="114"/>
      <c r="M196" s="114"/>
      <c r="N196" s="104"/>
      <c r="O196" s="29"/>
      <c r="P196" s="29"/>
      <c r="Q196" s="29"/>
      <c r="R196" s="29"/>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7"/>
      <c r="BL196" s="227"/>
    </row>
    <row r="197" spans="1:64" hidden="1" outlineLevel="1">
      <c r="A197" s="9"/>
      <c r="B197" s="9"/>
      <c r="C197" s="44"/>
      <c r="D197" s="278">
        <f>Asset30</f>
        <v>0</v>
      </c>
      <c r="E197" s="9"/>
      <c r="F197" s="9"/>
      <c r="G197" s="210">
        <f>'Actual RAB roll forward'!G659</f>
        <v>0</v>
      </c>
      <c r="H197" s="114"/>
      <c r="I197" s="114"/>
      <c r="J197" s="114"/>
      <c r="K197" s="114"/>
      <c r="L197" s="114"/>
      <c r="M197" s="114"/>
      <c r="N197" s="104"/>
      <c r="O197" s="29"/>
      <c r="P197" s="29"/>
      <c r="Q197" s="29"/>
      <c r="R197" s="29"/>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7"/>
      <c r="BL197" s="227"/>
    </row>
    <row r="198" spans="1:64" collapsed="1">
      <c r="A198" s="9"/>
      <c r="B198" s="9"/>
      <c r="C198" s="44"/>
      <c r="D198" s="130"/>
      <c r="E198" s="9"/>
      <c r="F198" s="9"/>
      <c r="G198" s="142"/>
      <c r="H198" s="114"/>
      <c r="I198" s="114"/>
      <c r="J198" s="114"/>
      <c r="K198" s="114"/>
      <c r="L198" s="114"/>
      <c r="M198" s="114"/>
      <c r="N198" s="104"/>
      <c r="O198" s="29"/>
      <c r="P198" s="29"/>
      <c r="Q198" s="29"/>
      <c r="R198" s="29"/>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7"/>
      <c r="BL198" s="227"/>
    </row>
    <row r="199" spans="1:64">
      <c r="A199" s="78"/>
      <c r="B199" s="78"/>
      <c r="C199" s="85" t="s">
        <v>87</v>
      </c>
      <c r="D199" s="256"/>
      <c r="E199" s="78"/>
      <c r="F199" s="78"/>
      <c r="G199" s="184"/>
      <c r="H199" s="186"/>
      <c r="I199" s="186"/>
      <c r="J199" s="186"/>
      <c r="K199" s="186"/>
      <c r="L199" s="186"/>
      <c r="M199" s="186"/>
      <c r="N199" s="257"/>
      <c r="O199" s="257"/>
      <c r="P199" s="257"/>
      <c r="Q199" s="257"/>
      <c r="R199" s="257"/>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7"/>
      <c r="BL199" s="227"/>
    </row>
    <row r="200" spans="1:64">
      <c r="A200" s="12"/>
      <c r="B200" s="12"/>
      <c r="C200" s="17"/>
      <c r="D200" s="130"/>
      <c r="E200" s="12"/>
      <c r="F200" s="12"/>
      <c r="G200" s="155"/>
      <c r="H200" s="156"/>
      <c r="I200" s="156"/>
      <c r="J200" s="156"/>
      <c r="K200" s="156"/>
      <c r="L200" s="156"/>
      <c r="M200" s="156"/>
      <c r="N200" s="104"/>
      <c r="O200" s="104"/>
      <c r="P200" s="104"/>
      <c r="Q200" s="104"/>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7"/>
      <c r="BL200" s="227"/>
    </row>
    <row r="201" spans="1:64">
      <c r="A201" s="12"/>
      <c r="B201" s="12"/>
      <c r="C201" s="94" t="s">
        <v>86</v>
      </c>
      <c r="D201" s="258"/>
      <c r="E201" s="17"/>
      <c r="F201" s="17"/>
      <c r="G201" s="322">
        <f>SUM(G202:G231)</f>
        <v>951.44464304669577</v>
      </c>
      <c r="H201" s="372">
        <f>SUM(H202:H231)</f>
        <v>1068.6084014067494</v>
      </c>
      <c r="I201" s="372">
        <f t="shared" ref="I201:P201" si="9">SUM(I202:I231)</f>
        <v>1170.92621750375</v>
      </c>
      <c r="J201" s="372">
        <f t="shared" si="9"/>
        <v>1270.9804875868954</v>
      </c>
      <c r="K201" s="372">
        <f t="shared" si="9"/>
        <v>1335.4954732894739</v>
      </c>
      <c r="L201" s="372">
        <f t="shared" si="9"/>
        <v>1397.9032811376292</v>
      </c>
      <c r="M201" s="322">
        <f t="shared" si="9"/>
        <v>0</v>
      </c>
      <c r="N201" s="322">
        <f t="shared" si="9"/>
        <v>0</v>
      </c>
      <c r="O201" s="322">
        <f t="shared" si="9"/>
        <v>0</v>
      </c>
      <c r="P201" s="322">
        <f t="shared" si="9"/>
        <v>0</v>
      </c>
      <c r="Q201" s="322">
        <f>SUM(Q202:Q231)</f>
        <v>0</v>
      </c>
      <c r="R201" s="259"/>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7"/>
      <c r="BL201" s="227"/>
    </row>
    <row r="202" spans="1:64" hidden="1" outlineLevel="1">
      <c r="A202" s="9"/>
      <c r="B202" s="12"/>
      <c r="C202" s="44"/>
      <c r="D202" s="278" t="str">
        <f>Asset1</f>
        <v>Transmission Lines and Cables</v>
      </c>
      <c r="E202" s="12"/>
      <c r="F202" s="12"/>
      <c r="G202" s="207">
        <f t="shared" ref="G202:G220" si="10">G8+G40+G72+G104+G136+G168</f>
        <v>293.69509346172714</v>
      </c>
      <c r="H202" s="156">
        <f t="shared" ref="H202:L211" si="11">H8+H40+H72</f>
        <v>287.87338874353077</v>
      </c>
      <c r="I202" s="156">
        <f t="shared" si="11"/>
        <v>282.75218662646068</v>
      </c>
      <c r="J202" s="156">
        <f t="shared" si="11"/>
        <v>272.02514885797677</v>
      </c>
      <c r="K202" s="156">
        <f t="shared" si="11"/>
        <v>263.1501368516461</v>
      </c>
      <c r="L202" s="156">
        <f t="shared" si="11"/>
        <v>253.89775910501345</v>
      </c>
      <c r="M202" s="156">
        <f>IF(COUNT($H202:L202)&gt;=Input!$W$7,0, M8+M40+M72)</f>
        <v>0</v>
      </c>
      <c r="N202" s="156">
        <f>IF(COUNT($H202:M202)&gt;=Input!$W$7,0, N8+N40+N72)</f>
        <v>0</v>
      </c>
      <c r="O202" s="156">
        <f>IF(COUNT($H202:N202)&gt;=Input!$W$7,0, O8+O40+O72)</f>
        <v>0</v>
      </c>
      <c r="P202" s="156">
        <f>IF(COUNT($H202:O202)&gt;=Input!$W$7,0, P8+P40+P72)</f>
        <v>0</v>
      </c>
      <c r="Q202" s="156">
        <f>IF(COUNT($H202:P202)&gt;=Input!$W$7,0, Q8+Q40+Q72)</f>
        <v>0</v>
      </c>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7"/>
      <c r="BL202" s="227"/>
    </row>
    <row r="203" spans="1:64" hidden="1" outlineLevel="1">
      <c r="A203" s="9"/>
      <c r="B203" s="12"/>
      <c r="C203" s="44"/>
      <c r="D203" s="278" t="str">
        <f>Asset2</f>
        <v>Transmission Substations</v>
      </c>
      <c r="E203" s="12"/>
      <c r="F203" s="12"/>
      <c r="G203" s="207">
        <f t="shared" si="10"/>
        <v>391.58650968027865</v>
      </c>
      <c r="H203" s="156">
        <f t="shared" si="11"/>
        <v>388.64400108973086</v>
      </c>
      <c r="I203" s="156">
        <f t="shared" si="11"/>
        <v>386.37607214518869</v>
      </c>
      <c r="J203" s="156">
        <f t="shared" si="11"/>
        <v>377.35791621929479</v>
      </c>
      <c r="K203" s="156">
        <f t="shared" si="11"/>
        <v>371.4206900535936</v>
      </c>
      <c r="L203" s="156">
        <f t="shared" si="11"/>
        <v>364.94068950555425</v>
      </c>
      <c r="M203" s="156">
        <f>IF(COUNT($H203:L203)&gt;=Input!$W$7,0, M9+M41+M73)</f>
        <v>0</v>
      </c>
      <c r="N203" s="156">
        <f>IF(COUNT($H203:M203)&gt;=Input!$W$7,0, N9+N41+N73)</f>
        <v>0</v>
      </c>
      <c r="O203" s="156">
        <f>IF(COUNT($H203:N203)&gt;=Input!$W$7,0, O9+O41+O73)</f>
        <v>0</v>
      </c>
      <c r="P203" s="156">
        <f>IF(COUNT($H203:O203)&gt;=Input!$W$7,0, P9+P41+P73)</f>
        <v>0</v>
      </c>
      <c r="Q203" s="156">
        <f>IF(COUNT($H203:P203)&gt;=Input!$W$7,0, Q9+Q41+Q73)</f>
        <v>0</v>
      </c>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7"/>
      <c r="BL203" s="227"/>
    </row>
    <row r="204" spans="1:64" hidden="1" outlineLevel="1">
      <c r="A204" s="9"/>
      <c r="B204" s="12"/>
      <c r="C204" s="44"/>
      <c r="D204" s="278" t="str">
        <f>Asset3</f>
        <v>Protection and Control</v>
      </c>
      <c r="E204" s="12"/>
      <c r="F204" s="12"/>
      <c r="G204" s="207">
        <f t="shared" si="10"/>
        <v>49.846266797470605</v>
      </c>
      <c r="H204" s="156">
        <f t="shared" si="11"/>
        <v>45.336514494626712</v>
      </c>
      <c r="I204" s="156">
        <f t="shared" si="11"/>
        <v>40.68021201988288</v>
      </c>
      <c r="J204" s="156">
        <f t="shared" si="11"/>
        <v>35.002808287110007</v>
      </c>
      <c r="K204" s="156">
        <f t="shared" si="11"/>
        <v>29.456550119637445</v>
      </c>
      <c r="L204" s="156">
        <f t="shared" si="11"/>
        <v>23.610043727980802</v>
      </c>
      <c r="M204" s="156">
        <f>IF(COUNT($H204:L204)&gt;=Input!$W$7,0, M10+M42+M74)</f>
        <v>0</v>
      </c>
      <c r="N204" s="156">
        <f>IF(COUNT($H204:M204)&gt;=Input!$W$7,0, N10+N42+N74)</f>
        <v>0</v>
      </c>
      <c r="O204" s="156">
        <f>IF(COUNT($H204:N204)&gt;=Input!$W$7,0, O10+O42+O74)</f>
        <v>0</v>
      </c>
      <c r="P204" s="156">
        <f>IF(COUNT($H204:O204)&gt;=Input!$W$7,0, P10+P42+P74)</f>
        <v>0</v>
      </c>
      <c r="Q204" s="156">
        <f>IF(COUNT($H204:P204)&gt;=Input!$W$7,0, Q10+Q42+Q74)</f>
        <v>0</v>
      </c>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7"/>
      <c r="BL204" s="227"/>
    </row>
    <row r="205" spans="1:64" hidden="1" outlineLevel="1">
      <c r="A205" s="9"/>
      <c r="B205" s="12"/>
      <c r="C205" s="44"/>
      <c r="D205" s="278" t="str">
        <f>Asset4</f>
        <v>Refurbishment</v>
      </c>
      <c r="E205" s="12"/>
      <c r="F205" s="12"/>
      <c r="G205" s="207">
        <f t="shared" si="10"/>
        <v>22.665124185608324</v>
      </c>
      <c r="H205" s="156">
        <f t="shared" si="11"/>
        <v>21.00098104965161</v>
      </c>
      <c r="I205" s="156">
        <f t="shared" si="11"/>
        <v>19.315315214752168</v>
      </c>
      <c r="J205" s="156">
        <f t="shared" si="11"/>
        <v>17.156165168412731</v>
      </c>
      <c r="K205" s="156">
        <f t="shared" si="11"/>
        <v>15.081212740375012</v>
      </c>
      <c r="L205" s="156">
        <f t="shared" si="11"/>
        <v>12.891287351088824</v>
      </c>
      <c r="M205" s="156">
        <f>IF(COUNT($H205:L205)&gt;=Input!$W$7,0, M11+M43+M75)</f>
        <v>0</v>
      </c>
      <c r="N205" s="156">
        <f>IF(COUNT($H205:M205)&gt;=Input!$W$7,0, N11+N43+N75)</f>
        <v>0</v>
      </c>
      <c r="O205" s="156">
        <f>IF(COUNT($H205:N205)&gt;=Input!$W$7,0, O11+O43+O75)</f>
        <v>0</v>
      </c>
      <c r="P205" s="156">
        <f>IF(COUNT($H205:O205)&gt;=Input!$W$7,0, P11+P43+P75)</f>
        <v>0</v>
      </c>
      <c r="Q205" s="156">
        <f>IF(COUNT($H205:P205)&gt;=Input!$W$7,0, Q11+Q43+Q75)</f>
        <v>0</v>
      </c>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7"/>
      <c r="BL205" s="227"/>
    </row>
    <row r="206" spans="1:64" hidden="1" outlineLevel="1">
      <c r="A206" s="9"/>
      <c r="B206" s="12"/>
      <c r="C206" s="44"/>
      <c r="D206" s="278" t="str">
        <f>Asset5</f>
        <v>Other</v>
      </c>
      <c r="E206" s="12"/>
      <c r="F206" s="12"/>
      <c r="G206" s="207">
        <f t="shared" si="10"/>
        <v>9.9493177652391811</v>
      </c>
      <c r="H206" s="156">
        <f t="shared" si="11"/>
        <v>8.3032668906730329</v>
      </c>
      <c r="I206" s="156">
        <f t="shared" si="11"/>
        <v>6.5908085161051186</v>
      </c>
      <c r="J206" s="156">
        <f t="shared" si="11"/>
        <v>4.6397051724745184</v>
      </c>
      <c r="K206" s="156">
        <f t="shared" si="11"/>
        <v>2.6676999234047383</v>
      </c>
      <c r="L206" s="156">
        <f t="shared" si="11"/>
        <v>0.59402332958738846</v>
      </c>
      <c r="M206" s="156">
        <f>IF(COUNT($H206:L206)&gt;=Input!$W$7,0, M12+M44+M76)</f>
        <v>0</v>
      </c>
      <c r="N206" s="156">
        <f>IF(COUNT($H206:M206)&gt;=Input!$W$7,0, N12+N44+N76)</f>
        <v>0</v>
      </c>
      <c r="O206" s="156">
        <f>IF(COUNT($H206:N206)&gt;=Input!$W$7,0, O12+O44+O76)</f>
        <v>0</v>
      </c>
      <c r="P206" s="156">
        <f>IF(COUNT($H206:O206)&gt;=Input!$W$7,0, P12+P44+P76)</f>
        <v>0</v>
      </c>
      <c r="Q206" s="156">
        <f>IF(COUNT($H206:P206)&gt;=Input!$W$7,0, Q12+Q44+Q76)</f>
        <v>0</v>
      </c>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7"/>
      <c r="BL206" s="227"/>
    </row>
    <row r="207" spans="1:64" hidden="1" outlineLevel="1">
      <c r="A207" s="9"/>
      <c r="B207" s="12"/>
      <c r="C207" s="44"/>
      <c r="D207" s="278" t="str">
        <f>Asset6</f>
        <v>Other - IT</v>
      </c>
      <c r="E207" s="12"/>
      <c r="F207" s="12"/>
      <c r="G207" s="207">
        <f t="shared" si="10"/>
        <v>23.121263449639123</v>
      </c>
      <c r="H207" s="156">
        <f t="shared" si="11"/>
        <v>11.943298119232832</v>
      </c>
      <c r="I207" s="156">
        <f t="shared" si="11"/>
        <v>0.14829966419534024</v>
      </c>
      <c r="J207" s="156">
        <f t="shared" si="11"/>
        <v>0.15246349858157551</v>
      </c>
      <c r="K207" s="156">
        <f t="shared" si="11"/>
        <v>0.15812151212646913</v>
      </c>
      <c r="L207" s="156">
        <f t="shared" si="11"/>
        <v>0.16396327198543317</v>
      </c>
      <c r="M207" s="156">
        <f>IF(COUNT($H207:L207)&gt;=Input!$W$7,0, M13+M45+M77)</f>
        <v>0</v>
      </c>
      <c r="N207" s="156">
        <f>IF(COUNT($H207:M207)&gt;=Input!$W$7,0, N13+N45+N77)</f>
        <v>0</v>
      </c>
      <c r="O207" s="156">
        <f>IF(COUNT($H207:N207)&gt;=Input!$W$7,0, O13+O45+O77)</f>
        <v>0</v>
      </c>
      <c r="P207" s="156">
        <f>IF(COUNT($H207:O207)&gt;=Input!$W$7,0, P13+P45+P77)</f>
        <v>0</v>
      </c>
      <c r="Q207" s="156">
        <f>IF(COUNT($H207:P207)&gt;=Input!$W$7,0, Q13+Q45+Q77)</f>
        <v>0</v>
      </c>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7"/>
      <c r="BL207" s="227"/>
    </row>
    <row r="208" spans="1:64" hidden="1" outlineLevel="1">
      <c r="A208" s="9"/>
      <c r="B208" s="12"/>
      <c r="C208" s="44"/>
      <c r="D208" s="278" t="str">
        <f>Asset7</f>
        <v>Other - General</v>
      </c>
      <c r="E208" s="12"/>
      <c r="F208" s="12"/>
      <c r="G208" s="207">
        <f t="shared" si="10"/>
        <v>-3.9892322403421208</v>
      </c>
      <c r="H208" s="156">
        <f t="shared" si="11"/>
        <v>-2.7419079413580656</v>
      </c>
      <c r="I208" s="156">
        <f t="shared" si="11"/>
        <v>-1.4314168474623092</v>
      </c>
      <c r="J208" s="156">
        <f t="shared" si="11"/>
        <v>-5.4815483001668941E-3</v>
      </c>
      <c r="K208" s="156">
        <f t="shared" si="11"/>
        <v>-5.618724183554454E-3</v>
      </c>
      <c r="L208" s="156">
        <f t="shared" si="11"/>
        <v>-5.7591922881433154E-3</v>
      </c>
      <c r="M208" s="156">
        <f>IF(COUNT($H208:L208)&gt;=Input!$W$7,0, M14+M46+M78)</f>
        <v>0</v>
      </c>
      <c r="N208" s="156">
        <f>IF(COUNT($H208:M208)&gt;=Input!$W$7,0, N14+N46+N78)</f>
        <v>0</v>
      </c>
      <c r="O208" s="156">
        <f>IF(COUNT($H208:N208)&gt;=Input!$W$7,0, O14+O46+O78)</f>
        <v>0</v>
      </c>
      <c r="P208" s="156">
        <f>IF(COUNT($H208:O208)&gt;=Input!$W$7,0, P14+P46+P78)</f>
        <v>0</v>
      </c>
      <c r="Q208" s="156">
        <f>IF(COUNT($H208:P208)&gt;=Input!$W$7,0, Q14+Q46+Q78)</f>
        <v>0</v>
      </c>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7"/>
      <c r="BL208" s="227"/>
    </row>
    <row r="209" spans="1:64" hidden="1" outlineLevel="1">
      <c r="A209" s="9"/>
      <c r="B209" s="12"/>
      <c r="C209" s="44"/>
      <c r="D209" s="278" t="str">
        <f>Asset8</f>
        <v>Other - Buildings</v>
      </c>
      <c r="E209" s="12"/>
      <c r="F209" s="12"/>
      <c r="G209" s="207">
        <f t="shared" si="10"/>
        <v>21.253631705639343</v>
      </c>
      <c r="H209" s="156">
        <f t="shared" si="11"/>
        <v>21.266544488989943</v>
      </c>
      <c r="I209" s="156">
        <f t="shared" si="11"/>
        <v>21.357163973964497</v>
      </c>
      <c r="J209" s="156">
        <f t="shared" si="11"/>
        <v>21.056716844821594</v>
      </c>
      <c r="K209" s="156">
        <f t="shared" si="11"/>
        <v>20.934663892253397</v>
      </c>
      <c r="L209" s="156">
        <f t="shared" si="11"/>
        <v>20.792791484354492</v>
      </c>
      <c r="M209" s="156">
        <f>IF(COUNT($H209:L209)&gt;=Input!$W$7,0, M15+M47+M79)</f>
        <v>0</v>
      </c>
      <c r="N209" s="156">
        <f>IF(COUNT($H209:M209)&gt;=Input!$W$7,0, N15+N47+N79)</f>
        <v>0</v>
      </c>
      <c r="O209" s="156">
        <f>IF(COUNT($H209:N209)&gt;=Input!$W$7,0, O15+O47+O79)</f>
        <v>0</v>
      </c>
      <c r="P209" s="156">
        <f>IF(COUNT($H209:O209)&gt;=Input!$W$7,0, P15+P47+P79)</f>
        <v>0</v>
      </c>
      <c r="Q209" s="156">
        <f>IF(COUNT($H209:P209)&gt;=Input!$W$7,0, Q15+Q47+Q79)</f>
        <v>0</v>
      </c>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7"/>
      <c r="BL209" s="227"/>
    </row>
    <row r="210" spans="1:64" hidden="1" outlineLevel="1">
      <c r="A210" s="9"/>
      <c r="B210" s="12"/>
      <c r="C210" s="44"/>
      <c r="D210" s="278" t="str">
        <f>Asset9</f>
        <v>Land and Easements</v>
      </c>
      <c r="E210" s="12"/>
      <c r="F210" s="12"/>
      <c r="G210" s="207">
        <f t="shared" si="10"/>
        <v>88.002304241435738</v>
      </c>
      <c r="H210" s="156">
        <f t="shared" si="11"/>
        <v>90.543887035412212</v>
      </c>
      <c r="I210" s="156">
        <f t="shared" si="11"/>
        <v>93.562016603259281</v>
      </c>
      <c r="J210" s="156">
        <f t="shared" si="11"/>
        <v>95.044606566412241</v>
      </c>
      <c r="K210" s="156">
        <f t="shared" si="11"/>
        <v>97.423100224230367</v>
      </c>
      <c r="L210" s="156">
        <f t="shared" si="11"/>
        <v>99.858677729836131</v>
      </c>
      <c r="M210" s="156">
        <f>IF(COUNT($H210:L210)&gt;=Input!$W$7,0, M16+M48+M80)</f>
        <v>0</v>
      </c>
      <c r="N210" s="156">
        <f>IF(COUNT($H210:M210)&gt;=Input!$W$7,0, N16+N48+N80)</f>
        <v>0</v>
      </c>
      <c r="O210" s="156">
        <f>IF(COUNT($H210:N210)&gt;=Input!$W$7,0, O16+O48+O80)</f>
        <v>0</v>
      </c>
      <c r="P210" s="156">
        <f>IF(COUNT($H210:O210)&gt;=Input!$W$7,0, P16+P48+P80)</f>
        <v>0</v>
      </c>
      <c r="Q210" s="156">
        <f>IF(COUNT($H210:P210)&gt;=Input!$W$7,0, Q16+Q48+Q80)</f>
        <v>0</v>
      </c>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7"/>
      <c r="BL210" s="227"/>
    </row>
    <row r="211" spans="1:64" hidden="1" outlineLevel="1">
      <c r="A211" s="9"/>
      <c r="B211" s="12"/>
      <c r="C211" s="44"/>
      <c r="D211" s="278" t="str">
        <f>Asset10</f>
        <v>Transmission line assets - long life (60)</v>
      </c>
      <c r="E211" s="12"/>
      <c r="F211" s="12"/>
      <c r="G211" s="207">
        <f t="shared" si="10"/>
        <v>27.66680798284586</v>
      </c>
      <c r="H211" s="156">
        <f t="shared" si="11"/>
        <v>92.310585960736006</v>
      </c>
      <c r="I211" s="156">
        <f t="shared" si="11"/>
        <v>125.74070397631078</v>
      </c>
      <c r="J211" s="156">
        <f t="shared" si="11"/>
        <v>143.7798761171029</v>
      </c>
      <c r="K211" s="156">
        <f t="shared" si="11"/>
        <v>165.81637745715099</v>
      </c>
      <c r="L211" s="156">
        <f t="shared" si="11"/>
        <v>192.78455477053353</v>
      </c>
      <c r="M211" s="156">
        <f>IF(COUNT($H211:L211)&gt;=Input!$W$7,0, M17+M49+M81)</f>
        <v>0</v>
      </c>
      <c r="N211" s="156">
        <f>IF(COUNT($H211:M211)&gt;=Input!$W$7,0, N17+N49+N81)</f>
        <v>0</v>
      </c>
      <c r="O211" s="156">
        <f>IF(COUNT($H211:N211)&gt;=Input!$W$7,0, O17+O49+O81)</f>
        <v>0</v>
      </c>
      <c r="P211" s="156">
        <f>IF(COUNT($H211:O211)&gt;=Input!$W$7,0, P17+P49+P81)</f>
        <v>0</v>
      </c>
      <c r="Q211" s="156">
        <f>IF(COUNT($H211:P211)&gt;=Input!$W$7,0, Q17+Q49+Q81)</f>
        <v>0</v>
      </c>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7"/>
      <c r="BL211" s="227"/>
    </row>
    <row r="212" spans="1:64" hidden="1" outlineLevel="1">
      <c r="A212" s="9"/>
      <c r="B212" s="12"/>
      <c r="C212" s="44"/>
      <c r="D212" s="278" t="str">
        <f>Asset11</f>
        <v>Transmission line assets - medium life (45)</v>
      </c>
      <c r="E212" s="12"/>
      <c r="F212" s="12"/>
      <c r="G212" s="207">
        <f t="shared" si="10"/>
        <v>0.7908975054500671</v>
      </c>
      <c r="H212" s="156">
        <f t="shared" ref="H212:L221" si="12">H18+H50+H82</f>
        <v>1.5493988269492391</v>
      </c>
      <c r="I212" s="156">
        <f t="shared" si="12"/>
        <v>6.8773371001882975</v>
      </c>
      <c r="J212" s="156">
        <f t="shared" si="12"/>
        <v>20.498044690447816</v>
      </c>
      <c r="K212" s="156">
        <f t="shared" si="12"/>
        <v>22.463561847458177</v>
      </c>
      <c r="L212" s="156">
        <f t="shared" si="12"/>
        <v>23.186994110150376</v>
      </c>
      <c r="M212" s="156">
        <f>IF(COUNT($H212:L212)&gt;=Input!$W$7,0, M18+M50+M82)</f>
        <v>0</v>
      </c>
      <c r="N212" s="156">
        <f>IF(COUNT($H212:M212)&gt;=Input!$W$7,0, N18+N50+N82)</f>
        <v>0</v>
      </c>
      <c r="O212" s="156">
        <f>IF(COUNT($H212:N212)&gt;=Input!$W$7,0, O18+O50+O82)</f>
        <v>0</v>
      </c>
      <c r="P212" s="156">
        <f>IF(COUNT($H212:O212)&gt;=Input!$W$7,0, P18+P50+P82)</f>
        <v>0</v>
      </c>
      <c r="Q212" s="156">
        <f>IF(COUNT($H212:P212)&gt;=Input!$W$7,0, Q18+Q50+Q82)</f>
        <v>0</v>
      </c>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7"/>
      <c r="BL212" s="227"/>
    </row>
    <row r="213" spans="1:64" hidden="1" outlineLevel="1">
      <c r="A213" s="9"/>
      <c r="B213" s="12"/>
      <c r="C213" s="44"/>
      <c r="D213" s="278" t="str">
        <f>Asset12</f>
        <v>Transmission line assets - short life (10)</v>
      </c>
      <c r="E213" s="12"/>
      <c r="F213" s="12"/>
      <c r="G213" s="207">
        <f t="shared" si="10"/>
        <v>2.0824479126873228</v>
      </c>
      <c r="H213" s="156">
        <f t="shared" si="12"/>
        <v>6.8718305602559902</v>
      </c>
      <c r="I213" s="156">
        <f t="shared" si="12"/>
        <v>9.5580513455797362</v>
      </c>
      <c r="J213" s="156">
        <f t="shared" si="12"/>
        <v>11.058212376226157</v>
      </c>
      <c r="K213" s="156">
        <f t="shared" si="12"/>
        <v>13.33676514439874</v>
      </c>
      <c r="L213" s="156">
        <f t="shared" si="12"/>
        <v>15.7982602622612</v>
      </c>
      <c r="M213" s="156">
        <f>IF(COUNT($H213:L213)&gt;=Input!$W$7,0, M19+M51+M83)</f>
        <v>0</v>
      </c>
      <c r="N213" s="156">
        <f>IF(COUNT($H213:M213)&gt;=Input!$W$7,0, N19+N51+N83)</f>
        <v>0</v>
      </c>
      <c r="O213" s="156">
        <f>IF(COUNT($H213:N213)&gt;=Input!$W$7,0, O19+O51+O83)</f>
        <v>0</v>
      </c>
      <c r="P213" s="156">
        <f>IF(COUNT($H213:O213)&gt;=Input!$W$7,0, P19+P51+P83)</f>
        <v>0</v>
      </c>
      <c r="Q213" s="156">
        <f>IF(COUNT($H213:P213)&gt;=Input!$W$7,0, Q19+Q51+Q83)</f>
        <v>0</v>
      </c>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7"/>
      <c r="BL213" s="227"/>
    </row>
    <row r="214" spans="1:64" hidden="1" outlineLevel="1">
      <c r="A214" s="9"/>
      <c r="B214" s="12"/>
      <c r="C214" s="44"/>
      <c r="D214" s="278" t="str">
        <f>Asset13</f>
        <v>Substation assets - long life (60)</v>
      </c>
      <c r="E214" s="12"/>
      <c r="F214" s="12"/>
      <c r="G214" s="207">
        <f t="shared" si="10"/>
        <v>3.63820723960978</v>
      </c>
      <c r="H214" s="156">
        <f t="shared" si="12"/>
        <v>12.960044613844756</v>
      </c>
      <c r="I214" s="156">
        <f t="shared" si="12"/>
        <v>26.366942432017616</v>
      </c>
      <c r="J214" s="156">
        <f t="shared" si="12"/>
        <v>41.683337411307967</v>
      </c>
      <c r="K214" s="156">
        <f t="shared" si="12"/>
        <v>52.879187878577319</v>
      </c>
      <c r="L214" s="156">
        <f t="shared" si="12"/>
        <v>64.677306625001549</v>
      </c>
      <c r="M214" s="156">
        <f>IF(COUNT($H214:L214)&gt;=Input!$W$7,0, M20+M52+M84)</f>
        <v>0</v>
      </c>
      <c r="N214" s="156">
        <f>IF(COUNT($H214:M214)&gt;=Input!$W$7,0, N20+N52+N84)</f>
        <v>0</v>
      </c>
      <c r="O214" s="156">
        <f>IF(COUNT($H214:N214)&gt;=Input!$W$7,0, O20+O52+O84)</f>
        <v>0</v>
      </c>
      <c r="P214" s="156">
        <f>IF(COUNT($H214:O214)&gt;=Input!$W$7,0, P20+P52+P84)</f>
        <v>0</v>
      </c>
      <c r="Q214" s="156">
        <f>IF(COUNT($H214:P214)&gt;=Input!$W$7,0, Q20+Q52+Q84)</f>
        <v>0</v>
      </c>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7"/>
      <c r="BL214" s="227"/>
    </row>
    <row r="215" spans="1:64" hidden="1" outlineLevel="1">
      <c r="A215" s="9"/>
      <c r="B215" s="12"/>
      <c r="C215" s="44"/>
      <c r="D215" s="278" t="str">
        <f>Asset14</f>
        <v>Substation assets - medium life (45)</v>
      </c>
      <c r="E215" s="12"/>
      <c r="F215" s="12"/>
      <c r="G215" s="207">
        <f t="shared" si="10"/>
        <v>9.1604921113680948</v>
      </c>
      <c r="H215" s="156">
        <f t="shared" si="12"/>
        <v>36.518344103139718</v>
      </c>
      <c r="I215" s="156">
        <f t="shared" si="12"/>
        <v>72.538453238452377</v>
      </c>
      <c r="J215" s="156">
        <f t="shared" si="12"/>
        <v>108.86591418495497</v>
      </c>
      <c r="K215" s="156">
        <f t="shared" si="12"/>
        <v>137.6748436446828</v>
      </c>
      <c r="L215" s="156">
        <f t="shared" si="12"/>
        <v>161.95331481276489</v>
      </c>
      <c r="M215" s="156">
        <f>IF(COUNT($H215:L215)&gt;=Input!$W$7,0, M21+M53+M85)</f>
        <v>0</v>
      </c>
      <c r="N215" s="156">
        <f>IF(COUNT($H215:M215)&gt;=Input!$W$7,0, N21+N53+N85)</f>
        <v>0</v>
      </c>
      <c r="O215" s="156">
        <f>IF(COUNT($H215:N215)&gt;=Input!$W$7,0, O21+O53+O85)</f>
        <v>0</v>
      </c>
      <c r="P215" s="156">
        <f>IF(COUNT($H215:O215)&gt;=Input!$W$7,0, P21+P53+P85)</f>
        <v>0</v>
      </c>
      <c r="Q215" s="156">
        <f>IF(COUNT($H215:P215)&gt;=Input!$W$7,0, Q21+Q53+Q85)</f>
        <v>0</v>
      </c>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7"/>
      <c r="BL215" s="227"/>
    </row>
    <row r="216" spans="1:64" hidden="1" outlineLevel="1">
      <c r="A216" s="9"/>
      <c r="B216" s="12"/>
      <c r="C216" s="44"/>
      <c r="D216" s="278" t="str">
        <f>Asset15</f>
        <v>Substation assets - short life (15)</v>
      </c>
      <c r="E216" s="12"/>
      <c r="F216" s="12"/>
      <c r="G216" s="207">
        <f t="shared" si="10"/>
        <v>0.36737337230990852</v>
      </c>
      <c r="H216" s="156">
        <f t="shared" si="12"/>
        <v>4.1929034966384187</v>
      </c>
      <c r="I216" s="156">
        <f t="shared" si="12"/>
        <v>6.3287533337739896</v>
      </c>
      <c r="J216" s="156">
        <f t="shared" si="12"/>
        <v>8.5327724152600073</v>
      </c>
      <c r="K216" s="156">
        <f t="shared" si="12"/>
        <v>10.436419640495611</v>
      </c>
      <c r="L216" s="156">
        <f t="shared" si="12"/>
        <v>14.768668831683236</v>
      </c>
      <c r="M216" s="156">
        <f>IF(COUNT($H216:L216)&gt;=Input!$W$7,0, M22+M54+M86)</f>
        <v>0</v>
      </c>
      <c r="N216" s="156">
        <f>IF(COUNT($H216:M216)&gt;=Input!$W$7,0, N22+N54+N86)</f>
        <v>0</v>
      </c>
      <c r="O216" s="156">
        <f>IF(COUNT($H216:N216)&gt;=Input!$W$7,0, O22+O54+O86)</f>
        <v>0</v>
      </c>
      <c r="P216" s="156">
        <f>IF(COUNT($H216:O216)&gt;=Input!$W$7,0, P22+P54+P86)</f>
        <v>0</v>
      </c>
      <c r="Q216" s="156">
        <f>IF(COUNT($H216:P216)&gt;=Input!$W$7,0, Q22+Q54+Q86)</f>
        <v>0</v>
      </c>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7"/>
      <c r="BL216" s="227"/>
    </row>
    <row r="217" spans="1:64" hidden="1" outlineLevel="1">
      <c r="A217" s="9"/>
      <c r="B217" s="12"/>
      <c r="C217" s="44"/>
      <c r="D217" s="278" t="str">
        <f>Asset16</f>
        <v>Protection and control - short life (15)</v>
      </c>
      <c r="E217" s="12"/>
      <c r="F217" s="12"/>
      <c r="G217" s="207">
        <f t="shared" si="10"/>
        <v>4.0917857999755638</v>
      </c>
      <c r="H217" s="156">
        <f t="shared" si="12"/>
        <v>16.684643631014179</v>
      </c>
      <c r="I217" s="156">
        <f t="shared" si="12"/>
        <v>31.251569716820317</v>
      </c>
      <c r="J217" s="156">
        <f t="shared" si="12"/>
        <v>60.840215119248732</v>
      </c>
      <c r="K217" s="156">
        <f t="shared" si="12"/>
        <v>76.453571777275315</v>
      </c>
      <c r="L217" s="156">
        <f t="shared" si="12"/>
        <v>88.407349912940759</v>
      </c>
      <c r="M217" s="156">
        <f>IF(COUNT($H217:L217)&gt;=Input!$W$7,0, M23+M55+M87)</f>
        <v>0</v>
      </c>
      <c r="N217" s="156">
        <f>IF(COUNT($H217:M217)&gt;=Input!$W$7,0, N23+N55+N87)</f>
        <v>0</v>
      </c>
      <c r="O217" s="156">
        <f>IF(COUNT($H217:N217)&gt;=Input!$W$7,0, O23+O55+O87)</f>
        <v>0</v>
      </c>
      <c r="P217" s="156">
        <f>IF(COUNT($H217:O217)&gt;=Input!$W$7,0, P23+P55+P87)</f>
        <v>0</v>
      </c>
      <c r="Q217" s="156">
        <f>IF(COUNT($H217:P217)&gt;=Input!$W$7,0, Q23+Q55+Q87)</f>
        <v>0</v>
      </c>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7"/>
      <c r="BL217" s="227"/>
    </row>
    <row r="218" spans="1:64" hidden="1" outlineLevel="1">
      <c r="A218" s="9"/>
      <c r="B218" s="12"/>
      <c r="C218" s="44"/>
      <c r="D218" s="278" t="str">
        <f>Asset17</f>
        <v>Protection and control - short life (4)</v>
      </c>
      <c r="E218" s="12"/>
      <c r="F218" s="12"/>
      <c r="G218" s="207">
        <f t="shared" si="10"/>
        <v>0</v>
      </c>
      <c r="H218" s="156">
        <f t="shared" si="12"/>
        <v>0.26273554153129208</v>
      </c>
      <c r="I218" s="156">
        <f t="shared" si="12"/>
        <v>0.65003214773107276</v>
      </c>
      <c r="J218" s="156">
        <f t="shared" si="12"/>
        <v>1.6209993729670653</v>
      </c>
      <c r="K218" s="156">
        <f t="shared" si="12"/>
        <v>1.2944674114621304</v>
      </c>
      <c r="L218" s="156">
        <f t="shared" si="12"/>
        <v>0.86963453665940893</v>
      </c>
      <c r="M218" s="156">
        <f>IF(COUNT($H218:L218)&gt;=Input!$W$7,0, M24+M56+M88)</f>
        <v>0</v>
      </c>
      <c r="N218" s="156">
        <f>IF(COUNT($H218:M218)&gt;=Input!$W$7,0, N24+N56+N88)</f>
        <v>0</v>
      </c>
      <c r="O218" s="156">
        <f>IF(COUNT($H218:N218)&gt;=Input!$W$7,0, O24+O56+O88)</f>
        <v>0</v>
      </c>
      <c r="P218" s="156">
        <f>IF(COUNT($H218:O218)&gt;=Input!$W$7,0, P24+P56+P88)</f>
        <v>0</v>
      </c>
      <c r="Q218" s="156">
        <f>IF(COUNT($H218:P218)&gt;=Input!$W$7,0, Q24+Q56+Q88)</f>
        <v>0</v>
      </c>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7"/>
      <c r="BL218" s="227"/>
    </row>
    <row r="219" spans="1:64" hidden="1" outlineLevel="1">
      <c r="A219" s="9"/>
      <c r="B219" s="12"/>
      <c r="C219" s="44"/>
      <c r="D219" s="278" t="str">
        <f>Asset18</f>
        <v>Transmission operations - short life (10)</v>
      </c>
      <c r="E219" s="12"/>
      <c r="F219" s="12"/>
      <c r="G219" s="207">
        <f t="shared" si="10"/>
        <v>0</v>
      </c>
      <c r="H219" s="156">
        <f t="shared" si="12"/>
        <v>1.2611305993502018</v>
      </c>
      <c r="I219" s="156">
        <f t="shared" si="12"/>
        <v>3.3186026949529803</v>
      </c>
      <c r="J219" s="156">
        <f t="shared" si="12"/>
        <v>5.2644247957765735</v>
      </c>
      <c r="K219" s="156">
        <f t="shared" si="12"/>
        <v>6.9501791643717885</v>
      </c>
      <c r="L219" s="156">
        <f t="shared" si="12"/>
        <v>7.2594442037191946</v>
      </c>
      <c r="M219" s="156">
        <f>IF(COUNT($H219:L219)&gt;=Input!$W$7,0, M25+M57+M89)</f>
        <v>0</v>
      </c>
      <c r="N219" s="156">
        <f>IF(COUNT($H219:M219)&gt;=Input!$W$7,0, N25+N57+N89)</f>
        <v>0</v>
      </c>
      <c r="O219" s="156">
        <f>IF(COUNT($H219:N219)&gt;=Input!$W$7,0, O25+O57+O89)</f>
        <v>0</v>
      </c>
      <c r="P219" s="156">
        <f>IF(COUNT($H219:O219)&gt;=Input!$W$7,0, P25+P57+P89)</f>
        <v>0</v>
      </c>
      <c r="Q219" s="156">
        <f>IF(COUNT($H219:P219)&gt;=Input!$W$7,0, Q25+Q57+Q89)</f>
        <v>0</v>
      </c>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7"/>
      <c r="BL219" s="227"/>
    </row>
    <row r="220" spans="1:64" hidden="1" outlineLevel="1">
      <c r="A220" s="9"/>
      <c r="B220" s="12"/>
      <c r="C220" s="44"/>
      <c r="D220" s="278" t="str">
        <f>Asset19</f>
        <v>Transmission operations - short life (4)</v>
      </c>
      <c r="E220" s="12"/>
      <c r="F220" s="12"/>
      <c r="G220" s="207">
        <f t="shared" si="10"/>
        <v>0</v>
      </c>
      <c r="H220" s="156">
        <f t="shared" si="12"/>
        <v>1.0509421661251683E-2</v>
      </c>
      <c r="I220" s="156">
        <f t="shared" si="12"/>
        <v>-1.1739883972360591E-3</v>
      </c>
      <c r="J220" s="156">
        <f t="shared" si="12"/>
        <v>0.11515635950779998</v>
      </c>
      <c r="K220" s="156">
        <f t="shared" si="12"/>
        <v>8.7717196095625879E-2</v>
      </c>
      <c r="L220" s="156">
        <f t="shared" si="12"/>
        <v>1.6090331150285964E-2</v>
      </c>
      <c r="M220" s="156">
        <f>IF(COUNT($H220:L220)&gt;=Input!$W$7,0, M26+M58+M90)</f>
        <v>0</v>
      </c>
      <c r="N220" s="156">
        <f>IF(COUNT($H220:M220)&gt;=Input!$W$7,0, N26+N58+N90)</f>
        <v>0</v>
      </c>
      <c r="O220" s="156">
        <f>IF(COUNT($H220:N220)&gt;=Input!$W$7,0, O26+O58+O90)</f>
        <v>0</v>
      </c>
      <c r="P220" s="156">
        <f>IF(COUNT($H220:O220)&gt;=Input!$W$7,0, P26+P58+P90)</f>
        <v>0</v>
      </c>
      <c r="Q220" s="156">
        <f>IF(COUNT($H220:P220)&gt;=Input!$W$7,0, Q26+Q58+Q90)</f>
        <v>0</v>
      </c>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7"/>
      <c r="BL220" s="227"/>
    </row>
    <row r="221" spans="1:64" hidden="1" outlineLevel="1">
      <c r="A221" s="9"/>
      <c r="B221" s="12"/>
      <c r="C221" s="44"/>
      <c r="D221" s="278" t="str">
        <f>Asset20</f>
        <v>Other - medium life (40)</v>
      </c>
      <c r="E221" s="12"/>
      <c r="F221" s="12"/>
      <c r="G221" s="207">
        <f>G27+G59+G91+G123+G155+G187</f>
        <v>6.8615870000000001</v>
      </c>
      <c r="H221" s="156">
        <f>H27+H59+H91</f>
        <v>18.630628826655428</v>
      </c>
      <c r="I221" s="156">
        <f t="shared" si="12"/>
        <v>28.890984428113992</v>
      </c>
      <c r="J221" s="156">
        <f t="shared" si="12"/>
        <v>29.45307022140446</v>
      </c>
      <c r="K221" s="156">
        <f t="shared" si="12"/>
        <v>29.74214108471115</v>
      </c>
      <c r="L221" s="156">
        <f t="shared" si="12"/>
        <v>32.355714358359727</v>
      </c>
      <c r="M221" s="156">
        <f>IF(COUNT($H221:L221)&gt;=Input!$W$7,0, M27+M59+M91)</f>
        <v>0</v>
      </c>
      <c r="N221" s="156">
        <f>IF(COUNT($H221:M221)&gt;=Input!$W$7,0, N27+N59+N91)</f>
        <v>0</v>
      </c>
      <c r="O221" s="156">
        <f>IF(COUNT($H221:N221)&gt;=Input!$W$7,0, O27+O59+O91)</f>
        <v>0</v>
      </c>
      <c r="P221" s="156">
        <f>IF(COUNT($H221:O221)&gt;=Input!$W$7,0, P27+P59+P91)</f>
        <v>0</v>
      </c>
      <c r="Q221" s="156">
        <f>IF(COUNT($H221:P221)&gt;=Input!$W$7,0, Q27+Q59+Q91)</f>
        <v>0</v>
      </c>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7"/>
      <c r="BL221" s="227"/>
    </row>
    <row r="222" spans="1:64" hidden="1" outlineLevel="1">
      <c r="A222" s="9"/>
      <c r="B222" s="12"/>
      <c r="C222" s="44"/>
      <c r="D222" s="278" t="str">
        <f>Asset21</f>
        <v>Other - short life (9)</v>
      </c>
      <c r="E222" s="12"/>
      <c r="F222" s="12"/>
      <c r="G222" s="207">
        <f>G28+G60+G92+G124+G156+G188</f>
        <v>0</v>
      </c>
      <c r="H222" s="156">
        <f>H28+H60+H92</f>
        <v>0.39935802312756402</v>
      </c>
      <c r="I222" s="156">
        <f>I28+I60+I92</f>
        <v>0.8350981173079407</v>
      </c>
      <c r="J222" s="156">
        <f>J28+J60+J92</f>
        <v>1.3641522679057971</v>
      </c>
      <c r="K222" s="156">
        <f>K28+K60+K92</f>
        <v>1.2721736172775602</v>
      </c>
      <c r="L222" s="156">
        <f>L28+L60+L92</f>
        <v>1.4554505847175536</v>
      </c>
      <c r="M222" s="156">
        <f>IF(COUNT($H222:L222)&gt;=Input!$W$7,0, M28+M60+M92)</f>
        <v>0</v>
      </c>
      <c r="N222" s="156">
        <f>IF(COUNT($H222:M222)&gt;=Input!$W$7,0, N28+N60+N92)</f>
        <v>0</v>
      </c>
      <c r="O222" s="156">
        <f>IF(COUNT($H222:N222)&gt;=Input!$W$7,0, O28+O60+O92)</f>
        <v>0</v>
      </c>
      <c r="P222" s="156">
        <f>IF(COUNT($H222:O222)&gt;=Input!$W$7,0, P28+P60+P92)</f>
        <v>0</v>
      </c>
      <c r="Q222" s="156">
        <f>IF(COUNT($H222:P222)&gt;=Input!$W$7,0, Q28+Q60+Q92)</f>
        <v>0</v>
      </c>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7"/>
      <c r="BL222" s="227"/>
    </row>
    <row r="223" spans="1:64" hidden="1" outlineLevel="1">
      <c r="A223" s="9"/>
      <c r="B223" s="12"/>
      <c r="C223" s="44"/>
      <c r="D223" s="278" t="str">
        <f>Asset22</f>
        <v>Other - short life (4)</v>
      </c>
      <c r="E223" s="12"/>
      <c r="F223" s="12"/>
      <c r="G223" s="207">
        <f>G29+G61+G93+G125+G157+G189</f>
        <v>0.53168400000000005</v>
      </c>
      <c r="H223" s="156">
        <f t="shared" ref="H223:L230" si="13">H29+H61+H93</f>
        <v>3.6578283063153352</v>
      </c>
      <c r="I223" s="156">
        <f t="shared" si="13"/>
        <v>6.6643062178273764</v>
      </c>
      <c r="J223" s="156">
        <f t="shared" si="13"/>
        <v>10.484266863925818</v>
      </c>
      <c r="K223" s="156">
        <f t="shared" si="13"/>
        <v>11.037310679340939</v>
      </c>
      <c r="L223" s="156">
        <f t="shared" si="13"/>
        <v>10.441780919722717</v>
      </c>
      <c r="M223" s="156">
        <f>IF(COUNT($H223:L223)&gt;=Input!$W$7,0, M29+M61+M93)</f>
        <v>0</v>
      </c>
      <c r="N223" s="156">
        <f>IF(COUNT($H223:M223)&gt;=Input!$W$7,0, N29+N61+N93)</f>
        <v>0</v>
      </c>
      <c r="O223" s="156">
        <f>IF(COUNT($H223:N223)&gt;=Input!$W$7,0, O29+O61+O93)</f>
        <v>0</v>
      </c>
      <c r="P223" s="156">
        <f>IF(COUNT($H223:O223)&gt;=Input!$W$7,0, P29+P61+P93)</f>
        <v>0</v>
      </c>
      <c r="Q223" s="156">
        <f>IF(COUNT($H223:P223)&gt;=Input!$W$7,0, Q29+Q61+Q93)</f>
        <v>0</v>
      </c>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7"/>
      <c r="BL223" s="227"/>
    </row>
    <row r="224" spans="1:64" hidden="1" outlineLevel="1">
      <c r="A224" s="9"/>
      <c r="B224" s="12"/>
      <c r="C224" s="44"/>
      <c r="D224" s="278" t="str">
        <f>Asset23</f>
        <v>Land and Easements</v>
      </c>
      <c r="E224" s="12"/>
      <c r="F224" s="12"/>
      <c r="G224" s="207">
        <f t="shared" ref="G224:G230" si="14">G30+G62+G94+G126+G158+G190</f>
        <v>0.12308107575340384</v>
      </c>
      <c r="H224" s="156">
        <f t="shared" si="13"/>
        <v>0.68363511190814463</v>
      </c>
      <c r="I224" s="156">
        <f t="shared" si="13"/>
        <v>2.1071971430023702</v>
      </c>
      <c r="J224" s="156">
        <f t="shared" si="13"/>
        <v>4.5455274625726929</v>
      </c>
      <c r="K224" s="156">
        <f t="shared" si="13"/>
        <v>5.3201311678759655</v>
      </c>
      <c r="L224" s="156">
        <f t="shared" si="13"/>
        <v>6.7418809320467012</v>
      </c>
      <c r="M224" s="156">
        <f>IF(COUNT($H224:L224)&gt;=Input!$W$7,0, M30+M62+M94)</f>
        <v>0</v>
      </c>
      <c r="N224" s="156">
        <f>IF(COUNT($H224:M224)&gt;=Input!$W$7,0, N30+N62+N94)</f>
        <v>0</v>
      </c>
      <c r="O224" s="156">
        <f>IF(COUNT($H224:N224)&gt;=Input!$W$7,0, O30+O62+O94)</f>
        <v>0</v>
      </c>
      <c r="P224" s="156">
        <f>IF(COUNT($H224:O224)&gt;=Input!$W$7,0, P30+P62+P94)</f>
        <v>0</v>
      </c>
      <c r="Q224" s="156">
        <f>IF(COUNT($H224:P224)&gt;=Input!$W$7,0, Q30+Q62+Q94)</f>
        <v>0</v>
      </c>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7"/>
      <c r="BL224" s="227"/>
    </row>
    <row r="225" spans="1:64" hidden="1" outlineLevel="1">
      <c r="A225" s="9"/>
      <c r="B225" s="12"/>
      <c r="C225" s="44"/>
      <c r="D225" s="278" t="str">
        <f>Asset24</f>
        <v>Equity Raising</v>
      </c>
      <c r="E225" s="12"/>
      <c r="F225" s="12"/>
      <c r="G225" s="207">
        <f t="shared" si="14"/>
        <v>0</v>
      </c>
      <c r="H225" s="156">
        <f t="shared" si="13"/>
        <v>0.44485041313161061</v>
      </c>
      <c r="I225" s="156">
        <f t="shared" si="13"/>
        <v>0.44870168372209202</v>
      </c>
      <c r="J225" s="156">
        <f t="shared" si="13"/>
        <v>0.44446886150221571</v>
      </c>
      <c r="K225" s="156">
        <f t="shared" si="13"/>
        <v>0.44406898521604748</v>
      </c>
      <c r="L225" s="156">
        <f t="shared" si="13"/>
        <v>0.44335963280526741</v>
      </c>
      <c r="M225" s="156">
        <f>IF(COUNT($H225:L225)&gt;=Input!$W$7,0, M31+M63+M95)</f>
        <v>0</v>
      </c>
      <c r="N225" s="156">
        <f>IF(COUNT($H225:M225)&gt;=Input!$W$7,0, N31+N63+N95)</f>
        <v>0</v>
      </c>
      <c r="O225" s="156">
        <f>IF(COUNT($H225:N225)&gt;=Input!$W$7,0, O31+O63+O95)</f>
        <v>0</v>
      </c>
      <c r="P225" s="156">
        <f>IF(COUNT($H225:O225)&gt;=Input!$W$7,0, P31+P63+P95)</f>
        <v>0</v>
      </c>
      <c r="Q225" s="156">
        <f>IF(COUNT($H225:P225)&gt;=Input!$W$7,0, Q31+Q63+Q95)</f>
        <v>0</v>
      </c>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7"/>
      <c r="BL225" s="227"/>
    </row>
    <row r="226" spans="1:64" hidden="1" outlineLevel="1">
      <c r="A226" s="9"/>
      <c r="B226" s="12"/>
      <c r="C226" s="44"/>
      <c r="D226" s="278">
        <f>Asset25</f>
        <v>0</v>
      </c>
      <c r="E226" s="12"/>
      <c r="F226" s="12"/>
      <c r="G226" s="207">
        <f t="shared" si="14"/>
        <v>0</v>
      </c>
      <c r="H226" s="156">
        <f t="shared" si="13"/>
        <v>0</v>
      </c>
      <c r="I226" s="156">
        <f t="shared" si="13"/>
        <v>0</v>
      </c>
      <c r="J226" s="156">
        <f t="shared" si="13"/>
        <v>0</v>
      </c>
      <c r="K226" s="156">
        <f t="shared" si="13"/>
        <v>0</v>
      </c>
      <c r="L226" s="156">
        <f t="shared" si="13"/>
        <v>0</v>
      </c>
      <c r="M226" s="156">
        <f>IF(COUNT($H226:L226)&gt;=Input!$W$7,0, M32+M64+M96)</f>
        <v>0</v>
      </c>
      <c r="N226" s="156">
        <f>IF(COUNT($H226:M226)&gt;=Input!$W$7,0, N32+N64+N96)</f>
        <v>0</v>
      </c>
      <c r="O226" s="156">
        <f>IF(COUNT($H226:N226)&gt;=Input!$W$7,0, O32+O64+O96)</f>
        <v>0</v>
      </c>
      <c r="P226" s="156">
        <f>IF(COUNT($H226:O226)&gt;=Input!$W$7,0, P32+P64+P96)</f>
        <v>0</v>
      </c>
      <c r="Q226" s="156">
        <f>IF(COUNT($H226:P226)&gt;=Input!$W$7,0, Q32+Q64+Q96)</f>
        <v>0</v>
      </c>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7"/>
      <c r="BL226" s="227"/>
    </row>
    <row r="227" spans="1:64" hidden="1" outlineLevel="1">
      <c r="A227" s="9"/>
      <c r="B227" s="12"/>
      <c r="C227" s="44"/>
      <c r="D227" s="278">
        <f>Asset26</f>
        <v>0</v>
      </c>
      <c r="E227" s="12"/>
      <c r="F227" s="12"/>
      <c r="G227" s="207">
        <f t="shared" si="14"/>
        <v>0</v>
      </c>
      <c r="H227" s="156">
        <f t="shared" si="13"/>
        <v>0</v>
      </c>
      <c r="I227" s="156">
        <f t="shared" si="13"/>
        <v>0</v>
      </c>
      <c r="J227" s="156">
        <f t="shared" si="13"/>
        <v>0</v>
      </c>
      <c r="K227" s="156">
        <f t="shared" si="13"/>
        <v>0</v>
      </c>
      <c r="L227" s="156">
        <f t="shared" si="13"/>
        <v>0</v>
      </c>
      <c r="M227" s="156">
        <f>IF(COUNT($H227:L227)&gt;=Input!$W$7,0, M33+M65+M97)</f>
        <v>0</v>
      </c>
      <c r="N227" s="156">
        <f>IF(COUNT($H227:M227)&gt;=Input!$W$7,0, N33+N65+N97)</f>
        <v>0</v>
      </c>
      <c r="O227" s="156">
        <f>IF(COUNT($H227:N227)&gt;=Input!$W$7,0, O33+O65+O97)</f>
        <v>0</v>
      </c>
      <c r="P227" s="156">
        <f>IF(COUNT($H227:O227)&gt;=Input!$W$7,0, P33+P65+P97)</f>
        <v>0</v>
      </c>
      <c r="Q227" s="156">
        <f>IF(COUNT($H227:P227)&gt;=Input!$W$7,0, Q33+Q65+Q97)</f>
        <v>0</v>
      </c>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7"/>
      <c r="BL227" s="227"/>
    </row>
    <row r="228" spans="1:64" hidden="1" outlineLevel="1">
      <c r="A228" s="9"/>
      <c r="B228" s="12"/>
      <c r="C228" s="44"/>
      <c r="D228" s="278">
        <f>Asset27</f>
        <v>0</v>
      </c>
      <c r="E228" s="12"/>
      <c r="F228" s="12"/>
      <c r="G228" s="207">
        <f t="shared" si="14"/>
        <v>0</v>
      </c>
      <c r="H228" s="156">
        <f t="shared" si="13"/>
        <v>0</v>
      </c>
      <c r="I228" s="156">
        <f t="shared" si="13"/>
        <v>0</v>
      </c>
      <c r="J228" s="156">
        <f t="shared" si="13"/>
        <v>0</v>
      </c>
      <c r="K228" s="156">
        <f t="shared" si="13"/>
        <v>0</v>
      </c>
      <c r="L228" s="156">
        <f t="shared" si="13"/>
        <v>0</v>
      </c>
      <c r="M228" s="156">
        <f>IF(COUNT($H228:L228)&gt;=Input!$W$7,0, M34+M66+M98)</f>
        <v>0</v>
      </c>
      <c r="N228" s="156">
        <f>IF(COUNT($H228:M228)&gt;=Input!$W$7,0, N34+N66+N98)</f>
        <v>0</v>
      </c>
      <c r="O228" s="156">
        <f>IF(COUNT($H228:N228)&gt;=Input!$W$7,0, O34+O66+O98)</f>
        <v>0</v>
      </c>
      <c r="P228" s="156">
        <f>IF(COUNT($H228:O228)&gt;=Input!$W$7,0, P34+P66+P98)</f>
        <v>0</v>
      </c>
      <c r="Q228" s="156">
        <f>IF(COUNT($H228:P228)&gt;=Input!$W$7,0, Q34+Q66+Q98)</f>
        <v>0</v>
      </c>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7"/>
      <c r="BL228" s="227"/>
    </row>
    <row r="229" spans="1:64" hidden="1" outlineLevel="1">
      <c r="A229" s="9"/>
      <c r="B229" s="12"/>
      <c r="C229" s="44"/>
      <c r="D229" s="278">
        <f>Asset28</f>
        <v>0</v>
      </c>
      <c r="E229" s="12"/>
      <c r="F229" s="12"/>
      <c r="G229" s="207">
        <f t="shared" si="14"/>
        <v>0</v>
      </c>
      <c r="H229" s="156">
        <f t="shared" si="13"/>
        <v>0</v>
      </c>
      <c r="I229" s="156">
        <f t="shared" si="13"/>
        <v>0</v>
      </c>
      <c r="J229" s="156">
        <f t="shared" si="13"/>
        <v>0</v>
      </c>
      <c r="K229" s="156">
        <f t="shared" si="13"/>
        <v>0</v>
      </c>
      <c r="L229" s="156">
        <f t="shared" si="13"/>
        <v>0</v>
      </c>
      <c r="M229" s="156">
        <f>IF(COUNT($H229:L229)&gt;=Input!$W$7,0, M35+M67+M99)</f>
        <v>0</v>
      </c>
      <c r="N229" s="156">
        <f>IF(COUNT($H229:M229)&gt;=Input!$W$7,0, N35+N67+N99)</f>
        <v>0</v>
      </c>
      <c r="O229" s="156">
        <f>IF(COUNT($H229:N229)&gt;=Input!$W$7,0, O35+O67+O99)</f>
        <v>0</v>
      </c>
      <c r="P229" s="156">
        <f>IF(COUNT($H229:O229)&gt;=Input!$W$7,0, P35+P67+P99)</f>
        <v>0</v>
      </c>
      <c r="Q229" s="156">
        <f>IF(COUNT($H229:P229)&gt;=Input!$W$7,0, Q35+Q67+Q99)</f>
        <v>0</v>
      </c>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7"/>
      <c r="BL229" s="227"/>
    </row>
    <row r="230" spans="1:64" hidden="1" outlineLevel="1">
      <c r="A230" s="9"/>
      <c r="B230" s="12"/>
      <c r="C230" s="44"/>
      <c r="D230" s="278">
        <f>Asset29</f>
        <v>0</v>
      </c>
      <c r="E230" s="12"/>
      <c r="F230" s="12"/>
      <c r="G230" s="207">
        <f t="shared" si="14"/>
        <v>0</v>
      </c>
      <c r="H230" s="156">
        <f t="shared" si="13"/>
        <v>0</v>
      </c>
      <c r="I230" s="156">
        <f t="shared" si="13"/>
        <v>0</v>
      </c>
      <c r="J230" s="156">
        <f t="shared" si="13"/>
        <v>0</v>
      </c>
      <c r="K230" s="156">
        <f t="shared" si="13"/>
        <v>0</v>
      </c>
      <c r="L230" s="156">
        <f t="shared" si="13"/>
        <v>0</v>
      </c>
      <c r="M230" s="156">
        <f>IF(COUNT($H230:L230)&gt;=Input!$W$7,0, M36+M68+M100)</f>
        <v>0</v>
      </c>
      <c r="N230" s="156">
        <f>IF(COUNT($H230:M230)&gt;=Input!$W$7,0, N36+N68+N100)</f>
        <v>0</v>
      </c>
      <c r="O230" s="156">
        <f>IF(COUNT($H230:N230)&gt;=Input!$W$7,0, O36+O68+O100)</f>
        <v>0</v>
      </c>
      <c r="P230" s="156">
        <f>IF(COUNT($H230:O230)&gt;=Input!$W$7,0, P36+P68+P100)</f>
        <v>0</v>
      </c>
      <c r="Q230" s="156">
        <f>IF(COUNT($H230:P230)&gt;=Input!$W$7,0, Q36+Q68+Q100)</f>
        <v>0</v>
      </c>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27"/>
      <c r="BL230" s="227"/>
    </row>
    <row r="231" spans="1:64" hidden="1" outlineLevel="1">
      <c r="A231" s="9"/>
      <c r="B231" s="12"/>
      <c r="C231" s="44"/>
      <c r="D231" s="278">
        <f>Asset30</f>
        <v>0</v>
      </c>
      <c r="E231" s="12"/>
      <c r="F231" s="12"/>
      <c r="G231" s="207">
        <f>G37+G69+G101+G133+G165+G197</f>
        <v>0</v>
      </c>
      <c r="H231" s="156">
        <f>H37+H69+H101</f>
        <v>0</v>
      </c>
      <c r="I231" s="156">
        <f>I37+I69+I101</f>
        <v>0</v>
      </c>
      <c r="J231" s="156">
        <f>J37+J69+J101</f>
        <v>0</v>
      </c>
      <c r="K231" s="156">
        <f>K37+K69+K101</f>
        <v>0</v>
      </c>
      <c r="L231" s="156">
        <f>L37+L69+L101</f>
        <v>0</v>
      </c>
      <c r="M231" s="156">
        <f>IF(COUNT($H231:L231)&gt;=Input!$W$7,0, M37+M69+M101)</f>
        <v>0</v>
      </c>
      <c r="N231" s="156">
        <f>IF(COUNT($H231:M231)&gt;=Input!$W$7,0, N37+N69+N101)</f>
        <v>0</v>
      </c>
      <c r="O231" s="156">
        <f>IF(COUNT($H231:N231)&gt;=Input!$W$7,0, O37+O69+O101)</f>
        <v>0</v>
      </c>
      <c r="P231" s="156">
        <f>IF(COUNT($H231:O231)&gt;=Input!$W$7,0, P37+P69+P101)</f>
        <v>0</v>
      </c>
      <c r="Q231" s="156">
        <f>IF(COUNT($H231:P231)&gt;=Input!$W$7,0, Q37+Q69+Q101)</f>
        <v>0</v>
      </c>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35"/>
      <c r="BK231" s="227"/>
      <c r="BL231" s="227"/>
    </row>
    <row r="232" spans="1:64" collapsed="1">
      <c r="A232" s="9"/>
      <c r="B232" s="12"/>
      <c r="C232" s="94"/>
      <c r="D232" s="116"/>
      <c r="E232" s="12"/>
      <c r="F232" s="12"/>
      <c r="G232" s="155"/>
      <c r="H232" s="144"/>
      <c r="I232" s="144"/>
      <c r="J232" s="144"/>
      <c r="K232" s="144"/>
      <c r="L232" s="144"/>
      <c r="M232" s="144"/>
      <c r="N232" s="104"/>
      <c r="O232" s="104"/>
      <c r="P232" s="104"/>
      <c r="Q232" s="104"/>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27"/>
      <c r="BL232" s="227"/>
    </row>
    <row r="233" spans="1:64" s="9" customFormat="1">
      <c r="B233" s="12"/>
      <c r="C233" s="94" t="s">
        <v>33</v>
      </c>
      <c r="D233" s="12"/>
      <c r="E233" s="12"/>
      <c r="F233" s="12"/>
      <c r="G233" s="117"/>
      <c r="H233" s="118"/>
      <c r="I233" s="118"/>
      <c r="J233" s="118"/>
      <c r="K233" s="118"/>
      <c r="L233" s="373">
        <f t="shared" ref="L233:Q233" si="15">SUM(L234:L263)</f>
        <v>-12.423265146332945</v>
      </c>
      <c r="M233" s="118">
        <f t="shared" si="15"/>
        <v>0</v>
      </c>
      <c r="N233" s="118">
        <f t="shared" si="15"/>
        <v>0</v>
      </c>
      <c r="O233" s="118">
        <f t="shared" si="15"/>
        <v>0</v>
      </c>
      <c r="P233" s="118">
        <f t="shared" si="15"/>
        <v>0</v>
      </c>
      <c r="Q233" s="118">
        <f t="shared" si="15"/>
        <v>0</v>
      </c>
      <c r="R233" s="110"/>
      <c r="S233" s="110"/>
      <c r="T233" s="110"/>
      <c r="U233" s="110"/>
      <c r="V233" s="110"/>
      <c r="W233" s="110"/>
      <c r="X233" s="110"/>
      <c r="Y233" s="110"/>
      <c r="Z233" s="110"/>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7"/>
      <c r="BL233" s="227"/>
    </row>
    <row r="234" spans="1:64" ht="12" hidden="1" customHeight="1" outlineLevel="1">
      <c r="A234" s="9"/>
      <c r="B234" s="9"/>
      <c r="C234" s="9"/>
      <c r="D234" s="278" t="str">
        <f>Asset1</f>
        <v>Transmission Lines and Cables</v>
      </c>
      <c r="E234" s="9"/>
      <c r="F234" s="9"/>
      <c r="G234" s="9"/>
      <c r="H234" s="114"/>
      <c r="I234" s="114"/>
      <c r="J234" s="114"/>
      <c r="K234" s="114"/>
      <c r="L234" s="370">
        <f>IF(L$201&gt;0, IF(M$201=0, 'Adjustment for previous period'!$G76, 0), 0)</f>
        <v>2.1655132429431734</v>
      </c>
      <c r="M234" s="114">
        <f>IF(M$201&gt;0, IF(N$201=0, 'Adjustment for previous period'!$G76, 0), 0)</f>
        <v>0</v>
      </c>
      <c r="N234" s="114">
        <f>IF(N$201&gt;0, IF(O$201=0, 'Adjustment for previous period'!$G76, 0), 0)</f>
        <v>0</v>
      </c>
      <c r="O234" s="114">
        <f>IF(O$201&gt;0, IF(P$201=0, 'Adjustment for previous period'!$G76, 0), 0)</f>
        <v>0</v>
      </c>
      <c r="P234" s="114">
        <f>IF(P$201&gt;0, IF(Q$201=0, 'Adjustment for previous period'!$G76, 0), 0)</f>
        <v>0</v>
      </c>
      <c r="Q234" s="114">
        <f>IF(Q$201&gt;0, IF(R$201=0, 'Adjustment for previous period'!$G76, 0), 0)</f>
        <v>0</v>
      </c>
      <c r="R234" s="9"/>
      <c r="S234" s="12"/>
      <c r="T234" s="12"/>
      <c r="U234" s="12"/>
      <c r="V234" s="12"/>
      <c r="W234" s="12"/>
      <c r="X234" s="12"/>
      <c r="Y234" s="12"/>
      <c r="Z234" s="12"/>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row>
    <row r="235" spans="1:64" ht="12" hidden="1" customHeight="1" outlineLevel="1">
      <c r="A235" s="9"/>
      <c r="B235" s="9"/>
      <c r="C235" s="9"/>
      <c r="D235" s="278" t="str">
        <f>Asset2</f>
        <v>Transmission Substations</v>
      </c>
      <c r="E235" s="9"/>
      <c r="F235" s="9"/>
      <c r="G235" s="9"/>
      <c r="H235" s="114"/>
      <c r="I235" s="114"/>
      <c r="J235" s="114"/>
      <c r="K235" s="114"/>
      <c r="L235" s="370">
        <f>IF(L$201&gt;0, IF(M$201=0, 'Adjustment for previous period'!$G77, 0), 0)</f>
        <v>-22.546581633919459</v>
      </c>
      <c r="M235" s="114">
        <f>IF(M$201&gt;0, IF(N$201=0, 'Adjustment for previous period'!$G77, 0), 0)</f>
        <v>0</v>
      </c>
      <c r="N235" s="114">
        <f>IF(N$201&gt;0, IF(O$201=0, 'Adjustment for previous period'!$G77, 0), 0)</f>
        <v>0</v>
      </c>
      <c r="O235" s="114">
        <f>IF(O$201&gt;0, IF(P$201=0, 'Adjustment for previous period'!$G77, 0), 0)</f>
        <v>0</v>
      </c>
      <c r="P235" s="114">
        <f>IF(P$201&gt;0, IF(Q$201=0, 'Adjustment for previous period'!$G77, 0), 0)</f>
        <v>0</v>
      </c>
      <c r="Q235" s="114">
        <f>IF(Q$201&gt;0, IF(R$201=0, 'Adjustment for previous period'!$G77, 0), 0)</f>
        <v>0</v>
      </c>
      <c r="R235" s="9"/>
      <c r="S235" s="12"/>
      <c r="T235" s="12"/>
      <c r="U235" s="12"/>
      <c r="V235" s="12"/>
      <c r="W235" s="12"/>
      <c r="X235" s="12"/>
      <c r="Y235" s="12"/>
      <c r="Z235" s="12"/>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row>
    <row r="236" spans="1:64" ht="12" hidden="1" customHeight="1" outlineLevel="1">
      <c r="A236" s="9"/>
      <c r="B236" s="9"/>
      <c r="C236" s="9"/>
      <c r="D236" s="278" t="str">
        <f>Asset3</f>
        <v>Protection and Control</v>
      </c>
      <c r="E236" s="9"/>
      <c r="F236" s="9"/>
      <c r="G236" s="9"/>
      <c r="H236" s="114"/>
      <c r="I236" s="114"/>
      <c r="J236" s="114"/>
      <c r="K236" s="114"/>
      <c r="L236" s="370">
        <f>IF(L$201&gt;0, IF(M$201=0, 'Adjustment for previous period'!$G78, 0), 0)</f>
        <v>-2.4716748656327692</v>
      </c>
      <c r="M236" s="114">
        <f>IF(M$201&gt;0, IF(N$201=0, 'Adjustment for previous period'!$G78, 0), 0)</f>
        <v>0</v>
      </c>
      <c r="N236" s="114">
        <f>IF(N$201&gt;0, IF(O$201=0, 'Adjustment for previous period'!$G78, 0), 0)</f>
        <v>0</v>
      </c>
      <c r="O236" s="114">
        <f>IF(O$201&gt;0, IF(P$201=0, 'Adjustment for previous period'!$G78, 0), 0)</f>
        <v>0</v>
      </c>
      <c r="P236" s="114">
        <f>IF(P$201&gt;0, IF(Q$201=0, 'Adjustment for previous period'!$G78, 0), 0)</f>
        <v>0</v>
      </c>
      <c r="Q236" s="114">
        <f>IF(Q$201&gt;0, IF(R$201=0, 'Adjustment for previous period'!$G78, 0), 0)</f>
        <v>0</v>
      </c>
      <c r="R236" s="9"/>
      <c r="S236" s="12"/>
      <c r="T236" s="12"/>
      <c r="U236" s="12"/>
      <c r="V236" s="12"/>
      <c r="W236" s="12"/>
      <c r="X236" s="12"/>
      <c r="Y236" s="12"/>
      <c r="Z236" s="12"/>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row>
    <row r="237" spans="1:64" ht="12" hidden="1" customHeight="1" outlineLevel="1">
      <c r="A237" s="9"/>
      <c r="B237" s="9"/>
      <c r="C237" s="9"/>
      <c r="D237" s="278" t="str">
        <f>Asset4</f>
        <v>Refurbishment</v>
      </c>
      <c r="E237" s="9"/>
      <c r="F237" s="9"/>
      <c r="G237" s="9"/>
      <c r="H237" s="114"/>
      <c r="I237" s="114"/>
      <c r="J237" s="114"/>
      <c r="K237" s="114"/>
      <c r="L237" s="370">
        <f>IF(L$201&gt;0, IF(M$201=0, 'Adjustment for previous period'!$G79, 0), 0)</f>
        <v>0</v>
      </c>
      <c r="M237" s="114">
        <f>IF(M$201&gt;0, IF(N$201=0, 'Adjustment for previous period'!$G79, 0), 0)</f>
        <v>0</v>
      </c>
      <c r="N237" s="114">
        <f>IF(N$201&gt;0, IF(O$201=0, 'Adjustment for previous period'!$G79, 0), 0)</f>
        <v>0</v>
      </c>
      <c r="O237" s="114">
        <f>IF(O$201&gt;0, IF(P$201=0, 'Adjustment for previous period'!$G79, 0), 0)</f>
        <v>0</v>
      </c>
      <c r="P237" s="114">
        <f>IF(P$201&gt;0, IF(Q$201=0, 'Adjustment for previous period'!$G79, 0), 0)</f>
        <v>0</v>
      </c>
      <c r="Q237" s="114">
        <f>IF(Q$201&gt;0, IF(R$201=0, 'Adjustment for previous period'!$G79, 0), 0)</f>
        <v>0</v>
      </c>
      <c r="R237" s="9"/>
      <c r="S237" s="12"/>
      <c r="T237" s="12"/>
      <c r="U237" s="12"/>
      <c r="V237" s="12"/>
      <c r="W237" s="12"/>
      <c r="X237" s="12"/>
      <c r="Y237" s="12"/>
      <c r="Z237" s="12"/>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row>
    <row r="238" spans="1:64" ht="12" hidden="1" customHeight="1" outlineLevel="1">
      <c r="A238" s="9"/>
      <c r="B238" s="9"/>
      <c r="C238" s="9"/>
      <c r="D238" s="278" t="str">
        <f>Asset5</f>
        <v>Other</v>
      </c>
      <c r="E238" s="9"/>
      <c r="F238" s="9"/>
      <c r="G238" s="9"/>
      <c r="H238" s="114"/>
      <c r="I238" s="114"/>
      <c r="J238" s="114"/>
      <c r="K238" s="114"/>
      <c r="L238" s="370">
        <f>IF(L$201&gt;0, IF(M$201=0, 'Adjustment for previous period'!$G80, 0), 0)</f>
        <v>-5.3108439045954818E-3</v>
      </c>
      <c r="M238" s="114">
        <f>IF(M$201&gt;0, IF(N$201=0, 'Adjustment for previous period'!$G80, 0), 0)</f>
        <v>0</v>
      </c>
      <c r="N238" s="114">
        <f>IF(N$201&gt;0, IF(O$201=0, 'Adjustment for previous period'!$G80, 0), 0)</f>
        <v>0</v>
      </c>
      <c r="O238" s="114">
        <f>IF(O$201&gt;0, IF(P$201=0, 'Adjustment for previous period'!$G80, 0), 0)</f>
        <v>0</v>
      </c>
      <c r="P238" s="114">
        <f>IF(P$201&gt;0, IF(Q$201=0, 'Adjustment for previous period'!$G80, 0), 0)</f>
        <v>0</v>
      </c>
      <c r="Q238" s="114">
        <f>IF(Q$201&gt;0, IF(R$201=0, 'Adjustment for previous period'!$G80, 0), 0)</f>
        <v>0</v>
      </c>
      <c r="R238" s="9"/>
      <c r="S238" s="12"/>
      <c r="T238" s="12"/>
      <c r="U238" s="12"/>
      <c r="V238" s="12"/>
      <c r="W238" s="12"/>
      <c r="X238" s="12"/>
      <c r="Y238" s="12"/>
      <c r="Z238" s="12"/>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row>
    <row r="239" spans="1:64" ht="12" hidden="1" customHeight="1" outlineLevel="1">
      <c r="A239" s="9"/>
      <c r="B239" s="9"/>
      <c r="C239" s="9"/>
      <c r="D239" s="278" t="str">
        <f>Asset6</f>
        <v>Other - IT</v>
      </c>
      <c r="E239" s="9"/>
      <c r="F239" s="9"/>
      <c r="G239" s="9"/>
      <c r="H239" s="114"/>
      <c r="I239" s="114"/>
      <c r="J239" s="114"/>
      <c r="K239" s="114"/>
      <c r="L239" s="370">
        <f>IF(L$201&gt;0, IF(M$201=0, 'Adjustment for previous period'!$G81, 0), 0)</f>
        <v>5.5838574307631035</v>
      </c>
      <c r="M239" s="114">
        <f>IF(M$201&gt;0, IF(N$201=0, 'Adjustment for previous period'!$G81, 0), 0)</f>
        <v>0</v>
      </c>
      <c r="N239" s="114">
        <f>IF(N$201&gt;0, IF(O$201=0, 'Adjustment for previous period'!$G81, 0), 0)</f>
        <v>0</v>
      </c>
      <c r="O239" s="114">
        <f>IF(O$201&gt;0, IF(P$201=0, 'Adjustment for previous period'!$G81, 0), 0)</f>
        <v>0</v>
      </c>
      <c r="P239" s="114">
        <f>IF(P$201&gt;0, IF(Q$201=0, 'Adjustment for previous period'!$G81, 0), 0)</f>
        <v>0</v>
      </c>
      <c r="Q239" s="114">
        <f>IF(Q$201&gt;0, IF(R$201=0, 'Adjustment for previous period'!$G81, 0), 0)</f>
        <v>0</v>
      </c>
      <c r="R239" s="9"/>
      <c r="S239" s="12"/>
      <c r="T239" s="12"/>
      <c r="U239" s="12"/>
      <c r="V239" s="12"/>
      <c r="W239" s="12"/>
      <c r="X239" s="12"/>
      <c r="Y239" s="12"/>
      <c r="Z239" s="12"/>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row>
    <row r="240" spans="1:64" ht="12" hidden="1" customHeight="1" outlineLevel="1">
      <c r="A240" s="9"/>
      <c r="B240" s="9"/>
      <c r="C240" s="9"/>
      <c r="D240" s="278" t="str">
        <f>Asset7</f>
        <v>Other - General</v>
      </c>
      <c r="E240" s="9"/>
      <c r="F240" s="9"/>
      <c r="G240" s="9"/>
      <c r="H240" s="114"/>
      <c r="I240" s="114"/>
      <c r="J240" s="114"/>
      <c r="K240" s="114"/>
      <c r="L240" s="370">
        <f>IF(L$201&gt;0, IF(M$201=0, 'Adjustment for previous period'!$G82, 0), 0)</f>
        <v>1.2884107312548645</v>
      </c>
      <c r="M240" s="114">
        <f>IF(M$201&gt;0, IF(N$201=0, 'Adjustment for previous period'!$G82, 0), 0)</f>
        <v>0</v>
      </c>
      <c r="N240" s="114">
        <f>IF(N$201&gt;0, IF(O$201=0, 'Adjustment for previous period'!$G82, 0), 0)</f>
        <v>0</v>
      </c>
      <c r="O240" s="114">
        <f>IF(O$201&gt;0, IF(P$201=0, 'Adjustment for previous period'!$G82, 0), 0)</f>
        <v>0</v>
      </c>
      <c r="P240" s="114">
        <f>IF(P$201&gt;0, IF(Q$201=0, 'Adjustment for previous period'!$G82, 0), 0)</f>
        <v>0</v>
      </c>
      <c r="Q240" s="114">
        <f>IF(Q$201&gt;0, IF(R$201=0, 'Adjustment for previous period'!$G82, 0), 0)</f>
        <v>0</v>
      </c>
      <c r="R240" s="9"/>
      <c r="S240" s="12"/>
      <c r="T240" s="12"/>
      <c r="U240" s="12"/>
      <c r="V240" s="12"/>
      <c r="W240" s="12"/>
      <c r="X240" s="12"/>
      <c r="Y240" s="12"/>
      <c r="Z240" s="12"/>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row>
    <row r="241" spans="1:64" ht="12" hidden="1" customHeight="1" outlineLevel="1">
      <c r="A241" s="9"/>
      <c r="B241" s="9"/>
      <c r="C241" s="9"/>
      <c r="D241" s="278" t="str">
        <f>Asset8</f>
        <v>Other - Buildings</v>
      </c>
      <c r="E241" s="9"/>
      <c r="F241" s="9"/>
      <c r="G241" s="9"/>
      <c r="H241" s="114"/>
      <c r="I241" s="114"/>
      <c r="J241" s="114"/>
      <c r="K241" s="114"/>
      <c r="L241" s="370">
        <f>IF(L$201&gt;0, IF(M$201=0, 'Adjustment for previous period'!$G83, 0), 0)</f>
        <v>3.0102450134582917</v>
      </c>
      <c r="M241" s="114">
        <f>IF(M$201&gt;0, IF(N$201=0, 'Adjustment for previous period'!$G83, 0), 0)</f>
        <v>0</v>
      </c>
      <c r="N241" s="114">
        <f>IF(N$201&gt;0, IF(O$201=0, 'Adjustment for previous period'!$G83, 0), 0)</f>
        <v>0</v>
      </c>
      <c r="O241" s="114">
        <f>IF(O$201&gt;0, IF(P$201=0, 'Adjustment for previous period'!$G83, 0), 0)</f>
        <v>0</v>
      </c>
      <c r="P241" s="114">
        <f>IF(P$201&gt;0, IF(Q$201=0, 'Adjustment for previous period'!$G83, 0), 0)</f>
        <v>0</v>
      </c>
      <c r="Q241" s="114">
        <f>IF(Q$201&gt;0, IF(R$201=0, 'Adjustment for previous period'!$G83, 0), 0)</f>
        <v>0</v>
      </c>
      <c r="R241" s="9"/>
      <c r="S241" s="12"/>
      <c r="T241" s="12"/>
      <c r="U241" s="12"/>
      <c r="V241" s="12"/>
      <c r="W241" s="12"/>
      <c r="X241" s="12"/>
      <c r="Y241" s="12"/>
      <c r="Z241" s="12"/>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row>
    <row r="242" spans="1:64" ht="12" hidden="1" customHeight="1" outlineLevel="1">
      <c r="A242" s="9"/>
      <c r="B242" s="9"/>
      <c r="C242" s="9"/>
      <c r="D242" s="278" t="str">
        <f>Asset9</f>
        <v>Land and Easements</v>
      </c>
      <c r="E242" s="9"/>
      <c r="F242" s="9"/>
      <c r="G242" s="9"/>
      <c r="H242" s="114"/>
      <c r="I242" s="114"/>
      <c r="J242" s="114"/>
      <c r="K242" s="114"/>
      <c r="L242" s="370">
        <f>IF(L$201&gt;0, IF(M$201=0, 'Adjustment for previous period'!$G84, 0), 0)</f>
        <v>0.55227577870444466</v>
      </c>
      <c r="M242" s="114">
        <f>IF(M$201&gt;0, IF(N$201=0, 'Adjustment for previous period'!$G84, 0), 0)</f>
        <v>0</v>
      </c>
      <c r="N242" s="114">
        <f>IF(N$201&gt;0, IF(O$201=0, 'Adjustment for previous period'!$G84, 0), 0)</f>
        <v>0</v>
      </c>
      <c r="O242" s="114">
        <f>IF(O$201&gt;0, IF(P$201=0, 'Adjustment for previous period'!$G84, 0), 0)</f>
        <v>0</v>
      </c>
      <c r="P242" s="114">
        <f>IF(P$201&gt;0, IF(Q$201=0, 'Adjustment for previous period'!$G84, 0), 0)</f>
        <v>0</v>
      </c>
      <c r="Q242" s="114">
        <f>IF(Q$201&gt;0, IF(R$201=0, 'Adjustment for previous period'!$G84, 0), 0)</f>
        <v>0</v>
      </c>
      <c r="R242" s="9"/>
      <c r="S242" s="12"/>
      <c r="T242" s="12"/>
      <c r="U242" s="12"/>
      <c r="V242" s="12"/>
      <c r="W242" s="12"/>
      <c r="X242" s="12"/>
      <c r="Y242" s="12"/>
      <c r="Z242" s="12"/>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row>
    <row r="243" spans="1:64" ht="12" hidden="1" customHeight="1" outlineLevel="1">
      <c r="A243" s="9"/>
      <c r="B243" s="9"/>
      <c r="C243" s="9"/>
      <c r="D243" s="278" t="str">
        <f>Asset10</f>
        <v>Transmission line assets - long life (60)</v>
      </c>
      <c r="E243" s="9"/>
      <c r="F243" s="9"/>
      <c r="G243" s="9"/>
      <c r="H243" s="114"/>
      <c r="I243" s="114"/>
      <c r="J243" s="114"/>
      <c r="K243" s="114"/>
      <c r="L243" s="370">
        <f>IF(L$201&gt;0, IF(M$201=0, 'Adjustment for previous period'!$G85, 0), 0)</f>
        <v>0</v>
      </c>
      <c r="M243" s="114">
        <f>IF(M$201&gt;0, IF(N$201=0, 'Adjustment for previous period'!$G85, 0), 0)</f>
        <v>0</v>
      </c>
      <c r="N243" s="114">
        <f>IF(N$201&gt;0, IF(O$201=0, 'Adjustment for previous period'!$G85, 0), 0)</f>
        <v>0</v>
      </c>
      <c r="O243" s="114">
        <f>IF(O$201&gt;0, IF(P$201=0, 'Adjustment for previous period'!$G85, 0), 0)</f>
        <v>0</v>
      </c>
      <c r="P243" s="114">
        <f>IF(P$201&gt;0, IF(Q$201=0, 'Adjustment for previous period'!$G85, 0), 0)</f>
        <v>0</v>
      </c>
      <c r="Q243" s="114">
        <f>IF(Q$201&gt;0, IF(R$201=0, 'Adjustment for previous period'!$G85, 0), 0)</f>
        <v>0</v>
      </c>
      <c r="R243" s="9"/>
      <c r="S243" s="12"/>
      <c r="T243" s="12"/>
      <c r="U243" s="12"/>
      <c r="V243" s="12"/>
      <c r="W243" s="12"/>
      <c r="X243" s="12"/>
      <c r="Y243" s="12"/>
      <c r="Z243" s="12"/>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row>
    <row r="244" spans="1:64" ht="12" hidden="1" customHeight="1" outlineLevel="1">
      <c r="A244" s="9"/>
      <c r="B244" s="9"/>
      <c r="C244" s="9"/>
      <c r="D244" s="278" t="str">
        <f>Asset11</f>
        <v>Transmission line assets - medium life (45)</v>
      </c>
      <c r="E244" s="9"/>
      <c r="F244" s="9"/>
      <c r="G244" s="9"/>
      <c r="H244" s="114"/>
      <c r="I244" s="114"/>
      <c r="J244" s="114"/>
      <c r="K244" s="114"/>
      <c r="L244" s="370">
        <f>IF(L$201&gt;0, IF(M$201=0, 'Adjustment for previous period'!$G86, 0), 0)</f>
        <v>0</v>
      </c>
      <c r="M244" s="114">
        <f>IF(M$201&gt;0, IF(N$201=0, 'Adjustment for previous period'!$G86, 0), 0)</f>
        <v>0</v>
      </c>
      <c r="N244" s="114">
        <f>IF(N$201&gt;0, IF(O$201=0, 'Adjustment for previous period'!$G86, 0), 0)</f>
        <v>0</v>
      </c>
      <c r="O244" s="114">
        <f>IF(O$201&gt;0, IF(P$201=0, 'Adjustment for previous period'!$G86, 0), 0)</f>
        <v>0</v>
      </c>
      <c r="P244" s="114">
        <f>IF(P$201&gt;0, IF(Q$201=0, 'Adjustment for previous period'!$G86, 0), 0)</f>
        <v>0</v>
      </c>
      <c r="Q244" s="114">
        <f>IF(Q$201&gt;0, IF(R$201=0, 'Adjustment for previous period'!$G86, 0), 0)</f>
        <v>0</v>
      </c>
      <c r="R244" s="9"/>
      <c r="S244" s="12"/>
      <c r="T244" s="12"/>
      <c r="U244" s="12"/>
      <c r="V244" s="12"/>
      <c r="W244" s="12"/>
      <c r="X244" s="12"/>
      <c r="Y244" s="12"/>
      <c r="Z244" s="12"/>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row>
    <row r="245" spans="1:64" ht="12" hidden="1" customHeight="1" outlineLevel="1">
      <c r="A245" s="9"/>
      <c r="B245" s="9"/>
      <c r="C245" s="9"/>
      <c r="D245" s="278" t="str">
        <f>Asset12</f>
        <v>Transmission line assets - short life (10)</v>
      </c>
      <c r="E245" s="9"/>
      <c r="F245" s="9"/>
      <c r="G245" s="9"/>
      <c r="H245" s="114"/>
      <c r="I245" s="114"/>
      <c r="J245" s="114"/>
      <c r="K245" s="114"/>
      <c r="L245" s="370">
        <f>IF(L$201&gt;0, IF(M$201=0, 'Adjustment for previous period'!$G87, 0), 0)</f>
        <v>0</v>
      </c>
      <c r="M245" s="114">
        <f>IF(M$201&gt;0, IF(N$201=0, 'Adjustment for previous period'!$G87, 0), 0)</f>
        <v>0</v>
      </c>
      <c r="N245" s="114">
        <f>IF(N$201&gt;0, IF(O$201=0, 'Adjustment for previous period'!$G87, 0), 0)</f>
        <v>0</v>
      </c>
      <c r="O245" s="114">
        <f>IF(O$201&gt;0, IF(P$201=0, 'Adjustment for previous period'!$G87, 0), 0)</f>
        <v>0</v>
      </c>
      <c r="P245" s="114">
        <f>IF(P$201&gt;0, IF(Q$201=0, 'Adjustment for previous period'!$G87, 0), 0)</f>
        <v>0</v>
      </c>
      <c r="Q245" s="114">
        <f>IF(Q$201&gt;0, IF(R$201=0, 'Adjustment for previous period'!$G87, 0), 0)</f>
        <v>0</v>
      </c>
      <c r="R245" s="9"/>
      <c r="S245" s="12"/>
      <c r="T245" s="12"/>
      <c r="U245" s="12"/>
      <c r="V245" s="12"/>
      <c r="W245" s="12"/>
      <c r="X245" s="12"/>
      <c r="Y245" s="12"/>
      <c r="Z245" s="12"/>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row>
    <row r="246" spans="1:64" ht="12" hidden="1" customHeight="1" outlineLevel="1">
      <c r="A246" s="9"/>
      <c r="B246" s="9"/>
      <c r="C246" s="9"/>
      <c r="D246" s="278" t="str">
        <f>Asset13</f>
        <v>Substation assets - long life (60)</v>
      </c>
      <c r="E246" s="9"/>
      <c r="F246" s="9"/>
      <c r="G246" s="9"/>
      <c r="H246" s="114"/>
      <c r="I246" s="114"/>
      <c r="J246" s="114"/>
      <c r="K246" s="114"/>
      <c r="L246" s="370">
        <f>IF(L$201&gt;0, IF(M$201=0, 'Adjustment for previous period'!$G88, 0), 0)</f>
        <v>0</v>
      </c>
      <c r="M246" s="114">
        <f>IF(M$201&gt;0, IF(N$201=0, 'Adjustment for previous period'!$G88, 0), 0)</f>
        <v>0</v>
      </c>
      <c r="N246" s="114">
        <f>IF(N$201&gt;0, IF(O$201=0, 'Adjustment for previous period'!$G88, 0), 0)</f>
        <v>0</v>
      </c>
      <c r="O246" s="114">
        <f>IF(O$201&gt;0, IF(P$201=0, 'Adjustment for previous period'!$G88, 0), 0)</f>
        <v>0</v>
      </c>
      <c r="P246" s="114">
        <f>IF(P$201&gt;0, IF(Q$201=0, 'Adjustment for previous period'!$G88, 0), 0)</f>
        <v>0</v>
      </c>
      <c r="Q246" s="114">
        <f>IF(Q$201&gt;0, IF(R$201=0, 'Adjustment for previous period'!$G88, 0), 0)</f>
        <v>0</v>
      </c>
      <c r="R246" s="9"/>
      <c r="S246" s="12"/>
      <c r="T246" s="12"/>
      <c r="U246" s="12"/>
      <c r="V246" s="12"/>
      <c r="W246" s="12"/>
      <c r="X246" s="12"/>
      <c r="Y246" s="12"/>
      <c r="Z246" s="12"/>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row>
    <row r="247" spans="1:64" ht="12" hidden="1" customHeight="1" outlineLevel="1">
      <c r="A247" s="9"/>
      <c r="B247" s="9"/>
      <c r="C247" s="9"/>
      <c r="D247" s="278" t="str">
        <f>Asset14</f>
        <v>Substation assets - medium life (45)</v>
      </c>
      <c r="E247" s="9"/>
      <c r="F247" s="9"/>
      <c r="G247" s="9"/>
      <c r="H247" s="114"/>
      <c r="I247" s="114"/>
      <c r="J247" s="114"/>
      <c r="K247" s="114"/>
      <c r="L247" s="370">
        <f>IF(L$201&gt;0, IF(M$201=0, 'Adjustment for previous period'!$G89, 0), 0)</f>
        <v>0</v>
      </c>
      <c r="M247" s="114">
        <f>IF(M$201&gt;0, IF(N$201=0, 'Adjustment for previous period'!$G89, 0), 0)</f>
        <v>0</v>
      </c>
      <c r="N247" s="114">
        <f>IF(N$201&gt;0, IF(O$201=0, 'Adjustment for previous period'!$G89, 0), 0)</f>
        <v>0</v>
      </c>
      <c r="O247" s="114">
        <f>IF(O$201&gt;0, IF(P$201=0, 'Adjustment for previous period'!$G89, 0), 0)</f>
        <v>0</v>
      </c>
      <c r="P247" s="114">
        <f>IF(P$201&gt;0, IF(Q$201=0, 'Adjustment for previous period'!$G89, 0), 0)</f>
        <v>0</v>
      </c>
      <c r="Q247" s="114">
        <f>IF(Q$201&gt;0, IF(R$201=0, 'Adjustment for previous period'!$G89, 0), 0)</f>
        <v>0</v>
      </c>
      <c r="R247" s="9"/>
      <c r="S247" s="12"/>
      <c r="T247" s="12"/>
      <c r="U247" s="12"/>
      <c r="V247" s="12"/>
      <c r="W247" s="12"/>
      <c r="X247" s="12"/>
      <c r="Y247" s="12"/>
      <c r="Z247" s="12"/>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row>
    <row r="248" spans="1:64" ht="12" hidden="1" customHeight="1" outlineLevel="1">
      <c r="A248" s="9"/>
      <c r="B248" s="9"/>
      <c r="C248" s="9"/>
      <c r="D248" s="278" t="str">
        <f>Asset15</f>
        <v>Substation assets - short life (15)</v>
      </c>
      <c r="E248" s="9"/>
      <c r="F248" s="9"/>
      <c r="G248" s="9"/>
      <c r="H248" s="114"/>
      <c r="I248" s="114"/>
      <c r="J248" s="114"/>
      <c r="K248" s="114"/>
      <c r="L248" s="370">
        <f>IF(L$201&gt;0, IF(M$201=0, 'Adjustment for previous period'!$G90, 0), 0)</f>
        <v>0</v>
      </c>
      <c r="M248" s="114">
        <f>IF(M$201&gt;0, IF(N$201=0, 'Adjustment for previous period'!$G90, 0), 0)</f>
        <v>0</v>
      </c>
      <c r="N248" s="114">
        <f>IF(N$201&gt;0, IF(O$201=0, 'Adjustment for previous period'!$G90, 0), 0)</f>
        <v>0</v>
      </c>
      <c r="O248" s="114">
        <f>IF(O$201&gt;0, IF(P$201=0, 'Adjustment for previous period'!$G90, 0), 0)</f>
        <v>0</v>
      </c>
      <c r="P248" s="114">
        <f>IF(P$201&gt;0, IF(Q$201=0, 'Adjustment for previous period'!$G90, 0), 0)</f>
        <v>0</v>
      </c>
      <c r="Q248" s="114">
        <f>IF(Q$201&gt;0, IF(R$201=0, 'Adjustment for previous period'!$G90, 0), 0)</f>
        <v>0</v>
      </c>
      <c r="R248" s="9"/>
      <c r="S248" s="12"/>
      <c r="T248" s="12"/>
      <c r="U248" s="12"/>
      <c r="V248" s="12"/>
      <c r="W248" s="12"/>
      <c r="X248" s="12"/>
      <c r="Y248" s="12"/>
      <c r="Z248" s="12"/>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row>
    <row r="249" spans="1:64" ht="12" hidden="1" customHeight="1" outlineLevel="1">
      <c r="A249" s="9"/>
      <c r="B249" s="9"/>
      <c r="C249" s="9"/>
      <c r="D249" s="278" t="str">
        <f>Asset16</f>
        <v>Protection and control - short life (15)</v>
      </c>
      <c r="E249" s="9"/>
      <c r="F249" s="9"/>
      <c r="G249" s="9"/>
      <c r="H249" s="114"/>
      <c r="I249" s="114"/>
      <c r="J249" s="114"/>
      <c r="K249" s="114"/>
      <c r="L249" s="370">
        <f>IF(L$201&gt;0, IF(M$201=0, 'Adjustment for previous period'!$G91, 0), 0)</f>
        <v>0</v>
      </c>
      <c r="M249" s="114">
        <f>IF(M$201&gt;0, IF(N$201=0, 'Adjustment for previous period'!$G91, 0), 0)</f>
        <v>0</v>
      </c>
      <c r="N249" s="114">
        <f>IF(N$201&gt;0, IF(O$201=0, 'Adjustment for previous period'!$G91, 0), 0)</f>
        <v>0</v>
      </c>
      <c r="O249" s="114">
        <f>IF(O$201&gt;0, IF(P$201=0, 'Adjustment for previous period'!$G91, 0), 0)</f>
        <v>0</v>
      </c>
      <c r="P249" s="114">
        <f>IF(P$201&gt;0, IF(Q$201=0, 'Adjustment for previous period'!$G91, 0), 0)</f>
        <v>0</v>
      </c>
      <c r="Q249" s="114">
        <f>IF(Q$201&gt;0, IF(R$201=0, 'Adjustment for previous period'!$G91, 0), 0)</f>
        <v>0</v>
      </c>
      <c r="R249" s="9"/>
      <c r="S249" s="12"/>
      <c r="T249" s="12"/>
      <c r="U249" s="12"/>
      <c r="V249" s="12"/>
      <c r="W249" s="12"/>
      <c r="X249" s="12"/>
      <c r="Y249" s="12"/>
      <c r="Z249" s="12"/>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row>
    <row r="250" spans="1:64" ht="12" hidden="1" customHeight="1" outlineLevel="1">
      <c r="A250" s="9"/>
      <c r="B250" s="9"/>
      <c r="C250" s="9"/>
      <c r="D250" s="278" t="str">
        <f>Asset17</f>
        <v>Protection and control - short life (4)</v>
      </c>
      <c r="E250" s="9"/>
      <c r="F250" s="9"/>
      <c r="G250" s="9"/>
      <c r="H250" s="114"/>
      <c r="I250" s="114"/>
      <c r="J250" s="114"/>
      <c r="K250" s="114"/>
      <c r="L250" s="370">
        <f>IF(L$201&gt;0, IF(M$201=0, 'Adjustment for previous period'!$G92, 0), 0)</f>
        <v>0</v>
      </c>
      <c r="M250" s="114">
        <f>IF(M$201&gt;0, IF(N$201=0, 'Adjustment for previous period'!$G92, 0), 0)</f>
        <v>0</v>
      </c>
      <c r="N250" s="114">
        <f>IF(N$201&gt;0, IF(O$201=0, 'Adjustment for previous period'!$G92, 0), 0)</f>
        <v>0</v>
      </c>
      <c r="O250" s="114">
        <f>IF(O$201&gt;0, IF(P$201=0, 'Adjustment for previous period'!$G92, 0), 0)</f>
        <v>0</v>
      </c>
      <c r="P250" s="114">
        <f>IF(P$201&gt;0, IF(Q$201=0, 'Adjustment for previous period'!$G92, 0), 0)</f>
        <v>0</v>
      </c>
      <c r="Q250" s="114">
        <f>IF(Q$201&gt;0, IF(R$201=0, 'Adjustment for previous period'!$G92, 0), 0)</f>
        <v>0</v>
      </c>
      <c r="R250" s="9"/>
      <c r="S250" s="12"/>
      <c r="T250" s="12"/>
      <c r="U250" s="12"/>
      <c r="V250" s="12"/>
      <c r="W250" s="12"/>
      <c r="X250" s="12"/>
      <c r="Y250" s="12"/>
      <c r="Z250" s="12"/>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row>
    <row r="251" spans="1:64" ht="12" hidden="1" customHeight="1" outlineLevel="1">
      <c r="A251" s="9"/>
      <c r="B251" s="9"/>
      <c r="C251" s="9"/>
      <c r="D251" s="278" t="str">
        <f>Asset18</f>
        <v>Transmission operations - short life (10)</v>
      </c>
      <c r="E251" s="9"/>
      <c r="F251" s="9"/>
      <c r="G251" s="9"/>
      <c r="H251" s="114"/>
      <c r="I251" s="114"/>
      <c r="J251" s="114"/>
      <c r="K251" s="114"/>
      <c r="L251" s="370">
        <f>IF(L$201&gt;0, IF(M$201=0, 'Adjustment for previous period'!$G93, 0), 0)</f>
        <v>0</v>
      </c>
      <c r="M251" s="114">
        <f>IF(M$201&gt;0, IF(N$201=0, 'Adjustment for previous period'!$G93, 0), 0)</f>
        <v>0</v>
      </c>
      <c r="N251" s="114">
        <f>IF(N$201&gt;0, IF(O$201=0, 'Adjustment for previous period'!$G93, 0), 0)</f>
        <v>0</v>
      </c>
      <c r="O251" s="114">
        <f>IF(O$201&gt;0, IF(P$201=0, 'Adjustment for previous period'!$G93, 0), 0)</f>
        <v>0</v>
      </c>
      <c r="P251" s="114">
        <f>IF(P$201&gt;0, IF(Q$201=0, 'Adjustment for previous period'!$G93, 0), 0)</f>
        <v>0</v>
      </c>
      <c r="Q251" s="114">
        <f>IF(Q$201&gt;0, IF(R$201=0, 'Adjustment for previous period'!$G93, 0), 0)</f>
        <v>0</v>
      </c>
      <c r="R251" s="9"/>
      <c r="S251" s="12"/>
      <c r="T251" s="12"/>
      <c r="U251" s="12"/>
      <c r="V251" s="12"/>
      <c r="W251" s="12"/>
      <c r="X251" s="12"/>
      <c r="Y251" s="12"/>
      <c r="Z251" s="12"/>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row>
    <row r="252" spans="1:64" ht="12" hidden="1" customHeight="1" outlineLevel="1">
      <c r="A252" s="9"/>
      <c r="B252" s="9"/>
      <c r="C252" s="9"/>
      <c r="D252" s="278" t="str">
        <f>Asset19</f>
        <v>Transmission operations - short life (4)</v>
      </c>
      <c r="E252" s="9"/>
      <c r="F252" s="9"/>
      <c r="G252" s="9"/>
      <c r="H252" s="114"/>
      <c r="I252" s="114"/>
      <c r="J252" s="114"/>
      <c r="K252" s="114"/>
      <c r="L252" s="370">
        <f>IF(L$201&gt;0, IF(M$201=0, 'Adjustment for previous period'!$G94, 0), 0)</f>
        <v>0</v>
      </c>
      <c r="M252" s="114">
        <f>IF(M$201&gt;0, IF(N$201=0, 'Adjustment for previous period'!$G94, 0), 0)</f>
        <v>0</v>
      </c>
      <c r="N252" s="114">
        <f>IF(N$201&gt;0, IF(O$201=0, 'Adjustment for previous period'!$G94, 0), 0)</f>
        <v>0</v>
      </c>
      <c r="O252" s="114">
        <f>IF(O$201&gt;0, IF(P$201=0, 'Adjustment for previous period'!$G94, 0), 0)</f>
        <v>0</v>
      </c>
      <c r="P252" s="114">
        <f>IF(P$201&gt;0, IF(Q$201=0, 'Adjustment for previous period'!$G94, 0), 0)</f>
        <v>0</v>
      </c>
      <c r="Q252" s="114">
        <f>IF(Q$201&gt;0, IF(R$201=0, 'Adjustment for previous period'!$G94, 0), 0)</f>
        <v>0</v>
      </c>
      <c r="R252" s="9"/>
      <c r="S252" s="12"/>
      <c r="T252" s="12"/>
      <c r="U252" s="12"/>
      <c r="V252" s="12"/>
      <c r="W252" s="12"/>
      <c r="X252" s="12"/>
      <c r="Y252" s="12"/>
      <c r="Z252" s="12"/>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row>
    <row r="253" spans="1:64" ht="12" hidden="1" customHeight="1" outlineLevel="1">
      <c r="A253" s="9"/>
      <c r="B253" s="9"/>
      <c r="C253" s="9"/>
      <c r="D253" s="278" t="str">
        <f>Asset20</f>
        <v>Other - medium life (40)</v>
      </c>
      <c r="E253" s="9"/>
      <c r="F253" s="9"/>
      <c r="G253" s="9"/>
      <c r="H253" s="114"/>
      <c r="I253" s="114"/>
      <c r="J253" s="114"/>
      <c r="K253" s="114"/>
      <c r="L253" s="370">
        <f>IF(L$201&gt;0, IF(M$201=0, 'Adjustment for previous period'!$G95, 0), 0)</f>
        <v>0</v>
      </c>
      <c r="M253" s="114">
        <f>IF(M$201&gt;0, IF(N$201=0, 'Adjustment for previous period'!$G95, 0), 0)</f>
        <v>0</v>
      </c>
      <c r="N253" s="114">
        <f>IF(N$201&gt;0, IF(O$201=0, 'Adjustment for previous period'!$G95, 0), 0)</f>
        <v>0</v>
      </c>
      <c r="O253" s="114">
        <f>IF(O$201&gt;0, IF(P$201=0, 'Adjustment for previous period'!$G95, 0), 0)</f>
        <v>0</v>
      </c>
      <c r="P253" s="114">
        <f>IF(P$201&gt;0, IF(Q$201=0, 'Adjustment for previous period'!$G95, 0), 0)</f>
        <v>0</v>
      </c>
      <c r="Q253" s="114">
        <f>IF(Q$201&gt;0, IF(R$201=0, 'Adjustment for previous period'!$G95, 0), 0)</f>
        <v>0</v>
      </c>
      <c r="R253" s="9"/>
      <c r="S253" s="12"/>
      <c r="T253" s="12"/>
      <c r="U253" s="12"/>
      <c r="V253" s="12"/>
      <c r="W253" s="12"/>
      <c r="X253" s="12"/>
      <c r="Y253" s="12"/>
      <c r="Z253" s="12"/>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row>
    <row r="254" spans="1:64" ht="12" hidden="1" customHeight="1" outlineLevel="1">
      <c r="A254" s="9"/>
      <c r="B254" s="9"/>
      <c r="C254" s="9"/>
      <c r="D254" s="278" t="str">
        <f>Asset21</f>
        <v>Other - short life (9)</v>
      </c>
      <c r="E254" s="9"/>
      <c r="F254" s="9"/>
      <c r="G254" s="9"/>
      <c r="H254" s="114"/>
      <c r="I254" s="114"/>
      <c r="J254" s="114"/>
      <c r="K254" s="114"/>
      <c r="L254" s="370">
        <f>IF(L$201&gt;0, IF(M$201=0, 'Adjustment for previous period'!$G96, 0), 0)</f>
        <v>0</v>
      </c>
      <c r="M254" s="114">
        <f>IF(M$201&gt;0, IF(N$201=0, 'Adjustment for previous period'!$G96, 0), 0)</f>
        <v>0</v>
      </c>
      <c r="N254" s="114">
        <f>IF(N$201&gt;0, IF(O$201=0, 'Adjustment for previous period'!$G96, 0), 0)</f>
        <v>0</v>
      </c>
      <c r="O254" s="114">
        <f>IF(O$201&gt;0, IF(P$201=0, 'Adjustment for previous period'!$G96, 0), 0)</f>
        <v>0</v>
      </c>
      <c r="P254" s="114">
        <f>IF(P$201&gt;0, IF(Q$201=0, 'Adjustment for previous period'!$G96, 0), 0)</f>
        <v>0</v>
      </c>
      <c r="Q254" s="114">
        <f>IF(Q$201&gt;0, IF(R$201=0, 'Adjustment for previous period'!$G96, 0), 0)</f>
        <v>0</v>
      </c>
      <c r="R254" s="9"/>
      <c r="S254" s="12"/>
      <c r="T254" s="12"/>
      <c r="U254" s="12"/>
      <c r="V254" s="12"/>
      <c r="W254" s="12"/>
      <c r="X254" s="12"/>
      <c r="Y254" s="12"/>
      <c r="Z254" s="12"/>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row>
    <row r="255" spans="1:64" ht="12" hidden="1" customHeight="1" outlineLevel="1">
      <c r="A255" s="9"/>
      <c r="B255" s="9"/>
      <c r="C255" s="9"/>
      <c r="D255" s="278" t="str">
        <f>Asset22</f>
        <v>Other - short life (4)</v>
      </c>
      <c r="E255" s="9"/>
      <c r="F255" s="9"/>
      <c r="G255" s="9"/>
      <c r="H255" s="114"/>
      <c r="I255" s="114"/>
      <c r="J255" s="114"/>
      <c r="K255" s="114"/>
      <c r="L255" s="370">
        <f>IF(L$201&gt;0, IF(M$201=0, 'Adjustment for previous period'!$G97, 0), 0)</f>
        <v>0</v>
      </c>
      <c r="M255" s="114">
        <f>IF(M$201&gt;0, IF(N$201=0, 'Adjustment for previous period'!$G97, 0), 0)</f>
        <v>0</v>
      </c>
      <c r="N255" s="114">
        <f>IF(N$201&gt;0, IF(O$201=0, 'Adjustment for previous period'!$G97, 0), 0)</f>
        <v>0</v>
      </c>
      <c r="O255" s="114">
        <f>IF(O$201&gt;0, IF(P$201=0, 'Adjustment for previous period'!$G97, 0), 0)</f>
        <v>0</v>
      </c>
      <c r="P255" s="114">
        <f>IF(P$201&gt;0, IF(Q$201=0, 'Adjustment for previous period'!$G97, 0), 0)</f>
        <v>0</v>
      </c>
      <c r="Q255" s="114">
        <f>IF(Q$201&gt;0, IF(R$201=0, 'Adjustment for previous period'!$G97, 0), 0)</f>
        <v>0</v>
      </c>
      <c r="R255" s="9"/>
      <c r="S255" s="12"/>
      <c r="T255" s="12"/>
      <c r="U255" s="12"/>
      <c r="V255" s="12"/>
      <c r="W255" s="12"/>
      <c r="X255" s="12"/>
      <c r="Y255" s="12"/>
      <c r="Z255" s="12"/>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row>
    <row r="256" spans="1:64" ht="12" hidden="1" customHeight="1" outlineLevel="1">
      <c r="A256" s="9"/>
      <c r="B256" s="9"/>
      <c r="C256" s="9"/>
      <c r="D256" s="278" t="str">
        <f>Asset23</f>
        <v>Land and Easements</v>
      </c>
      <c r="E256" s="9"/>
      <c r="F256" s="9"/>
      <c r="G256" s="9"/>
      <c r="H256" s="114"/>
      <c r="I256" s="114"/>
      <c r="J256" s="114"/>
      <c r="K256" s="114"/>
      <c r="L256" s="370">
        <f>IF(L$201&gt;0, IF(M$201=0, 'Adjustment for previous period'!$G98, 0), 0)</f>
        <v>0</v>
      </c>
      <c r="M256" s="114">
        <f>IF(M$201&gt;0, IF(N$201=0, 'Adjustment for previous period'!$G98, 0), 0)</f>
        <v>0</v>
      </c>
      <c r="N256" s="114">
        <f>IF(N$201&gt;0, IF(O$201=0, 'Adjustment for previous period'!$G98, 0), 0)</f>
        <v>0</v>
      </c>
      <c r="O256" s="114">
        <f>IF(O$201&gt;0, IF(P$201=0, 'Adjustment for previous period'!$G98, 0), 0)</f>
        <v>0</v>
      </c>
      <c r="P256" s="114">
        <f>IF(P$201&gt;0, IF(Q$201=0, 'Adjustment for previous period'!$G98, 0), 0)</f>
        <v>0</v>
      </c>
      <c r="Q256" s="114">
        <f>IF(Q$201&gt;0, IF(R$201=0, 'Adjustment for previous period'!$G98, 0), 0)</f>
        <v>0</v>
      </c>
      <c r="R256" s="9"/>
      <c r="S256" s="12"/>
      <c r="T256" s="12"/>
      <c r="U256" s="12"/>
      <c r="V256" s="12"/>
      <c r="W256" s="12"/>
      <c r="X256" s="12"/>
      <c r="Y256" s="12"/>
      <c r="Z256" s="12"/>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row>
    <row r="257" spans="1:64" ht="12" hidden="1" customHeight="1" outlineLevel="1">
      <c r="A257" s="9"/>
      <c r="B257" s="9"/>
      <c r="C257" s="9"/>
      <c r="D257" s="278" t="str">
        <f>Asset24</f>
        <v>Equity Raising</v>
      </c>
      <c r="E257" s="9"/>
      <c r="F257" s="9"/>
      <c r="G257" s="9"/>
      <c r="H257" s="114"/>
      <c r="I257" s="114"/>
      <c r="J257" s="114"/>
      <c r="K257" s="114"/>
      <c r="L257" s="370">
        <f>IF(L$201&gt;0, IF(M$201=0, 'Adjustment for previous period'!$G99, 0), 0)</f>
        <v>0</v>
      </c>
      <c r="M257" s="114">
        <f>IF(M$201&gt;0, IF(N$201=0, 'Adjustment for previous period'!$G99, 0), 0)</f>
        <v>0</v>
      </c>
      <c r="N257" s="114">
        <f>IF(N$201&gt;0, IF(O$201=0, 'Adjustment for previous period'!$G99, 0), 0)</f>
        <v>0</v>
      </c>
      <c r="O257" s="114">
        <f>IF(O$201&gt;0, IF(P$201=0, 'Adjustment for previous period'!$G99, 0), 0)</f>
        <v>0</v>
      </c>
      <c r="P257" s="114">
        <f>IF(P$201&gt;0, IF(Q$201=0, 'Adjustment for previous period'!$G99, 0), 0)</f>
        <v>0</v>
      </c>
      <c r="Q257" s="114">
        <f>IF(Q$201&gt;0, IF(R$201=0, 'Adjustment for previous period'!$G99, 0), 0)</f>
        <v>0</v>
      </c>
      <c r="R257" s="9"/>
      <c r="S257" s="12"/>
      <c r="T257" s="12"/>
      <c r="U257" s="12"/>
      <c r="V257" s="12"/>
      <c r="W257" s="12"/>
      <c r="X257" s="12"/>
      <c r="Y257" s="12"/>
      <c r="Z257" s="12"/>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row>
    <row r="258" spans="1:64" ht="12" hidden="1" customHeight="1" outlineLevel="1">
      <c r="A258" s="9"/>
      <c r="B258" s="9"/>
      <c r="C258" s="9"/>
      <c r="D258" s="278">
        <f>Asset25</f>
        <v>0</v>
      </c>
      <c r="E258" s="9"/>
      <c r="F258" s="9"/>
      <c r="G258" s="9"/>
      <c r="H258" s="114"/>
      <c r="I258" s="114"/>
      <c r="J258" s="114"/>
      <c r="K258" s="114"/>
      <c r="L258" s="370">
        <f>IF(L$201&gt;0, IF(M$201=0, 'Adjustment for previous period'!$G100, 0), 0)</f>
        <v>0</v>
      </c>
      <c r="M258" s="114">
        <f>IF(M$201&gt;0, IF(N$201=0, 'Adjustment for previous period'!$G100, 0), 0)</f>
        <v>0</v>
      </c>
      <c r="N258" s="114">
        <f>IF(N$201&gt;0, IF(O$201=0, 'Adjustment for previous period'!$G100, 0), 0)</f>
        <v>0</v>
      </c>
      <c r="O258" s="114">
        <f>IF(O$201&gt;0, IF(P$201=0, 'Adjustment for previous period'!$G100, 0), 0)</f>
        <v>0</v>
      </c>
      <c r="P258" s="114">
        <f>IF(P$201&gt;0, IF(Q$201=0, 'Adjustment for previous period'!$G100, 0), 0)</f>
        <v>0</v>
      </c>
      <c r="Q258" s="114">
        <f>IF(Q$201&gt;0, IF(R$201=0, 'Adjustment for previous period'!$G100, 0), 0)</f>
        <v>0</v>
      </c>
      <c r="R258" s="9"/>
      <c r="S258" s="12"/>
      <c r="T258" s="12"/>
      <c r="U258" s="12"/>
      <c r="V258" s="12"/>
      <c r="W258" s="12"/>
      <c r="X258" s="12"/>
      <c r="Y258" s="12"/>
      <c r="Z258" s="12"/>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row>
    <row r="259" spans="1:64" ht="12" hidden="1" customHeight="1" outlineLevel="1">
      <c r="A259" s="9"/>
      <c r="B259" s="9"/>
      <c r="C259" s="9"/>
      <c r="D259" s="278">
        <f>Asset26</f>
        <v>0</v>
      </c>
      <c r="E259" s="9"/>
      <c r="F259" s="9"/>
      <c r="G259" s="9"/>
      <c r="H259" s="114"/>
      <c r="I259" s="114"/>
      <c r="J259" s="114"/>
      <c r="K259" s="114"/>
      <c r="L259" s="370">
        <f>IF(L$201&gt;0, IF(M$201=0, 'Adjustment for previous period'!$G101, 0), 0)</f>
        <v>0</v>
      </c>
      <c r="M259" s="114">
        <f>IF(M$201&gt;0, IF(N$201=0, 'Adjustment for previous period'!$G101, 0), 0)</f>
        <v>0</v>
      </c>
      <c r="N259" s="114">
        <f>IF(N$201&gt;0, IF(O$201=0, 'Adjustment for previous period'!$G101, 0), 0)</f>
        <v>0</v>
      </c>
      <c r="O259" s="114">
        <f>IF(O$201&gt;0, IF(P$201=0, 'Adjustment for previous period'!$G101, 0), 0)</f>
        <v>0</v>
      </c>
      <c r="P259" s="114">
        <f>IF(P$201&gt;0, IF(Q$201=0, 'Adjustment for previous period'!$G101, 0), 0)</f>
        <v>0</v>
      </c>
      <c r="Q259" s="114">
        <f>IF(Q$201&gt;0, IF(R$201=0, 'Adjustment for previous period'!$G101, 0), 0)</f>
        <v>0</v>
      </c>
      <c r="R259" s="9"/>
      <c r="S259" s="12"/>
      <c r="T259" s="12"/>
      <c r="U259" s="12"/>
      <c r="V259" s="12"/>
      <c r="W259" s="12"/>
      <c r="X259" s="12"/>
      <c r="Y259" s="12"/>
      <c r="Z259" s="12"/>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row>
    <row r="260" spans="1:64" ht="12" hidden="1" customHeight="1" outlineLevel="1">
      <c r="A260" s="9"/>
      <c r="B260" s="9"/>
      <c r="C260" s="9"/>
      <c r="D260" s="278">
        <f>Asset27</f>
        <v>0</v>
      </c>
      <c r="E260" s="9"/>
      <c r="F260" s="9"/>
      <c r="G260" s="9"/>
      <c r="H260" s="114"/>
      <c r="I260" s="114"/>
      <c r="J260" s="114"/>
      <c r="K260" s="114"/>
      <c r="L260" s="370">
        <f>IF(L$201&gt;0, IF(M$201=0, 'Adjustment for previous period'!$G102, 0), 0)</f>
        <v>0</v>
      </c>
      <c r="M260" s="114">
        <f>IF(M$201&gt;0, IF(N$201=0, 'Adjustment for previous period'!$G102, 0), 0)</f>
        <v>0</v>
      </c>
      <c r="N260" s="114">
        <f>IF(N$201&gt;0, IF(O$201=0, 'Adjustment for previous period'!$G102, 0), 0)</f>
        <v>0</v>
      </c>
      <c r="O260" s="114">
        <f>IF(O$201&gt;0, IF(P$201=0, 'Adjustment for previous period'!$G102, 0), 0)</f>
        <v>0</v>
      </c>
      <c r="P260" s="114">
        <f>IF(P$201&gt;0, IF(Q$201=0, 'Adjustment for previous period'!$G102, 0), 0)</f>
        <v>0</v>
      </c>
      <c r="Q260" s="114">
        <f>IF(Q$201&gt;0, IF(R$201=0, 'Adjustment for previous period'!$G102, 0), 0)</f>
        <v>0</v>
      </c>
      <c r="R260" s="9"/>
      <c r="S260" s="12"/>
      <c r="T260" s="12"/>
      <c r="U260" s="12"/>
      <c r="V260" s="12"/>
      <c r="W260" s="12"/>
      <c r="X260" s="12"/>
      <c r="Y260" s="12"/>
      <c r="Z260" s="12"/>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row>
    <row r="261" spans="1:64" ht="12" hidden="1" customHeight="1" outlineLevel="1">
      <c r="A261" s="9"/>
      <c r="B261" s="9"/>
      <c r="C261" s="9"/>
      <c r="D261" s="278">
        <f>Asset28</f>
        <v>0</v>
      </c>
      <c r="E261" s="9"/>
      <c r="F261" s="9"/>
      <c r="G261" s="9"/>
      <c r="H261" s="114"/>
      <c r="I261" s="114"/>
      <c r="J261" s="114"/>
      <c r="K261" s="114"/>
      <c r="L261" s="370">
        <f>IF(L$201&gt;0, IF(M$201=0, 'Adjustment for previous period'!$G103, 0), 0)</f>
        <v>0</v>
      </c>
      <c r="M261" s="114">
        <f>IF(M$201&gt;0, IF(N$201=0, 'Adjustment for previous period'!$G103, 0), 0)</f>
        <v>0</v>
      </c>
      <c r="N261" s="114">
        <f>IF(N$201&gt;0, IF(O$201=0, 'Adjustment for previous period'!$G103, 0), 0)</f>
        <v>0</v>
      </c>
      <c r="O261" s="114">
        <f>IF(O$201&gt;0, IF(P$201=0, 'Adjustment for previous period'!$G103, 0), 0)</f>
        <v>0</v>
      </c>
      <c r="P261" s="114">
        <f>IF(P$201&gt;0, IF(Q$201=0, 'Adjustment for previous period'!$G103, 0), 0)</f>
        <v>0</v>
      </c>
      <c r="Q261" s="114">
        <f>IF(Q$201&gt;0, IF(R$201=0, 'Adjustment for previous period'!$G103, 0), 0)</f>
        <v>0</v>
      </c>
      <c r="R261" s="9"/>
      <c r="S261" s="12"/>
      <c r="T261" s="12"/>
      <c r="U261" s="12"/>
      <c r="V261" s="12"/>
      <c r="W261" s="12"/>
      <c r="X261" s="12"/>
      <c r="Y261" s="12"/>
      <c r="Z261" s="12"/>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row>
    <row r="262" spans="1:64" ht="12" hidden="1" customHeight="1" outlineLevel="1">
      <c r="A262" s="9"/>
      <c r="B262" s="9"/>
      <c r="C262" s="9"/>
      <c r="D262" s="278">
        <f>Asset29</f>
        <v>0</v>
      </c>
      <c r="E262" s="9"/>
      <c r="F262" s="9"/>
      <c r="G262" s="9"/>
      <c r="H262" s="114"/>
      <c r="I262" s="114"/>
      <c r="J262" s="114"/>
      <c r="K262" s="114"/>
      <c r="L262" s="370">
        <f>IF(L$201&gt;0, IF(M$201=0, 'Adjustment for previous period'!$G104, 0), 0)</f>
        <v>0</v>
      </c>
      <c r="M262" s="114">
        <f>IF(M$201&gt;0, IF(N$201=0, 'Adjustment for previous period'!$G104, 0), 0)</f>
        <v>0</v>
      </c>
      <c r="N262" s="114">
        <f>IF(N$201&gt;0, IF(O$201=0, 'Adjustment for previous period'!$G104, 0), 0)</f>
        <v>0</v>
      </c>
      <c r="O262" s="114">
        <f>IF(O$201&gt;0, IF(P$201=0, 'Adjustment for previous period'!$G104, 0), 0)</f>
        <v>0</v>
      </c>
      <c r="P262" s="114">
        <f>IF(P$201&gt;0, IF(Q$201=0, 'Adjustment for previous period'!$G104, 0), 0)</f>
        <v>0</v>
      </c>
      <c r="Q262" s="114">
        <f>IF(Q$201&gt;0, IF(R$201=0, 'Adjustment for previous period'!$G104, 0), 0)</f>
        <v>0</v>
      </c>
      <c r="R262" s="9"/>
      <c r="S262" s="12"/>
      <c r="T262" s="12"/>
      <c r="U262" s="12"/>
      <c r="V262" s="12"/>
      <c r="W262" s="12"/>
      <c r="X262" s="12"/>
      <c r="Y262" s="12"/>
      <c r="Z262" s="12"/>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row>
    <row r="263" spans="1:64" ht="12" hidden="1" customHeight="1" outlineLevel="1">
      <c r="A263" s="9"/>
      <c r="B263" s="9"/>
      <c r="C263" s="9"/>
      <c r="D263" s="278">
        <f>Asset30</f>
        <v>0</v>
      </c>
      <c r="E263" s="9"/>
      <c r="F263" s="9"/>
      <c r="G263" s="9"/>
      <c r="H263" s="114"/>
      <c r="I263" s="114"/>
      <c r="J263" s="114"/>
      <c r="K263" s="114"/>
      <c r="L263" s="370">
        <f>IF(L$201&gt;0, IF(M$201=0, 'Adjustment for previous period'!$G105, 0), 0)</f>
        <v>0</v>
      </c>
      <c r="M263" s="114">
        <f>IF(M$201&gt;0, IF(N$201=0, 'Adjustment for previous period'!$G105, 0), 0)</f>
        <v>0</v>
      </c>
      <c r="N263" s="114">
        <f>IF(N$201&gt;0, IF(O$201=0, 'Adjustment for previous period'!$G105, 0), 0)</f>
        <v>0</v>
      </c>
      <c r="O263" s="114">
        <f>IF(O$201&gt;0, IF(P$201=0, 'Adjustment for previous period'!$G105, 0), 0)</f>
        <v>0</v>
      </c>
      <c r="P263" s="114">
        <f>IF(P$201&gt;0, IF(Q$201=0, 'Adjustment for previous period'!$G105, 0), 0)</f>
        <v>0</v>
      </c>
      <c r="Q263" s="114">
        <f>IF(Q$201&gt;0, IF(R$201=0, 'Adjustment for previous period'!$G105, 0), 0)</f>
        <v>0</v>
      </c>
      <c r="R263" s="9"/>
      <c r="S263" s="12"/>
      <c r="T263" s="12"/>
      <c r="U263" s="12"/>
      <c r="V263" s="12"/>
      <c r="W263" s="12"/>
      <c r="X263" s="12"/>
      <c r="Y263" s="12"/>
      <c r="Z263" s="12"/>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row>
    <row r="264" spans="1:64" ht="12" customHeight="1" collapsed="1">
      <c r="A264" s="9"/>
      <c r="B264" s="9"/>
      <c r="C264" s="9"/>
      <c r="D264" s="9"/>
      <c r="E264" s="9"/>
      <c r="F264" s="9"/>
      <c r="G264" s="9"/>
      <c r="H264" s="9"/>
      <c r="I264" s="9"/>
      <c r="J264" s="9"/>
      <c r="K264" s="9"/>
      <c r="L264" s="371"/>
      <c r="M264" s="9"/>
      <c r="N264" s="12"/>
      <c r="O264" s="9"/>
      <c r="P264" s="9"/>
      <c r="Q264" s="9"/>
      <c r="R264" s="9"/>
      <c r="S264" s="12"/>
      <c r="T264" s="12"/>
      <c r="U264" s="12"/>
      <c r="V264" s="12"/>
      <c r="W264" s="12"/>
      <c r="X264" s="12"/>
      <c r="Y264" s="12"/>
      <c r="Z264" s="12"/>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row>
    <row r="265" spans="1:64" ht="12" customHeight="1">
      <c r="A265" s="9"/>
      <c r="B265" s="12"/>
      <c r="C265" s="94" t="s">
        <v>54</v>
      </c>
      <c r="D265" s="12"/>
      <c r="E265" s="12"/>
      <c r="F265" s="12"/>
      <c r="G265" s="117"/>
      <c r="H265" s="121"/>
      <c r="I265" s="121"/>
      <c r="J265" s="121"/>
      <c r="K265" s="121"/>
      <c r="L265" s="205">
        <f t="shared" ref="L265:Q265" si="16">SUM(L266:L295)</f>
        <v>-7.6718379813846251</v>
      </c>
      <c r="M265" s="121">
        <f t="shared" si="16"/>
        <v>0</v>
      </c>
      <c r="N265" s="121">
        <f t="shared" si="16"/>
        <v>0</v>
      </c>
      <c r="O265" s="121">
        <f t="shared" si="16"/>
        <v>0</v>
      </c>
      <c r="P265" s="121">
        <f t="shared" si="16"/>
        <v>0</v>
      </c>
      <c r="Q265" s="121">
        <f t="shared" si="16"/>
        <v>0</v>
      </c>
      <c r="R265" s="9"/>
      <c r="S265" s="12"/>
      <c r="T265" s="12"/>
      <c r="U265" s="12"/>
      <c r="V265" s="12"/>
      <c r="W265" s="12"/>
      <c r="X265" s="12"/>
      <c r="Y265" s="12"/>
      <c r="Z265" s="12"/>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row>
    <row r="266" spans="1:64" ht="12" hidden="1" customHeight="1" outlineLevel="1">
      <c r="A266" s="9"/>
      <c r="B266" s="9"/>
      <c r="C266" s="9"/>
      <c r="D266" s="278" t="str">
        <f>Asset1</f>
        <v>Transmission Lines and Cables</v>
      </c>
      <c r="E266" s="9"/>
      <c r="F266" s="9"/>
      <c r="G266" s="9"/>
      <c r="H266" s="114"/>
      <c r="I266" s="114"/>
      <c r="J266" s="114"/>
      <c r="K266" s="114"/>
      <c r="L266" s="370">
        <f>IF(M$201=0, 'Adjustment for previous period'!L109, 0)</f>
        <v>1.3372866594018344</v>
      </c>
      <c r="M266" s="114">
        <f>IF(N$201=0, 'Adjustment for previous period'!M109, 0)</f>
        <v>0</v>
      </c>
      <c r="N266" s="114">
        <f>IF(O$201=0, 'Adjustment for previous period'!N109, 0)</f>
        <v>0</v>
      </c>
      <c r="O266" s="114">
        <f>IF(P$201=0, 'Adjustment for previous period'!O109, 0)</f>
        <v>0</v>
      </c>
      <c r="P266" s="114">
        <f>IF(Q$201=0, 'Adjustment for previous period'!P109, 0)</f>
        <v>0</v>
      </c>
      <c r="Q266" s="114">
        <f>IF(R$201=0, 'Adjustment for previous period'!Q109, 0)</f>
        <v>0</v>
      </c>
      <c r="R266" s="9"/>
      <c r="S266" s="12"/>
      <c r="T266" s="12"/>
      <c r="U266" s="12"/>
      <c r="V266" s="12"/>
      <c r="W266" s="12"/>
      <c r="X266" s="12"/>
      <c r="Y266" s="12"/>
      <c r="Z266" s="12"/>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row>
    <row r="267" spans="1:64" hidden="1" outlineLevel="1">
      <c r="A267" s="9"/>
      <c r="B267" s="9"/>
      <c r="C267" s="9"/>
      <c r="D267" s="278" t="str">
        <f>Asset2</f>
        <v>Transmission Substations</v>
      </c>
      <c r="E267" s="9"/>
      <c r="F267" s="9"/>
      <c r="G267" s="9"/>
      <c r="H267" s="114"/>
      <c r="I267" s="114"/>
      <c r="J267" s="114"/>
      <c r="K267" s="114"/>
      <c r="L267" s="370">
        <f>IF(M$201=0, 'Adjustment for previous period'!L111, 0)</f>
        <v>-13.923370329140083</v>
      </c>
      <c r="M267" s="114">
        <f>IF(N$201=0, 'Adjustment for previous period'!M111, 0)</f>
        <v>0</v>
      </c>
      <c r="N267" s="114">
        <f>IF(O$201=0, 'Adjustment for previous period'!N111, 0)</f>
        <v>0</v>
      </c>
      <c r="O267" s="114">
        <f>IF(P$201=0, 'Adjustment for previous period'!O111, 0)</f>
        <v>0</v>
      </c>
      <c r="P267" s="114">
        <f>IF(Q$201=0, 'Adjustment for previous period'!P111, 0)</f>
        <v>0</v>
      </c>
      <c r="Q267" s="114">
        <f>IF(R$201=0, 'Adjustment for previous period'!Q111, 0)</f>
        <v>0</v>
      </c>
      <c r="R267" s="29"/>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27"/>
      <c r="BL267" s="227"/>
    </row>
    <row r="268" spans="1:64" ht="12" hidden="1" customHeight="1" outlineLevel="1">
      <c r="A268" s="9"/>
      <c r="B268" s="9"/>
      <c r="C268" s="9"/>
      <c r="D268" s="278" t="str">
        <f>Asset3</f>
        <v>Protection and Control</v>
      </c>
      <c r="E268" s="9"/>
      <c r="F268" s="9"/>
      <c r="G268" s="9"/>
      <c r="H268" s="114"/>
      <c r="I268" s="114"/>
      <c r="J268" s="114"/>
      <c r="K268" s="114"/>
      <c r="L268" s="370">
        <f>IF(M$201=0, 'Adjustment for previous period'!L113, 0)</f>
        <v>-1.5263530874081388</v>
      </c>
      <c r="M268" s="114">
        <f>IF(N$201=0, 'Adjustment for previous period'!M113, 0)</f>
        <v>0</v>
      </c>
      <c r="N268" s="114">
        <f>IF(O$201=0, 'Adjustment for previous period'!N113, 0)</f>
        <v>0</v>
      </c>
      <c r="O268" s="114">
        <f>IF(P$201=0, 'Adjustment for previous period'!O113, 0)</f>
        <v>0</v>
      </c>
      <c r="P268" s="114">
        <f>IF(Q$201=0, 'Adjustment for previous period'!P113, 0)</f>
        <v>0</v>
      </c>
      <c r="Q268" s="114">
        <f>IF(R$201=0, 'Adjustment for previous period'!Q113, 0)</f>
        <v>0</v>
      </c>
      <c r="R268" s="9"/>
      <c r="S268" s="12"/>
      <c r="T268" s="12"/>
      <c r="U268" s="12"/>
      <c r="V268" s="12"/>
      <c r="W268" s="12"/>
      <c r="X268" s="12"/>
      <c r="Y268" s="12"/>
      <c r="Z268" s="12"/>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row>
    <row r="269" spans="1:64" ht="12" hidden="1" customHeight="1" outlineLevel="1">
      <c r="A269" s="9"/>
      <c r="B269" s="9"/>
      <c r="C269" s="9"/>
      <c r="D269" s="278" t="str">
        <f>Asset4</f>
        <v>Refurbishment</v>
      </c>
      <c r="E269" s="9"/>
      <c r="F269" s="9"/>
      <c r="G269" s="9"/>
      <c r="H269" s="114"/>
      <c r="I269" s="114"/>
      <c r="J269" s="114"/>
      <c r="K269" s="114"/>
      <c r="L269" s="370">
        <f>IF(M$201=0, 'Adjustment for previous period'!L115, 0)</f>
        <v>0</v>
      </c>
      <c r="M269" s="114">
        <f>IF(N$201=0, 'Adjustment for previous period'!M115, 0)</f>
        <v>0</v>
      </c>
      <c r="N269" s="114">
        <f>IF(O$201=0, 'Adjustment for previous period'!N115, 0)</f>
        <v>0</v>
      </c>
      <c r="O269" s="114">
        <f>IF(P$201=0, 'Adjustment for previous period'!O115, 0)</f>
        <v>0</v>
      </c>
      <c r="P269" s="114">
        <f>IF(Q$201=0, 'Adjustment for previous period'!P115, 0)</f>
        <v>0</v>
      </c>
      <c r="Q269" s="114">
        <f>IF(R$201=0, 'Adjustment for previous period'!Q115, 0)</f>
        <v>0</v>
      </c>
      <c r="R269" s="9"/>
      <c r="S269" s="12"/>
      <c r="T269" s="12"/>
      <c r="U269" s="12"/>
      <c r="V269" s="12"/>
      <c r="W269" s="12"/>
      <c r="X269" s="12"/>
      <c r="Y269" s="12"/>
      <c r="Z269" s="12"/>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row>
    <row r="270" spans="1:64" ht="12" hidden="1" customHeight="1" outlineLevel="1">
      <c r="A270" s="9"/>
      <c r="B270" s="9"/>
      <c r="C270" s="9"/>
      <c r="D270" s="278" t="str">
        <f>Asset5</f>
        <v>Other</v>
      </c>
      <c r="E270" s="9"/>
      <c r="F270" s="9"/>
      <c r="G270" s="9"/>
      <c r="H270" s="114"/>
      <c r="I270" s="114"/>
      <c r="J270" s="114"/>
      <c r="K270" s="114"/>
      <c r="L270" s="370">
        <f>IF(M$201=0, 'Adjustment for previous period'!L117, 0)</f>
        <v>-3.279647781848017E-3</v>
      </c>
      <c r="M270" s="114">
        <f>IF(N$201=0, 'Adjustment for previous period'!M117, 0)</f>
        <v>0</v>
      </c>
      <c r="N270" s="114">
        <f>IF(O$201=0, 'Adjustment for previous period'!N117, 0)</f>
        <v>0</v>
      </c>
      <c r="O270" s="114">
        <f>IF(P$201=0, 'Adjustment for previous period'!O117, 0)</f>
        <v>0</v>
      </c>
      <c r="P270" s="114">
        <f>IF(Q$201=0, 'Adjustment for previous period'!P117, 0)</f>
        <v>0</v>
      </c>
      <c r="Q270" s="114">
        <f>IF(R$201=0, 'Adjustment for previous period'!Q117, 0)</f>
        <v>0</v>
      </c>
      <c r="R270" s="9"/>
      <c r="S270" s="12"/>
      <c r="T270" s="12"/>
      <c r="U270" s="12"/>
      <c r="V270" s="12"/>
      <c r="W270" s="12"/>
      <c r="X270" s="12"/>
      <c r="Y270" s="12"/>
      <c r="Z270" s="12"/>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row>
    <row r="271" spans="1:64" hidden="1" outlineLevel="1">
      <c r="A271" s="9"/>
      <c r="B271" s="9"/>
      <c r="C271" s="9"/>
      <c r="D271" s="278" t="str">
        <f>Asset6</f>
        <v>Other - IT</v>
      </c>
      <c r="E271" s="9"/>
      <c r="F271" s="9"/>
      <c r="G271" s="9"/>
      <c r="H271" s="114"/>
      <c r="I271" s="114"/>
      <c r="J271" s="114"/>
      <c r="K271" s="114"/>
      <c r="L271" s="370">
        <f>IF(M$201=0, 'Adjustment for previous period'!L119, 0)</f>
        <v>3.4482440015063216</v>
      </c>
      <c r="M271" s="114">
        <f>IF(N$201=0, 'Adjustment for previous period'!M119, 0)</f>
        <v>0</v>
      </c>
      <c r="N271" s="114">
        <f>IF(O$201=0, 'Adjustment for previous period'!N119, 0)</f>
        <v>0</v>
      </c>
      <c r="O271" s="114">
        <f>IF(P$201=0, 'Adjustment for previous period'!O119, 0)</f>
        <v>0</v>
      </c>
      <c r="P271" s="114">
        <f>IF(Q$201=0, 'Adjustment for previous period'!P119, 0)</f>
        <v>0</v>
      </c>
      <c r="Q271" s="114">
        <f>IF(R$201=0, 'Adjustment for previous period'!Q119, 0)</f>
        <v>0</v>
      </c>
      <c r="R271" s="9"/>
      <c r="S271" s="12"/>
      <c r="T271" s="12"/>
      <c r="U271" s="12"/>
      <c r="V271" s="12"/>
      <c r="W271" s="12"/>
      <c r="X271" s="12"/>
      <c r="Y271" s="12"/>
      <c r="Z271" s="12"/>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row>
    <row r="272" spans="1:64" hidden="1" outlineLevel="1">
      <c r="A272" s="9"/>
      <c r="B272" s="9"/>
      <c r="C272" s="9"/>
      <c r="D272" s="278" t="str">
        <f>Asset7</f>
        <v>Other - General</v>
      </c>
      <c r="E272" s="9"/>
      <c r="F272" s="9"/>
      <c r="G272" s="9"/>
      <c r="H272" s="114"/>
      <c r="I272" s="114"/>
      <c r="J272" s="114"/>
      <c r="K272" s="114"/>
      <c r="L272" s="370">
        <f>IF(M$201=0, 'Adjustment for previous period'!L121, 0)</f>
        <v>0.79564255187632937</v>
      </c>
      <c r="M272" s="114">
        <f>IF(N$201=0, 'Adjustment for previous period'!M121, 0)</f>
        <v>0</v>
      </c>
      <c r="N272" s="114">
        <f>IF(O$201=0, 'Adjustment for previous period'!N121, 0)</f>
        <v>0</v>
      </c>
      <c r="O272" s="114">
        <f>IF(P$201=0, 'Adjustment for previous period'!O121, 0)</f>
        <v>0</v>
      </c>
      <c r="P272" s="114">
        <f>IF(Q$201=0, 'Adjustment for previous period'!P121, 0)</f>
        <v>0</v>
      </c>
      <c r="Q272" s="114">
        <f>IF(R$201=0, 'Adjustment for previous period'!Q121, 0)</f>
        <v>0</v>
      </c>
      <c r="R272" s="9"/>
      <c r="S272" s="9"/>
      <c r="T272" s="9"/>
      <c r="U272" s="9"/>
      <c r="V272" s="9"/>
      <c r="W272" s="9"/>
      <c r="X272" s="9"/>
      <c r="Y272" s="9"/>
      <c r="Z272" s="9"/>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row>
    <row r="273" spans="1:64" hidden="1" outlineLevel="1">
      <c r="A273" s="9"/>
      <c r="B273" s="9"/>
      <c r="C273" s="9"/>
      <c r="D273" s="278" t="str">
        <f>Asset8</f>
        <v>Other - Buildings</v>
      </c>
      <c r="E273" s="9"/>
      <c r="F273" s="9"/>
      <c r="G273" s="9"/>
      <c r="H273" s="114"/>
      <c r="I273" s="114"/>
      <c r="J273" s="114"/>
      <c r="K273" s="114"/>
      <c r="L273" s="370">
        <f>IF(M$201=0, 'Adjustment for previous period'!L123, 0)</f>
        <v>1.858940605026032</v>
      </c>
      <c r="M273" s="114">
        <f>IF(N$201=0, 'Adjustment for previous period'!M123, 0)</f>
        <v>0</v>
      </c>
      <c r="N273" s="114">
        <f>IF(O$201=0, 'Adjustment for previous period'!N123, 0)</f>
        <v>0</v>
      </c>
      <c r="O273" s="114">
        <f>IF(P$201=0, 'Adjustment for previous period'!O123, 0)</f>
        <v>0</v>
      </c>
      <c r="P273" s="114">
        <f>IF(Q$201=0, 'Adjustment for previous period'!P123, 0)</f>
        <v>0</v>
      </c>
      <c r="Q273" s="114">
        <f>IF(R$201=0, 'Adjustment for previous period'!Q123, 0)</f>
        <v>0</v>
      </c>
      <c r="R273" s="9"/>
      <c r="S273" s="9"/>
      <c r="T273" s="9"/>
      <c r="U273" s="9"/>
      <c r="V273" s="9"/>
      <c r="W273" s="9"/>
      <c r="X273" s="9"/>
      <c r="Y273" s="9"/>
      <c r="Z273" s="9"/>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row>
    <row r="274" spans="1:64" hidden="1" outlineLevel="1">
      <c r="A274" s="9"/>
      <c r="B274" s="9"/>
      <c r="C274" s="9"/>
      <c r="D274" s="278" t="str">
        <f>Asset9</f>
        <v>Land and Easements</v>
      </c>
      <c r="E274" s="9"/>
      <c r="F274" s="9"/>
      <c r="G274" s="9"/>
      <c r="H274" s="114"/>
      <c r="I274" s="114"/>
      <c r="J274" s="114"/>
      <c r="K274" s="114"/>
      <c r="L274" s="370">
        <f>IF(M$201=0, 'Adjustment for previous period'!L125, 0)</f>
        <v>0.34105126513492962</v>
      </c>
      <c r="M274" s="114">
        <f>IF(N$201=0, 'Adjustment for previous period'!M125, 0)</f>
        <v>0</v>
      </c>
      <c r="N274" s="114">
        <f>IF(O$201=0, 'Adjustment for previous period'!N125, 0)</f>
        <v>0</v>
      </c>
      <c r="O274" s="114">
        <f>IF(P$201=0, 'Adjustment for previous period'!O125, 0)</f>
        <v>0</v>
      </c>
      <c r="P274" s="114">
        <f>IF(Q$201=0, 'Adjustment for previous period'!P125, 0)</f>
        <v>0</v>
      </c>
      <c r="Q274" s="114">
        <f>IF(R$201=0, 'Adjustment for previous period'!Q125, 0)</f>
        <v>0</v>
      </c>
      <c r="R274" s="9"/>
      <c r="S274" s="9"/>
      <c r="T274" s="9"/>
      <c r="U274" s="9"/>
      <c r="V274" s="9"/>
      <c r="W274" s="9"/>
      <c r="X274" s="9"/>
      <c r="Y274" s="9"/>
      <c r="Z274" s="9"/>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row>
    <row r="275" spans="1:64" hidden="1" outlineLevel="1">
      <c r="A275" s="9"/>
      <c r="B275" s="9"/>
      <c r="C275" s="9"/>
      <c r="D275" s="278" t="str">
        <f>Asset10</f>
        <v>Transmission line assets - long life (60)</v>
      </c>
      <c r="E275" s="9"/>
      <c r="F275" s="9"/>
      <c r="G275" s="9"/>
      <c r="H275" s="114"/>
      <c r="I275" s="114"/>
      <c r="J275" s="114"/>
      <c r="K275" s="114"/>
      <c r="L275" s="370">
        <f>IF(M$201=0, 'Adjustment for previous period'!L127, 0)</f>
        <v>0</v>
      </c>
      <c r="M275" s="114">
        <f>IF(N$201=0, 'Adjustment for previous period'!M127, 0)</f>
        <v>0</v>
      </c>
      <c r="N275" s="114">
        <f>IF(O$201=0, 'Adjustment for previous period'!N127, 0)</f>
        <v>0</v>
      </c>
      <c r="O275" s="114">
        <f>IF(P$201=0, 'Adjustment for previous period'!O127, 0)</f>
        <v>0</v>
      </c>
      <c r="P275" s="114">
        <f>IF(Q$201=0, 'Adjustment for previous period'!P127, 0)</f>
        <v>0</v>
      </c>
      <c r="Q275" s="114">
        <f>IF(R$201=0, 'Adjustment for previous period'!Q127, 0)</f>
        <v>0</v>
      </c>
      <c r="R275" s="9"/>
      <c r="S275" s="9"/>
      <c r="T275" s="9"/>
      <c r="U275" s="9"/>
      <c r="V275" s="9"/>
      <c r="W275" s="9"/>
      <c r="X275" s="9"/>
      <c r="Y275" s="9"/>
      <c r="Z275" s="9"/>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row>
    <row r="276" spans="1:64" hidden="1" outlineLevel="1">
      <c r="A276" s="9"/>
      <c r="B276" s="9"/>
      <c r="C276" s="9"/>
      <c r="D276" s="278" t="str">
        <f>Asset11</f>
        <v>Transmission line assets - medium life (45)</v>
      </c>
      <c r="E276" s="9"/>
      <c r="F276" s="9"/>
      <c r="G276" s="9"/>
      <c r="H276" s="114"/>
      <c r="I276" s="114"/>
      <c r="J276" s="114"/>
      <c r="K276" s="114"/>
      <c r="L276" s="370">
        <f>IF(M$201=0, 'Adjustment for previous period'!L129, 0)</f>
        <v>0</v>
      </c>
      <c r="M276" s="114">
        <f>IF(N$201=0, 'Adjustment for previous period'!M129, 0)</f>
        <v>0</v>
      </c>
      <c r="N276" s="114">
        <f>IF(O$201=0, 'Adjustment for previous period'!N129, 0)</f>
        <v>0</v>
      </c>
      <c r="O276" s="114">
        <f>IF(P$201=0, 'Adjustment for previous period'!O129, 0)</f>
        <v>0</v>
      </c>
      <c r="P276" s="114">
        <f>IF(Q$201=0, 'Adjustment for previous period'!P129, 0)</f>
        <v>0</v>
      </c>
      <c r="Q276" s="114">
        <f>IF(R$201=0, 'Adjustment for previous period'!Q129, 0)</f>
        <v>0</v>
      </c>
      <c r="R276" s="9"/>
      <c r="S276" s="9"/>
      <c r="T276" s="9"/>
      <c r="U276" s="9"/>
      <c r="V276" s="9"/>
      <c r="W276" s="9"/>
      <c r="X276" s="9"/>
      <c r="Y276" s="9"/>
      <c r="Z276" s="9"/>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row>
    <row r="277" spans="1:64" hidden="1" outlineLevel="1">
      <c r="A277" s="9"/>
      <c r="B277" s="9"/>
      <c r="C277" s="9"/>
      <c r="D277" s="278" t="str">
        <f>Asset12</f>
        <v>Transmission line assets - short life (10)</v>
      </c>
      <c r="E277" s="9"/>
      <c r="F277" s="9"/>
      <c r="G277" s="9"/>
      <c r="H277" s="114"/>
      <c r="I277" s="114"/>
      <c r="J277" s="114"/>
      <c r="K277" s="114"/>
      <c r="L277" s="370">
        <f>IF(M$201=0, 'Adjustment for previous period'!L131, 0)</f>
        <v>0</v>
      </c>
      <c r="M277" s="114">
        <f>IF(N$201=0, 'Adjustment for previous period'!M131, 0)</f>
        <v>0</v>
      </c>
      <c r="N277" s="114">
        <f>IF(O$201=0, 'Adjustment for previous period'!N131, 0)</f>
        <v>0</v>
      </c>
      <c r="O277" s="114">
        <f>IF(P$201=0, 'Adjustment for previous period'!O131, 0)</f>
        <v>0</v>
      </c>
      <c r="P277" s="114">
        <f>IF(Q$201=0, 'Adjustment for previous period'!P131, 0)</f>
        <v>0</v>
      </c>
      <c r="Q277" s="114">
        <f>IF(R$201=0, 'Adjustment for previous period'!Q131, 0)</f>
        <v>0</v>
      </c>
      <c r="R277" s="9"/>
      <c r="S277" s="9"/>
      <c r="T277" s="9"/>
      <c r="U277" s="9"/>
      <c r="V277" s="9"/>
      <c r="W277" s="9"/>
      <c r="X277" s="9"/>
      <c r="Y277" s="9"/>
      <c r="Z277" s="9"/>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row>
    <row r="278" spans="1:64" hidden="1" outlineLevel="1">
      <c r="A278" s="9"/>
      <c r="B278" s="9"/>
      <c r="C278" s="9"/>
      <c r="D278" s="278" t="str">
        <f>Asset13</f>
        <v>Substation assets - long life (60)</v>
      </c>
      <c r="E278" s="9"/>
      <c r="F278" s="9"/>
      <c r="G278" s="9"/>
      <c r="H278" s="114"/>
      <c r="I278" s="114"/>
      <c r="J278" s="114"/>
      <c r="K278" s="114"/>
      <c r="L278" s="370">
        <f>IF(M$201=0, 'Adjustment for previous period'!L133, 0)</f>
        <v>0</v>
      </c>
      <c r="M278" s="114">
        <f>IF(N$201=0, 'Adjustment for previous period'!M133, 0)</f>
        <v>0</v>
      </c>
      <c r="N278" s="114">
        <f>IF(O$201=0, 'Adjustment for previous period'!N133, 0)</f>
        <v>0</v>
      </c>
      <c r="O278" s="114">
        <f>IF(P$201=0, 'Adjustment for previous period'!O133, 0)</f>
        <v>0</v>
      </c>
      <c r="P278" s="114">
        <f>IF(Q$201=0, 'Adjustment for previous period'!P133, 0)</f>
        <v>0</v>
      </c>
      <c r="Q278" s="114">
        <f>IF(R$201=0, 'Adjustment for previous period'!Q133, 0)</f>
        <v>0</v>
      </c>
      <c r="R278" s="9"/>
      <c r="S278" s="9"/>
      <c r="T278" s="9"/>
      <c r="U278" s="9"/>
      <c r="V278" s="9"/>
      <c r="W278" s="9"/>
      <c r="X278" s="9"/>
      <c r="Y278" s="9"/>
      <c r="Z278" s="9"/>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row>
    <row r="279" spans="1:64" hidden="1" outlineLevel="1">
      <c r="A279" s="9"/>
      <c r="B279" s="9"/>
      <c r="C279" s="9"/>
      <c r="D279" s="278" t="str">
        <f>Asset14</f>
        <v>Substation assets - medium life (45)</v>
      </c>
      <c r="E279" s="9"/>
      <c r="F279" s="9"/>
      <c r="G279" s="9"/>
      <c r="H279" s="114"/>
      <c r="I279" s="114"/>
      <c r="J279" s="114"/>
      <c r="K279" s="114"/>
      <c r="L279" s="370">
        <f>IF(M$201=0, 'Adjustment for previous period'!L135, 0)</f>
        <v>0</v>
      </c>
      <c r="M279" s="114">
        <f>IF(N$201=0, 'Adjustment for previous period'!M135, 0)</f>
        <v>0</v>
      </c>
      <c r="N279" s="114">
        <f>IF(O$201=0, 'Adjustment for previous period'!N135, 0)</f>
        <v>0</v>
      </c>
      <c r="O279" s="114">
        <f>IF(P$201=0, 'Adjustment for previous period'!O135, 0)</f>
        <v>0</v>
      </c>
      <c r="P279" s="114">
        <f>IF(Q$201=0, 'Adjustment for previous period'!P135, 0)</f>
        <v>0</v>
      </c>
      <c r="Q279" s="114">
        <f>IF(R$201=0, 'Adjustment for previous period'!Q135, 0)</f>
        <v>0</v>
      </c>
      <c r="R279" s="9"/>
      <c r="S279" s="9"/>
      <c r="T279" s="9"/>
      <c r="U279" s="9"/>
      <c r="V279" s="9"/>
      <c r="W279" s="9"/>
      <c r="X279" s="9"/>
      <c r="Y279" s="9"/>
      <c r="Z279" s="9"/>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row>
    <row r="280" spans="1:64" hidden="1" outlineLevel="1">
      <c r="A280" s="9"/>
      <c r="B280" s="9"/>
      <c r="C280" s="9"/>
      <c r="D280" s="278" t="str">
        <f>Asset15</f>
        <v>Substation assets - short life (15)</v>
      </c>
      <c r="E280" s="9"/>
      <c r="F280" s="9"/>
      <c r="G280" s="9"/>
      <c r="H280" s="114"/>
      <c r="I280" s="114"/>
      <c r="J280" s="114"/>
      <c r="K280" s="114"/>
      <c r="L280" s="370">
        <f>IF(M$201=0, 'Adjustment for previous period'!L137, 0)</f>
        <v>0</v>
      </c>
      <c r="M280" s="114">
        <f>IF(N$201=0, 'Adjustment for previous period'!M137, 0)</f>
        <v>0</v>
      </c>
      <c r="N280" s="114">
        <f>IF(O$201=0, 'Adjustment for previous period'!N137, 0)</f>
        <v>0</v>
      </c>
      <c r="O280" s="114">
        <f>IF(P$201=0, 'Adjustment for previous period'!O137, 0)</f>
        <v>0</v>
      </c>
      <c r="P280" s="114">
        <f>IF(Q$201=0, 'Adjustment for previous period'!P137, 0)</f>
        <v>0</v>
      </c>
      <c r="Q280" s="114">
        <f>IF(R$201=0, 'Adjustment for previous period'!Q137, 0)</f>
        <v>0</v>
      </c>
      <c r="R280" s="9"/>
      <c r="S280" s="9"/>
      <c r="T280" s="9"/>
      <c r="U280" s="9"/>
      <c r="V280" s="9"/>
      <c r="W280" s="9"/>
      <c r="X280" s="9"/>
      <c r="Y280" s="9"/>
      <c r="Z280" s="9"/>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row>
    <row r="281" spans="1:64" hidden="1" outlineLevel="1">
      <c r="A281" s="9"/>
      <c r="B281" s="9"/>
      <c r="C281" s="9"/>
      <c r="D281" s="278" t="str">
        <f>Asset16</f>
        <v>Protection and control - short life (15)</v>
      </c>
      <c r="E281" s="9"/>
      <c r="F281" s="9"/>
      <c r="G281" s="9"/>
      <c r="H281" s="114"/>
      <c r="I281" s="114"/>
      <c r="J281" s="114"/>
      <c r="K281" s="114"/>
      <c r="L281" s="370">
        <f>IF(M$201=0, 'Adjustment for previous period'!L139, 0)</f>
        <v>0</v>
      </c>
      <c r="M281" s="114">
        <f>IF(N$201=0, 'Adjustment for previous period'!M139, 0)</f>
        <v>0</v>
      </c>
      <c r="N281" s="114">
        <f>IF(O$201=0, 'Adjustment for previous period'!N139, 0)</f>
        <v>0</v>
      </c>
      <c r="O281" s="114">
        <f>IF(P$201=0, 'Adjustment for previous period'!O139, 0)</f>
        <v>0</v>
      </c>
      <c r="P281" s="114">
        <f>IF(Q$201=0, 'Adjustment for previous period'!P139, 0)</f>
        <v>0</v>
      </c>
      <c r="Q281" s="114">
        <f>IF(R$201=0, 'Adjustment for previous period'!Q139, 0)</f>
        <v>0</v>
      </c>
      <c r="R281" s="9"/>
      <c r="S281" s="9"/>
      <c r="T281" s="9"/>
      <c r="U281" s="9"/>
      <c r="V281" s="9"/>
      <c r="W281" s="9"/>
      <c r="X281" s="9"/>
      <c r="Y281" s="9"/>
      <c r="Z281" s="9"/>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row>
    <row r="282" spans="1:64" hidden="1" outlineLevel="1">
      <c r="A282" s="9"/>
      <c r="B282" s="9"/>
      <c r="C282" s="9"/>
      <c r="D282" s="278" t="str">
        <f>Asset17</f>
        <v>Protection and control - short life (4)</v>
      </c>
      <c r="E282" s="9"/>
      <c r="F282" s="9"/>
      <c r="G282" s="9"/>
      <c r="H282" s="114"/>
      <c r="I282" s="114"/>
      <c r="J282" s="114"/>
      <c r="K282" s="114"/>
      <c r="L282" s="370">
        <f>IF(M$201=0, 'Adjustment for previous period'!L141, 0)</f>
        <v>0</v>
      </c>
      <c r="M282" s="114">
        <f>IF(N$201=0, 'Adjustment for previous period'!M141, 0)</f>
        <v>0</v>
      </c>
      <c r="N282" s="114">
        <f>IF(O$201=0, 'Adjustment for previous period'!N141, 0)</f>
        <v>0</v>
      </c>
      <c r="O282" s="114">
        <f>IF(P$201=0, 'Adjustment for previous period'!O141, 0)</f>
        <v>0</v>
      </c>
      <c r="P282" s="114">
        <f>IF(Q$201=0, 'Adjustment for previous period'!P141, 0)</f>
        <v>0</v>
      </c>
      <c r="Q282" s="114">
        <f>IF(R$201=0, 'Adjustment for previous period'!Q141, 0)</f>
        <v>0</v>
      </c>
      <c r="R282" s="9"/>
      <c r="S282" s="9"/>
      <c r="T282" s="9"/>
      <c r="U282" s="9"/>
      <c r="V282" s="9"/>
      <c r="W282" s="9"/>
      <c r="X282" s="9"/>
      <c r="Y282" s="9"/>
      <c r="Z282" s="9"/>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row>
    <row r="283" spans="1:64" hidden="1" outlineLevel="1">
      <c r="A283" s="9"/>
      <c r="B283" s="9"/>
      <c r="C283" s="9"/>
      <c r="D283" s="278" t="str">
        <f>Asset18</f>
        <v>Transmission operations - short life (10)</v>
      </c>
      <c r="E283" s="9"/>
      <c r="F283" s="9"/>
      <c r="G283" s="9"/>
      <c r="H283" s="114"/>
      <c r="I283" s="114"/>
      <c r="J283" s="114"/>
      <c r="K283" s="114"/>
      <c r="L283" s="370">
        <f>IF(M$201=0, 'Adjustment for previous period'!L143, 0)</f>
        <v>0</v>
      </c>
      <c r="M283" s="114">
        <f>IF(N$201=0, 'Adjustment for previous period'!M143, 0)</f>
        <v>0</v>
      </c>
      <c r="N283" s="114">
        <f>IF(O$201=0, 'Adjustment for previous period'!N143, 0)</f>
        <v>0</v>
      </c>
      <c r="O283" s="114">
        <f>IF(P$201=0, 'Adjustment for previous period'!O143, 0)</f>
        <v>0</v>
      </c>
      <c r="P283" s="114">
        <f>IF(Q$201=0, 'Adjustment for previous period'!P143, 0)</f>
        <v>0</v>
      </c>
      <c r="Q283" s="114">
        <f>IF(R$201=0, 'Adjustment for previous period'!Q143, 0)</f>
        <v>0</v>
      </c>
      <c r="R283" s="9"/>
      <c r="S283" s="9"/>
      <c r="T283" s="9"/>
      <c r="U283" s="9"/>
      <c r="V283" s="9"/>
      <c r="W283" s="9"/>
      <c r="X283" s="9"/>
      <c r="Y283" s="9"/>
      <c r="Z283" s="9"/>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row>
    <row r="284" spans="1:64" hidden="1" outlineLevel="1">
      <c r="A284" s="9"/>
      <c r="B284" s="9"/>
      <c r="C284" s="9"/>
      <c r="D284" s="278" t="str">
        <f>Asset19</f>
        <v>Transmission operations - short life (4)</v>
      </c>
      <c r="E284" s="9"/>
      <c r="F284" s="9"/>
      <c r="G284" s="9"/>
      <c r="H284" s="114"/>
      <c r="I284" s="114"/>
      <c r="J284" s="114"/>
      <c r="K284" s="114"/>
      <c r="L284" s="370">
        <f>IF(M$201=0, 'Adjustment for previous period'!L145, 0)</f>
        <v>0</v>
      </c>
      <c r="M284" s="114">
        <f>IF(N$201=0, 'Adjustment for previous period'!M145, 0)</f>
        <v>0</v>
      </c>
      <c r="N284" s="114">
        <f>IF(O$201=0, 'Adjustment for previous period'!N145, 0)</f>
        <v>0</v>
      </c>
      <c r="O284" s="114">
        <f>IF(P$201=0, 'Adjustment for previous period'!O145, 0)</f>
        <v>0</v>
      </c>
      <c r="P284" s="114">
        <f>IF(Q$201=0, 'Adjustment for previous period'!P145, 0)</f>
        <v>0</v>
      </c>
      <c r="Q284" s="114">
        <f>IF(R$201=0, 'Adjustment for previous period'!Q145, 0)</f>
        <v>0</v>
      </c>
      <c r="R284" s="9"/>
      <c r="S284" s="9"/>
      <c r="T284" s="9"/>
      <c r="U284" s="9"/>
      <c r="V284" s="9"/>
      <c r="W284" s="9"/>
      <c r="X284" s="9"/>
      <c r="Y284" s="9"/>
      <c r="Z284" s="9"/>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row>
    <row r="285" spans="1:64" hidden="1" outlineLevel="1">
      <c r="A285" s="9"/>
      <c r="B285" s="9"/>
      <c r="C285" s="9"/>
      <c r="D285" s="278" t="str">
        <f>Asset20</f>
        <v>Other - medium life (40)</v>
      </c>
      <c r="E285" s="9"/>
      <c r="F285" s="9"/>
      <c r="G285" s="9"/>
      <c r="H285" s="114"/>
      <c r="I285" s="114"/>
      <c r="J285" s="114"/>
      <c r="K285" s="114"/>
      <c r="L285" s="370">
        <f>IF(M$201=0, 'Adjustment for previous period'!L147, 0)</f>
        <v>0</v>
      </c>
      <c r="M285" s="114">
        <f>IF(N$201=0, 'Adjustment for previous period'!M147, 0)</f>
        <v>0</v>
      </c>
      <c r="N285" s="114">
        <f>IF(O$201=0, 'Adjustment for previous period'!N147, 0)</f>
        <v>0</v>
      </c>
      <c r="O285" s="114">
        <f>IF(P$201=0, 'Adjustment for previous period'!O147, 0)</f>
        <v>0</v>
      </c>
      <c r="P285" s="114">
        <f>IF(Q$201=0, 'Adjustment for previous period'!P147, 0)</f>
        <v>0</v>
      </c>
      <c r="Q285" s="114">
        <f>IF(R$201=0, 'Adjustment for previous period'!Q147, 0)</f>
        <v>0</v>
      </c>
      <c r="R285" s="9"/>
      <c r="S285" s="9"/>
      <c r="T285" s="9"/>
      <c r="U285" s="9"/>
      <c r="V285" s="9"/>
      <c r="W285" s="9"/>
      <c r="X285" s="9"/>
      <c r="Y285" s="9"/>
      <c r="Z285" s="9"/>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row>
    <row r="286" spans="1:64" hidden="1" outlineLevel="1">
      <c r="A286" s="9"/>
      <c r="B286" s="9"/>
      <c r="C286" s="9"/>
      <c r="D286" s="278" t="str">
        <f>Asset21</f>
        <v>Other - short life (9)</v>
      </c>
      <c r="E286" s="9"/>
      <c r="F286" s="9"/>
      <c r="G286" s="9"/>
      <c r="H286" s="114"/>
      <c r="I286" s="114"/>
      <c r="J286" s="114"/>
      <c r="K286" s="114"/>
      <c r="L286" s="370">
        <f>IF(M$201=0, 'Adjustment for previous period'!L149, 0)</f>
        <v>0</v>
      </c>
      <c r="M286" s="114">
        <f>IF(N$201=0, 'Adjustment for previous period'!M149, 0)</f>
        <v>0</v>
      </c>
      <c r="N286" s="114">
        <f>IF(O$201=0, 'Adjustment for previous period'!N149, 0)</f>
        <v>0</v>
      </c>
      <c r="O286" s="114">
        <f>IF(P$201=0, 'Adjustment for previous period'!O149, 0)</f>
        <v>0</v>
      </c>
      <c r="P286" s="114">
        <f>IF(Q$201=0, 'Adjustment for previous period'!P149, 0)</f>
        <v>0</v>
      </c>
      <c r="Q286" s="114">
        <f>IF(R$201=0, 'Adjustment for previous period'!Q149, 0)</f>
        <v>0</v>
      </c>
      <c r="R286" s="9"/>
      <c r="S286" s="9"/>
      <c r="T286" s="9"/>
      <c r="U286" s="9"/>
      <c r="V286" s="9"/>
      <c r="W286" s="9"/>
      <c r="X286" s="9"/>
      <c r="Y286" s="9"/>
      <c r="Z286" s="9"/>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row>
    <row r="287" spans="1:64" hidden="1" outlineLevel="1">
      <c r="A287" s="9"/>
      <c r="B287" s="9"/>
      <c r="C287" s="9"/>
      <c r="D287" s="278" t="str">
        <f>Asset22</f>
        <v>Other - short life (4)</v>
      </c>
      <c r="E287" s="9"/>
      <c r="F287" s="9"/>
      <c r="G287" s="9"/>
      <c r="H287" s="114"/>
      <c r="I287" s="114"/>
      <c r="J287" s="114"/>
      <c r="K287" s="114"/>
      <c r="L287" s="370">
        <f>IF(M$201=0, 'Adjustment for previous period'!L151, 0)</f>
        <v>0</v>
      </c>
      <c r="M287" s="114">
        <f>IF(N$201=0, 'Adjustment for previous period'!M151, 0)</f>
        <v>0</v>
      </c>
      <c r="N287" s="114">
        <f>IF(O$201=0, 'Adjustment for previous period'!N151, 0)</f>
        <v>0</v>
      </c>
      <c r="O287" s="114">
        <f>IF(P$201=0, 'Adjustment for previous period'!O151, 0)</f>
        <v>0</v>
      </c>
      <c r="P287" s="114">
        <f>IF(Q$201=0, 'Adjustment for previous period'!P151, 0)</f>
        <v>0</v>
      </c>
      <c r="Q287" s="114">
        <f>IF(R$201=0, 'Adjustment for previous period'!Q151, 0)</f>
        <v>0</v>
      </c>
      <c r="R287" s="9"/>
      <c r="S287" s="9"/>
      <c r="T287" s="9"/>
      <c r="U287" s="9"/>
      <c r="V287" s="9"/>
      <c r="W287" s="9"/>
      <c r="X287" s="9"/>
      <c r="Y287" s="9"/>
      <c r="Z287" s="9"/>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row>
    <row r="288" spans="1:64" hidden="1" outlineLevel="1">
      <c r="A288" s="9"/>
      <c r="B288" s="9"/>
      <c r="C288" s="9"/>
      <c r="D288" s="278" t="str">
        <f>Asset23</f>
        <v>Land and Easements</v>
      </c>
      <c r="E288" s="9"/>
      <c r="F288" s="9"/>
      <c r="G288" s="9"/>
      <c r="H288" s="114"/>
      <c r="I288" s="114"/>
      <c r="J288" s="114"/>
      <c r="K288" s="114"/>
      <c r="L288" s="370">
        <f>IF(M$201=0, 'Adjustment for previous period'!L153, 0)</f>
        <v>0</v>
      </c>
      <c r="M288" s="114">
        <f>IF(N$201=0, 'Adjustment for previous period'!M153, 0)</f>
        <v>0</v>
      </c>
      <c r="N288" s="114">
        <f>IF(O$201=0, 'Adjustment for previous period'!N153, 0)</f>
        <v>0</v>
      </c>
      <c r="O288" s="114">
        <f>IF(P$201=0, 'Adjustment for previous period'!O153, 0)</f>
        <v>0</v>
      </c>
      <c r="P288" s="114">
        <f>IF(Q$201=0, 'Adjustment for previous period'!P153, 0)</f>
        <v>0</v>
      </c>
      <c r="Q288" s="114">
        <f>IF(R$201=0, 'Adjustment for previous period'!Q153, 0)</f>
        <v>0</v>
      </c>
      <c r="R288" s="9"/>
      <c r="S288" s="9"/>
      <c r="T288" s="9"/>
      <c r="U288" s="9"/>
      <c r="V288" s="9"/>
      <c r="W288" s="9"/>
      <c r="X288" s="9"/>
      <c r="Y288" s="9"/>
      <c r="Z288" s="9"/>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row>
    <row r="289" spans="1:64" hidden="1" outlineLevel="1">
      <c r="A289" s="9"/>
      <c r="B289" s="9"/>
      <c r="C289" s="9"/>
      <c r="D289" s="278" t="str">
        <f>Asset24</f>
        <v>Equity Raising</v>
      </c>
      <c r="E289" s="9"/>
      <c r="F289" s="9"/>
      <c r="G289" s="9"/>
      <c r="H289" s="114"/>
      <c r="I289" s="114"/>
      <c r="J289" s="114"/>
      <c r="K289" s="114"/>
      <c r="L289" s="370">
        <f>IF(M$201=0, 'Adjustment for previous period'!L155, 0)</f>
        <v>0</v>
      </c>
      <c r="M289" s="114">
        <f>IF(N$201=0, 'Adjustment for previous period'!M155, 0)</f>
        <v>0</v>
      </c>
      <c r="N289" s="114">
        <f>IF(O$201=0, 'Adjustment for previous period'!N155, 0)</f>
        <v>0</v>
      </c>
      <c r="O289" s="114">
        <f>IF(P$201=0, 'Adjustment for previous period'!O155, 0)</f>
        <v>0</v>
      </c>
      <c r="P289" s="114">
        <f>IF(Q$201=0, 'Adjustment for previous period'!P155, 0)</f>
        <v>0</v>
      </c>
      <c r="Q289" s="114">
        <f>IF(R$201=0, 'Adjustment for previous period'!Q155, 0)</f>
        <v>0</v>
      </c>
      <c r="R289" s="9"/>
      <c r="S289" s="9"/>
      <c r="T289" s="9"/>
      <c r="U289" s="9"/>
      <c r="V289" s="9"/>
      <c r="W289" s="9"/>
      <c r="X289" s="9"/>
      <c r="Y289" s="9"/>
      <c r="Z289" s="9"/>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row>
    <row r="290" spans="1:64" hidden="1" outlineLevel="1">
      <c r="A290" s="9"/>
      <c r="B290" s="9"/>
      <c r="C290" s="9"/>
      <c r="D290" s="278">
        <f>Asset25</f>
        <v>0</v>
      </c>
      <c r="E290" s="9"/>
      <c r="F290" s="9"/>
      <c r="G290" s="9"/>
      <c r="H290" s="114"/>
      <c r="I290" s="114"/>
      <c r="J290" s="114"/>
      <c r="K290" s="114"/>
      <c r="L290" s="370">
        <f>IF(M$201=0, 'Adjustment for previous period'!L157, 0)</f>
        <v>0</v>
      </c>
      <c r="M290" s="114">
        <f>IF(N$201=0, 'Adjustment for previous period'!M157, 0)</f>
        <v>0</v>
      </c>
      <c r="N290" s="114">
        <f>IF(O$201=0, 'Adjustment for previous period'!N157, 0)</f>
        <v>0</v>
      </c>
      <c r="O290" s="114">
        <f>IF(P$201=0, 'Adjustment for previous period'!O157, 0)</f>
        <v>0</v>
      </c>
      <c r="P290" s="114">
        <f>IF(Q$201=0, 'Adjustment for previous period'!P157, 0)</f>
        <v>0</v>
      </c>
      <c r="Q290" s="114">
        <f>IF(R$201=0, 'Adjustment for previous period'!Q157, 0)</f>
        <v>0</v>
      </c>
      <c r="R290" s="9"/>
      <c r="S290" s="9"/>
      <c r="T290" s="9"/>
      <c r="U290" s="9"/>
      <c r="V290" s="9"/>
      <c r="W290" s="9"/>
      <c r="X290" s="9"/>
      <c r="Y290" s="9"/>
      <c r="Z290" s="9"/>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row>
    <row r="291" spans="1:64" hidden="1" outlineLevel="1">
      <c r="A291" s="9"/>
      <c r="B291" s="9"/>
      <c r="C291" s="9"/>
      <c r="D291" s="278">
        <f>Asset26</f>
        <v>0</v>
      </c>
      <c r="E291" s="9"/>
      <c r="F291" s="9"/>
      <c r="G291" s="9"/>
      <c r="H291" s="114"/>
      <c r="I291" s="114"/>
      <c r="J291" s="114"/>
      <c r="K291" s="114"/>
      <c r="L291" s="370">
        <f>IF(M$201=0, 'Adjustment for previous period'!L159, 0)</f>
        <v>0</v>
      </c>
      <c r="M291" s="114">
        <f>IF(N$201=0, 'Adjustment for previous period'!M159, 0)</f>
        <v>0</v>
      </c>
      <c r="N291" s="114">
        <f>IF(O$201=0, 'Adjustment for previous period'!N159, 0)</f>
        <v>0</v>
      </c>
      <c r="O291" s="114">
        <f>IF(P$201=0, 'Adjustment for previous period'!O159, 0)</f>
        <v>0</v>
      </c>
      <c r="P291" s="114">
        <f>IF(Q$201=0, 'Adjustment for previous period'!P159, 0)</f>
        <v>0</v>
      </c>
      <c r="Q291" s="114">
        <f>IF(R$201=0, 'Adjustment for previous period'!Q159, 0)</f>
        <v>0</v>
      </c>
      <c r="R291" s="9"/>
      <c r="S291" s="9"/>
      <c r="T291" s="9"/>
      <c r="U291" s="9"/>
      <c r="V291" s="9"/>
      <c r="W291" s="9"/>
      <c r="X291" s="9"/>
      <c r="Y291" s="9"/>
      <c r="Z291" s="9"/>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row>
    <row r="292" spans="1:64" hidden="1" outlineLevel="1">
      <c r="A292" s="9"/>
      <c r="B292" s="9"/>
      <c r="C292" s="9"/>
      <c r="D292" s="278">
        <f>Asset27</f>
        <v>0</v>
      </c>
      <c r="E292" s="9"/>
      <c r="F292" s="9"/>
      <c r="G292" s="9"/>
      <c r="H292" s="114"/>
      <c r="I292" s="114"/>
      <c r="J292" s="114"/>
      <c r="K292" s="114"/>
      <c r="L292" s="370">
        <f>IF(M$201=0, 'Adjustment for previous period'!L161, 0)</f>
        <v>0</v>
      </c>
      <c r="M292" s="114">
        <f>IF(N$201=0, 'Adjustment for previous period'!M161, 0)</f>
        <v>0</v>
      </c>
      <c r="N292" s="114">
        <f>IF(O$201=0, 'Adjustment for previous period'!N161, 0)</f>
        <v>0</v>
      </c>
      <c r="O292" s="114">
        <f>IF(P$201=0, 'Adjustment for previous period'!O161, 0)</f>
        <v>0</v>
      </c>
      <c r="P292" s="114">
        <f>IF(Q$201=0, 'Adjustment for previous period'!P161, 0)</f>
        <v>0</v>
      </c>
      <c r="Q292" s="114">
        <f>IF(R$201=0, 'Adjustment for previous period'!Q161, 0)</f>
        <v>0</v>
      </c>
      <c r="R292" s="9"/>
      <c r="S292" s="9"/>
      <c r="T292" s="9"/>
      <c r="U292" s="9"/>
      <c r="V292" s="9"/>
      <c r="W292" s="9"/>
      <c r="X292" s="9"/>
      <c r="Y292" s="9"/>
      <c r="Z292" s="9"/>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row>
    <row r="293" spans="1:64" hidden="1" outlineLevel="1">
      <c r="A293" s="9"/>
      <c r="B293" s="9"/>
      <c r="C293" s="9"/>
      <c r="D293" s="278">
        <f>Asset28</f>
        <v>0</v>
      </c>
      <c r="E293" s="9"/>
      <c r="F293" s="9"/>
      <c r="G293" s="9"/>
      <c r="H293" s="114"/>
      <c r="I293" s="114"/>
      <c r="J293" s="114"/>
      <c r="K293" s="114"/>
      <c r="L293" s="370">
        <f>IF(M$201=0, 'Adjustment for previous period'!L163, 0)</f>
        <v>0</v>
      </c>
      <c r="M293" s="114">
        <f>IF(N$201=0, 'Adjustment for previous period'!M163, 0)</f>
        <v>0</v>
      </c>
      <c r="N293" s="114">
        <f>IF(O$201=0, 'Adjustment for previous period'!N163, 0)</f>
        <v>0</v>
      </c>
      <c r="O293" s="114">
        <f>IF(P$201=0, 'Adjustment for previous period'!O163, 0)</f>
        <v>0</v>
      </c>
      <c r="P293" s="114">
        <f>IF(Q$201=0, 'Adjustment for previous period'!P163, 0)</f>
        <v>0</v>
      </c>
      <c r="Q293" s="114">
        <f>IF(R$201=0, 'Adjustment for previous period'!Q163, 0)</f>
        <v>0</v>
      </c>
      <c r="R293" s="9"/>
      <c r="S293" s="9"/>
      <c r="T293" s="9"/>
      <c r="U293" s="9"/>
      <c r="V293" s="9"/>
      <c r="W293" s="9"/>
      <c r="X293" s="9"/>
      <c r="Y293" s="9"/>
      <c r="Z293" s="9"/>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row>
    <row r="294" spans="1:64" hidden="1" outlineLevel="1">
      <c r="A294" s="9"/>
      <c r="B294" s="9"/>
      <c r="C294" s="9"/>
      <c r="D294" s="278">
        <f>Asset29</f>
        <v>0</v>
      </c>
      <c r="E294" s="9"/>
      <c r="F294" s="9"/>
      <c r="G294" s="9"/>
      <c r="H294" s="114"/>
      <c r="I294" s="114"/>
      <c r="J294" s="114"/>
      <c r="K294" s="114"/>
      <c r="L294" s="370">
        <f>IF(M$201=0, 'Adjustment for previous period'!L165, 0)</f>
        <v>0</v>
      </c>
      <c r="M294" s="114">
        <f>IF(N$201=0, 'Adjustment for previous period'!M165, 0)</f>
        <v>0</v>
      </c>
      <c r="N294" s="114">
        <f>IF(O$201=0, 'Adjustment for previous period'!N165, 0)</f>
        <v>0</v>
      </c>
      <c r="O294" s="114">
        <f>IF(P$201=0, 'Adjustment for previous period'!O165, 0)</f>
        <v>0</v>
      </c>
      <c r="P294" s="114">
        <f>IF(Q$201=0, 'Adjustment for previous period'!P165, 0)</f>
        <v>0</v>
      </c>
      <c r="Q294" s="114">
        <f>IF(R$201=0, 'Adjustment for previous period'!Q165, 0)</f>
        <v>0</v>
      </c>
      <c r="R294" s="9"/>
      <c r="S294" s="9"/>
      <c r="T294" s="9"/>
      <c r="U294" s="9"/>
      <c r="V294" s="9"/>
      <c r="W294" s="9"/>
      <c r="X294" s="9"/>
      <c r="Y294" s="9"/>
      <c r="Z294" s="9"/>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row>
    <row r="295" spans="1:64" hidden="1" outlineLevel="1">
      <c r="A295" s="9"/>
      <c r="B295" s="9"/>
      <c r="C295" s="9"/>
      <c r="D295" s="278">
        <f>Asset30</f>
        <v>0</v>
      </c>
      <c r="E295" s="9"/>
      <c r="F295" s="9"/>
      <c r="G295" s="9"/>
      <c r="H295" s="114"/>
      <c r="I295" s="114"/>
      <c r="J295" s="114"/>
      <c r="K295" s="114"/>
      <c r="L295" s="370">
        <f>IF(M$201=0, 'Adjustment for previous period'!L167, 0)</f>
        <v>0</v>
      </c>
      <c r="M295" s="114">
        <f>IF(N$201=0, 'Adjustment for previous period'!M167, 0)</f>
        <v>0</v>
      </c>
      <c r="N295" s="114">
        <f>IF(O$201=0, 'Adjustment for previous period'!N167, 0)</f>
        <v>0</v>
      </c>
      <c r="O295" s="114">
        <f>IF(P$201=0, 'Adjustment for previous period'!O167, 0)</f>
        <v>0</v>
      </c>
      <c r="P295" s="114">
        <f>IF(Q$201=0, 'Adjustment for previous period'!P167, 0)</f>
        <v>0</v>
      </c>
      <c r="Q295" s="114">
        <f>IF(R$201=0, 'Adjustment for previous period'!Q167, 0)</f>
        <v>0</v>
      </c>
      <c r="R295" s="9"/>
      <c r="S295" s="9"/>
      <c r="T295" s="9"/>
      <c r="U295" s="9"/>
      <c r="V295" s="9"/>
      <c r="W295" s="9"/>
      <c r="X295" s="9"/>
      <c r="Y295" s="9"/>
      <c r="Z295" s="9"/>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row>
    <row r="296" spans="1:64" collapsed="1">
      <c r="A296" s="9"/>
      <c r="B296" s="9"/>
      <c r="C296" s="9"/>
      <c r="D296" s="9"/>
      <c r="E296" s="9"/>
      <c r="F296" s="9"/>
      <c r="G296" s="9"/>
      <c r="H296" s="9"/>
      <c r="I296" s="9"/>
      <c r="J296" s="9"/>
      <c r="K296" s="9"/>
      <c r="L296" s="371"/>
      <c r="M296" s="9"/>
      <c r="N296" s="12"/>
      <c r="O296" s="9"/>
      <c r="P296" s="9"/>
      <c r="Q296" s="9"/>
      <c r="R296" s="9"/>
      <c r="S296" s="9"/>
      <c r="T296" s="9"/>
      <c r="U296" s="9"/>
      <c r="V296" s="9"/>
      <c r="W296" s="9"/>
      <c r="X296" s="9"/>
      <c r="Y296" s="9"/>
      <c r="Z296" s="9"/>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row>
    <row r="297" spans="1:64">
      <c r="A297" s="9"/>
      <c r="B297" s="9"/>
      <c r="C297" s="9" t="s">
        <v>53</v>
      </c>
      <c r="D297" s="9"/>
      <c r="E297" s="9"/>
      <c r="F297" s="9"/>
      <c r="G297" s="9"/>
      <c r="H297" s="9"/>
      <c r="I297" s="9"/>
      <c r="J297" s="9"/>
      <c r="K297" s="9"/>
      <c r="L297" s="371">
        <f t="shared" ref="L297:Q297" si="17">SUM(L298:L327)</f>
        <v>24.129486977356919</v>
      </c>
      <c r="M297" s="35">
        <f t="shared" si="17"/>
        <v>0</v>
      </c>
      <c r="N297" s="35">
        <f t="shared" si="17"/>
        <v>0</v>
      </c>
      <c r="O297" s="35">
        <f t="shared" si="17"/>
        <v>0</v>
      </c>
      <c r="P297" s="35">
        <f t="shared" si="17"/>
        <v>0</v>
      </c>
      <c r="Q297" s="35">
        <f t="shared" si="17"/>
        <v>0</v>
      </c>
      <c r="R297" s="9"/>
      <c r="S297" s="9"/>
      <c r="T297" s="9"/>
      <c r="U297" s="9"/>
      <c r="V297" s="9"/>
      <c r="W297" s="9"/>
      <c r="X297" s="9"/>
      <c r="Y297" s="9"/>
      <c r="Z297" s="9"/>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row>
    <row r="298" spans="1:64" hidden="1" outlineLevel="1">
      <c r="A298" s="9"/>
      <c r="B298" s="9"/>
      <c r="C298" s="9"/>
      <c r="D298" s="278" t="str">
        <f>Asset1</f>
        <v>Transmission Lines and Cables</v>
      </c>
      <c r="E298" s="9"/>
      <c r="F298" s="9"/>
      <c r="G298" s="9"/>
      <c r="H298" s="9"/>
      <c r="I298" s="9"/>
      <c r="J298" s="9"/>
      <c r="K298" s="9"/>
      <c r="L298" s="370">
        <f>IF(L$201&gt;0, IF(M$201=0, 'Adjustment for previous period'!$G237, 0), 0)</f>
        <v>0</v>
      </c>
      <c r="M298" s="114">
        <f>IF(M$201&gt;0, IF(N$201=0, 'Adjustment for previous period'!$G237, 0), 0)</f>
        <v>0</v>
      </c>
      <c r="N298" s="114">
        <f>IF(N$201&gt;0, IF(O$201=0, 'Adjustment for previous period'!$G237, 0), 0)</f>
        <v>0</v>
      </c>
      <c r="O298" s="114">
        <f>IF(O$201&gt;0, IF(P$201=0, 'Adjustment for previous period'!$G237, 0), 0)</f>
        <v>0</v>
      </c>
      <c r="P298" s="114">
        <f>IF(P$201&gt;0, IF(Q$201=0, 'Adjustment for previous period'!$G237, 0), 0)</f>
        <v>0</v>
      </c>
      <c r="Q298" s="114">
        <f>IF(Q$201&gt;0, IF(R$201=0, 'Adjustment for previous period'!$G237, 0), 0)</f>
        <v>0</v>
      </c>
      <c r="R298" s="9"/>
      <c r="S298" s="9"/>
      <c r="T298" s="9"/>
      <c r="U298" s="9"/>
      <c r="V298" s="9"/>
      <c r="W298" s="9"/>
      <c r="X298" s="9"/>
      <c r="Y298" s="9"/>
      <c r="Z298" s="9"/>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row>
    <row r="299" spans="1:64" hidden="1" outlineLevel="1">
      <c r="A299" s="9"/>
      <c r="B299" s="9"/>
      <c r="C299" s="9"/>
      <c r="D299" s="278" t="str">
        <f>Asset2</f>
        <v>Transmission Substations</v>
      </c>
      <c r="E299" s="9"/>
      <c r="F299" s="9"/>
      <c r="G299" s="9"/>
      <c r="H299" s="9"/>
      <c r="I299" s="9"/>
      <c r="J299" s="9"/>
      <c r="K299" s="9"/>
      <c r="L299" s="370">
        <f>IF(L$201&gt;0, IF(M$201=0, 'Adjustment for previous period'!$G238, 0), 0)</f>
        <v>0</v>
      </c>
      <c r="M299" s="114">
        <f>IF(M$201&gt;0, IF(N$201=0, 'Adjustment for previous period'!$G238, 0), 0)</f>
        <v>0</v>
      </c>
      <c r="N299" s="114">
        <f>IF(N$201&gt;0, IF(O$201=0, 'Adjustment for previous period'!$G238, 0), 0)</f>
        <v>0</v>
      </c>
      <c r="O299" s="114">
        <f>IF(O$201&gt;0, IF(P$201=0, 'Adjustment for previous period'!$G238, 0), 0)</f>
        <v>0</v>
      </c>
      <c r="P299" s="114">
        <f>IF(P$201&gt;0, IF(Q$201=0, 'Adjustment for previous period'!$G238, 0), 0)</f>
        <v>0</v>
      </c>
      <c r="Q299" s="114">
        <f>IF(Q$201&gt;0, IF(R$201=0, 'Adjustment for previous period'!$G238, 0), 0)</f>
        <v>0</v>
      </c>
      <c r="R299" s="9"/>
      <c r="S299" s="9"/>
      <c r="T299" s="9"/>
      <c r="U299" s="9"/>
      <c r="V299" s="9"/>
      <c r="W299" s="9"/>
      <c r="X299" s="9"/>
      <c r="Y299" s="9"/>
      <c r="Z299" s="9"/>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row>
    <row r="300" spans="1:64" hidden="1" outlineLevel="1">
      <c r="A300" s="9"/>
      <c r="B300" s="9"/>
      <c r="C300" s="9"/>
      <c r="D300" s="278" t="str">
        <f>Asset3</f>
        <v>Protection and Control</v>
      </c>
      <c r="E300" s="9"/>
      <c r="F300" s="9"/>
      <c r="G300" s="9"/>
      <c r="H300" s="9"/>
      <c r="I300" s="9"/>
      <c r="J300" s="9"/>
      <c r="K300" s="9"/>
      <c r="L300" s="370">
        <f>IF(L$201&gt;0, IF(M$201=0, 'Adjustment for previous period'!$G239, 0), 0)</f>
        <v>0</v>
      </c>
      <c r="M300" s="114">
        <f>IF(M$201&gt;0, IF(N$201=0, 'Adjustment for previous period'!$G239, 0), 0)</f>
        <v>0</v>
      </c>
      <c r="N300" s="114">
        <f>IF(N$201&gt;0, IF(O$201=0, 'Adjustment for previous period'!$G239, 0), 0)</f>
        <v>0</v>
      </c>
      <c r="O300" s="114">
        <f>IF(O$201&gt;0, IF(P$201=0, 'Adjustment for previous period'!$G239, 0), 0)</f>
        <v>0</v>
      </c>
      <c r="P300" s="114">
        <f>IF(P$201&gt;0, IF(Q$201=0, 'Adjustment for previous period'!$G239, 0), 0)</f>
        <v>0</v>
      </c>
      <c r="Q300" s="114">
        <f>IF(Q$201&gt;0, IF(R$201=0, 'Adjustment for previous period'!$G239, 0), 0)</f>
        <v>0</v>
      </c>
      <c r="R300" s="9"/>
      <c r="S300" s="9"/>
      <c r="T300" s="9"/>
      <c r="U300" s="9"/>
      <c r="V300" s="9"/>
      <c r="W300" s="9"/>
      <c r="X300" s="9"/>
      <c r="Y300" s="9"/>
      <c r="Z300" s="9"/>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row>
    <row r="301" spans="1:64" hidden="1" outlineLevel="1">
      <c r="A301" s="9"/>
      <c r="B301" s="9"/>
      <c r="C301" s="9"/>
      <c r="D301" s="278" t="str">
        <f>Asset4</f>
        <v>Refurbishment</v>
      </c>
      <c r="E301" s="9"/>
      <c r="F301" s="9"/>
      <c r="G301" s="9"/>
      <c r="H301" s="9"/>
      <c r="I301" s="9"/>
      <c r="J301" s="9"/>
      <c r="K301" s="9"/>
      <c r="L301" s="370">
        <f>IF(L$201&gt;0, IF(M$201=0, 'Adjustment for previous period'!$G240, 0), 0)</f>
        <v>0</v>
      </c>
      <c r="M301" s="114">
        <f>IF(M$201&gt;0, IF(N$201=0, 'Adjustment for previous period'!$G240, 0), 0)</f>
        <v>0</v>
      </c>
      <c r="N301" s="114">
        <f>IF(N$201&gt;0, IF(O$201=0, 'Adjustment for previous period'!$G240, 0), 0)</f>
        <v>0</v>
      </c>
      <c r="O301" s="114">
        <f>IF(O$201&gt;0, IF(P$201=0, 'Adjustment for previous period'!$G240, 0), 0)</f>
        <v>0</v>
      </c>
      <c r="P301" s="114">
        <f>IF(P$201&gt;0, IF(Q$201=0, 'Adjustment for previous period'!$G240, 0), 0)</f>
        <v>0</v>
      </c>
      <c r="Q301" s="114">
        <f>IF(Q$201&gt;0, IF(R$201=0, 'Adjustment for previous period'!$G240, 0), 0)</f>
        <v>0</v>
      </c>
      <c r="R301" s="9"/>
      <c r="S301" s="9"/>
      <c r="T301" s="9"/>
      <c r="U301" s="9"/>
      <c r="V301" s="9"/>
      <c r="W301" s="9"/>
      <c r="X301" s="9"/>
      <c r="Y301" s="9"/>
      <c r="Z301" s="9"/>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row>
    <row r="302" spans="1:64" hidden="1" outlineLevel="1">
      <c r="A302" s="9"/>
      <c r="B302" s="9"/>
      <c r="C302" s="9"/>
      <c r="D302" s="278" t="str">
        <f>Asset5</f>
        <v>Other</v>
      </c>
      <c r="E302" s="9"/>
      <c r="F302" s="9"/>
      <c r="G302" s="9"/>
      <c r="H302" s="9"/>
      <c r="I302" s="9"/>
      <c r="J302" s="9"/>
      <c r="K302" s="9"/>
      <c r="L302" s="370">
        <f>IF(L$201&gt;0, IF(M$201=0, 'Adjustment for previous period'!$G241, 0), 0)</f>
        <v>0</v>
      </c>
      <c r="M302" s="114">
        <f>IF(M$201&gt;0, IF(N$201=0, 'Adjustment for previous period'!$G241, 0), 0)</f>
        <v>0</v>
      </c>
      <c r="N302" s="114">
        <f>IF(N$201&gt;0, IF(O$201=0, 'Adjustment for previous period'!$G241, 0), 0)</f>
        <v>0</v>
      </c>
      <c r="O302" s="114">
        <f>IF(O$201&gt;0, IF(P$201=0, 'Adjustment for previous period'!$G241, 0), 0)</f>
        <v>0</v>
      </c>
      <c r="P302" s="114">
        <f>IF(P$201&gt;0, IF(Q$201=0, 'Adjustment for previous period'!$G241, 0), 0)</f>
        <v>0</v>
      </c>
      <c r="Q302" s="114">
        <f>IF(Q$201&gt;0, IF(R$201=0, 'Adjustment for previous period'!$G241, 0), 0)</f>
        <v>0</v>
      </c>
      <c r="R302" s="9"/>
      <c r="S302" s="9"/>
      <c r="T302" s="9"/>
      <c r="U302" s="9"/>
      <c r="V302" s="9"/>
      <c r="W302" s="9"/>
      <c r="X302" s="9"/>
      <c r="Y302" s="9"/>
      <c r="Z302" s="9"/>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row>
    <row r="303" spans="1:64" hidden="1" outlineLevel="1">
      <c r="A303" s="9"/>
      <c r="B303" s="9"/>
      <c r="C303" s="9"/>
      <c r="D303" s="278" t="str">
        <f>Asset6</f>
        <v>Other - IT</v>
      </c>
      <c r="E303" s="9"/>
      <c r="F303" s="9"/>
      <c r="G303" s="9"/>
      <c r="H303" s="9"/>
      <c r="I303" s="9"/>
      <c r="J303" s="9"/>
      <c r="K303" s="9"/>
      <c r="L303" s="370">
        <f>IF(L$201&gt;0, IF(M$201=0, 'Adjustment for previous period'!$G242, 0), 0)</f>
        <v>0</v>
      </c>
      <c r="M303" s="114">
        <f>IF(M$201&gt;0, IF(N$201=0, 'Adjustment for previous period'!$G242, 0), 0)</f>
        <v>0</v>
      </c>
      <c r="N303" s="114">
        <f>IF(N$201&gt;0, IF(O$201=0, 'Adjustment for previous period'!$G242, 0), 0)</f>
        <v>0</v>
      </c>
      <c r="O303" s="114">
        <f>IF(O$201&gt;0, IF(P$201=0, 'Adjustment for previous period'!$G242, 0), 0)</f>
        <v>0</v>
      </c>
      <c r="P303" s="114">
        <f>IF(P$201&gt;0, IF(Q$201=0, 'Adjustment for previous period'!$G242, 0), 0)</f>
        <v>0</v>
      </c>
      <c r="Q303" s="114">
        <f>IF(Q$201&gt;0, IF(R$201=0, 'Adjustment for previous period'!$G242, 0), 0)</f>
        <v>0</v>
      </c>
      <c r="R303" s="9"/>
      <c r="S303" s="9"/>
      <c r="T303" s="9"/>
      <c r="U303" s="9"/>
      <c r="V303" s="9"/>
      <c r="W303" s="9"/>
      <c r="X303" s="9"/>
      <c r="Y303" s="9"/>
      <c r="Z303" s="9"/>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row>
    <row r="304" spans="1:64" hidden="1" outlineLevel="1">
      <c r="A304" s="9"/>
      <c r="B304" s="9"/>
      <c r="C304" s="9"/>
      <c r="D304" s="278" t="str">
        <f>Asset7</f>
        <v>Other - General</v>
      </c>
      <c r="E304" s="9"/>
      <c r="F304" s="9"/>
      <c r="G304" s="9"/>
      <c r="H304" s="9"/>
      <c r="I304" s="9"/>
      <c r="J304" s="9"/>
      <c r="K304" s="9"/>
      <c r="L304" s="370">
        <f>IF(L$201&gt;0, IF(M$201=0, 'Adjustment for previous period'!$G243, 0), 0)</f>
        <v>0</v>
      </c>
      <c r="M304" s="114">
        <f>IF(M$201&gt;0, IF(N$201=0, 'Adjustment for previous period'!$G243, 0), 0)</f>
        <v>0</v>
      </c>
      <c r="N304" s="114">
        <f>IF(N$201&gt;0, IF(O$201=0, 'Adjustment for previous period'!$G243, 0), 0)</f>
        <v>0</v>
      </c>
      <c r="O304" s="114">
        <f>IF(O$201&gt;0, IF(P$201=0, 'Adjustment for previous period'!$G243, 0), 0)</f>
        <v>0</v>
      </c>
      <c r="P304" s="114">
        <f>IF(P$201&gt;0, IF(Q$201=0, 'Adjustment for previous period'!$G243, 0), 0)</f>
        <v>0</v>
      </c>
      <c r="Q304" s="114">
        <f>IF(Q$201&gt;0, IF(R$201=0, 'Adjustment for previous period'!$G243, 0), 0)</f>
        <v>0</v>
      </c>
      <c r="R304" s="9"/>
      <c r="S304" s="9"/>
      <c r="T304" s="9"/>
      <c r="U304" s="9"/>
      <c r="V304" s="9"/>
      <c r="W304" s="9"/>
      <c r="X304" s="9"/>
      <c r="Y304" s="9"/>
      <c r="Z304" s="9"/>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row>
    <row r="305" spans="1:64" hidden="1" outlineLevel="1">
      <c r="A305" s="9"/>
      <c r="B305" s="9"/>
      <c r="C305" s="9"/>
      <c r="D305" s="278" t="str">
        <f>Asset8</f>
        <v>Other - Buildings</v>
      </c>
      <c r="E305" s="9"/>
      <c r="F305" s="9"/>
      <c r="G305" s="9"/>
      <c r="H305" s="9"/>
      <c r="I305" s="9"/>
      <c r="J305" s="9"/>
      <c r="K305" s="9"/>
      <c r="L305" s="370">
        <f>IF(L$201&gt;0, IF(M$201=0, 'Adjustment for previous period'!$G244, 0), 0)</f>
        <v>0</v>
      </c>
      <c r="M305" s="114">
        <f>IF(M$201&gt;0, IF(N$201=0, 'Adjustment for previous period'!$G244, 0), 0)</f>
        <v>0</v>
      </c>
      <c r="N305" s="114">
        <f>IF(N$201&gt;0, IF(O$201=0, 'Adjustment for previous period'!$G244, 0), 0)</f>
        <v>0</v>
      </c>
      <c r="O305" s="114">
        <f>IF(O$201&gt;0, IF(P$201=0, 'Adjustment for previous period'!$G244, 0), 0)</f>
        <v>0</v>
      </c>
      <c r="P305" s="114">
        <f>IF(P$201&gt;0, IF(Q$201=0, 'Adjustment for previous period'!$G244, 0), 0)</f>
        <v>0</v>
      </c>
      <c r="Q305" s="114">
        <f>IF(Q$201&gt;0, IF(R$201=0, 'Adjustment for previous period'!$G244, 0), 0)</f>
        <v>0</v>
      </c>
      <c r="R305" s="9"/>
      <c r="S305" s="9"/>
      <c r="T305" s="9"/>
      <c r="U305" s="9"/>
      <c r="V305" s="9"/>
      <c r="W305" s="9"/>
      <c r="X305" s="9"/>
      <c r="Y305" s="9"/>
      <c r="Z305" s="9"/>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row>
    <row r="306" spans="1:64" hidden="1" outlineLevel="1">
      <c r="A306" s="9"/>
      <c r="B306" s="9"/>
      <c r="C306" s="9"/>
      <c r="D306" s="278" t="str">
        <f>Asset9</f>
        <v>Land and Easements</v>
      </c>
      <c r="E306" s="9"/>
      <c r="F306" s="9"/>
      <c r="G306" s="9"/>
      <c r="H306" s="9"/>
      <c r="I306" s="9"/>
      <c r="J306" s="9"/>
      <c r="K306" s="9"/>
      <c r="L306" s="370">
        <f>IF(L$201&gt;0, IF(M$201=0, 'Adjustment for previous period'!$G245, 0), 0)</f>
        <v>0</v>
      </c>
      <c r="M306" s="114">
        <f>IF(M$201&gt;0, IF(N$201=0, 'Adjustment for previous period'!$G245, 0), 0)</f>
        <v>0</v>
      </c>
      <c r="N306" s="114">
        <f>IF(N$201&gt;0, IF(O$201=0, 'Adjustment for previous period'!$G245, 0), 0)</f>
        <v>0</v>
      </c>
      <c r="O306" s="114">
        <f>IF(O$201&gt;0, IF(P$201=0, 'Adjustment for previous period'!$G245, 0), 0)</f>
        <v>0</v>
      </c>
      <c r="P306" s="114">
        <f>IF(P$201&gt;0, IF(Q$201=0, 'Adjustment for previous period'!$G245, 0), 0)</f>
        <v>0</v>
      </c>
      <c r="Q306" s="114">
        <f>IF(Q$201&gt;0, IF(R$201=0, 'Adjustment for previous period'!$G245, 0), 0)</f>
        <v>0</v>
      </c>
      <c r="R306" s="9"/>
      <c r="S306" s="9"/>
      <c r="T306" s="9"/>
      <c r="U306" s="9"/>
      <c r="V306" s="9"/>
      <c r="W306" s="9"/>
      <c r="X306" s="9"/>
      <c r="Y306" s="9"/>
      <c r="Z306" s="9"/>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row>
    <row r="307" spans="1:64" hidden="1" outlineLevel="1">
      <c r="A307" s="9"/>
      <c r="B307" s="9"/>
      <c r="C307" s="9"/>
      <c r="D307" s="278" t="str">
        <f>Asset10</f>
        <v>Transmission line assets - long life (60)</v>
      </c>
      <c r="E307" s="9"/>
      <c r="F307" s="9"/>
      <c r="G307" s="9"/>
      <c r="H307" s="9"/>
      <c r="I307" s="9"/>
      <c r="J307" s="9"/>
      <c r="K307" s="9"/>
      <c r="L307" s="370">
        <f>IF(L$201&gt;0, IF(M$201=0, 'Adjustment for previous period'!$G246, 0), 0)</f>
        <v>5.7315389012824696</v>
      </c>
      <c r="M307" s="114">
        <f>IF(M$201&gt;0, IF(N$201=0, 'Adjustment for previous period'!$G246, 0), 0)</f>
        <v>0</v>
      </c>
      <c r="N307" s="114">
        <f>IF(N$201&gt;0, IF(O$201=0, 'Adjustment for previous period'!$G246, 0), 0)</f>
        <v>0</v>
      </c>
      <c r="O307" s="114">
        <f>IF(O$201&gt;0, IF(P$201=0, 'Adjustment for previous period'!$G246, 0), 0)</f>
        <v>0</v>
      </c>
      <c r="P307" s="114">
        <f>IF(P$201&gt;0, IF(Q$201=0, 'Adjustment for previous period'!$G246, 0), 0)</f>
        <v>0</v>
      </c>
      <c r="Q307" s="114">
        <f>IF(Q$201&gt;0, IF(R$201=0, 'Adjustment for previous period'!$G246, 0), 0)</f>
        <v>0</v>
      </c>
      <c r="R307" s="9"/>
      <c r="S307" s="9"/>
      <c r="T307" s="9"/>
      <c r="U307" s="9"/>
      <c r="V307" s="9"/>
      <c r="W307" s="9"/>
      <c r="X307" s="9"/>
      <c r="Y307" s="9"/>
      <c r="Z307" s="9"/>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row>
    <row r="308" spans="1:64" hidden="1" outlineLevel="1">
      <c r="A308" s="9"/>
      <c r="B308" s="9"/>
      <c r="C308" s="9"/>
      <c r="D308" s="278" t="str">
        <f>Asset11</f>
        <v>Transmission line assets - medium life (45)</v>
      </c>
      <c r="E308" s="9"/>
      <c r="F308" s="9"/>
      <c r="G308" s="9"/>
      <c r="H308" s="9"/>
      <c r="I308" s="9"/>
      <c r="J308" s="9"/>
      <c r="K308" s="9"/>
      <c r="L308" s="370">
        <f>IF(L$201&gt;0, IF(M$201=0, 'Adjustment for previous period'!$G247, 0), 0)</f>
        <v>-5.4248239493538186E-2</v>
      </c>
      <c r="M308" s="114">
        <f>IF(M$201&gt;0, IF(N$201=0, 'Adjustment for previous period'!$G247, 0), 0)</f>
        <v>0</v>
      </c>
      <c r="N308" s="114">
        <f>IF(N$201&gt;0, IF(O$201=0, 'Adjustment for previous period'!$G247, 0), 0)</f>
        <v>0</v>
      </c>
      <c r="O308" s="114">
        <f>IF(O$201&gt;0, IF(P$201=0, 'Adjustment for previous period'!$G247, 0), 0)</f>
        <v>0</v>
      </c>
      <c r="P308" s="114">
        <f>IF(P$201&gt;0, IF(Q$201=0, 'Adjustment for previous period'!$G247, 0), 0)</f>
        <v>0</v>
      </c>
      <c r="Q308" s="114">
        <f>IF(Q$201&gt;0, IF(R$201=0, 'Adjustment for previous period'!$G247, 0), 0)</f>
        <v>0</v>
      </c>
      <c r="R308" s="9"/>
      <c r="S308" s="9"/>
      <c r="T308" s="9"/>
      <c r="U308" s="9"/>
      <c r="V308" s="9"/>
      <c r="W308" s="9"/>
      <c r="X308" s="9"/>
      <c r="Y308" s="9"/>
      <c r="Z308" s="9"/>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c r="BI308" s="204"/>
      <c r="BJ308" s="204"/>
      <c r="BK308" s="204"/>
      <c r="BL308" s="204"/>
    </row>
    <row r="309" spans="1:64" hidden="1" outlineLevel="1">
      <c r="A309" s="9"/>
      <c r="B309" s="9"/>
      <c r="C309" s="9"/>
      <c r="D309" s="278" t="str">
        <f>Asset12</f>
        <v>Transmission line assets - short life (10)</v>
      </c>
      <c r="E309" s="9"/>
      <c r="F309" s="9"/>
      <c r="G309" s="9"/>
      <c r="H309" s="9"/>
      <c r="I309" s="9"/>
      <c r="J309" s="9"/>
      <c r="K309" s="9"/>
      <c r="L309" s="370">
        <f>IF(L$201&gt;0, IF(M$201=0, 'Adjustment for previous period'!$G248, 0), 0)</f>
        <v>0.48924738203004692</v>
      </c>
      <c r="M309" s="114">
        <f>IF(M$201&gt;0, IF(N$201=0, 'Adjustment for previous period'!$G248, 0), 0)</f>
        <v>0</v>
      </c>
      <c r="N309" s="114">
        <f>IF(N$201&gt;0, IF(O$201=0, 'Adjustment for previous period'!$G248, 0), 0)</f>
        <v>0</v>
      </c>
      <c r="O309" s="114">
        <f>IF(O$201&gt;0, IF(P$201=0, 'Adjustment for previous period'!$G248, 0), 0)</f>
        <v>0</v>
      </c>
      <c r="P309" s="114">
        <f>IF(P$201&gt;0, IF(Q$201=0, 'Adjustment for previous period'!$G248, 0), 0)</f>
        <v>0</v>
      </c>
      <c r="Q309" s="114">
        <f>IF(Q$201&gt;0, IF(R$201=0, 'Adjustment for previous period'!$G248, 0), 0)</f>
        <v>0</v>
      </c>
      <c r="R309" s="9"/>
      <c r="S309" s="9"/>
      <c r="T309" s="9"/>
      <c r="U309" s="9"/>
      <c r="V309" s="9"/>
      <c r="W309" s="9"/>
      <c r="X309" s="9"/>
      <c r="Y309" s="9"/>
      <c r="Z309" s="9"/>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c r="BI309" s="204"/>
      <c r="BJ309" s="204"/>
      <c r="BK309" s="204"/>
      <c r="BL309" s="204"/>
    </row>
    <row r="310" spans="1:64" hidden="1" outlineLevel="1">
      <c r="A310" s="9"/>
      <c r="B310" s="9"/>
      <c r="C310" s="9"/>
      <c r="D310" s="278" t="str">
        <f>Asset13</f>
        <v>Substation assets - long life (60)</v>
      </c>
      <c r="E310" s="9"/>
      <c r="F310" s="9"/>
      <c r="G310" s="9"/>
      <c r="H310" s="9"/>
      <c r="I310" s="9"/>
      <c r="J310" s="9"/>
      <c r="K310" s="9"/>
      <c r="L310" s="370">
        <f>IF(L$201&gt;0, IF(M$201=0, 'Adjustment for previous period'!$G249, 0), 0)</f>
        <v>1.6878573457922603</v>
      </c>
      <c r="M310" s="114">
        <f>IF(M$201&gt;0, IF(N$201=0, 'Adjustment for previous period'!$G249, 0), 0)</f>
        <v>0</v>
      </c>
      <c r="N310" s="114">
        <f>IF(N$201&gt;0, IF(O$201=0, 'Adjustment for previous period'!$G249, 0), 0)</f>
        <v>0</v>
      </c>
      <c r="O310" s="114">
        <f>IF(O$201&gt;0, IF(P$201=0, 'Adjustment for previous period'!$G249, 0), 0)</f>
        <v>0</v>
      </c>
      <c r="P310" s="114">
        <f>IF(P$201&gt;0, IF(Q$201=0, 'Adjustment for previous period'!$G249, 0), 0)</f>
        <v>0</v>
      </c>
      <c r="Q310" s="114">
        <f>IF(Q$201&gt;0, IF(R$201=0, 'Adjustment for previous period'!$G249, 0), 0)</f>
        <v>0</v>
      </c>
      <c r="R310" s="9"/>
      <c r="S310" s="9"/>
      <c r="T310" s="9"/>
      <c r="U310" s="9"/>
      <c r="V310" s="9"/>
      <c r="W310" s="9"/>
      <c r="X310" s="9"/>
      <c r="Y310" s="9"/>
      <c r="Z310" s="9"/>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c r="BI310" s="204"/>
      <c r="BJ310" s="204"/>
      <c r="BK310" s="204"/>
      <c r="BL310" s="204"/>
    </row>
    <row r="311" spans="1:64" hidden="1" outlineLevel="1">
      <c r="A311" s="9"/>
      <c r="B311" s="9"/>
      <c r="C311" s="9"/>
      <c r="D311" s="278" t="str">
        <f>Asset14</f>
        <v>Substation assets - medium life (45)</v>
      </c>
      <c r="E311" s="9"/>
      <c r="F311" s="9"/>
      <c r="G311" s="9"/>
      <c r="H311" s="9"/>
      <c r="I311" s="9"/>
      <c r="J311" s="9"/>
      <c r="K311" s="9"/>
      <c r="L311" s="370">
        <f>IF(L$201&gt;0, IF(M$201=0, 'Adjustment for previous period'!$G250, 0), 0)</f>
        <v>5.5250952535782147</v>
      </c>
      <c r="M311" s="114">
        <f>IF(M$201&gt;0, IF(N$201=0, 'Adjustment for previous period'!$G250, 0), 0)</f>
        <v>0</v>
      </c>
      <c r="N311" s="114">
        <f>IF(N$201&gt;0, IF(O$201=0, 'Adjustment for previous period'!$G250, 0), 0)</f>
        <v>0</v>
      </c>
      <c r="O311" s="114">
        <f>IF(O$201&gt;0, IF(P$201=0, 'Adjustment for previous period'!$G250, 0), 0)</f>
        <v>0</v>
      </c>
      <c r="P311" s="114">
        <f>IF(P$201&gt;0, IF(Q$201=0, 'Adjustment for previous period'!$G250, 0), 0)</f>
        <v>0</v>
      </c>
      <c r="Q311" s="114">
        <f>IF(Q$201&gt;0, IF(R$201=0, 'Adjustment for previous period'!$G250, 0), 0)</f>
        <v>0</v>
      </c>
      <c r="R311" s="9"/>
      <c r="S311" s="9"/>
      <c r="T311" s="9"/>
      <c r="U311" s="9"/>
      <c r="V311" s="9"/>
      <c r="W311" s="9"/>
      <c r="X311" s="9"/>
      <c r="Y311" s="9"/>
      <c r="Z311" s="9"/>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c r="BI311" s="204"/>
      <c r="BJ311" s="204"/>
      <c r="BK311" s="204"/>
      <c r="BL311" s="204"/>
    </row>
    <row r="312" spans="1:64" hidden="1" outlineLevel="1">
      <c r="A312" s="9"/>
      <c r="B312" s="9"/>
      <c r="C312" s="9"/>
      <c r="D312" s="278" t="str">
        <f>Asset15</f>
        <v>Substation assets - short life (15)</v>
      </c>
      <c r="E312" s="9"/>
      <c r="F312" s="9"/>
      <c r="G312" s="9"/>
      <c r="H312" s="9"/>
      <c r="I312" s="9"/>
      <c r="J312" s="9"/>
      <c r="K312" s="9"/>
      <c r="L312" s="370">
        <f>IF(L$201&gt;0, IF(M$201=0, 'Adjustment for previous period'!$G251, 0), 0)</f>
        <v>5.9873207743483023</v>
      </c>
      <c r="M312" s="114">
        <f>IF(M$201&gt;0, IF(N$201=0, 'Adjustment for previous period'!$G251, 0), 0)</f>
        <v>0</v>
      </c>
      <c r="N312" s="114">
        <f>IF(N$201&gt;0, IF(O$201=0, 'Adjustment for previous period'!$G251, 0), 0)</f>
        <v>0</v>
      </c>
      <c r="O312" s="114">
        <f>IF(O$201&gt;0, IF(P$201=0, 'Adjustment for previous period'!$G251, 0), 0)</f>
        <v>0</v>
      </c>
      <c r="P312" s="114">
        <f>IF(P$201&gt;0, IF(Q$201=0, 'Adjustment for previous period'!$G251, 0), 0)</f>
        <v>0</v>
      </c>
      <c r="Q312" s="114">
        <f>IF(Q$201&gt;0, IF(R$201=0, 'Adjustment for previous period'!$G251, 0), 0)</f>
        <v>0</v>
      </c>
      <c r="R312" s="9"/>
      <c r="S312" s="9"/>
      <c r="T312" s="9"/>
      <c r="U312" s="9"/>
      <c r="V312" s="9"/>
      <c r="W312" s="9"/>
      <c r="X312" s="9"/>
      <c r="Y312" s="9"/>
      <c r="Z312" s="9"/>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c r="BI312" s="204"/>
      <c r="BJ312" s="204"/>
      <c r="BK312" s="204"/>
      <c r="BL312" s="204"/>
    </row>
    <row r="313" spans="1:64" hidden="1" outlineLevel="1">
      <c r="A313" s="9"/>
      <c r="B313" s="9"/>
      <c r="C313" s="9"/>
      <c r="D313" s="278" t="str">
        <f>Asset16</f>
        <v>Protection and control - short life (15)</v>
      </c>
      <c r="E313" s="9"/>
      <c r="F313" s="9"/>
      <c r="G313" s="9"/>
      <c r="H313" s="9"/>
      <c r="I313" s="9"/>
      <c r="J313" s="9"/>
      <c r="K313" s="9"/>
      <c r="L313" s="370">
        <f>IF(L$201&gt;0, IF(M$201=0, 'Adjustment for previous period'!$G252, 0), 0)</f>
        <v>2.5924627505956241</v>
      </c>
      <c r="M313" s="114">
        <f>IF(M$201&gt;0, IF(N$201=0, 'Adjustment for previous period'!$G252, 0), 0)</f>
        <v>0</v>
      </c>
      <c r="N313" s="114">
        <f>IF(N$201&gt;0, IF(O$201=0, 'Adjustment for previous period'!$G252, 0), 0)</f>
        <v>0</v>
      </c>
      <c r="O313" s="114">
        <f>IF(O$201&gt;0, IF(P$201=0, 'Adjustment for previous period'!$G252, 0), 0)</f>
        <v>0</v>
      </c>
      <c r="P313" s="114">
        <f>IF(P$201&gt;0, IF(Q$201=0, 'Adjustment for previous period'!$G252, 0), 0)</f>
        <v>0</v>
      </c>
      <c r="Q313" s="114">
        <f>IF(Q$201&gt;0, IF(R$201=0, 'Adjustment for previous period'!$G252, 0), 0)</f>
        <v>0</v>
      </c>
      <c r="R313" s="9"/>
      <c r="S313" s="9"/>
      <c r="T313" s="9"/>
      <c r="U313" s="9"/>
      <c r="V313" s="9"/>
      <c r="W313" s="9"/>
      <c r="X313" s="9"/>
      <c r="Y313" s="9"/>
      <c r="Z313" s="9"/>
      <c r="AB313" s="204"/>
      <c r="AC313" s="204"/>
      <c r="AD313" s="204"/>
      <c r="AE313" s="204"/>
      <c r="AF313" s="204"/>
      <c r="AG313" s="204"/>
      <c r="AH313" s="204"/>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c r="BI313" s="204"/>
      <c r="BJ313" s="204"/>
      <c r="BK313" s="204"/>
      <c r="BL313" s="204"/>
    </row>
    <row r="314" spans="1:64" hidden="1" outlineLevel="1">
      <c r="A314" s="9"/>
      <c r="B314" s="9"/>
      <c r="C314" s="9"/>
      <c r="D314" s="278" t="str">
        <f>Asset17</f>
        <v>Protection and control - short life (4)</v>
      </c>
      <c r="E314" s="9"/>
      <c r="F314" s="9"/>
      <c r="G314" s="9"/>
      <c r="H314" s="9"/>
      <c r="I314" s="9"/>
      <c r="J314" s="9"/>
      <c r="K314" s="9"/>
      <c r="L314" s="370">
        <f>IF(L$201&gt;0, IF(M$201=0, 'Adjustment for previous period'!$G253, 0), 0)</f>
        <v>4.1475454707502295E-2</v>
      </c>
      <c r="M314" s="114">
        <f>IF(M$201&gt;0, IF(N$201=0, 'Adjustment for previous period'!$G253, 0), 0)</f>
        <v>0</v>
      </c>
      <c r="N314" s="114">
        <f>IF(N$201&gt;0, IF(O$201=0, 'Adjustment for previous period'!$G253, 0), 0)</f>
        <v>0</v>
      </c>
      <c r="O314" s="114">
        <f>IF(O$201&gt;0, IF(P$201=0, 'Adjustment for previous period'!$G253, 0), 0)</f>
        <v>0</v>
      </c>
      <c r="P314" s="114">
        <f>IF(P$201&gt;0, IF(Q$201=0, 'Adjustment for previous period'!$G253, 0), 0)</f>
        <v>0</v>
      </c>
      <c r="Q314" s="114">
        <f>IF(Q$201&gt;0, IF(R$201=0, 'Adjustment for previous period'!$G253, 0), 0)</f>
        <v>0</v>
      </c>
      <c r="R314" s="9"/>
      <c r="S314" s="9"/>
      <c r="T314" s="9"/>
      <c r="U314" s="9"/>
      <c r="V314" s="9"/>
      <c r="W314" s="9"/>
      <c r="X314" s="9"/>
      <c r="Y314" s="9"/>
      <c r="Z314" s="9"/>
      <c r="AB314" s="204"/>
      <c r="AC314" s="204"/>
      <c r="AD314" s="204"/>
      <c r="AE314" s="204"/>
      <c r="AF314" s="204"/>
      <c r="AG314" s="204"/>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c r="BI314" s="204"/>
      <c r="BJ314" s="204"/>
      <c r="BK314" s="204"/>
      <c r="BL314" s="204"/>
    </row>
    <row r="315" spans="1:64" hidden="1" outlineLevel="1">
      <c r="A315" s="9"/>
      <c r="B315" s="9"/>
      <c r="C315" s="9"/>
      <c r="D315" s="278" t="str">
        <f>Asset18</f>
        <v>Transmission operations - short life (10)</v>
      </c>
      <c r="E315" s="9"/>
      <c r="F315" s="9"/>
      <c r="G315" s="9"/>
      <c r="H315" s="9"/>
      <c r="I315" s="9"/>
      <c r="J315" s="9"/>
      <c r="K315" s="9"/>
      <c r="L315" s="370">
        <f>IF(L$201&gt;0, IF(M$201=0, 'Adjustment for previous period'!$G254, 0), 0)</f>
        <v>1.0438800209506713</v>
      </c>
      <c r="M315" s="114">
        <f>IF(M$201&gt;0, IF(N$201=0, 'Adjustment for previous period'!$G254, 0), 0)</f>
        <v>0</v>
      </c>
      <c r="N315" s="114">
        <f>IF(N$201&gt;0, IF(O$201=0, 'Adjustment for previous period'!$G254, 0), 0)</f>
        <v>0</v>
      </c>
      <c r="O315" s="114">
        <f>IF(O$201&gt;0, IF(P$201=0, 'Adjustment for previous period'!$G254, 0), 0)</f>
        <v>0</v>
      </c>
      <c r="P315" s="114">
        <f>IF(P$201&gt;0, IF(Q$201=0, 'Adjustment for previous period'!$G254, 0), 0)</f>
        <v>0</v>
      </c>
      <c r="Q315" s="114">
        <f>IF(Q$201&gt;0, IF(R$201=0, 'Adjustment for previous period'!$G254, 0), 0)</f>
        <v>0</v>
      </c>
      <c r="R315" s="9"/>
      <c r="S315" s="9"/>
      <c r="T315" s="9"/>
      <c r="U315" s="9"/>
      <c r="V315" s="9"/>
      <c r="W315" s="9"/>
      <c r="X315" s="9"/>
      <c r="Y315" s="9"/>
      <c r="Z315" s="9"/>
      <c r="AB315" s="204"/>
      <c r="AC315" s="204"/>
      <c r="AD315" s="204"/>
      <c r="AE315" s="204"/>
      <c r="AF315" s="204"/>
      <c r="AG315" s="204"/>
      <c r="AH315" s="204"/>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c r="BI315" s="204"/>
      <c r="BJ315" s="204"/>
      <c r="BK315" s="204"/>
      <c r="BL315" s="204"/>
    </row>
    <row r="316" spans="1:64" hidden="1" outlineLevel="1">
      <c r="A316" s="9"/>
      <c r="B316" s="9"/>
      <c r="C316" s="9"/>
      <c r="D316" s="278" t="str">
        <f>Asset19</f>
        <v>Transmission operations - short life (4)</v>
      </c>
      <c r="E316" s="9"/>
      <c r="F316" s="9"/>
      <c r="G316" s="9"/>
      <c r="H316" s="9"/>
      <c r="I316" s="9"/>
      <c r="J316" s="9"/>
      <c r="K316" s="9"/>
      <c r="L316" s="370">
        <f>IF(L$201&gt;0, IF(M$201=0, 'Adjustment for previous period'!$G255, 0), 0)</f>
        <v>3.6888414534254815E-2</v>
      </c>
      <c r="M316" s="114">
        <f>IF(M$201&gt;0, IF(N$201=0, 'Adjustment for previous period'!$G255, 0), 0)</f>
        <v>0</v>
      </c>
      <c r="N316" s="114">
        <f>IF(N$201&gt;0, IF(O$201=0, 'Adjustment for previous period'!$G255, 0), 0)</f>
        <v>0</v>
      </c>
      <c r="O316" s="114">
        <f>IF(O$201&gt;0, IF(P$201=0, 'Adjustment for previous period'!$G255, 0), 0)</f>
        <v>0</v>
      </c>
      <c r="P316" s="114">
        <f>IF(P$201&gt;0, IF(Q$201=0, 'Adjustment for previous period'!$G255, 0), 0)</f>
        <v>0</v>
      </c>
      <c r="Q316" s="114">
        <f>IF(Q$201&gt;0, IF(R$201=0, 'Adjustment for previous period'!$G255, 0), 0)</f>
        <v>0</v>
      </c>
      <c r="R316" s="9"/>
      <c r="S316" s="9"/>
      <c r="T316" s="9"/>
      <c r="U316" s="9"/>
      <c r="V316" s="9"/>
      <c r="W316" s="9"/>
      <c r="X316" s="9"/>
      <c r="Y316" s="9"/>
      <c r="Z316" s="9"/>
      <c r="AB316" s="204"/>
      <c r="AC316" s="204"/>
      <c r="AD316" s="204"/>
      <c r="AE316" s="204"/>
      <c r="AF316" s="204"/>
      <c r="AG316" s="204"/>
      <c r="AH316" s="204"/>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c r="BI316" s="204"/>
      <c r="BJ316" s="204"/>
      <c r="BK316" s="204"/>
      <c r="BL316" s="204"/>
    </row>
    <row r="317" spans="1:64" hidden="1" outlineLevel="1">
      <c r="A317" s="9"/>
      <c r="B317" s="9"/>
      <c r="C317" s="9"/>
      <c r="D317" s="278" t="str">
        <f>Asset20</f>
        <v>Other - medium life (40)</v>
      </c>
      <c r="E317" s="9"/>
      <c r="F317" s="9"/>
      <c r="G317" s="9"/>
      <c r="H317" s="9"/>
      <c r="I317" s="9"/>
      <c r="J317" s="9"/>
      <c r="K317" s="9"/>
      <c r="L317" s="370">
        <f>IF(L$201&gt;0, IF(M$201=0, 'Adjustment for previous period'!$G256, 0), 0)</f>
        <v>-0.64899988340549086</v>
      </c>
      <c r="M317" s="114">
        <f>IF(M$201&gt;0, IF(N$201=0, 'Adjustment for previous period'!$G256, 0), 0)</f>
        <v>0</v>
      </c>
      <c r="N317" s="114">
        <f>IF(N$201&gt;0, IF(O$201=0, 'Adjustment for previous period'!$G256, 0), 0)</f>
        <v>0</v>
      </c>
      <c r="O317" s="114">
        <f>IF(O$201&gt;0, IF(P$201=0, 'Adjustment for previous period'!$G256, 0), 0)</f>
        <v>0</v>
      </c>
      <c r="P317" s="114">
        <f>IF(P$201&gt;0, IF(Q$201=0, 'Adjustment for previous period'!$G256, 0), 0)</f>
        <v>0</v>
      </c>
      <c r="Q317" s="114">
        <f>IF(Q$201&gt;0, IF(R$201=0, 'Adjustment for previous period'!$G256, 0), 0)</f>
        <v>0</v>
      </c>
      <c r="R317" s="9"/>
      <c r="S317" s="9"/>
      <c r="T317" s="9"/>
      <c r="U317" s="9"/>
      <c r="V317" s="9"/>
      <c r="W317" s="9"/>
      <c r="X317" s="9"/>
      <c r="Y317" s="9"/>
      <c r="Z317" s="9"/>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c r="BI317" s="204"/>
      <c r="BJ317" s="204"/>
      <c r="BK317" s="204"/>
      <c r="BL317" s="204"/>
    </row>
    <row r="318" spans="1:64" hidden="1" outlineLevel="1">
      <c r="A318" s="9"/>
      <c r="B318" s="9"/>
      <c r="C318" s="9"/>
      <c r="D318" s="278" t="str">
        <f>Asset21</f>
        <v>Other - short life (9)</v>
      </c>
      <c r="E318" s="9"/>
      <c r="F318" s="9"/>
      <c r="G318" s="9"/>
      <c r="H318" s="9"/>
      <c r="I318" s="9"/>
      <c r="J318" s="9"/>
      <c r="K318" s="9"/>
      <c r="L318" s="370">
        <f>IF(L$201&gt;0, IF(M$201=0, 'Adjustment for previous period'!$G257, 0), 0)</f>
        <v>0</v>
      </c>
      <c r="M318" s="114">
        <f>IF(M$201&gt;0, IF(N$201=0, 'Adjustment for previous period'!$G257, 0), 0)</f>
        <v>0</v>
      </c>
      <c r="N318" s="114">
        <f>IF(N$201&gt;0, IF(O$201=0, 'Adjustment for previous period'!$G257, 0), 0)</f>
        <v>0</v>
      </c>
      <c r="O318" s="114">
        <f>IF(O$201&gt;0, IF(P$201=0, 'Adjustment for previous period'!$G257, 0), 0)</f>
        <v>0</v>
      </c>
      <c r="P318" s="114">
        <f>IF(P$201&gt;0, IF(Q$201=0, 'Adjustment for previous period'!$G257, 0), 0)</f>
        <v>0</v>
      </c>
      <c r="Q318" s="114">
        <f>IF(Q$201&gt;0, IF(R$201=0, 'Adjustment for previous period'!$G257, 0), 0)</f>
        <v>0</v>
      </c>
      <c r="R318" s="9"/>
      <c r="S318" s="9"/>
      <c r="T318" s="9"/>
      <c r="U318" s="9"/>
      <c r="V318" s="9"/>
      <c r="W318" s="9"/>
      <c r="X318" s="9"/>
      <c r="Y318" s="9"/>
      <c r="Z318" s="9"/>
      <c r="AB318" s="204"/>
      <c r="AC318" s="204"/>
      <c r="AD318" s="204"/>
      <c r="AE318" s="204"/>
      <c r="AF318" s="204"/>
      <c r="AG318" s="204"/>
      <c r="AH318" s="204"/>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c r="BI318" s="204"/>
      <c r="BJ318" s="204"/>
      <c r="BK318" s="204"/>
      <c r="BL318" s="204"/>
    </row>
    <row r="319" spans="1:64" hidden="1" outlineLevel="1">
      <c r="A319" s="9"/>
      <c r="B319" s="9"/>
      <c r="C319" s="9"/>
      <c r="D319" s="278" t="str">
        <f>Asset22</f>
        <v>Other - short life (4)</v>
      </c>
      <c r="E319" s="9"/>
      <c r="F319" s="9"/>
      <c r="G319" s="9"/>
      <c r="H319" s="9"/>
      <c r="I319" s="9"/>
      <c r="J319" s="9"/>
      <c r="K319" s="9"/>
      <c r="L319" s="370">
        <f>IF(L$201&gt;0, IF(M$201=0, 'Adjustment for previous period'!$G258, 0), 0)</f>
        <v>1.6788151108380556</v>
      </c>
      <c r="M319" s="114">
        <f>IF(M$201&gt;0, IF(N$201=0, 'Adjustment for previous period'!$G258, 0), 0)</f>
        <v>0</v>
      </c>
      <c r="N319" s="114">
        <f>IF(N$201&gt;0, IF(O$201=0, 'Adjustment for previous period'!$G258, 0), 0)</f>
        <v>0</v>
      </c>
      <c r="O319" s="114">
        <f>IF(O$201&gt;0, IF(P$201=0, 'Adjustment for previous period'!$G258, 0), 0)</f>
        <v>0</v>
      </c>
      <c r="P319" s="114">
        <f>IF(P$201&gt;0, IF(Q$201=0, 'Adjustment for previous period'!$G258, 0), 0)</f>
        <v>0</v>
      </c>
      <c r="Q319" s="114">
        <f>IF(Q$201&gt;0, IF(R$201=0, 'Adjustment for previous period'!$G258, 0), 0)</f>
        <v>0</v>
      </c>
      <c r="R319" s="9"/>
      <c r="S319" s="9"/>
      <c r="T319" s="9"/>
      <c r="U319" s="9"/>
      <c r="V319" s="9"/>
      <c r="W319" s="9"/>
      <c r="X319" s="9"/>
      <c r="Y319" s="9"/>
      <c r="Z319" s="9"/>
      <c r="AB319" s="204"/>
      <c r="AC319" s="204"/>
      <c r="AD319" s="204"/>
      <c r="AE319" s="204"/>
      <c r="AF319" s="204"/>
      <c r="AG319" s="204"/>
      <c r="AH319" s="204"/>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c r="BI319" s="204"/>
      <c r="BJ319" s="204"/>
      <c r="BK319" s="204"/>
      <c r="BL319" s="204"/>
    </row>
    <row r="320" spans="1:64" hidden="1" outlineLevel="1">
      <c r="A320" s="9"/>
      <c r="B320" s="9"/>
      <c r="C320" s="9"/>
      <c r="D320" s="278" t="str">
        <f>Asset23</f>
        <v>Land and Easements</v>
      </c>
      <c r="E320" s="9"/>
      <c r="F320" s="9"/>
      <c r="G320" s="9"/>
      <c r="H320" s="9"/>
      <c r="I320" s="9"/>
      <c r="J320" s="9"/>
      <c r="K320" s="9"/>
      <c r="L320" s="370">
        <f>IF(L$201&gt;0, IF(M$201=0, 'Adjustment for previous period'!$G259, 0), 0)</f>
        <v>1.8153691598552776E-2</v>
      </c>
      <c r="M320" s="114">
        <f>IF(M$201&gt;0, IF(N$201=0, 'Adjustment for previous period'!$G259, 0), 0)</f>
        <v>0</v>
      </c>
      <c r="N320" s="114">
        <f>IF(N$201&gt;0, IF(O$201=0, 'Adjustment for previous period'!$G259, 0), 0)</f>
        <v>0</v>
      </c>
      <c r="O320" s="114">
        <f>IF(O$201&gt;0, IF(P$201=0, 'Adjustment for previous period'!$G259, 0), 0)</f>
        <v>0</v>
      </c>
      <c r="P320" s="114">
        <f>IF(P$201&gt;0, IF(Q$201=0, 'Adjustment for previous period'!$G259, 0), 0)</f>
        <v>0</v>
      </c>
      <c r="Q320" s="114">
        <f>IF(Q$201&gt;0, IF(R$201=0, 'Adjustment for previous period'!$G259, 0), 0)</f>
        <v>0</v>
      </c>
      <c r="R320" s="9"/>
      <c r="S320" s="9"/>
      <c r="T320" s="9"/>
      <c r="U320" s="9"/>
      <c r="V320" s="9"/>
      <c r="W320" s="9"/>
      <c r="X320" s="9"/>
      <c r="Y320" s="9"/>
      <c r="Z320" s="9"/>
      <c r="AB320" s="204"/>
      <c r="AC320" s="204"/>
      <c r="AD320" s="204"/>
      <c r="AE320" s="204"/>
      <c r="AF320" s="204"/>
      <c r="AG320" s="204"/>
      <c r="AH320" s="204"/>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c r="BI320" s="204"/>
      <c r="BJ320" s="204"/>
      <c r="BK320" s="204"/>
      <c r="BL320" s="204"/>
    </row>
    <row r="321" spans="1:64" hidden="1" outlineLevel="1">
      <c r="A321" s="9"/>
      <c r="B321" s="9"/>
      <c r="C321" s="9"/>
      <c r="D321" s="278" t="str">
        <f>Asset24</f>
        <v>Equity Raising</v>
      </c>
      <c r="E321" s="9"/>
      <c r="F321" s="9"/>
      <c r="G321" s="9"/>
      <c r="H321" s="9"/>
      <c r="I321" s="9"/>
      <c r="J321" s="9"/>
      <c r="K321" s="9"/>
      <c r="L321" s="370">
        <f>IF(L$201&gt;0, IF(M$201=0, 'Adjustment for previous period'!$G260, 0), 0)</f>
        <v>0</v>
      </c>
      <c r="M321" s="114">
        <f>IF(M$201&gt;0, IF(N$201=0, 'Adjustment for previous period'!$G260, 0), 0)</f>
        <v>0</v>
      </c>
      <c r="N321" s="114">
        <f>IF(N$201&gt;0, IF(O$201=0, 'Adjustment for previous period'!$G260, 0), 0)</f>
        <v>0</v>
      </c>
      <c r="O321" s="114">
        <f>IF(O$201&gt;0, IF(P$201=0, 'Adjustment for previous period'!$G260, 0), 0)</f>
        <v>0</v>
      </c>
      <c r="P321" s="114">
        <f>IF(P$201&gt;0, IF(Q$201=0, 'Adjustment for previous period'!$G260, 0), 0)</f>
        <v>0</v>
      </c>
      <c r="Q321" s="114">
        <f>IF(Q$201&gt;0, IF(R$201=0, 'Adjustment for previous period'!$G260, 0), 0)</f>
        <v>0</v>
      </c>
      <c r="R321" s="9"/>
      <c r="S321" s="9"/>
      <c r="T321" s="9"/>
      <c r="U321" s="9"/>
      <c r="V321" s="9"/>
      <c r="W321" s="9"/>
      <c r="X321" s="9"/>
      <c r="Y321" s="9"/>
      <c r="Z321" s="9"/>
      <c r="AB321" s="204"/>
      <c r="AC321" s="204"/>
      <c r="AD321" s="204"/>
      <c r="AE321" s="204"/>
      <c r="AF321" s="204"/>
      <c r="AG321" s="204"/>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c r="BI321" s="204"/>
      <c r="BJ321" s="204"/>
      <c r="BK321" s="204"/>
      <c r="BL321" s="204"/>
    </row>
    <row r="322" spans="1:64" hidden="1" outlineLevel="1">
      <c r="A322" s="9"/>
      <c r="B322" s="9"/>
      <c r="C322" s="9"/>
      <c r="D322" s="278">
        <f>Asset25</f>
        <v>0</v>
      </c>
      <c r="E322" s="9"/>
      <c r="F322" s="9"/>
      <c r="G322" s="9"/>
      <c r="H322" s="9"/>
      <c r="I322" s="9"/>
      <c r="J322" s="9"/>
      <c r="K322" s="9"/>
      <c r="L322" s="370">
        <f>IF(L$201&gt;0, IF(M$201=0, 'Adjustment for previous period'!$G261, 0), 0)</f>
        <v>0</v>
      </c>
      <c r="M322" s="114">
        <f>IF(M$201&gt;0, IF(N$201=0, 'Adjustment for previous period'!$G261, 0), 0)</f>
        <v>0</v>
      </c>
      <c r="N322" s="114">
        <f>IF(N$201&gt;0, IF(O$201=0, 'Adjustment for previous period'!$G261, 0), 0)</f>
        <v>0</v>
      </c>
      <c r="O322" s="114">
        <f>IF(O$201&gt;0, IF(P$201=0, 'Adjustment for previous period'!$G261, 0), 0)</f>
        <v>0</v>
      </c>
      <c r="P322" s="114">
        <f>IF(P$201&gt;0, IF(Q$201=0, 'Adjustment for previous period'!$G261, 0), 0)</f>
        <v>0</v>
      </c>
      <c r="Q322" s="114">
        <f>IF(Q$201&gt;0, IF(R$201=0, 'Adjustment for previous period'!$G261, 0), 0)</f>
        <v>0</v>
      </c>
      <c r="R322" s="9"/>
      <c r="S322" s="9"/>
      <c r="T322" s="9"/>
      <c r="U322" s="9"/>
      <c r="V322" s="9"/>
      <c r="W322" s="9"/>
      <c r="X322" s="9"/>
      <c r="Y322" s="9"/>
      <c r="Z322" s="9"/>
      <c r="AB322" s="204"/>
      <c r="AC322" s="204"/>
      <c r="AD322" s="204"/>
      <c r="AE322" s="204"/>
      <c r="AF322" s="204"/>
      <c r="AG322" s="204"/>
      <c r="AH322" s="204"/>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c r="BI322" s="204"/>
      <c r="BJ322" s="204"/>
      <c r="BK322" s="204"/>
      <c r="BL322" s="204"/>
    </row>
    <row r="323" spans="1:64" hidden="1" outlineLevel="1">
      <c r="A323" s="9"/>
      <c r="B323" s="9"/>
      <c r="C323" s="9"/>
      <c r="D323" s="278">
        <f>Asset26</f>
        <v>0</v>
      </c>
      <c r="E323" s="9"/>
      <c r="F323" s="9"/>
      <c r="G323" s="9"/>
      <c r="H323" s="9"/>
      <c r="I323" s="9"/>
      <c r="J323" s="9"/>
      <c r="K323" s="9"/>
      <c r="L323" s="370">
        <f>IF(L$201&gt;0, IF(M$201=0, 'Adjustment for previous period'!$G262, 0), 0)</f>
        <v>0</v>
      </c>
      <c r="M323" s="114">
        <f>IF(M$201&gt;0, IF(N$201=0, 'Adjustment for previous period'!$G262, 0), 0)</f>
        <v>0</v>
      </c>
      <c r="N323" s="114">
        <f>IF(N$201&gt;0, IF(O$201=0, 'Adjustment for previous period'!$G262, 0), 0)</f>
        <v>0</v>
      </c>
      <c r="O323" s="114">
        <f>IF(O$201&gt;0, IF(P$201=0, 'Adjustment for previous period'!$G262, 0), 0)</f>
        <v>0</v>
      </c>
      <c r="P323" s="114">
        <f>IF(P$201&gt;0, IF(Q$201=0, 'Adjustment for previous period'!$G262, 0), 0)</f>
        <v>0</v>
      </c>
      <c r="Q323" s="114">
        <f>IF(Q$201&gt;0, IF(R$201=0, 'Adjustment for previous period'!$G262, 0), 0)</f>
        <v>0</v>
      </c>
      <c r="R323" s="9"/>
      <c r="S323" s="9"/>
      <c r="T323" s="9"/>
      <c r="U323" s="9"/>
      <c r="V323" s="9"/>
      <c r="W323" s="9"/>
      <c r="X323" s="9"/>
      <c r="Y323" s="9"/>
      <c r="Z323" s="9"/>
      <c r="AB323" s="204"/>
      <c r="AC323" s="204"/>
      <c r="AD323" s="204"/>
      <c r="AE323" s="204"/>
      <c r="AF323" s="204"/>
      <c r="AG323" s="204"/>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c r="BI323" s="204"/>
      <c r="BJ323" s="204"/>
      <c r="BK323" s="204"/>
      <c r="BL323" s="204"/>
    </row>
    <row r="324" spans="1:64" hidden="1" outlineLevel="1">
      <c r="A324" s="9"/>
      <c r="B324" s="9"/>
      <c r="C324" s="9"/>
      <c r="D324" s="278">
        <f>Asset27</f>
        <v>0</v>
      </c>
      <c r="E324" s="9"/>
      <c r="F324" s="9"/>
      <c r="G324" s="9"/>
      <c r="H324" s="9"/>
      <c r="I324" s="9"/>
      <c r="J324" s="9"/>
      <c r="K324" s="9"/>
      <c r="L324" s="370">
        <f>IF(L$201&gt;0, IF(M$201=0, 'Adjustment for previous period'!$G263, 0), 0)</f>
        <v>0</v>
      </c>
      <c r="M324" s="114">
        <f>IF(M$201&gt;0, IF(N$201=0, 'Adjustment for previous period'!$G263, 0), 0)</f>
        <v>0</v>
      </c>
      <c r="N324" s="114">
        <f>IF(N$201&gt;0, IF(O$201=0, 'Adjustment for previous period'!$G263, 0), 0)</f>
        <v>0</v>
      </c>
      <c r="O324" s="114">
        <f>IF(O$201&gt;0, IF(P$201=0, 'Adjustment for previous period'!$G263, 0), 0)</f>
        <v>0</v>
      </c>
      <c r="P324" s="114">
        <f>IF(P$201&gt;0, IF(Q$201=0, 'Adjustment for previous period'!$G263, 0), 0)</f>
        <v>0</v>
      </c>
      <c r="Q324" s="114">
        <f>IF(Q$201&gt;0, IF(R$201=0, 'Adjustment for previous period'!$G263, 0), 0)</f>
        <v>0</v>
      </c>
      <c r="R324" s="9"/>
      <c r="S324" s="9"/>
      <c r="T324" s="9"/>
      <c r="U324" s="9"/>
      <c r="V324" s="9"/>
      <c r="W324" s="9"/>
      <c r="X324" s="9"/>
      <c r="Y324" s="9"/>
      <c r="Z324" s="9"/>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c r="BI324" s="204"/>
      <c r="BJ324" s="204"/>
      <c r="BK324" s="204"/>
      <c r="BL324" s="204"/>
    </row>
    <row r="325" spans="1:64" hidden="1" outlineLevel="1">
      <c r="A325" s="9"/>
      <c r="B325" s="9"/>
      <c r="C325" s="9"/>
      <c r="D325" s="278">
        <f>Asset28</f>
        <v>0</v>
      </c>
      <c r="E325" s="9"/>
      <c r="F325" s="9"/>
      <c r="G325" s="9"/>
      <c r="H325" s="9"/>
      <c r="I325" s="9"/>
      <c r="J325" s="9"/>
      <c r="K325" s="9"/>
      <c r="L325" s="370">
        <f>IF(L$201&gt;0, IF(M$201=0, 'Adjustment for previous period'!$G264, 0), 0)</f>
        <v>0</v>
      </c>
      <c r="M325" s="114">
        <f>IF(M$201&gt;0, IF(N$201=0, 'Adjustment for previous period'!$G264, 0), 0)</f>
        <v>0</v>
      </c>
      <c r="N325" s="114">
        <f>IF(N$201&gt;0, IF(O$201=0, 'Adjustment for previous period'!$G264, 0), 0)</f>
        <v>0</v>
      </c>
      <c r="O325" s="114">
        <f>IF(O$201&gt;0, IF(P$201=0, 'Adjustment for previous period'!$G264, 0), 0)</f>
        <v>0</v>
      </c>
      <c r="P325" s="114">
        <f>IF(P$201&gt;0, IF(Q$201=0, 'Adjustment for previous period'!$G264, 0), 0)</f>
        <v>0</v>
      </c>
      <c r="Q325" s="114">
        <f>IF(Q$201&gt;0, IF(R$201=0, 'Adjustment for previous period'!$G264, 0), 0)</f>
        <v>0</v>
      </c>
      <c r="R325" s="9"/>
      <c r="S325" s="9"/>
      <c r="T325" s="9"/>
      <c r="U325" s="9"/>
      <c r="V325" s="9"/>
      <c r="W325" s="9"/>
      <c r="X325" s="9"/>
      <c r="Y325" s="9"/>
      <c r="Z325" s="9"/>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c r="BI325" s="204"/>
      <c r="BJ325" s="204"/>
      <c r="BK325" s="204"/>
      <c r="BL325" s="204"/>
    </row>
    <row r="326" spans="1:64" hidden="1" outlineLevel="1">
      <c r="A326" s="9"/>
      <c r="B326" s="9"/>
      <c r="C326" s="9"/>
      <c r="D326" s="278">
        <f>Asset29</f>
        <v>0</v>
      </c>
      <c r="E326" s="9"/>
      <c r="F326" s="9"/>
      <c r="G326" s="9"/>
      <c r="H326" s="9"/>
      <c r="I326" s="9"/>
      <c r="J326" s="9"/>
      <c r="K326" s="9"/>
      <c r="L326" s="370">
        <f>IF(L$201&gt;0, IF(M$201=0, 'Adjustment for previous period'!$G265, 0), 0)</f>
        <v>0</v>
      </c>
      <c r="M326" s="114">
        <f>IF(M$201&gt;0, IF(N$201=0, 'Adjustment for previous period'!$G265, 0), 0)</f>
        <v>0</v>
      </c>
      <c r="N326" s="114">
        <f>IF(N$201&gt;0, IF(O$201=0, 'Adjustment for previous period'!$G265, 0), 0)</f>
        <v>0</v>
      </c>
      <c r="O326" s="114">
        <f>IF(O$201&gt;0, IF(P$201=0, 'Adjustment for previous period'!$G265, 0), 0)</f>
        <v>0</v>
      </c>
      <c r="P326" s="114">
        <f>IF(P$201&gt;0, IF(Q$201=0, 'Adjustment for previous period'!$G265, 0), 0)</f>
        <v>0</v>
      </c>
      <c r="Q326" s="114">
        <f>IF(Q$201&gt;0, IF(R$201=0, 'Adjustment for previous period'!$G265, 0), 0)</f>
        <v>0</v>
      </c>
      <c r="R326" s="9"/>
      <c r="S326" s="9"/>
      <c r="T326" s="9"/>
      <c r="U326" s="9"/>
      <c r="V326" s="9"/>
      <c r="W326" s="9"/>
      <c r="X326" s="9"/>
      <c r="Y326" s="9"/>
      <c r="Z326" s="9"/>
      <c r="AB326" s="204"/>
      <c r="AC326" s="204"/>
      <c r="AD326" s="204"/>
      <c r="AE326" s="204"/>
      <c r="AF326" s="204"/>
      <c r="AG326" s="204"/>
      <c r="AH326" s="204"/>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c r="BI326" s="204"/>
      <c r="BJ326" s="204"/>
      <c r="BK326" s="204"/>
      <c r="BL326" s="204"/>
    </row>
    <row r="327" spans="1:64" hidden="1" outlineLevel="1">
      <c r="A327" s="9"/>
      <c r="B327" s="9"/>
      <c r="C327" s="9"/>
      <c r="D327" s="278">
        <f>Asset30</f>
        <v>0</v>
      </c>
      <c r="E327" s="9"/>
      <c r="F327" s="9"/>
      <c r="G327" s="9"/>
      <c r="H327" s="9"/>
      <c r="I327" s="9"/>
      <c r="J327" s="9"/>
      <c r="K327" s="9"/>
      <c r="L327" s="370">
        <f>IF(L$201&gt;0, IF(M$201=0, 'Adjustment for previous period'!$G266, 0), 0)</f>
        <v>0</v>
      </c>
      <c r="M327" s="114">
        <f>IF(M$201&gt;0, IF(N$201=0, 'Adjustment for previous period'!$G266, 0), 0)</f>
        <v>0</v>
      </c>
      <c r="N327" s="114">
        <f>IF(N$201&gt;0, IF(O$201=0, 'Adjustment for previous period'!$G266, 0), 0)</f>
        <v>0</v>
      </c>
      <c r="O327" s="114">
        <f>IF(O$201&gt;0, IF(P$201=0, 'Adjustment for previous period'!$G266, 0), 0)</f>
        <v>0</v>
      </c>
      <c r="P327" s="114">
        <f>IF(P$201&gt;0, IF(Q$201=0, 'Adjustment for previous period'!$G266, 0), 0)</f>
        <v>0</v>
      </c>
      <c r="Q327" s="114">
        <f>IF(Q$201&gt;0, IF(R$201=0, 'Adjustment for previous period'!$G266, 0), 0)</f>
        <v>0</v>
      </c>
      <c r="R327" s="9"/>
      <c r="S327" s="9"/>
      <c r="T327" s="9"/>
      <c r="U327" s="9"/>
      <c r="V327" s="9"/>
      <c r="W327" s="9"/>
      <c r="X327" s="9"/>
      <c r="Y327" s="9"/>
      <c r="Z327" s="9"/>
      <c r="AB327" s="204"/>
      <c r="AC327" s="204"/>
      <c r="AD327" s="204"/>
      <c r="AE327" s="204"/>
      <c r="AF327" s="204"/>
      <c r="AG327" s="204"/>
      <c r="AH327" s="204"/>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c r="BI327" s="204"/>
      <c r="BJ327" s="204"/>
      <c r="BK327" s="204"/>
      <c r="BL327" s="204"/>
    </row>
    <row r="328" spans="1:64" collapsed="1">
      <c r="A328" s="9"/>
      <c r="B328" s="9"/>
      <c r="C328" s="9"/>
      <c r="D328" s="35"/>
      <c r="E328" s="9"/>
      <c r="F328" s="9"/>
      <c r="G328" s="9"/>
      <c r="H328" s="9"/>
      <c r="I328" s="9"/>
      <c r="J328" s="9"/>
      <c r="K328" s="9"/>
      <c r="L328" s="371"/>
      <c r="M328" s="9"/>
      <c r="N328" s="12"/>
      <c r="O328" s="9"/>
      <c r="P328" s="9"/>
      <c r="Q328" s="9"/>
      <c r="R328" s="9"/>
      <c r="S328" s="9"/>
      <c r="T328" s="9"/>
      <c r="U328" s="9"/>
      <c r="V328" s="9"/>
      <c r="W328" s="9"/>
      <c r="X328" s="9"/>
      <c r="Y328" s="9"/>
      <c r="Z328" s="9"/>
      <c r="AB328" s="204"/>
      <c r="AC328" s="204"/>
      <c r="AD328" s="204"/>
      <c r="AE328" s="204"/>
      <c r="AF328" s="204"/>
      <c r="AG328" s="204"/>
      <c r="AH328" s="204"/>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c r="BI328" s="204"/>
      <c r="BJ328" s="204"/>
      <c r="BK328" s="204"/>
      <c r="BL328" s="204"/>
    </row>
    <row r="329" spans="1:64">
      <c r="A329" s="9"/>
      <c r="B329" s="9"/>
      <c r="C329" s="9" t="s">
        <v>55</v>
      </c>
      <c r="D329" s="9"/>
      <c r="E329" s="9"/>
      <c r="F329" s="9"/>
      <c r="G329" s="9"/>
      <c r="H329" s="9"/>
      <c r="I329" s="9"/>
      <c r="J329" s="9"/>
      <c r="K329" s="9"/>
      <c r="L329" s="371">
        <f t="shared" ref="L329:Q329" si="18">SUM(L330:L359)</f>
        <v>14.900874486998676</v>
      </c>
      <c r="M329" s="35">
        <f t="shared" si="18"/>
        <v>0</v>
      </c>
      <c r="N329" s="35">
        <f t="shared" si="18"/>
        <v>0</v>
      </c>
      <c r="O329" s="35">
        <f t="shared" si="18"/>
        <v>0</v>
      </c>
      <c r="P329" s="35">
        <f t="shared" si="18"/>
        <v>0</v>
      </c>
      <c r="Q329" s="35">
        <f t="shared" si="18"/>
        <v>0</v>
      </c>
      <c r="R329" s="9"/>
      <c r="S329" s="9"/>
      <c r="T329" s="9"/>
      <c r="U329" s="9"/>
      <c r="V329" s="9"/>
      <c r="W329" s="9"/>
      <c r="X329" s="9"/>
      <c r="Y329" s="9"/>
      <c r="Z329" s="9"/>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c r="BI329" s="204"/>
      <c r="BJ329" s="204"/>
      <c r="BK329" s="204"/>
      <c r="BL329" s="204"/>
    </row>
    <row r="330" spans="1:64" hidden="1" outlineLevel="1">
      <c r="A330" s="9"/>
      <c r="B330" s="9"/>
      <c r="C330" s="9"/>
      <c r="D330" s="278" t="str">
        <f>Asset1</f>
        <v>Transmission Lines and Cables</v>
      </c>
      <c r="E330" s="9"/>
      <c r="F330" s="9"/>
      <c r="G330" s="9"/>
      <c r="H330" s="9"/>
      <c r="I330" s="9"/>
      <c r="J330" s="9"/>
      <c r="K330" s="9"/>
      <c r="L330" s="370">
        <f>IF(M$201=0, 'Adjustment for previous period'!L270, 0)</f>
        <v>0</v>
      </c>
      <c r="M330" s="114">
        <f>IF(N$201=0, 'Adjustment for previous period'!M270, 0)</f>
        <v>0</v>
      </c>
      <c r="N330" s="114">
        <f>IF(O$201=0, 'Adjustment for previous period'!N270, 0)</f>
        <v>0</v>
      </c>
      <c r="O330" s="114">
        <f>IF(P$201=0, 'Adjustment for previous period'!O270, 0)</f>
        <v>0</v>
      </c>
      <c r="P330" s="114">
        <f>IF(Q$201=0, 'Adjustment for previous period'!P270, 0)</f>
        <v>0</v>
      </c>
      <c r="Q330" s="114">
        <f>IF(R$201=0, 'Adjustment for previous period'!Q270, 0)</f>
        <v>0</v>
      </c>
      <c r="R330" s="9"/>
      <c r="S330" s="9"/>
      <c r="T330" s="9"/>
      <c r="U330" s="9"/>
      <c r="V330" s="9"/>
      <c r="W330" s="9"/>
      <c r="X330" s="9"/>
      <c r="Y330" s="9"/>
      <c r="Z330" s="9"/>
      <c r="AB330" s="204"/>
      <c r="AC330" s="204"/>
      <c r="AD330" s="204"/>
      <c r="AE330" s="204"/>
      <c r="AF330" s="204"/>
      <c r="AG330" s="204"/>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row>
    <row r="331" spans="1:64" hidden="1" outlineLevel="1">
      <c r="A331" s="9"/>
      <c r="B331" s="9"/>
      <c r="C331" s="9"/>
      <c r="D331" s="278" t="str">
        <f>Asset2</f>
        <v>Transmission Substations</v>
      </c>
      <c r="E331" s="9"/>
      <c r="F331" s="9"/>
      <c r="G331" s="9"/>
      <c r="H331" s="9"/>
      <c r="I331" s="9"/>
      <c r="J331" s="9"/>
      <c r="K331" s="9"/>
      <c r="L331" s="370">
        <f>IF(M$201=0, 'Adjustment for previous period'!L272, 0)</f>
        <v>0</v>
      </c>
      <c r="M331" s="114">
        <f>IF(N$201=0, 'Adjustment for previous period'!M272, 0)</f>
        <v>0</v>
      </c>
      <c r="N331" s="114">
        <f>IF(O$201=0, 'Adjustment for previous period'!N272, 0)</f>
        <v>0</v>
      </c>
      <c r="O331" s="114">
        <f>IF(P$201=0, 'Adjustment for previous period'!O272, 0)</f>
        <v>0</v>
      </c>
      <c r="P331" s="114">
        <f>IF(Q$201=0, 'Adjustment for previous period'!P272, 0)</f>
        <v>0</v>
      </c>
      <c r="Q331" s="114">
        <f>IF(R$201=0, 'Adjustment for previous period'!Q272, 0)</f>
        <v>0</v>
      </c>
      <c r="R331" s="9"/>
      <c r="S331" s="9"/>
      <c r="T331" s="9"/>
      <c r="U331" s="9"/>
      <c r="V331" s="9"/>
      <c r="W331" s="9"/>
      <c r="X331" s="9"/>
      <c r="Y331" s="9"/>
      <c r="Z331" s="9"/>
      <c r="AB331" s="204"/>
      <c r="AC331" s="204"/>
      <c r="AD331" s="204"/>
      <c r="AE331" s="204"/>
      <c r="AF331" s="204"/>
      <c r="AG331" s="204"/>
      <c r="AH331" s="204"/>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c r="BI331" s="204"/>
      <c r="BJ331" s="204"/>
      <c r="BK331" s="204"/>
      <c r="BL331" s="204"/>
    </row>
    <row r="332" spans="1:64" hidden="1" outlineLevel="1">
      <c r="A332" s="9"/>
      <c r="B332" s="9"/>
      <c r="C332" s="9"/>
      <c r="D332" s="278" t="str">
        <f>Asset3</f>
        <v>Protection and Control</v>
      </c>
      <c r="E332" s="9"/>
      <c r="F332" s="9"/>
      <c r="G332" s="9"/>
      <c r="H332" s="9"/>
      <c r="I332" s="9"/>
      <c r="J332" s="9"/>
      <c r="K332" s="9"/>
      <c r="L332" s="370">
        <f>IF(M$201=0, 'Adjustment for previous period'!L274, 0)</f>
        <v>0</v>
      </c>
      <c r="M332" s="114">
        <f>IF(N$201=0, 'Adjustment for previous period'!M274, 0)</f>
        <v>0</v>
      </c>
      <c r="N332" s="114">
        <f>IF(O$201=0, 'Adjustment for previous period'!N274, 0)</f>
        <v>0</v>
      </c>
      <c r="O332" s="114">
        <f>IF(P$201=0, 'Adjustment for previous period'!O274, 0)</f>
        <v>0</v>
      </c>
      <c r="P332" s="114">
        <f>IF(Q$201=0, 'Adjustment for previous period'!P274, 0)</f>
        <v>0</v>
      </c>
      <c r="Q332" s="114">
        <f>IF(R$201=0, 'Adjustment for previous period'!Q274, 0)</f>
        <v>0</v>
      </c>
      <c r="R332" s="9"/>
      <c r="S332" s="9"/>
      <c r="T332" s="9"/>
      <c r="U332" s="9"/>
      <c r="V332" s="9"/>
      <c r="W332" s="9"/>
      <c r="X332" s="9"/>
      <c r="Y332" s="9"/>
      <c r="Z332" s="9"/>
      <c r="AB332" s="204"/>
      <c r="AC332" s="204"/>
      <c r="AD332" s="204"/>
      <c r="AE332" s="204"/>
      <c r="AF332" s="204"/>
      <c r="AG332" s="204"/>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c r="BI332" s="204"/>
      <c r="BJ332" s="204"/>
      <c r="BK332" s="204"/>
      <c r="BL332" s="204"/>
    </row>
    <row r="333" spans="1:64" hidden="1" outlineLevel="1">
      <c r="A333" s="9"/>
      <c r="B333" s="9"/>
      <c r="C333" s="9"/>
      <c r="D333" s="278" t="str">
        <f>Asset4</f>
        <v>Refurbishment</v>
      </c>
      <c r="E333" s="9"/>
      <c r="F333" s="9"/>
      <c r="G333" s="9"/>
      <c r="H333" s="9"/>
      <c r="I333" s="9"/>
      <c r="J333" s="9"/>
      <c r="K333" s="9"/>
      <c r="L333" s="370">
        <f>IF(M$201=0, 'Adjustment for previous period'!L276, 0)</f>
        <v>0</v>
      </c>
      <c r="M333" s="114">
        <f>IF(N$201=0, 'Adjustment for previous period'!M276, 0)</f>
        <v>0</v>
      </c>
      <c r="N333" s="114">
        <f>IF(O$201=0, 'Adjustment for previous period'!N276, 0)</f>
        <v>0</v>
      </c>
      <c r="O333" s="114">
        <f>IF(P$201=0, 'Adjustment for previous period'!O276, 0)</f>
        <v>0</v>
      </c>
      <c r="P333" s="114">
        <f>IF(Q$201=0, 'Adjustment for previous period'!P276, 0)</f>
        <v>0</v>
      </c>
      <c r="Q333" s="114">
        <f>IF(R$201=0, 'Adjustment for previous period'!Q276, 0)</f>
        <v>0</v>
      </c>
      <c r="R333" s="9"/>
      <c r="S333" s="9"/>
      <c r="T333" s="9"/>
      <c r="U333" s="9"/>
      <c r="V333" s="9"/>
      <c r="W333" s="9"/>
      <c r="X333" s="9"/>
      <c r="Y333" s="9"/>
      <c r="Z333" s="9"/>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c r="BI333" s="204"/>
      <c r="BJ333" s="204"/>
      <c r="BK333" s="204"/>
      <c r="BL333" s="204"/>
    </row>
    <row r="334" spans="1:64" hidden="1" outlineLevel="1">
      <c r="A334" s="9"/>
      <c r="B334" s="9"/>
      <c r="C334" s="9"/>
      <c r="D334" s="278" t="str">
        <f>Asset5</f>
        <v>Other</v>
      </c>
      <c r="E334" s="9"/>
      <c r="F334" s="9"/>
      <c r="G334" s="9"/>
      <c r="H334" s="9"/>
      <c r="I334" s="9"/>
      <c r="J334" s="9"/>
      <c r="K334" s="9"/>
      <c r="L334" s="370">
        <f>IF(M$201=0, 'Adjustment for previous period'!L278, 0)</f>
        <v>0</v>
      </c>
      <c r="M334" s="114">
        <f>IF(N$201=0, 'Adjustment for previous period'!M278, 0)</f>
        <v>0</v>
      </c>
      <c r="N334" s="114">
        <f>IF(O$201=0, 'Adjustment for previous period'!N278, 0)</f>
        <v>0</v>
      </c>
      <c r="O334" s="114">
        <f>IF(P$201=0, 'Adjustment for previous period'!O278, 0)</f>
        <v>0</v>
      </c>
      <c r="P334" s="114">
        <f>IF(Q$201=0, 'Adjustment for previous period'!P278, 0)</f>
        <v>0</v>
      </c>
      <c r="Q334" s="114">
        <f>IF(R$201=0, 'Adjustment for previous period'!Q278, 0)</f>
        <v>0</v>
      </c>
      <c r="R334" s="9"/>
      <c r="S334" s="9"/>
      <c r="T334" s="9"/>
      <c r="U334" s="9"/>
      <c r="V334" s="9"/>
      <c r="W334" s="9"/>
      <c r="X334" s="9"/>
      <c r="Y334" s="9"/>
      <c r="Z334" s="9"/>
      <c r="AB334" s="204"/>
      <c r="AC334" s="204"/>
      <c r="AD334" s="204"/>
      <c r="AE334" s="204"/>
      <c r="AF334" s="204"/>
      <c r="AG334" s="204"/>
      <c r="AH334" s="204"/>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c r="BI334" s="204"/>
      <c r="BJ334" s="204"/>
      <c r="BK334" s="204"/>
      <c r="BL334" s="204"/>
    </row>
    <row r="335" spans="1:64" hidden="1" outlineLevel="1">
      <c r="A335" s="9"/>
      <c r="B335" s="9"/>
      <c r="C335" s="9"/>
      <c r="D335" s="278" t="str">
        <f>Asset6</f>
        <v>Other - IT</v>
      </c>
      <c r="E335" s="9"/>
      <c r="F335" s="9"/>
      <c r="G335" s="9"/>
      <c r="H335" s="9"/>
      <c r="I335" s="9"/>
      <c r="J335" s="9"/>
      <c r="K335" s="9"/>
      <c r="L335" s="370">
        <f>IF(M$201=0, 'Adjustment for previous period'!L280, 0)</f>
        <v>0</v>
      </c>
      <c r="M335" s="114">
        <f>IF(N$201=0, 'Adjustment for previous period'!M280, 0)</f>
        <v>0</v>
      </c>
      <c r="N335" s="114">
        <f>IF(O$201=0, 'Adjustment for previous period'!N280, 0)</f>
        <v>0</v>
      </c>
      <c r="O335" s="114">
        <f>IF(P$201=0, 'Adjustment for previous period'!O280, 0)</f>
        <v>0</v>
      </c>
      <c r="P335" s="114">
        <f>IF(Q$201=0, 'Adjustment for previous period'!P280, 0)</f>
        <v>0</v>
      </c>
      <c r="Q335" s="114">
        <f>IF(R$201=0, 'Adjustment for previous period'!Q280, 0)</f>
        <v>0</v>
      </c>
      <c r="R335" s="9"/>
      <c r="S335" s="9"/>
      <c r="T335" s="9"/>
      <c r="U335" s="9"/>
      <c r="V335" s="9"/>
      <c r="W335" s="9"/>
      <c r="X335" s="9"/>
      <c r="Y335" s="9"/>
      <c r="Z335" s="9"/>
      <c r="AB335" s="204"/>
      <c r="AC335" s="204"/>
      <c r="AD335" s="204"/>
      <c r="AE335" s="204"/>
      <c r="AF335" s="204"/>
      <c r="AG335" s="204"/>
      <c r="AH335" s="204"/>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c r="BI335" s="204"/>
      <c r="BJ335" s="204"/>
      <c r="BK335" s="204"/>
      <c r="BL335" s="204"/>
    </row>
    <row r="336" spans="1:64" hidden="1" outlineLevel="1">
      <c r="A336" s="9"/>
      <c r="B336" s="9"/>
      <c r="C336" s="9"/>
      <c r="D336" s="278" t="str">
        <f>Asset7</f>
        <v>Other - General</v>
      </c>
      <c r="E336" s="9"/>
      <c r="F336" s="9"/>
      <c r="G336" s="9"/>
      <c r="H336" s="9"/>
      <c r="I336" s="9"/>
      <c r="J336" s="9"/>
      <c r="K336" s="9"/>
      <c r="L336" s="370">
        <f>IF(M$201=0, 'Adjustment for previous period'!L282, 0)</f>
        <v>0</v>
      </c>
      <c r="M336" s="114">
        <f>IF(N$201=0, 'Adjustment for previous period'!M282, 0)</f>
        <v>0</v>
      </c>
      <c r="N336" s="114">
        <f>IF(O$201=0, 'Adjustment for previous period'!N282, 0)</f>
        <v>0</v>
      </c>
      <c r="O336" s="114">
        <f>IF(P$201=0, 'Adjustment for previous period'!O282, 0)</f>
        <v>0</v>
      </c>
      <c r="P336" s="114">
        <f>IF(Q$201=0, 'Adjustment for previous period'!P282, 0)</f>
        <v>0</v>
      </c>
      <c r="Q336" s="114">
        <f>IF(R$201=0, 'Adjustment for previous period'!Q282, 0)</f>
        <v>0</v>
      </c>
      <c r="R336" s="9"/>
      <c r="S336" s="9"/>
      <c r="T336" s="9"/>
      <c r="U336" s="9"/>
      <c r="V336" s="9"/>
      <c r="W336" s="9"/>
      <c r="X336" s="9"/>
      <c r="Y336" s="9"/>
      <c r="Z336" s="9"/>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c r="BI336" s="204"/>
      <c r="BJ336" s="204"/>
      <c r="BK336" s="204"/>
      <c r="BL336" s="204"/>
    </row>
    <row r="337" spans="1:64" hidden="1" outlineLevel="1">
      <c r="A337" s="9"/>
      <c r="B337" s="9"/>
      <c r="C337" s="9"/>
      <c r="D337" s="278" t="str">
        <f>Asset8</f>
        <v>Other - Buildings</v>
      </c>
      <c r="E337" s="9"/>
      <c r="F337" s="9"/>
      <c r="G337" s="9"/>
      <c r="H337" s="9"/>
      <c r="I337" s="9"/>
      <c r="J337" s="9"/>
      <c r="K337" s="9"/>
      <c r="L337" s="370">
        <f>IF(M$201=0, 'Adjustment for previous period'!L284, 0)</f>
        <v>0</v>
      </c>
      <c r="M337" s="114">
        <f>IF(N$201=0, 'Adjustment for previous period'!M284, 0)</f>
        <v>0</v>
      </c>
      <c r="N337" s="114">
        <f>IF(O$201=0, 'Adjustment for previous period'!N284, 0)</f>
        <v>0</v>
      </c>
      <c r="O337" s="114">
        <f>IF(P$201=0, 'Adjustment for previous period'!O284, 0)</f>
        <v>0</v>
      </c>
      <c r="P337" s="114">
        <f>IF(Q$201=0, 'Adjustment for previous period'!P284, 0)</f>
        <v>0</v>
      </c>
      <c r="Q337" s="114">
        <f>IF(R$201=0, 'Adjustment for previous period'!Q284, 0)</f>
        <v>0</v>
      </c>
      <c r="R337" s="9"/>
      <c r="S337" s="9"/>
      <c r="T337" s="9"/>
      <c r="U337" s="9"/>
      <c r="V337" s="9"/>
      <c r="W337" s="9"/>
      <c r="X337" s="9"/>
      <c r="Y337" s="9"/>
      <c r="Z337" s="9"/>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c r="BI337" s="204"/>
      <c r="BJ337" s="204"/>
      <c r="BK337" s="204"/>
      <c r="BL337" s="204"/>
    </row>
    <row r="338" spans="1:64" hidden="1" outlineLevel="1">
      <c r="A338" s="9"/>
      <c r="B338" s="9"/>
      <c r="C338" s="9"/>
      <c r="D338" s="278" t="str">
        <f>Asset9</f>
        <v>Land and Easements</v>
      </c>
      <c r="E338" s="9"/>
      <c r="F338" s="9"/>
      <c r="G338" s="9"/>
      <c r="H338" s="9"/>
      <c r="I338" s="9"/>
      <c r="J338" s="9"/>
      <c r="K338" s="9"/>
      <c r="L338" s="370">
        <f>IF(M$201=0, 'Adjustment for previous period'!L286, 0)</f>
        <v>0</v>
      </c>
      <c r="M338" s="114">
        <f>IF(N$201=0, 'Adjustment for previous period'!M286, 0)</f>
        <v>0</v>
      </c>
      <c r="N338" s="114">
        <f>IF(O$201=0, 'Adjustment for previous period'!N286, 0)</f>
        <v>0</v>
      </c>
      <c r="O338" s="114">
        <f>IF(P$201=0, 'Adjustment for previous period'!O286, 0)</f>
        <v>0</v>
      </c>
      <c r="P338" s="114">
        <f>IF(Q$201=0, 'Adjustment for previous period'!P286, 0)</f>
        <v>0</v>
      </c>
      <c r="Q338" s="114">
        <f>IF(R$201=0, 'Adjustment for previous period'!Q286, 0)</f>
        <v>0</v>
      </c>
      <c r="R338" s="9"/>
      <c r="S338" s="9"/>
      <c r="T338" s="9"/>
      <c r="U338" s="9"/>
      <c r="V338" s="9"/>
      <c r="W338" s="9"/>
      <c r="X338" s="9"/>
      <c r="Y338" s="9"/>
      <c r="Z338" s="9"/>
      <c r="AB338" s="204"/>
      <c r="AC338" s="204"/>
      <c r="AD338" s="204"/>
      <c r="AE338" s="204"/>
      <c r="AF338" s="204"/>
      <c r="AG338" s="204"/>
      <c r="AH338" s="204"/>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c r="BI338" s="204"/>
      <c r="BJ338" s="204"/>
      <c r="BK338" s="204"/>
      <c r="BL338" s="204"/>
    </row>
    <row r="339" spans="1:64" hidden="1" outlineLevel="1">
      <c r="A339" s="9"/>
      <c r="B339" s="9"/>
      <c r="C339" s="9"/>
      <c r="D339" s="278" t="str">
        <f>Asset10</f>
        <v>Transmission line assets - long life (60)</v>
      </c>
      <c r="E339" s="9"/>
      <c r="F339" s="9"/>
      <c r="G339" s="9"/>
      <c r="H339" s="9"/>
      <c r="I339" s="9"/>
      <c r="J339" s="9"/>
      <c r="K339" s="9"/>
      <c r="L339" s="370">
        <f>IF(M$201=0, 'Adjustment for previous period'!L288, 0)</f>
        <v>3.5394429175184814</v>
      </c>
      <c r="M339" s="114">
        <f>IF(N$201=0, 'Adjustment for previous period'!M288, 0)</f>
        <v>0</v>
      </c>
      <c r="N339" s="114">
        <f>IF(O$201=0, 'Adjustment for previous period'!N288, 0)</f>
        <v>0</v>
      </c>
      <c r="O339" s="114">
        <f>IF(P$201=0, 'Adjustment for previous period'!O288, 0)</f>
        <v>0</v>
      </c>
      <c r="P339" s="114">
        <f>IF(Q$201=0, 'Adjustment for previous period'!P288, 0)</f>
        <v>0</v>
      </c>
      <c r="Q339" s="114">
        <f>IF(R$201=0, 'Adjustment for previous period'!Q288, 0)</f>
        <v>0</v>
      </c>
      <c r="R339" s="9"/>
      <c r="S339" s="9"/>
      <c r="T339" s="9"/>
      <c r="U339" s="9"/>
      <c r="V339" s="9"/>
      <c r="W339" s="9"/>
      <c r="X339" s="9"/>
      <c r="Y339" s="9"/>
      <c r="Z339" s="9"/>
      <c r="AB339" s="204"/>
      <c r="AC339" s="204"/>
      <c r="AD339" s="204"/>
      <c r="AE339" s="204"/>
      <c r="AF339" s="204"/>
      <c r="AG339" s="204"/>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c r="BI339" s="204"/>
      <c r="BJ339" s="204"/>
      <c r="BK339" s="204"/>
      <c r="BL339" s="204"/>
    </row>
    <row r="340" spans="1:64" hidden="1" outlineLevel="1">
      <c r="A340" s="9"/>
      <c r="B340" s="9"/>
      <c r="C340" s="9"/>
      <c r="D340" s="278" t="str">
        <f>Asset11</f>
        <v>Transmission line assets - medium life (45)</v>
      </c>
      <c r="E340" s="9"/>
      <c r="F340" s="9"/>
      <c r="G340" s="9"/>
      <c r="H340" s="9"/>
      <c r="I340" s="9"/>
      <c r="J340" s="9"/>
      <c r="K340" s="9"/>
      <c r="L340" s="370">
        <f>IF(M$201=0, 'Adjustment for previous period'!L290, 0)</f>
        <v>-3.3500347876952719E-2</v>
      </c>
      <c r="M340" s="114">
        <f>IF(N$201=0, 'Adjustment for previous period'!M290, 0)</f>
        <v>0</v>
      </c>
      <c r="N340" s="114">
        <f>IF(O$201=0, 'Adjustment for previous period'!N290, 0)</f>
        <v>0</v>
      </c>
      <c r="O340" s="114">
        <f>IF(P$201=0, 'Adjustment for previous period'!O290, 0)</f>
        <v>0</v>
      </c>
      <c r="P340" s="114">
        <f>IF(Q$201=0, 'Adjustment for previous period'!P290, 0)</f>
        <v>0</v>
      </c>
      <c r="Q340" s="114">
        <f>IF(R$201=0, 'Adjustment for previous period'!Q290, 0)</f>
        <v>0</v>
      </c>
      <c r="R340" s="9"/>
      <c r="S340" s="9"/>
      <c r="T340" s="9"/>
      <c r="U340" s="9"/>
      <c r="V340" s="9"/>
      <c r="W340" s="9"/>
      <c r="X340" s="9"/>
      <c r="Y340" s="9"/>
      <c r="Z340" s="9"/>
      <c r="AB340" s="204"/>
      <c r="AC340" s="204"/>
      <c r="AD340" s="204"/>
      <c r="AE340" s="204"/>
      <c r="AF340" s="204"/>
      <c r="AG340" s="204"/>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c r="BI340" s="204"/>
      <c r="BJ340" s="204"/>
      <c r="BK340" s="204"/>
      <c r="BL340" s="204"/>
    </row>
    <row r="341" spans="1:64" hidden="1" outlineLevel="1">
      <c r="A341" s="9"/>
      <c r="B341" s="9"/>
      <c r="C341" s="9"/>
      <c r="D341" s="278" t="str">
        <f>Asset12</f>
        <v>Transmission line assets - short life (10)</v>
      </c>
      <c r="E341" s="9"/>
      <c r="F341" s="9"/>
      <c r="G341" s="9"/>
      <c r="H341" s="9"/>
      <c r="I341" s="9"/>
      <c r="J341" s="9"/>
      <c r="K341" s="9"/>
      <c r="L341" s="370">
        <f>IF(M$201=0, 'Adjustment for previous period'!L292, 0)</f>
        <v>0.30212883678644092</v>
      </c>
      <c r="M341" s="114">
        <f>IF(N$201=0, 'Adjustment for previous period'!M292, 0)</f>
        <v>0</v>
      </c>
      <c r="N341" s="114">
        <f>IF(O$201=0, 'Adjustment for previous period'!N292, 0)</f>
        <v>0</v>
      </c>
      <c r="O341" s="114">
        <f>IF(P$201=0, 'Adjustment for previous period'!O292, 0)</f>
        <v>0</v>
      </c>
      <c r="P341" s="114">
        <f>IF(Q$201=0, 'Adjustment for previous period'!P292, 0)</f>
        <v>0</v>
      </c>
      <c r="Q341" s="114">
        <f>IF(R$201=0, 'Adjustment for previous period'!Q292, 0)</f>
        <v>0</v>
      </c>
      <c r="R341" s="9"/>
      <c r="S341" s="9"/>
      <c r="T341" s="9"/>
      <c r="U341" s="9"/>
      <c r="V341" s="9"/>
      <c r="W341" s="9"/>
      <c r="X341" s="9"/>
      <c r="Y341" s="9"/>
      <c r="Z341" s="9"/>
      <c r="AB341" s="204"/>
      <c r="AC341" s="204"/>
      <c r="AD341" s="204"/>
      <c r="AE341" s="204"/>
      <c r="AF341" s="204"/>
      <c r="AG341" s="204"/>
      <c r="AH341" s="204"/>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c r="BI341" s="204"/>
      <c r="BJ341" s="204"/>
      <c r="BK341" s="204"/>
      <c r="BL341" s="204"/>
    </row>
    <row r="342" spans="1:64" hidden="1" outlineLevel="1">
      <c r="A342" s="9"/>
      <c r="B342" s="9"/>
      <c r="C342" s="9"/>
      <c r="D342" s="278" t="str">
        <f>Asset13</f>
        <v>Substation assets - long life (60)</v>
      </c>
      <c r="E342" s="9"/>
      <c r="F342" s="9"/>
      <c r="G342" s="9"/>
      <c r="H342" s="9"/>
      <c r="I342" s="9"/>
      <c r="J342" s="9"/>
      <c r="K342" s="9"/>
      <c r="L342" s="370">
        <f>IF(M$201=0, 'Adjustment for previous period'!L294, 0)</f>
        <v>1.0423160046962638</v>
      </c>
      <c r="M342" s="114">
        <f>IF(N$201=0, 'Adjustment for previous period'!M294, 0)</f>
        <v>0</v>
      </c>
      <c r="N342" s="114">
        <f>IF(O$201=0, 'Adjustment for previous period'!N294, 0)</f>
        <v>0</v>
      </c>
      <c r="O342" s="114">
        <f>IF(P$201=0, 'Adjustment for previous period'!O294, 0)</f>
        <v>0</v>
      </c>
      <c r="P342" s="114">
        <f>IF(Q$201=0, 'Adjustment for previous period'!P294, 0)</f>
        <v>0</v>
      </c>
      <c r="Q342" s="114">
        <f>IF(R$201=0, 'Adjustment for previous period'!Q294, 0)</f>
        <v>0</v>
      </c>
      <c r="R342" s="9"/>
      <c r="S342" s="9"/>
      <c r="T342" s="9"/>
      <c r="U342" s="9"/>
      <c r="V342" s="9"/>
      <c r="W342" s="9"/>
      <c r="X342" s="9"/>
      <c r="Y342" s="9"/>
      <c r="Z342" s="9"/>
      <c r="AB342" s="204"/>
      <c r="AC342" s="204"/>
      <c r="AD342" s="204"/>
      <c r="AE342" s="204"/>
      <c r="AF342" s="204"/>
      <c r="AG342" s="204"/>
      <c r="AH342" s="204"/>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c r="BI342" s="204"/>
      <c r="BJ342" s="204"/>
      <c r="BK342" s="204"/>
      <c r="BL342" s="204"/>
    </row>
    <row r="343" spans="1:64" hidden="1" outlineLevel="1">
      <c r="A343" s="9"/>
      <c r="B343" s="9"/>
      <c r="C343" s="9"/>
      <c r="D343" s="278" t="str">
        <f>Asset14</f>
        <v>Substation assets - medium life (45)</v>
      </c>
      <c r="E343" s="9"/>
      <c r="F343" s="9"/>
      <c r="G343" s="9"/>
      <c r="H343" s="9"/>
      <c r="I343" s="9"/>
      <c r="J343" s="9"/>
      <c r="K343" s="9"/>
      <c r="L343" s="370">
        <f>IF(M$201=0, 'Adjustment for previous period'!L296, 0)</f>
        <v>3.4119561256954318</v>
      </c>
      <c r="M343" s="114">
        <f>IF(N$201=0, 'Adjustment for previous period'!M296, 0)</f>
        <v>0</v>
      </c>
      <c r="N343" s="114">
        <f>IF(O$201=0, 'Adjustment for previous period'!N296, 0)</f>
        <v>0</v>
      </c>
      <c r="O343" s="114">
        <f>IF(P$201=0, 'Adjustment for previous period'!O296, 0)</f>
        <v>0</v>
      </c>
      <c r="P343" s="114">
        <f>IF(Q$201=0, 'Adjustment for previous period'!P296, 0)</f>
        <v>0</v>
      </c>
      <c r="Q343" s="114">
        <f>IF(R$201=0, 'Adjustment for previous period'!Q296, 0)</f>
        <v>0</v>
      </c>
      <c r="R343" s="9"/>
      <c r="S343" s="9"/>
      <c r="T343" s="9"/>
      <c r="U343" s="9"/>
      <c r="V343" s="9"/>
      <c r="W343" s="9"/>
      <c r="X343" s="9"/>
      <c r="Y343" s="9"/>
      <c r="Z343" s="9"/>
      <c r="AB343" s="204"/>
      <c r="AC343" s="204"/>
      <c r="AD343" s="204"/>
      <c r="AE343" s="204"/>
      <c r="AF343" s="204"/>
      <c r="AG343" s="204"/>
      <c r="AH343" s="204"/>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c r="BI343" s="204"/>
      <c r="BJ343" s="204"/>
      <c r="BK343" s="204"/>
      <c r="BL343" s="204"/>
    </row>
    <row r="344" spans="1:64" hidden="1" outlineLevel="1">
      <c r="A344" s="9"/>
      <c r="B344" s="9"/>
      <c r="C344" s="9"/>
      <c r="D344" s="278" t="str">
        <f>Asset15</f>
        <v>Substation assets - short life (15)</v>
      </c>
      <c r="E344" s="9"/>
      <c r="F344" s="9"/>
      <c r="G344" s="9"/>
      <c r="H344" s="9"/>
      <c r="I344" s="9"/>
      <c r="J344" s="9"/>
      <c r="K344" s="9"/>
      <c r="L344" s="370">
        <f>IF(M$201=0, 'Adjustment for previous period'!L298, 0)</f>
        <v>3.6973979370421031</v>
      </c>
      <c r="M344" s="114">
        <f>IF(N$201=0, 'Adjustment for previous period'!M298, 0)</f>
        <v>0</v>
      </c>
      <c r="N344" s="114">
        <f>IF(O$201=0, 'Adjustment for previous period'!N298, 0)</f>
        <v>0</v>
      </c>
      <c r="O344" s="114">
        <f>IF(P$201=0, 'Adjustment for previous period'!O298, 0)</f>
        <v>0</v>
      </c>
      <c r="P344" s="114">
        <f>IF(Q$201=0, 'Adjustment for previous period'!P298, 0)</f>
        <v>0</v>
      </c>
      <c r="Q344" s="114">
        <f>IF(R$201=0, 'Adjustment for previous period'!Q298, 0)</f>
        <v>0</v>
      </c>
      <c r="R344" s="9"/>
      <c r="S344" s="9"/>
      <c r="T344" s="9"/>
      <c r="U344" s="9"/>
      <c r="V344" s="9"/>
      <c r="W344" s="9"/>
      <c r="X344" s="9"/>
      <c r="Y344" s="9"/>
      <c r="Z344" s="9"/>
      <c r="AB344" s="204"/>
      <c r="AC344" s="204"/>
      <c r="AD344" s="204"/>
      <c r="AE344" s="204"/>
      <c r="AF344" s="204"/>
      <c r="AG344" s="204"/>
      <c r="AH344" s="204"/>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c r="BI344" s="204"/>
      <c r="BJ344" s="204"/>
      <c r="BK344" s="204"/>
      <c r="BL344" s="204"/>
    </row>
    <row r="345" spans="1:64" hidden="1" outlineLevel="1">
      <c r="A345" s="9"/>
      <c r="B345" s="9"/>
      <c r="C345" s="9"/>
      <c r="D345" s="278" t="str">
        <f>Asset16</f>
        <v>Protection and control - short life (15)</v>
      </c>
      <c r="E345" s="9"/>
      <c r="F345" s="9"/>
      <c r="G345" s="9"/>
      <c r="H345" s="9"/>
      <c r="I345" s="9"/>
      <c r="J345" s="9"/>
      <c r="K345" s="9"/>
      <c r="L345" s="370">
        <f>IF(M$201=0, 'Adjustment for previous period'!L300, 0)</f>
        <v>1.6009441930984714</v>
      </c>
      <c r="M345" s="114">
        <f>IF(N$201=0, 'Adjustment for previous period'!M300, 0)</f>
        <v>0</v>
      </c>
      <c r="N345" s="114">
        <f>IF(O$201=0, 'Adjustment for previous period'!N300, 0)</f>
        <v>0</v>
      </c>
      <c r="O345" s="114">
        <f>IF(P$201=0, 'Adjustment for previous period'!O300, 0)</f>
        <v>0</v>
      </c>
      <c r="P345" s="114">
        <f>IF(Q$201=0, 'Adjustment for previous period'!P300, 0)</f>
        <v>0</v>
      </c>
      <c r="Q345" s="114">
        <f>IF(R$201=0, 'Adjustment for previous period'!Q300, 0)</f>
        <v>0</v>
      </c>
      <c r="R345" s="9"/>
      <c r="S345" s="9"/>
      <c r="T345" s="9"/>
      <c r="U345" s="9"/>
      <c r="V345" s="9"/>
      <c r="W345" s="9"/>
      <c r="X345" s="9"/>
      <c r="Y345" s="9"/>
      <c r="Z345" s="9"/>
      <c r="AB345" s="204"/>
      <c r="AC345" s="204"/>
      <c r="AD345" s="204"/>
      <c r="AE345" s="204"/>
      <c r="AF345" s="204"/>
      <c r="AG345" s="204"/>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c r="BI345" s="204"/>
      <c r="BJ345" s="204"/>
      <c r="BK345" s="204"/>
      <c r="BL345" s="204"/>
    </row>
    <row r="346" spans="1:64" hidden="1" outlineLevel="1">
      <c r="A346" s="9"/>
      <c r="B346" s="9"/>
      <c r="C346" s="9"/>
      <c r="D346" s="278" t="str">
        <f>Asset17</f>
        <v>Protection and control - short life (4)</v>
      </c>
      <c r="E346" s="9"/>
      <c r="F346" s="9"/>
      <c r="G346" s="9"/>
      <c r="H346" s="9"/>
      <c r="I346" s="9"/>
      <c r="J346" s="9"/>
      <c r="K346" s="9"/>
      <c r="L346" s="370">
        <f>IF(M$201=0, 'Adjustment for previous period'!L302, 0)</f>
        <v>2.5612668245605045E-2</v>
      </c>
      <c r="M346" s="114">
        <f>IF(N$201=0, 'Adjustment for previous period'!M302, 0)</f>
        <v>0</v>
      </c>
      <c r="N346" s="114">
        <f>IF(O$201=0, 'Adjustment for previous period'!N302, 0)</f>
        <v>0</v>
      </c>
      <c r="O346" s="114">
        <f>IF(P$201=0, 'Adjustment for previous period'!O302, 0)</f>
        <v>0</v>
      </c>
      <c r="P346" s="114">
        <f>IF(Q$201=0, 'Adjustment for previous period'!P302, 0)</f>
        <v>0</v>
      </c>
      <c r="Q346" s="114">
        <f>IF(R$201=0, 'Adjustment for previous period'!Q302, 0)</f>
        <v>0</v>
      </c>
      <c r="R346" s="9"/>
      <c r="S346" s="9"/>
      <c r="T346" s="9"/>
      <c r="U346" s="9"/>
      <c r="V346" s="9"/>
      <c r="W346" s="9"/>
      <c r="X346" s="9"/>
      <c r="Y346" s="9"/>
      <c r="Z346" s="9"/>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c r="BI346" s="204"/>
      <c r="BJ346" s="204"/>
      <c r="BK346" s="204"/>
      <c r="BL346" s="204"/>
    </row>
    <row r="347" spans="1:64" hidden="1" outlineLevel="1">
      <c r="A347" s="9"/>
      <c r="B347" s="9"/>
      <c r="C347" s="9"/>
      <c r="D347" s="278" t="str">
        <f>Asset18</f>
        <v>Transmission operations - short life (10)</v>
      </c>
      <c r="E347" s="9"/>
      <c r="F347" s="9"/>
      <c r="G347" s="9"/>
      <c r="H347" s="9"/>
      <c r="I347" s="9"/>
      <c r="J347" s="9"/>
      <c r="K347" s="9"/>
      <c r="L347" s="370">
        <f>IF(M$201=0, 'Adjustment for previous period'!L304, 0)</f>
        <v>0.64463555260283956</v>
      </c>
      <c r="M347" s="114">
        <f>IF(N$201=0, 'Adjustment for previous period'!M304, 0)</f>
        <v>0</v>
      </c>
      <c r="N347" s="114">
        <f>IF(O$201=0, 'Adjustment for previous period'!N304, 0)</f>
        <v>0</v>
      </c>
      <c r="O347" s="114">
        <f>IF(P$201=0, 'Adjustment for previous period'!O304, 0)</f>
        <v>0</v>
      </c>
      <c r="P347" s="114">
        <f>IF(Q$201=0, 'Adjustment for previous period'!P304, 0)</f>
        <v>0</v>
      </c>
      <c r="Q347" s="114">
        <f>IF(R$201=0, 'Adjustment for previous period'!Q304, 0)</f>
        <v>0</v>
      </c>
      <c r="R347" s="9"/>
      <c r="S347" s="9"/>
      <c r="T347" s="9"/>
      <c r="U347" s="9"/>
      <c r="V347" s="9"/>
      <c r="W347" s="9"/>
      <c r="X347" s="9"/>
      <c r="Y347" s="9"/>
      <c r="Z347" s="9"/>
      <c r="AB347" s="204"/>
      <c r="AC347" s="204"/>
      <c r="AD347" s="204"/>
      <c r="AE347" s="204"/>
      <c r="AF347" s="204"/>
      <c r="AG347" s="204"/>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c r="BI347" s="204"/>
      <c r="BJ347" s="204"/>
      <c r="BK347" s="204"/>
      <c r="BL347" s="204"/>
    </row>
    <row r="348" spans="1:64" hidden="1" outlineLevel="1">
      <c r="A348" s="9"/>
      <c r="B348" s="9"/>
      <c r="C348" s="9"/>
      <c r="D348" s="278" t="str">
        <f>Asset19</f>
        <v>Transmission operations - short life (4)</v>
      </c>
      <c r="E348" s="9"/>
      <c r="F348" s="9"/>
      <c r="G348" s="9"/>
      <c r="H348" s="9"/>
      <c r="I348" s="9"/>
      <c r="J348" s="9"/>
      <c r="K348" s="9"/>
      <c r="L348" s="370">
        <f>IF(M$201=0, 'Adjustment for previous period'!L306, 0)</f>
        <v>2.2779996753147631E-2</v>
      </c>
      <c r="M348" s="114">
        <f>IF(N$201=0, 'Adjustment for previous period'!M306, 0)</f>
        <v>0</v>
      </c>
      <c r="N348" s="114">
        <f>IF(O$201=0, 'Adjustment for previous period'!N306, 0)</f>
        <v>0</v>
      </c>
      <c r="O348" s="114">
        <f>IF(P$201=0, 'Adjustment for previous period'!O306, 0)</f>
        <v>0</v>
      </c>
      <c r="P348" s="114">
        <f>IF(Q$201=0, 'Adjustment for previous period'!P306, 0)</f>
        <v>0</v>
      </c>
      <c r="Q348" s="114">
        <f>IF(R$201=0, 'Adjustment for previous period'!Q306, 0)</f>
        <v>0</v>
      </c>
      <c r="R348" s="9"/>
      <c r="S348" s="9"/>
      <c r="T348" s="9"/>
      <c r="U348" s="9"/>
      <c r="V348" s="9"/>
      <c r="W348" s="9"/>
      <c r="X348" s="9"/>
      <c r="Y348" s="9"/>
      <c r="Z348" s="9"/>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c r="BI348" s="204"/>
      <c r="BJ348" s="204"/>
      <c r="BK348" s="204"/>
      <c r="BL348" s="204"/>
    </row>
    <row r="349" spans="1:64" hidden="1" outlineLevel="1">
      <c r="A349" s="9"/>
      <c r="B349" s="9"/>
      <c r="C349" s="9"/>
      <c r="D349" s="278" t="str">
        <f>Asset20</f>
        <v>Other - medium life (40)</v>
      </c>
      <c r="E349" s="9"/>
      <c r="F349" s="9"/>
      <c r="G349" s="9"/>
      <c r="H349" s="9"/>
      <c r="I349" s="9"/>
      <c r="J349" s="9"/>
      <c r="K349" s="9"/>
      <c r="L349" s="370">
        <f>IF(M$201=0, 'Adjustment for previous period'!L308, 0)</f>
        <v>-0.40078207273022148</v>
      </c>
      <c r="M349" s="114">
        <f>IF(N$201=0, 'Adjustment for previous period'!M308, 0)</f>
        <v>0</v>
      </c>
      <c r="N349" s="114">
        <f>IF(O$201=0, 'Adjustment for previous period'!N308, 0)</f>
        <v>0</v>
      </c>
      <c r="O349" s="114">
        <f>IF(P$201=0, 'Adjustment for previous period'!O308, 0)</f>
        <v>0</v>
      </c>
      <c r="P349" s="114">
        <f>IF(Q$201=0, 'Adjustment for previous period'!P308, 0)</f>
        <v>0</v>
      </c>
      <c r="Q349" s="114">
        <f>IF(R$201=0, 'Adjustment for previous period'!Q308, 0)</f>
        <v>0</v>
      </c>
      <c r="R349" s="9"/>
      <c r="S349" s="9"/>
      <c r="T349" s="9"/>
      <c r="U349" s="9"/>
      <c r="V349" s="9"/>
      <c r="W349" s="9"/>
      <c r="X349" s="9"/>
      <c r="Y349" s="9"/>
      <c r="Z349" s="9"/>
      <c r="AB349" s="204"/>
      <c r="AC349" s="204"/>
      <c r="AD349" s="204"/>
      <c r="AE349" s="204"/>
      <c r="AF349" s="204"/>
      <c r="AG349" s="204"/>
      <c r="AH349" s="204"/>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c r="BI349" s="204"/>
      <c r="BJ349" s="204"/>
      <c r="BK349" s="204"/>
      <c r="BL349" s="204"/>
    </row>
    <row r="350" spans="1:64" hidden="1" outlineLevel="1">
      <c r="A350" s="9"/>
      <c r="B350" s="9"/>
      <c r="C350" s="9"/>
      <c r="D350" s="278" t="str">
        <f>Asset21</f>
        <v>Other - short life (9)</v>
      </c>
      <c r="E350" s="9"/>
      <c r="F350" s="9"/>
      <c r="G350" s="9"/>
      <c r="H350" s="9"/>
      <c r="I350" s="9"/>
      <c r="J350" s="9"/>
      <c r="K350" s="9"/>
      <c r="L350" s="370">
        <f>IF(M$201=0, 'Adjustment for previous period'!L310, 0)</f>
        <v>0</v>
      </c>
      <c r="M350" s="114">
        <f>IF(N$201=0, 'Adjustment for previous period'!M310, 0)</f>
        <v>0</v>
      </c>
      <c r="N350" s="114">
        <f>IF(O$201=0, 'Adjustment for previous period'!N310, 0)</f>
        <v>0</v>
      </c>
      <c r="O350" s="114">
        <f>IF(P$201=0, 'Adjustment for previous period'!O310, 0)</f>
        <v>0</v>
      </c>
      <c r="P350" s="114">
        <f>IF(Q$201=0, 'Adjustment for previous period'!P310, 0)</f>
        <v>0</v>
      </c>
      <c r="Q350" s="114">
        <f>IF(R$201=0, 'Adjustment for previous period'!Q310, 0)</f>
        <v>0</v>
      </c>
      <c r="R350" s="9"/>
      <c r="S350" s="9"/>
      <c r="T350" s="9"/>
      <c r="U350" s="9"/>
      <c r="V350" s="9"/>
      <c r="W350" s="9"/>
      <c r="X350" s="9"/>
      <c r="Y350" s="9"/>
      <c r="Z350" s="9"/>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c r="BI350" s="204"/>
      <c r="BJ350" s="204"/>
      <c r="BK350" s="204"/>
      <c r="BL350" s="204"/>
    </row>
    <row r="351" spans="1:64" hidden="1" outlineLevel="1">
      <c r="A351" s="9"/>
      <c r="B351" s="9"/>
      <c r="C351" s="9"/>
      <c r="D351" s="278" t="str">
        <f>Asset22</f>
        <v>Other - short life (4)</v>
      </c>
      <c r="E351" s="9"/>
      <c r="F351" s="9"/>
      <c r="G351" s="9"/>
      <c r="H351" s="9"/>
      <c r="I351" s="9"/>
      <c r="J351" s="9"/>
      <c r="K351" s="9"/>
      <c r="L351" s="370">
        <f>IF(M$201=0, 'Adjustment for previous period'!L312, 0)</f>
        <v>1.0367320812477052</v>
      </c>
      <c r="M351" s="114">
        <f>IF(N$201=0, 'Adjustment for previous period'!M312, 0)</f>
        <v>0</v>
      </c>
      <c r="N351" s="114">
        <f>IF(O$201=0, 'Adjustment for previous period'!N312, 0)</f>
        <v>0</v>
      </c>
      <c r="O351" s="114">
        <f>IF(P$201=0, 'Adjustment for previous period'!O312, 0)</f>
        <v>0</v>
      </c>
      <c r="P351" s="114">
        <f>IF(Q$201=0, 'Adjustment for previous period'!P312, 0)</f>
        <v>0</v>
      </c>
      <c r="Q351" s="114">
        <f>IF(R$201=0, 'Adjustment for previous period'!Q312, 0)</f>
        <v>0</v>
      </c>
      <c r="R351" s="9"/>
      <c r="S351" s="9"/>
      <c r="T351" s="9"/>
      <c r="U351" s="9"/>
      <c r="V351" s="9"/>
      <c r="W351" s="9"/>
      <c r="X351" s="9"/>
      <c r="Y351" s="9"/>
      <c r="Z351" s="9"/>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c r="BI351" s="204"/>
      <c r="BJ351" s="204"/>
      <c r="BK351" s="204"/>
      <c r="BL351" s="204"/>
    </row>
    <row r="352" spans="1:64" hidden="1" outlineLevel="1">
      <c r="A352" s="9"/>
      <c r="B352" s="9"/>
      <c r="C352" s="9"/>
      <c r="D352" s="278" t="str">
        <f>Asset23</f>
        <v>Land and Easements</v>
      </c>
      <c r="E352" s="9"/>
      <c r="F352" s="9"/>
      <c r="G352" s="9"/>
      <c r="H352" s="9"/>
      <c r="I352" s="9"/>
      <c r="J352" s="9"/>
      <c r="K352" s="9"/>
      <c r="L352" s="370">
        <f>IF(M$201=0, 'Adjustment for previous period'!L314, 0)</f>
        <v>1.121059391936346E-2</v>
      </c>
      <c r="M352" s="114">
        <f>IF(N$201=0, 'Adjustment for previous period'!M314, 0)</f>
        <v>0</v>
      </c>
      <c r="N352" s="114">
        <f>IF(O$201=0, 'Adjustment for previous period'!N314, 0)</f>
        <v>0</v>
      </c>
      <c r="O352" s="114">
        <f>IF(P$201=0, 'Adjustment for previous period'!O314, 0)</f>
        <v>0</v>
      </c>
      <c r="P352" s="114">
        <f>IF(Q$201=0, 'Adjustment for previous period'!P314, 0)</f>
        <v>0</v>
      </c>
      <c r="Q352" s="114">
        <f>IF(R$201=0, 'Adjustment for previous period'!Q314, 0)</f>
        <v>0</v>
      </c>
      <c r="R352" s="9"/>
      <c r="S352" s="9"/>
      <c r="T352" s="9"/>
      <c r="U352" s="9"/>
      <c r="V352" s="9"/>
      <c r="W352" s="9"/>
      <c r="X352" s="9"/>
      <c r="Y352" s="9"/>
      <c r="Z352" s="9"/>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c r="BI352" s="204"/>
      <c r="BJ352" s="204"/>
      <c r="BK352" s="204"/>
      <c r="BL352" s="204"/>
    </row>
    <row r="353" spans="1:64" hidden="1" outlineLevel="1">
      <c r="A353" s="9"/>
      <c r="B353" s="9"/>
      <c r="C353" s="9"/>
      <c r="D353" s="278" t="str">
        <f>Asset24</f>
        <v>Equity Raising</v>
      </c>
      <c r="E353" s="9"/>
      <c r="F353" s="9"/>
      <c r="G353" s="9"/>
      <c r="H353" s="9"/>
      <c r="I353" s="9"/>
      <c r="J353" s="9"/>
      <c r="K353" s="9"/>
      <c r="L353" s="370">
        <f>IF(M$201=0, 'Adjustment for previous period'!L316, 0)</f>
        <v>0</v>
      </c>
      <c r="M353" s="114">
        <f>IF(N$201=0, 'Adjustment for previous period'!M316, 0)</f>
        <v>0</v>
      </c>
      <c r="N353" s="114">
        <f>IF(O$201=0, 'Adjustment for previous period'!N316, 0)</f>
        <v>0</v>
      </c>
      <c r="O353" s="114">
        <f>IF(P$201=0, 'Adjustment for previous period'!O316, 0)</f>
        <v>0</v>
      </c>
      <c r="P353" s="114">
        <f>IF(Q$201=0, 'Adjustment for previous period'!P316, 0)</f>
        <v>0</v>
      </c>
      <c r="Q353" s="114">
        <f>IF(R$201=0, 'Adjustment for previous period'!Q316, 0)</f>
        <v>0</v>
      </c>
      <c r="R353" s="9"/>
      <c r="S353" s="9"/>
      <c r="T353" s="9"/>
      <c r="U353" s="9"/>
      <c r="V353" s="9"/>
      <c r="W353" s="9"/>
      <c r="X353" s="9"/>
      <c r="Y353" s="9"/>
      <c r="Z353" s="9"/>
      <c r="AB353" s="204"/>
      <c r="AC353" s="204"/>
      <c r="AD353" s="204"/>
      <c r="AE353" s="204"/>
      <c r="AF353" s="204"/>
      <c r="AG353" s="204"/>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c r="BI353" s="204"/>
      <c r="BJ353" s="204"/>
      <c r="BK353" s="204"/>
      <c r="BL353" s="204"/>
    </row>
    <row r="354" spans="1:64" hidden="1" outlineLevel="1">
      <c r="A354" s="9"/>
      <c r="B354" s="9"/>
      <c r="C354" s="9"/>
      <c r="D354" s="278">
        <f>Asset25</f>
        <v>0</v>
      </c>
      <c r="E354" s="9"/>
      <c r="F354" s="9"/>
      <c r="G354" s="9"/>
      <c r="H354" s="9"/>
      <c r="I354" s="9"/>
      <c r="J354" s="9"/>
      <c r="K354" s="9"/>
      <c r="L354" s="370">
        <f>IF(M$201=0, 'Adjustment for previous period'!L318, 0)</f>
        <v>0</v>
      </c>
      <c r="M354" s="114">
        <f>IF(N$201=0, 'Adjustment for previous period'!M318, 0)</f>
        <v>0</v>
      </c>
      <c r="N354" s="114">
        <f>IF(O$201=0, 'Adjustment for previous period'!N318, 0)</f>
        <v>0</v>
      </c>
      <c r="O354" s="114">
        <f>IF(P$201=0, 'Adjustment for previous period'!O318, 0)</f>
        <v>0</v>
      </c>
      <c r="P354" s="114">
        <f>IF(Q$201=0, 'Adjustment for previous period'!P318, 0)</f>
        <v>0</v>
      </c>
      <c r="Q354" s="114">
        <f>IF(R$201=0, 'Adjustment for previous period'!Q318, 0)</f>
        <v>0</v>
      </c>
      <c r="R354" s="9"/>
      <c r="S354" s="9"/>
      <c r="T354" s="9"/>
      <c r="U354" s="9"/>
      <c r="V354" s="9"/>
      <c r="W354" s="9"/>
      <c r="X354" s="9"/>
      <c r="Y354" s="9"/>
      <c r="Z354" s="9"/>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c r="BI354" s="204"/>
      <c r="BJ354" s="204"/>
      <c r="BK354" s="204"/>
      <c r="BL354" s="204"/>
    </row>
    <row r="355" spans="1:64" hidden="1" outlineLevel="1">
      <c r="A355" s="9"/>
      <c r="B355" s="9"/>
      <c r="C355" s="9"/>
      <c r="D355" s="278">
        <f>Asset26</f>
        <v>0</v>
      </c>
      <c r="E355" s="9"/>
      <c r="F355" s="9"/>
      <c r="G355" s="9"/>
      <c r="H355" s="9"/>
      <c r="I355" s="9"/>
      <c r="J355" s="9"/>
      <c r="K355" s="9"/>
      <c r="L355" s="370">
        <f>IF(M$201=0, 'Adjustment for previous period'!L320, 0)</f>
        <v>0</v>
      </c>
      <c r="M355" s="114">
        <f>IF(N$201=0, 'Adjustment for previous period'!M320, 0)</f>
        <v>0</v>
      </c>
      <c r="N355" s="114">
        <f>IF(O$201=0, 'Adjustment for previous period'!N320, 0)</f>
        <v>0</v>
      </c>
      <c r="O355" s="114">
        <f>IF(P$201=0, 'Adjustment for previous period'!O320, 0)</f>
        <v>0</v>
      </c>
      <c r="P355" s="114">
        <f>IF(Q$201=0, 'Adjustment for previous period'!P320, 0)</f>
        <v>0</v>
      </c>
      <c r="Q355" s="114">
        <f>IF(R$201=0, 'Adjustment for previous period'!Q320, 0)</f>
        <v>0</v>
      </c>
      <c r="R355" s="9"/>
      <c r="S355" s="9"/>
      <c r="T355" s="9"/>
      <c r="U355" s="9"/>
      <c r="V355" s="9"/>
      <c r="W355" s="9"/>
      <c r="X355" s="9"/>
      <c r="Y355" s="9"/>
      <c r="Z355" s="9"/>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c r="BI355" s="204"/>
      <c r="BJ355" s="204"/>
      <c r="BK355" s="204"/>
      <c r="BL355" s="204"/>
    </row>
    <row r="356" spans="1:64" hidden="1" outlineLevel="1">
      <c r="A356" s="9"/>
      <c r="B356" s="9"/>
      <c r="C356" s="9"/>
      <c r="D356" s="278">
        <f>Asset27</f>
        <v>0</v>
      </c>
      <c r="E356" s="9"/>
      <c r="F356" s="9"/>
      <c r="G356" s="9"/>
      <c r="H356" s="9"/>
      <c r="I356" s="9"/>
      <c r="J356" s="9"/>
      <c r="K356" s="9"/>
      <c r="L356" s="370">
        <f>IF(M$201=0, 'Adjustment for previous period'!L322, 0)</f>
        <v>0</v>
      </c>
      <c r="M356" s="114">
        <f>IF(N$201=0, 'Adjustment for previous period'!M322, 0)</f>
        <v>0</v>
      </c>
      <c r="N356" s="114">
        <f>IF(O$201=0, 'Adjustment for previous period'!N322, 0)</f>
        <v>0</v>
      </c>
      <c r="O356" s="114">
        <f>IF(P$201=0, 'Adjustment for previous period'!O322, 0)</f>
        <v>0</v>
      </c>
      <c r="P356" s="114">
        <f>IF(Q$201=0, 'Adjustment for previous period'!P322, 0)</f>
        <v>0</v>
      </c>
      <c r="Q356" s="114">
        <f>IF(R$201=0, 'Adjustment for previous period'!Q322, 0)</f>
        <v>0</v>
      </c>
      <c r="R356" s="9"/>
      <c r="S356" s="9"/>
      <c r="T356" s="9"/>
      <c r="U356" s="9"/>
      <c r="V356" s="9"/>
      <c r="W356" s="9"/>
      <c r="X356" s="9"/>
      <c r="Y356" s="9"/>
      <c r="Z356" s="9"/>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c r="BI356" s="204"/>
      <c r="BJ356" s="204"/>
      <c r="BK356" s="204"/>
      <c r="BL356" s="204"/>
    </row>
    <row r="357" spans="1:64" hidden="1" outlineLevel="1">
      <c r="A357" s="9"/>
      <c r="B357" s="9"/>
      <c r="C357" s="9"/>
      <c r="D357" s="278">
        <f>Asset28</f>
        <v>0</v>
      </c>
      <c r="E357" s="9"/>
      <c r="F357" s="9"/>
      <c r="G357" s="9"/>
      <c r="H357" s="9"/>
      <c r="I357" s="9"/>
      <c r="J357" s="9"/>
      <c r="K357" s="9"/>
      <c r="L357" s="370">
        <f>IF(M$201=0, 'Adjustment for previous period'!L324, 0)</f>
        <v>0</v>
      </c>
      <c r="M357" s="114">
        <f>IF(N$201=0, 'Adjustment for previous period'!M324, 0)</f>
        <v>0</v>
      </c>
      <c r="N357" s="114">
        <f>IF(O$201=0, 'Adjustment for previous period'!N324, 0)</f>
        <v>0</v>
      </c>
      <c r="O357" s="114">
        <f>IF(P$201=0, 'Adjustment for previous period'!O324, 0)</f>
        <v>0</v>
      </c>
      <c r="P357" s="114">
        <f>IF(Q$201=0, 'Adjustment for previous period'!P324, 0)</f>
        <v>0</v>
      </c>
      <c r="Q357" s="114">
        <f>IF(R$201=0, 'Adjustment for previous period'!Q324, 0)</f>
        <v>0</v>
      </c>
      <c r="R357" s="9"/>
      <c r="S357" s="9"/>
      <c r="T357" s="9"/>
      <c r="U357" s="9"/>
      <c r="V357" s="9"/>
      <c r="W357" s="9"/>
      <c r="X357" s="9"/>
      <c r="Y357" s="9"/>
      <c r="Z357" s="9"/>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c r="BI357" s="204"/>
      <c r="BJ357" s="204"/>
      <c r="BK357" s="204"/>
      <c r="BL357" s="204"/>
    </row>
    <row r="358" spans="1:64" hidden="1" outlineLevel="1">
      <c r="A358" s="9"/>
      <c r="B358" s="9"/>
      <c r="C358" s="9"/>
      <c r="D358" s="278">
        <f>Asset29</f>
        <v>0</v>
      </c>
      <c r="E358" s="9"/>
      <c r="F358" s="9"/>
      <c r="G358" s="9"/>
      <c r="H358" s="9"/>
      <c r="I358" s="9"/>
      <c r="J358" s="9"/>
      <c r="K358" s="9"/>
      <c r="L358" s="370">
        <f>IF(M$201=0, 'Adjustment for previous period'!L326, 0)</f>
        <v>0</v>
      </c>
      <c r="M358" s="114">
        <f>IF(N$201=0, 'Adjustment for previous period'!M326, 0)</f>
        <v>0</v>
      </c>
      <c r="N358" s="114">
        <f>IF(O$201=0, 'Adjustment for previous period'!N326, 0)</f>
        <v>0</v>
      </c>
      <c r="O358" s="114">
        <f>IF(P$201=0, 'Adjustment for previous period'!O326, 0)</f>
        <v>0</v>
      </c>
      <c r="P358" s="114">
        <f>IF(Q$201=0, 'Adjustment for previous period'!P326, 0)</f>
        <v>0</v>
      </c>
      <c r="Q358" s="114">
        <f>IF(R$201=0, 'Adjustment for previous period'!Q326, 0)</f>
        <v>0</v>
      </c>
      <c r="R358" s="9"/>
      <c r="S358" s="9"/>
      <c r="T358" s="9"/>
      <c r="U358" s="9"/>
      <c r="V358" s="9"/>
      <c r="W358" s="9"/>
      <c r="X358" s="9"/>
      <c r="Y358" s="9"/>
      <c r="Z358" s="9"/>
      <c r="AB358" s="204"/>
      <c r="AC358" s="204"/>
      <c r="AD358" s="204"/>
      <c r="AE358" s="204"/>
      <c r="AF358" s="204"/>
      <c r="AG358" s="204"/>
      <c r="AH358" s="204"/>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c r="BI358" s="204"/>
      <c r="BJ358" s="204"/>
      <c r="BK358" s="204"/>
      <c r="BL358" s="204"/>
    </row>
    <row r="359" spans="1:64" hidden="1" outlineLevel="1">
      <c r="A359" s="9"/>
      <c r="B359" s="9"/>
      <c r="C359" s="9"/>
      <c r="D359" s="278">
        <f>Asset30</f>
        <v>0</v>
      </c>
      <c r="E359" s="9"/>
      <c r="F359" s="9"/>
      <c r="G359" s="9"/>
      <c r="H359" s="9"/>
      <c r="I359" s="9"/>
      <c r="J359" s="9"/>
      <c r="K359" s="9"/>
      <c r="L359" s="370">
        <f>IF(M$201=0, 'Adjustment for previous period'!L328, 0)</f>
        <v>0</v>
      </c>
      <c r="M359" s="114">
        <f>IF(N$201=0, 'Adjustment for previous period'!M328, 0)</f>
        <v>0</v>
      </c>
      <c r="N359" s="114">
        <f>IF(O$201=0, 'Adjustment for previous period'!N328, 0)</f>
        <v>0</v>
      </c>
      <c r="O359" s="114">
        <f>IF(P$201=0, 'Adjustment for previous period'!O328, 0)</f>
        <v>0</v>
      </c>
      <c r="P359" s="114">
        <f>IF(Q$201=0, 'Adjustment for previous period'!P328, 0)</f>
        <v>0</v>
      </c>
      <c r="Q359" s="114">
        <f>IF(R$201=0, 'Adjustment for previous period'!Q328, 0)</f>
        <v>0</v>
      </c>
      <c r="R359" s="9"/>
      <c r="S359" s="9"/>
      <c r="T359" s="9"/>
      <c r="U359" s="9"/>
      <c r="V359" s="9"/>
      <c r="W359" s="9"/>
      <c r="X359" s="9"/>
      <c r="Y359" s="9"/>
      <c r="Z359" s="9"/>
      <c r="AB359" s="204"/>
      <c r="AC359" s="204"/>
      <c r="AD359" s="204"/>
      <c r="AE359" s="204"/>
      <c r="AF359" s="204"/>
      <c r="AG359" s="204"/>
      <c r="AH359" s="204"/>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c r="BI359" s="204"/>
      <c r="BJ359" s="204"/>
      <c r="BK359" s="204"/>
      <c r="BL359" s="204"/>
    </row>
    <row r="360" spans="1:64" collapsed="1">
      <c r="A360" s="9"/>
      <c r="B360" s="9"/>
      <c r="C360" s="9"/>
      <c r="D360" s="9"/>
      <c r="E360" s="9"/>
      <c r="F360" s="9"/>
      <c r="G360" s="9"/>
      <c r="H360" s="9"/>
      <c r="I360" s="9"/>
      <c r="J360" s="9"/>
      <c r="K360" s="9"/>
      <c r="L360" s="374">
        <v>5</v>
      </c>
      <c r="M360" s="301">
        <v>6</v>
      </c>
      <c r="N360" s="303">
        <v>7</v>
      </c>
      <c r="O360" s="301">
        <v>8</v>
      </c>
      <c r="P360" s="301">
        <v>9</v>
      </c>
      <c r="Q360" s="301">
        <v>10</v>
      </c>
      <c r="R360" s="9"/>
      <c r="S360" s="9"/>
      <c r="T360" s="9"/>
      <c r="U360" s="9"/>
      <c r="V360" s="9"/>
      <c r="W360" s="9"/>
      <c r="X360" s="9"/>
      <c r="Y360" s="9"/>
      <c r="Z360" s="9"/>
      <c r="AB360" s="204"/>
      <c r="AC360" s="204"/>
      <c r="AD360" s="204"/>
      <c r="AE360" s="204"/>
      <c r="AF360" s="204"/>
      <c r="AG360" s="204"/>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c r="BI360" s="204"/>
      <c r="BJ360" s="204"/>
      <c r="BK360" s="204"/>
      <c r="BL360" s="204"/>
    </row>
    <row r="361" spans="1:64">
      <c r="A361" s="78"/>
      <c r="B361" s="78"/>
      <c r="C361" s="85" t="s">
        <v>88</v>
      </c>
      <c r="D361" s="78"/>
      <c r="E361" s="78"/>
      <c r="F361" s="78"/>
      <c r="G361" s="78"/>
      <c r="H361" s="78"/>
      <c r="I361" s="78"/>
      <c r="J361" s="78"/>
      <c r="K361" s="78"/>
      <c r="L361" s="375">
        <f t="shared" ref="L361:Q361" si="19">SUM(L362:L391)</f>
        <v>1416.8385394742675</v>
      </c>
      <c r="M361" s="157">
        <f t="shared" si="19"/>
        <v>0</v>
      </c>
      <c r="N361" s="157">
        <f t="shared" si="19"/>
        <v>0</v>
      </c>
      <c r="O361" s="157">
        <f t="shared" si="19"/>
        <v>0</v>
      </c>
      <c r="P361" s="157">
        <f t="shared" si="19"/>
        <v>0</v>
      </c>
      <c r="Q361" s="157">
        <f t="shared" si="19"/>
        <v>0</v>
      </c>
      <c r="R361" s="157"/>
      <c r="S361" s="9"/>
      <c r="T361" s="9"/>
      <c r="U361" s="9"/>
      <c r="V361" s="9"/>
      <c r="W361" s="9"/>
      <c r="X361" s="9"/>
      <c r="Y361" s="9"/>
      <c r="Z361" s="9"/>
      <c r="AB361" s="204"/>
      <c r="AC361" s="204"/>
      <c r="AD361" s="204"/>
      <c r="AE361" s="204"/>
      <c r="AF361" s="204"/>
      <c r="AG361" s="204"/>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c r="BI361" s="204"/>
      <c r="BJ361" s="204"/>
      <c r="BK361" s="204"/>
      <c r="BL361" s="204"/>
    </row>
    <row r="362" spans="1:64" hidden="1" outlineLevel="1">
      <c r="A362" s="9"/>
      <c r="B362" s="9"/>
      <c r="C362" s="9"/>
      <c r="D362" s="278" t="str">
        <f>Asset1</f>
        <v>Transmission Lines and Cables</v>
      </c>
      <c r="E362" s="9"/>
      <c r="F362" s="9"/>
      <c r="G362" s="9"/>
      <c r="H362" s="9"/>
      <c r="I362" s="9"/>
      <c r="J362" s="9"/>
      <c r="K362" s="9"/>
      <c r="L362" s="114">
        <f t="shared" ref="L362:Q371" si="20">IF(M$201=0, L202+L234+L266+L298+L330, 0)</f>
        <v>257.40055900735848</v>
      </c>
      <c r="M362" s="114">
        <f t="shared" si="20"/>
        <v>0</v>
      </c>
      <c r="N362" s="114">
        <f t="shared" si="20"/>
        <v>0</v>
      </c>
      <c r="O362" s="114">
        <f t="shared" si="20"/>
        <v>0</v>
      </c>
      <c r="P362" s="114">
        <f t="shared" si="20"/>
        <v>0</v>
      </c>
      <c r="Q362" s="114">
        <f t="shared" si="20"/>
        <v>0</v>
      </c>
      <c r="R362" s="9"/>
      <c r="S362" s="9"/>
      <c r="T362" s="9"/>
      <c r="U362" s="9"/>
      <c r="V362" s="9"/>
      <c r="W362" s="9"/>
      <c r="X362" s="9"/>
      <c r="Y362" s="9"/>
      <c r="Z362" s="9"/>
      <c r="AB362" s="204"/>
      <c r="AC362" s="204"/>
      <c r="AD362" s="204"/>
      <c r="AE362" s="204"/>
      <c r="AF362" s="204"/>
      <c r="AG362" s="204"/>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c r="BI362" s="204"/>
      <c r="BJ362" s="204"/>
      <c r="BK362" s="204"/>
      <c r="BL362" s="204"/>
    </row>
    <row r="363" spans="1:64" hidden="1" outlineLevel="1">
      <c r="A363" s="9"/>
      <c r="B363" s="9"/>
      <c r="C363" s="9"/>
      <c r="D363" s="278" t="str">
        <f>Asset2</f>
        <v>Transmission Substations</v>
      </c>
      <c r="E363" s="9"/>
      <c r="F363" s="9"/>
      <c r="G363" s="9"/>
      <c r="H363" s="9"/>
      <c r="I363" s="9"/>
      <c r="J363" s="9"/>
      <c r="K363" s="9"/>
      <c r="L363" s="114">
        <f t="shared" si="20"/>
        <v>328.4707375424947</v>
      </c>
      <c r="M363" s="114">
        <f t="shared" si="20"/>
        <v>0</v>
      </c>
      <c r="N363" s="114">
        <f t="shared" si="20"/>
        <v>0</v>
      </c>
      <c r="O363" s="114">
        <f t="shared" si="20"/>
        <v>0</v>
      </c>
      <c r="P363" s="114">
        <f t="shared" si="20"/>
        <v>0</v>
      </c>
      <c r="Q363" s="114">
        <f t="shared" si="20"/>
        <v>0</v>
      </c>
      <c r="R363" s="9"/>
      <c r="S363" s="9"/>
      <c r="T363" s="9"/>
      <c r="U363" s="9"/>
      <c r="V363" s="9"/>
      <c r="W363" s="9"/>
      <c r="X363" s="9"/>
      <c r="Y363" s="9"/>
      <c r="Z363" s="9"/>
      <c r="AB363" s="204"/>
      <c r="AC363" s="204"/>
      <c r="AD363" s="204"/>
      <c r="AE363" s="204"/>
      <c r="AF363" s="204"/>
      <c r="AG363" s="204"/>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c r="BI363" s="204"/>
      <c r="BJ363" s="204"/>
      <c r="BK363" s="204"/>
      <c r="BL363" s="204"/>
    </row>
    <row r="364" spans="1:64" hidden="1" outlineLevel="1">
      <c r="A364" s="9"/>
      <c r="B364" s="9"/>
      <c r="C364" s="9"/>
      <c r="D364" s="278" t="str">
        <f>Asset3</f>
        <v>Protection and Control</v>
      </c>
      <c r="E364" s="9"/>
      <c r="F364" s="9"/>
      <c r="G364" s="9"/>
      <c r="H364" s="9"/>
      <c r="I364" s="9"/>
      <c r="J364" s="9"/>
      <c r="K364" s="9"/>
      <c r="L364" s="114">
        <f t="shared" si="20"/>
        <v>19.612015774939891</v>
      </c>
      <c r="M364" s="114">
        <f t="shared" si="20"/>
        <v>0</v>
      </c>
      <c r="N364" s="114">
        <f t="shared" si="20"/>
        <v>0</v>
      </c>
      <c r="O364" s="114">
        <f t="shared" si="20"/>
        <v>0</v>
      </c>
      <c r="P364" s="114">
        <f t="shared" si="20"/>
        <v>0</v>
      </c>
      <c r="Q364" s="114">
        <f t="shared" si="20"/>
        <v>0</v>
      </c>
      <c r="R364" s="9"/>
      <c r="S364" s="9"/>
      <c r="T364" s="9"/>
      <c r="U364" s="9"/>
      <c r="V364" s="9"/>
      <c r="W364" s="9"/>
      <c r="X364" s="9"/>
      <c r="Y364" s="9"/>
      <c r="Z364" s="9"/>
      <c r="AB364" s="204"/>
      <c r="AC364" s="204"/>
      <c r="AD364" s="204"/>
      <c r="AE364" s="204"/>
      <c r="AF364" s="204"/>
      <c r="AG364" s="204"/>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c r="BI364" s="204"/>
      <c r="BJ364" s="204"/>
      <c r="BK364" s="204"/>
      <c r="BL364" s="204"/>
    </row>
    <row r="365" spans="1:64" hidden="1" outlineLevel="1">
      <c r="A365" s="9"/>
      <c r="B365" s="9"/>
      <c r="C365" s="9"/>
      <c r="D365" s="278" t="str">
        <f>Asset4</f>
        <v>Refurbishment</v>
      </c>
      <c r="E365" s="9"/>
      <c r="F365" s="9"/>
      <c r="G365" s="9"/>
      <c r="H365" s="9"/>
      <c r="I365" s="9"/>
      <c r="J365" s="9"/>
      <c r="K365" s="9"/>
      <c r="L365" s="114">
        <f t="shared" si="20"/>
        <v>12.891287351088824</v>
      </c>
      <c r="M365" s="114">
        <f t="shared" si="20"/>
        <v>0</v>
      </c>
      <c r="N365" s="114">
        <f t="shared" si="20"/>
        <v>0</v>
      </c>
      <c r="O365" s="114">
        <f t="shared" si="20"/>
        <v>0</v>
      </c>
      <c r="P365" s="114">
        <f t="shared" si="20"/>
        <v>0</v>
      </c>
      <c r="Q365" s="114">
        <f t="shared" si="20"/>
        <v>0</v>
      </c>
      <c r="R365" s="9"/>
      <c r="S365" s="9"/>
      <c r="T365" s="9"/>
      <c r="U365" s="9"/>
      <c r="V365" s="9"/>
      <c r="W365" s="9"/>
      <c r="X365" s="9"/>
      <c r="Y365" s="9"/>
      <c r="Z365" s="9"/>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c r="BI365" s="204"/>
      <c r="BJ365" s="204"/>
      <c r="BK365" s="204"/>
      <c r="BL365" s="204"/>
    </row>
    <row r="366" spans="1:64" hidden="1" outlineLevel="1">
      <c r="A366" s="9"/>
      <c r="B366" s="9"/>
      <c r="C366" s="9"/>
      <c r="D366" s="278" t="str">
        <f>Asset5</f>
        <v>Other</v>
      </c>
      <c r="E366" s="9"/>
      <c r="F366" s="9"/>
      <c r="G366" s="9"/>
      <c r="H366" s="9"/>
      <c r="I366" s="9"/>
      <c r="J366" s="9"/>
      <c r="K366" s="9"/>
      <c r="L366" s="114">
        <f t="shared" si="20"/>
        <v>0.58543283790094502</v>
      </c>
      <c r="M366" s="114">
        <f t="shared" si="20"/>
        <v>0</v>
      </c>
      <c r="N366" s="114">
        <f t="shared" si="20"/>
        <v>0</v>
      </c>
      <c r="O366" s="114">
        <f t="shared" si="20"/>
        <v>0</v>
      </c>
      <c r="P366" s="114">
        <f t="shared" si="20"/>
        <v>0</v>
      </c>
      <c r="Q366" s="114">
        <f t="shared" si="20"/>
        <v>0</v>
      </c>
      <c r="R366" s="9"/>
      <c r="S366" s="9"/>
      <c r="T366" s="9"/>
      <c r="U366" s="9"/>
      <c r="V366" s="9"/>
      <c r="W366" s="9"/>
      <c r="X366" s="9"/>
      <c r="Y366" s="9"/>
      <c r="Z366" s="9"/>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c r="BI366" s="204"/>
      <c r="BJ366" s="204"/>
      <c r="BK366" s="204"/>
      <c r="BL366" s="204"/>
    </row>
    <row r="367" spans="1:64" hidden="1" outlineLevel="1">
      <c r="A367" s="9"/>
      <c r="B367" s="9"/>
      <c r="C367" s="9"/>
      <c r="D367" s="278" t="str">
        <f>Asset6</f>
        <v>Other - IT</v>
      </c>
      <c r="E367" s="9"/>
      <c r="F367" s="9"/>
      <c r="G367" s="9"/>
      <c r="H367" s="9"/>
      <c r="I367" s="9"/>
      <c r="J367" s="9"/>
      <c r="K367" s="9"/>
      <c r="L367" s="114">
        <f t="shared" si="20"/>
        <v>9.1960647042548587</v>
      </c>
      <c r="M367" s="114">
        <f t="shared" si="20"/>
        <v>0</v>
      </c>
      <c r="N367" s="114">
        <f t="shared" si="20"/>
        <v>0</v>
      </c>
      <c r="O367" s="114">
        <f t="shared" si="20"/>
        <v>0</v>
      </c>
      <c r="P367" s="114">
        <f t="shared" si="20"/>
        <v>0</v>
      </c>
      <c r="Q367" s="114">
        <f t="shared" si="20"/>
        <v>0</v>
      </c>
      <c r="R367" s="9"/>
      <c r="S367" s="9"/>
      <c r="T367" s="9"/>
      <c r="U367" s="9"/>
      <c r="V367" s="9"/>
      <c r="W367" s="9"/>
      <c r="X367" s="9"/>
      <c r="Y367" s="9"/>
      <c r="Z367" s="9"/>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c r="BI367" s="204"/>
      <c r="BJ367" s="204"/>
      <c r="BK367" s="204"/>
      <c r="BL367" s="204"/>
    </row>
    <row r="368" spans="1:64" hidden="1" outlineLevel="1">
      <c r="A368" s="9"/>
      <c r="B368" s="9"/>
      <c r="C368" s="9"/>
      <c r="D368" s="278" t="str">
        <f>Asset7</f>
        <v>Other - General</v>
      </c>
      <c r="E368" s="9"/>
      <c r="F368" s="9"/>
      <c r="G368" s="9"/>
      <c r="H368" s="9"/>
      <c r="I368" s="9"/>
      <c r="J368" s="9"/>
      <c r="K368" s="9"/>
      <c r="L368" s="114">
        <f t="shared" si="20"/>
        <v>2.0782940908430505</v>
      </c>
      <c r="M368" s="114">
        <f t="shared" si="20"/>
        <v>0</v>
      </c>
      <c r="N368" s="114">
        <f t="shared" si="20"/>
        <v>0</v>
      </c>
      <c r="O368" s="114">
        <f t="shared" si="20"/>
        <v>0</v>
      </c>
      <c r="P368" s="114">
        <f t="shared" si="20"/>
        <v>0</v>
      </c>
      <c r="Q368" s="114">
        <f t="shared" si="20"/>
        <v>0</v>
      </c>
      <c r="R368" s="9"/>
      <c r="S368" s="9"/>
      <c r="T368" s="9"/>
      <c r="U368" s="9"/>
      <c r="V368" s="9"/>
      <c r="W368" s="9"/>
      <c r="X368" s="9"/>
      <c r="Y368" s="9"/>
      <c r="Z368" s="9"/>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c r="BI368" s="204"/>
      <c r="BJ368" s="204"/>
      <c r="BK368" s="204"/>
      <c r="BL368" s="204"/>
    </row>
    <row r="369" spans="1:64" hidden="1" outlineLevel="1">
      <c r="A369" s="9"/>
      <c r="B369" s="9"/>
      <c r="C369" s="9"/>
      <c r="D369" s="278" t="str">
        <f>Asset8</f>
        <v>Other - Buildings</v>
      </c>
      <c r="E369" s="9"/>
      <c r="F369" s="9"/>
      <c r="G369" s="9"/>
      <c r="H369" s="9"/>
      <c r="I369" s="9"/>
      <c r="J369" s="9"/>
      <c r="K369" s="9"/>
      <c r="L369" s="114">
        <f t="shared" si="20"/>
        <v>25.661977102838815</v>
      </c>
      <c r="M369" s="114">
        <f t="shared" si="20"/>
        <v>0</v>
      </c>
      <c r="N369" s="114">
        <f t="shared" si="20"/>
        <v>0</v>
      </c>
      <c r="O369" s="114">
        <f t="shared" si="20"/>
        <v>0</v>
      </c>
      <c r="P369" s="114">
        <f t="shared" si="20"/>
        <v>0</v>
      </c>
      <c r="Q369" s="114">
        <f t="shared" si="20"/>
        <v>0</v>
      </c>
      <c r="R369" s="9"/>
      <c r="S369" s="9"/>
      <c r="T369" s="9"/>
      <c r="U369" s="9"/>
      <c r="V369" s="9"/>
      <c r="W369" s="9"/>
      <c r="X369" s="9"/>
      <c r="Y369" s="9"/>
      <c r="Z369" s="9"/>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c r="BI369" s="204"/>
      <c r="BJ369" s="204"/>
      <c r="BK369" s="204"/>
      <c r="BL369" s="204"/>
    </row>
    <row r="370" spans="1:64" hidden="1" outlineLevel="1">
      <c r="A370" s="9"/>
      <c r="B370" s="9"/>
      <c r="C370" s="9"/>
      <c r="D370" s="278" t="str">
        <f>Asset9</f>
        <v>Land and Easements</v>
      </c>
      <c r="E370" s="9"/>
      <c r="F370" s="9"/>
      <c r="G370" s="9"/>
      <c r="H370" s="9"/>
      <c r="I370" s="9"/>
      <c r="J370" s="9"/>
      <c r="K370" s="9"/>
      <c r="L370" s="114">
        <f t="shared" si="20"/>
        <v>100.75200477367551</v>
      </c>
      <c r="M370" s="114">
        <f t="shared" si="20"/>
        <v>0</v>
      </c>
      <c r="N370" s="114">
        <f t="shared" si="20"/>
        <v>0</v>
      </c>
      <c r="O370" s="114">
        <f t="shared" si="20"/>
        <v>0</v>
      </c>
      <c r="P370" s="114">
        <f t="shared" si="20"/>
        <v>0</v>
      </c>
      <c r="Q370" s="114">
        <f t="shared" si="20"/>
        <v>0</v>
      </c>
      <c r="R370" s="9"/>
      <c r="S370" s="9"/>
      <c r="T370" s="9"/>
      <c r="U370" s="9"/>
      <c r="V370" s="9"/>
      <c r="W370" s="9"/>
      <c r="X370" s="9"/>
      <c r="Y370" s="9"/>
      <c r="Z370" s="9"/>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c r="BI370" s="204"/>
      <c r="BJ370" s="204"/>
      <c r="BK370" s="204"/>
      <c r="BL370" s="204"/>
    </row>
    <row r="371" spans="1:64" hidden="1" outlineLevel="1">
      <c r="A371" s="9"/>
      <c r="B371" s="9"/>
      <c r="C371" s="9"/>
      <c r="D371" s="278" t="str">
        <f>Asset10</f>
        <v>Transmission line assets - long life (60)</v>
      </c>
      <c r="E371" s="9"/>
      <c r="F371" s="9"/>
      <c r="G371" s="9"/>
      <c r="H371" s="9"/>
      <c r="I371" s="9"/>
      <c r="J371" s="9"/>
      <c r="K371" s="9"/>
      <c r="L371" s="114">
        <f t="shared" si="20"/>
        <v>202.05553658933448</v>
      </c>
      <c r="M371" s="114">
        <f t="shared" si="20"/>
        <v>0</v>
      </c>
      <c r="N371" s="114">
        <f t="shared" si="20"/>
        <v>0</v>
      </c>
      <c r="O371" s="114">
        <f t="shared" si="20"/>
        <v>0</v>
      </c>
      <c r="P371" s="114">
        <f t="shared" si="20"/>
        <v>0</v>
      </c>
      <c r="Q371" s="114">
        <f t="shared" si="20"/>
        <v>0</v>
      </c>
      <c r="R371" s="9"/>
      <c r="S371" s="9"/>
      <c r="T371" s="9"/>
      <c r="U371" s="9"/>
      <c r="V371" s="9"/>
      <c r="W371" s="9"/>
      <c r="X371" s="9"/>
      <c r="Y371" s="9"/>
      <c r="Z371" s="9"/>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c r="BI371" s="204"/>
      <c r="BJ371" s="204"/>
      <c r="BK371" s="204"/>
      <c r="BL371" s="204"/>
    </row>
    <row r="372" spans="1:64" hidden="1" outlineLevel="1">
      <c r="A372" s="9"/>
      <c r="B372" s="9"/>
      <c r="C372" s="9"/>
      <c r="D372" s="278" t="str">
        <f>Asset11</f>
        <v>Transmission line assets - medium life (45)</v>
      </c>
      <c r="E372" s="9"/>
      <c r="F372" s="9"/>
      <c r="G372" s="9"/>
      <c r="H372" s="9"/>
      <c r="I372" s="9"/>
      <c r="J372" s="9"/>
      <c r="K372" s="9"/>
      <c r="L372" s="114">
        <f t="shared" ref="L372:Q381" si="21">IF(M$201=0, L212+L244+L276+L308+L340, 0)</f>
        <v>23.099245522779885</v>
      </c>
      <c r="M372" s="114">
        <f t="shared" si="21"/>
        <v>0</v>
      </c>
      <c r="N372" s="114">
        <f t="shared" si="21"/>
        <v>0</v>
      </c>
      <c r="O372" s="114">
        <f t="shared" si="21"/>
        <v>0</v>
      </c>
      <c r="P372" s="114">
        <f t="shared" si="21"/>
        <v>0</v>
      </c>
      <c r="Q372" s="114">
        <f t="shared" si="21"/>
        <v>0</v>
      </c>
      <c r="R372" s="9"/>
      <c r="S372" s="9"/>
      <c r="T372" s="9"/>
      <c r="U372" s="9"/>
      <c r="V372" s="9"/>
      <c r="W372" s="9"/>
      <c r="X372" s="9"/>
      <c r="Y372" s="9"/>
      <c r="Z372" s="9"/>
      <c r="AB372" s="204"/>
      <c r="AC372" s="204"/>
      <c r="AD372" s="204"/>
      <c r="AE372" s="204"/>
      <c r="AF372" s="204"/>
      <c r="AG372" s="204"/>
      <c r="AH372" s="204"/>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c r="BI372" s="204"/>
      <c r="BJ372" s="204"/>
      <c r="BK372" s="204"/>
      <c r="BL372" s="204"/>
    </row>
    <row r="373" spans="1:64" hidden="1" outlineLevel="1">
      <c r="A373" s="9"/>
      <c r="B373" s="9"/>
      <c r="C373" s="9"/>
      <c r="D373" s="278" t="str">
        <f>Asset12</f>
        <v>Transmission line assets - short life (10)</v>
      </c>
      <c r="E373" s="9"/>
      <c r="F373" s="9"/>
      <c r="G373" s="9"/>
      <c r="H373" s="9"/>
      <c r="I373" s="9"/>
      <c r="J373" s="9"/>
      <c r="K373" s="9"/>
      <c r="L373" s="114">
        <f t="shared" si="21"/>
        <v>16.589636481077687</v>
      </c>
      <c r="M373" s="114">
        <f t="shared" si="21"/>
        <v>0</v>
      </c>
      <c r="N373" s="114">
        <f t="shared" si="21"/>
        <v>0</v>
      </c>
      <c r="O373" s="114">
        <f t="shared" si="21"/>
        <v>0</v>
      </c>
      <c r="P373" s="114">
        <f t="shared" si="21"/>
        <v>0</v>
      </c>
      <c r="Q373" s="114">
        <f t="shared" si="21"/>
        <v>0</v>
      </c>
      <c r="R373" s="9"/>
      <c r="S373" s="9"/>
      <c r="T373" s="9"/>
      <c r="U373" s="9"/>
      <c r="V373" s="9"/>
      <c r="W373" s="9"/>
      <c r="X373" s="9"/>
      <c r="Y373" s="9"/>
      <c r="Z373" s="9"/>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c r="BI373" s="204"/>
      <c r="BJ373" s="204"/>
      <c r="BK373" s="204"/>
      <c r="BL373" s="204"/>
    </row>
    <row r="374" spans="1:64" hidden="1" outlineLevel="1">
      <c r="A374" s="9"/>
      <c r="B374" s="9"/>
      <c r="C374" s="9"/>
      <c r="D374" s="278" t="str">
        <f>Asset13</f>
        <v>Substation assets - long life (60)</v>
      </c>
      <c r="E374" s="9"/>
      <c r="F374" s="9"/>
      <c r="G374" s="9"/>
      <c r="H374" s="9"/>
      <c r="I374" s="9"/>
      <c r="J374" s="9"/>
      <c r="K374" s="9"/>
      <c r="L374" s="114">
        <f t="shared" si="21"/>
        <v>67.407479975490077</v>
      </c>
      <c r="M374" s="114">
        <f t="shared" si="21"/>
        <v>0</v>
      </c>
      <c r="N374" s="114">
        <f t="shared" si="21"/>
        <v>0</v>
      </c>
      <c r="O374" s="114">
        <f t="shared" si="21"/>
        <v>0</v>
      </c>
      <c r="P374" s="114">
        <f t="shared" si="21"/>
        <v>0</v>
      </c>
      <c r="Q374" s="114">
        <f t="shared" si="21"/>
        <v>0</v>
      </c>
      <c r="R374" s="9"/>
      <c r="S374" s="9"/>
      <c r="T374" s="9"/>
      <c r="U374" s="9"/>
      <c r="V374" s="9"/>
      <c r="W374" s="9"/>
      <c r="X374" s="9"/>
      <c r="Y374" s="9"/>
      <c r="Z374" s="9"/>
      <c r="AB374" s="204"/>
      <c r="AC374" s="204"/>
      <c r="AD374" s="204"/>
      <c r="AE374" s="204"/>
      <c r="AF374" s="204"/>
      <c r="AG374" s="204"/>
      <c r="AH374" s="204"/>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c r="BI374" s="204"/>
      <c r="BJ374" s="204"/>
      <c r="BK374" s="204"/>
      <c r="BL374" s="204"/>
    </row>
    <row r="375" spans="1:64" hidden="1" outlineLevel="1">
      <c r="A375" s="9"/>
      <c r="B375" s="9"/>
      <c r="C375" s="9"/>
      <c r="D375" s="278" t="str">
        <f>Asset14</f>
        <v>Substation assets - medium life (45)</v>
      </c>
      <c r="E375" s="9"/>
      <c r="F375" s="9"/>
      <c r="G375" s="9"/>
      <c r="H375" s="9"/>
      <c r="I375" s="9"/>
      <c r="J375" s="9"/>
      <c r="K375" s="9"/>
      <c r="L375" s="114">
        <f t="shared" si="21"/>
        <v>170.89036619203853</v>
      </c>
      <c r="M375" s="114">
        <f t="shared" si="21"/>
        <v>0</v>
      </c>
      <c r="N375" s="114">
        <f t="shared" si="21"/>
        <v>0</v>
      </c>
      <c r="O375" s="114">
        <f t="shared" si="21"/>
        <v>0</v>
      </c>
      <c r="P375" s="114">
        <f t="shared" si="21"/>
        <v>0</v>
      </c>
      <c r="Q375" s="114">
        <f t="shared" si="21"/>
        <v>0</v>
      </c>
      <c r="R375" s="9"/>
      <c r="S375" s="9"/>
      <c r="T375" s="9"/>
      <c r="U375" s="9"/>
      <c r="V375" s="9"/>
      <c r="W375" s="9"/>
      <c r="X375" s="9"/>
      <c r="Y375" s="9"/>
      <c r="Z375" s="9"/>
      <c r="AB375" s="204"/>
      <c r="AC375" s="204"/>
      <c r="AD375" s="204"/>
      <c r="AE375" s="204"/>
      <c r="AF375" s="204"/>
      <c r="AG375" s="204"/>
      <c r="AH375" s="204"/>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c r="BI375" s="204"/>
      <c r="BJ375" s="204"/>
      <c r="BK375" s="204"/>
      <c r="BL375" s="204"/>
    </row>
    <row r="376" spans="1:64" hidden="1" outlineLevel="1">
      <c r="A376" s="9"/>
      <c r="B376" s="9"/>
      <c r="C376" s="9"/>
      <c r="D376" s="278" t="str">
        <f>Asset15</f>
        <v>Substation assets - short life (15)</v>
      </c>
      <c r="E376" s="9"/>
      <c r="F376" s="9"/>
      <c r="G376" s="9"/>
      <c r="H376" s="9"/>
      <c r="I376" s="9"/>
      <c r="J376" s="9"/>
      <c r="K376" s="9"/>
      <c r="L376" s="114">
        <f t="shared" si="21"/>
        <v>24.453387543073639</v>
      </c>
      <c r="M376" s="114">
        <f t="shared" si="21"/>
        <v>0</v>
      </c>
      <c r="N376" s="114">
        <f t="shared" si="21"/>
        <v>0</v>
      </c>
      <c r="O376" s="114">
        <f t="shared" si="21"/>
        <v>0</v>
      </c>
      <c r="P376" s="114">
        <f t="shared" si="21"/>
        <v>0</v>
      </c>
      <c r="Q376" s="114">
        <f t="shared" si="21"/>
        <v>0</v>
      </c>
      <c r="R376" s="9"/>
      <c r="S376" s="9"/>
      <c r="T376" s="9"/>
      <c r="U376" s="9"/>
      <c r="V376" s="9"/>
      <c r="W376" s="9"/>
      <c r="X376" s="9"/>
      <c r="Y376" s="9"/>
      <c r="Z376" s="9"/>
      <c r="AB376" s="204"/>
      <c r="AC376" s="204"/>
      <c r="AD376" s="204"/>
      <c r="AE376" s="204"/>
      <c r="AF376" s="204"/>
      <c r="AG376" s="204"/>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c r="BI376" s="204"/>
      <c r="BJ376" s="204"/>
      <c r="BK376" s="204"/>
      <c r="BL376" s="204"/>
    </row>
    <row r="377" spans="1:64" hidden="1" outlineLevel="1">
      <c r="A377" s="9"/>
      <c r="B377" s="9"/>
      <c r="C377" s="9"/>
      <c r="D377" s="278" t="str">
        <f>Asset16</f>
        <v>Protection and control - short life (15)</v>
      </c>
      <c r="E377" s="9"/>
      <c r="F377" s="9"/>
      <c r="G377" s="9"/>
      <c r="H377" s="9"/>
      <c r="I377" s="9"/>
      <c r="J377" s="9"/>
      <c r="K377" s="9"/>
      <c r="L377" s="114">
        <f t="shared" si="21"/>
        <v>92.60075685663486</v>
      </c>
      <c r="M377" s="114">
        <f t="shared" si="21"/>
        <v>0</v>
      </c>
      <c r="N377" s="114">
        <f t="shared" si="21"/>
        <v>0</v>
      </c>
      <c r="O377" s="114">
        <f t="shared" si="21"/>
        <v>0</v>
      </c>
      <c r="P377" s="114">
        <f t="shared" si="21"/>
        <v>0</v>
      </c>
      <c r="Q377" s="114">
        <f t="shared" si="21"/>
        <v>0</v>
      </c>
      <c r="R377" s="9"/>
      <c r="S377" s="9"/>
      <c r="T377" s="9"/>
      <c r="U377" s="9"/>
      <c r="V377" s="9"/>
      <c r="W377" s="9"/>
      <c r="X377" s="9"/>
      <c r="Y377" s="9"/>
      <c r="Z377" s="9"/>
      <c r="AB377" s="204"/>
      <c r="AC377" s="204"/>
      <c r="AD377" s="204"/>
      <c r="AE377" s="204"/>
      <c r="AF377" s="204"/>
      <c r="AG377" s="204"/>
      <c r="AH377" s="204"/>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c r="BI377" s="204"/>
      <c r="BJ377" s="204"/>
      <c r="BK377" s="204"/>
      <c r="BL377" s="204"/>
    </row>
    <row r="378" spans="1:64" hidden="1" outlineLevel="1">
      <c r="A378" s="9"/>
      <c r="B378" s="9"/>
      <c r="C378" s="9"/>
      <c r="D378" s="278" t="str">
        <f>Asset17</f>
        <v>Protection and control - short life (4)</v>
      </c>
      <c r="E378" s="9"/>
      <c r="F378" s="9"/>
      <c r="G378" s="9"/>
      <c r="H378" s="9"/>
      <c r="I378" s="9"/>
      <c r="J378" s="9"/>
      <c r="K378" s="9"/>
      <c r="L378" s="114">
        <f t="shared" si="21"/>
        <v>0.93672265961251622</v>
      </c>
      <c r="M378" s="114">
        <f t="shared" si="21"/>
        <v>0</v>
      </c>
      <c r="N378" s="114">
        <f t="shared" si="21"/>
        <v>0</v>
      </c>
      <c r="O378" s="114">
        <f t="shared" si="21"/>
        <v>0</v>
      </c>
      <c r="P378" s="114">
        <f t="shared" si="21"/>
        <v>0</v>
      </c>
      <c r="Q378" s="114">
        <f t="shared" si="21"/>
        <v>0</v>
      </c>
      <c r="R378" s="9"/>
      <c r="S378" s="9"/>
      <c r="T378" s="9"/>
      <c r="U378" s="9"/>
      <c r="V378" s="9"/>
      <c r="W378" s="9"/>
      <c r="X378" s="9"/>
      <c r="Y378" s="9"/>
      <c r="Z378" s="9"/>
      <c r="AB378" s="204"/>
      <c r="AC378" s="204"/>
      <c r="AD378" s="204"/>
      <c r="AE378" s="204"/>
      <c r="AF378" s="204"/>
      <c r="AG378" s="204"/>
      <c r="AH378" s="204"/>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c r="BI378" s="204"/>
      <c r="BJ378" s="204"/>
      <c r="BK378" s="204"/>
      <c r="BL378" s="204"/>
    </row>
    <row r="379" spans="1:64" hidden="1" outlineLevel="1">
      <c r="A379" s="9"/>
      <c r="B379" s="9"/>
      <c r="C379" s="9"/>
      <c r="D379" s="278" t="str">
        <f>Asset18</f>
        <v>Transmission operations - short life (10)</v>
      </c>
      <c r="E379" s="9"/>
      <c r="F379" s="9"/>
      <c r="G379" s="9"/>
      <c r="H379" s="9"/>
      <c r="I379" s="9"/>
      <c r="J379" s="9"/>
      <c r="K379" s="9"/>
      <c r="L379" s="114">
        <f t="shared" si="21"/>
        <v>8.9479597772727058</v>
      </c>
      <c r="M379" s="114">
        <f t="shared" si="21"/>
        <v>0</v>
      </c>
      <c r="N379" s="114">
        <f t="shared" si="21"/>
        <v>0</v>
      </c>
      <c r="O379" s="114">
        <f t="shared" si="21"/>
        <v>0</v>
      </c>
      <c r="P379" s="114">
        <f t="shared" si="21"/>
        <v>0</v>
      </c>
      <c r="Q379" s="114">
        <f t="shared" si="21"/>
        <v>0</v>
      </c>
      <c r="R379" s="9"/>
      <c r="S379" s="9"/>
      <c r="T379" s="9"/>
      <c r="U379" s="9"/>
      <c r="V379" s="9"/>
      <c r="W379" s="9"/>
      <c r="X379" s="9"/>
      <c r="Y379" s="9"/>
      <c r="Z379" s="9"/>
      <c r="AB379" s="204"/>
      <c r="AC379" s="204"/>
      <c r="AD379" s="204"/>
      <c r="AE379" s="204"/>
      <c r="AF379" s="204"/>
      <c r="AG379" s="204"/>
      <c r="AH379" s="204"/>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c r="BI379" s="204"/>
      <c r="BJ379" s="204"/>
      <c r="BK379" s="204"/>
      <c r="BL379" s="204"/>
    </row>
    <row r="380" spans="1:64" hidden="1" outlineLevel="1">
      <c r="A380" s="9"/>
      <c r="B380" s="9"/>
      <c r="C380" s="9"/>
      <c r="D380" s="278" t="str">
        <f>Asset19</f>
        <v>Transmission operations - short life (4)</v>
      </c>
      <c r="E380" s="9"/>
      <c r="F380" s="9"/>
      <c r="G380" s="9"/>
      <c r="H380" s="9"/>
      <c r="I380" s="9"/>
      <c r="J380" s="9"/>
      <c r="K380" s="9"/>
      <c r="L380" s="114">
        <f t="shared" si="21"/>
        <v>7.5758742437688403E-2</v>
      </c>
      <c r="M380" s="114">
        <f t="shared" si="21"/>
        <v>0</v>
      </c>
      <c r="N380" s="114">
        <f t="shared" si="21"/>
        <v>0</v>
      </c>
      <c r="O380" s="114">
        <f t="shared" si="21"/>
        <v>0</v>
      </c>
      <c r="P380" s="114">
        <f t="shared" si="21"/>
        <v>0</v>
      </c>
      <c r="Q380" s="114">
        <f t="shared" si="21"/>
        <v>0</v>
      </c>
      <c r="R380" s="9"/>
      <c r="S380" s="9"/>
      <c r="T380" s="9"/>
      <c r="U380" s="9"/>
      <c r="V380" s="9"/>
      <c r="W380" s="9"/>
      <c r="X380" s="9"/>
      <c r="Y380" s="9"/>
      <c r="Z380" s="9"/>
      <c r="AB380" s="204"/>
      <c r="AC380" s="204"/>
      <c r="AD380" s="204"/>
      <c r="AE380" s="204"/>
      <c r="AF380" s="204"/>
      <c r="AG380" s="204"/>
      <c r="AH380" s="204"/>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c r="BI380" s="204"/>
      <c r="BJ380" s="204"/>
      <c r="BK380" s="204"/>
      <c r="BL380" s="204"/>
    </row>
    <row r="381" spans="1:64" hidden="1" outlineLevel="1">
      <c r="A381" s="9"/>
      <c r="B381" s="9"/>
      <c r="C381" s="9"/>
      <c r="D381" s="278" t="str">
        <f>Asset20</f>
        <v>Other - medium life (40)</v>
      </c>
      <c r="E381" s="9"/>
      <c r="F381" s="9"/>
      <c r="G381" s="9"/>
      <c r="H381" s="9"/>
      <c r="I381" s="9"/>
      <c r="J381" s="9"/>
      <c r="K381" s="9"/>
      <c r="L381" s="114">
        <f t="shared" si="21"/>
        <v>31.305932402224013</v>
      </c>
      <c r="M381" s="114">
        <f t="shared" si="21"/>
        <v>0</v>
      </c>
      <c r="N381" s="114">
        <f t="shared" si="21"/>
        <v>0</v>
      </c>
      <c r="O381" s="114">
        <f t="shared" si="21"/>
        <v>0</v>
      </c>
      <c r="P381" s="114">
        <f t="shared" si="21"/>
        <v>0</v>
      </c>
      <c r="Q381" s="114">
        <f t="shared" si="21"/>
        <v>0</v>
      </c>
      <c r="R381" s="9"/>
      <c r="S381" s="9"/>
      <c r="T381" s="9"/>
      <c r="U381" s="9"/>
      <c r="V381" s="9"/>
      <c r="W381" s="9"/>
      <c r="X381" s="9"/>
      <c r="Y381" s="9"/>
      <c r="Z381" s="9"/>
      <c r="AB381" s="204"/>
      <c r="AC381" s="204"/>
      <c r="AD381" s="204"/>
      <c r="AE381" s="204"/>
      <c r="AF381" s="204"/>
      <c r="AG381" s="204"/>
      <c r="AH381" s="204"/>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c r="BI381" s="204"/>
      <c r="BJ381" s="204"/>
      <c r="BK381" s="204"/>
      <c r="BL381" s="204"/>
    </row>
    <row r="382" spans="1:64" hidden="1" outlineLevel="1">
      <c r="A382" s="9"/>
      <c r="B382" s="9"/>
      <c r="C382" s="9"/>
      <c r="D382" s="278" t="str">
        <f>Asset21</f>
        <v>Other - short life (9)</v>
      </c>
      <c r="E382" s="9"/>
      <c r="F382" s="9"/>
      <c r="G382" s="9"/>
      <c r="H382" s="9"/>
      <c r="I382" s="9"/>
      <c r="J382" s="9"/>
      <c r="K382" s="9"/>
      <c r="L382" s="114">
        <f t="shared" ref="L382:Q390" si="22">IF(M$201=0, L222+L254+L286+L318+L350, 0)</f>
        <v>1.4554505847175536</v>
      </c>
      <c r="M382" s="114">
        <f t="shared" si="22"/>
        <v>0</v>
      </c>
      <c r="N382" s="114">
        <f t="shared" si="22"/>
        <v>0</v>
      </c>
      <c r="O382" s="114">
        <f t="shared" si="22"/>
        <v>0</v>
      </c>
      <c r="P382" s="114">
        <f t="shared" si="22"/>
        <v>0</v>
      </c>
      <c r="Q382" s="114">
        <f t="shared" si="22"/>
        <v>0</v>
      </c>
      <c r="R382" s="9"/>
      <c r="S382" s="9"/>
      <c r="T382" s="9"/>
      <c r="U382" s="9"/>
      <c r="V382" s="9"/>
      <c r="W382" s="9"/>
      <c r="X382" s="9"/>
      <c r="Y382" s="9"/>
      <c r="Z382" s="9"/>
      <c r="AB382" s="204"/>
      <c r="AC382" s="204"/>
      <c r="AD382" s="204"/>
      <c r="AE382" s="204"/>
      <c r="AF382" s="204"/>
      <c r="AG382" s="204"/>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c r="BI382" s="204"/>
      <c r="BJ382" s="204"/>
      <c r="BK382" s="204"/>
      <c r="BL382" s="204"/>
    </row>
    <row r="383" spans="1:64" hidden="1" outlineLevel="1">
      <c r="A383" s="9"/>
      <c r="B383" s="9"/>
      <c r="C383" s="9"/>
      <c r="D383" s="278" t="str">
        <f>Asset22</f>
        <v>Other - short life (4)</v>
      </c>
      <c r="E383" s="9"/>
      <c r="F383" s="9"/>
      <c r="G383" s="9"/>
      <c r="H383" s="9"/>
      <c r="I383" s="9"/>
      <c r="J383" s="9"/>
      <c r="K383" s="9"/>
      <c r="L383" s="114">
        <f t="shared" si="22"/>
        <v>13.157328111808479</v>
      </c>
      <c r="M383" s="114">
        <f t="shared" si="22"/>
        <v>0</v>
      </c>
      <c r="N383" s="114">
        <f t="shared" si="22"/>
        <v>0</v>
      </c>
      <c r="O383" s="114">
        <f t="shared" si="22"/>
        <v>0</v>
      </c>
      <c r="P383" s="114">
        <f t="shared" si="22"/>
        <v>0</v>
      </c>
      <c r="Q383" s="114">
        <f t="shared" si="22"/>
        <v>0</v>
      </c>
      <c r="R383" s="9"/>
      <c r="S383" s="9"/>
      <c r="T383" s="9"/>
      <c r="U383" s="9"/>
      <c r="V383" s="9"/>
      <c r="W383" s="9"/>
      <c r="X383" s="9"/>
      <c r="Y383" s="9"/>
      <c r="Z383" s="9"/>
      <c r="AB383" s="204"/>
      <c r="AC383" s="204"/>
      <c r="AD383" s="204"/>
      <c r="AE383" s="204"/>
      <c r="AF383" s="204"/>
      <c r="AG383" s="204"/>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c r="BI383" s="204"/>
      <c r="BJ383" s="204"/>
      <c r="BK383" s="204"/>
      <c r="BL383" s="204"/>
    </row>
    <row r="384" spans="1:64" hidden="1" outlineLevel="1">
      <c r="A384" s="9"/>
      <c r="B384" s="9"/>
      <c r="C384" s="9"/>
      <c r="D384" s="278" t="str">
        <f>Asset23</f>
        <v>Land and Easements</v>
      </c>
      <c r="E384" s="9"/>
      <c r="F384" s="9"/>
      <c r="G384" s="9"/>
      <c r="H384" s="9"/>
      <c r="I384" s="9"/>
      <c r="J384" s="9"/>
      <c r="K384" s="9"/>
      <c r="L384" s="114">
        <f t="shared" si="22"/>
        <v>6.7712452175646174</v>
      </c>
      <c r="M384" s="114">
        <f t="shared" si="22"/>
        <v>0</v>
      </c>
      <c r="N384" s="114">
        <f t="shared" si="22"/>
        <v>0</v>
      </c>
      <c r="O384" s="114">
        <f t="shared" si="22"/>
        <v>0</v>
      </c>
      <c r="P384" s="114">
        <f t="shared" si="22"/>
        <v>0</v>
      </c>
      <c r="Q384" s="114">
        <f t="shared" si="22"/>
        <v>0</v>
      </c>
      <c r="R384" s="9"/>
      <c r="S384" s="9"/>
      <c r="T384" s="9"/>
      <c r="U384" s="9"/>
      <c r="V384" s="9"/>
      <c r="W384" s="9"/>
      <c r="X384" s="9"/>
      <c r="Y384" s="9"/>
      <c r="Z384" s="9"/>
      <c r="AB384" s="204"/>
      <c r="AC384" s="204"/>
      <c r="AD384" s="204"/>
      <c r="AE384" s="204"/>
      <c r="AF384" s="204"/>
      <c r="AG384" s="204"/>
      <c r="AH384" s="204"/>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c r="BI384" s="204"/>
      <c r="BJ384" s="204"/>
      <c r="BK384" s="204"/>
      <c r="BL384" s="204"/>
    </row>
    <row r="385" spans="1:256" hidden="1" outlineLevel="1">
      <c r="A385" s="9"/>
      <c r="B385" s="9"/>
      <c r="C385" s="9"/>
      <c r="D385" s="278" t="str">
        <f>Asset24</f>
        <v>Equity Raising</v>
      </c>
      <c r="E385" s="9"/>
      <c r="F385" s="9"/>
      <c r="G385" s="9"/>
      <c r="H385" s="9"/>
      <c r="I385" s="9"/>
      <c r="J385" s="9"/>
      <c r="K385" s="9"/>
      <c r="L385" s="114">
        <f t="shared" si="22"/>
        <v>0.44335963280526741</v>
      </c>
      <c r="M385" s="114">
        <f t="shared" si="22"/>
        <v>0</v>
      </c>
      <c r="N385" s="114">
        <f t="shared" si="22"/>
        <v>0</v>
      </c>
      <c r="O385" s="114">
        <f t="shared" si="22"/>
        <v>0</v>
      </c>
      <c r="P385" s="114">
        <f t="shared" si="22"/>
        <v>0</v>
      </c>
      <c r="Q385" s="114">
        <f t="shared" si="22"/>
        <v>0</v>
      </c>
      <c r="R385" s="9"/>
      <c r="S385" s="9"/>
      <c r="T385" s="9"/>
      <c r="U385" s="9"/>
      <c r="V385" s="9"/>
      <c r="W385" s="9"/>
      <c r="X385" s="9"/>
      <c r="Y385" s="9"/>
      <c r="Z385" s="9"/>
      <c r="AB385" s="204"/>
      <c r="AC385" s="204"/>
      <c r="AD385" s="204"/>
      <c r="AE385" s="204"/>
      <c r="AF385" s="204"/>
      <c r="AG385" s="204"/>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c r="BI385" s="204"/>
      <c r="BJ385" s="204"/>
      <c r="BK385" s="204"/>
      <c r="BL385" s="204"/>
    </row>
    <row r="386" spans="1:256" hidden="1" outlineLevel="1">
      <c r="A386" s="9"/>
      <c r="B386" s="9"/>
      <c r="C386" s="9"/>
      <c r="D386" s="278">
        <f>Asset25</f>
        <v>0</v>
      </c>
      <c r="E386" s="9"/>
      <c r="F386" s="9"/>
      <c r="G386" s="9"/>
      <c r="H386" s="9"/>
      <c r="I386" s="9"/>
      <c r="J386" s="9"/>
      <c r="K386" s="9"/>
      <c r="L386" s="114">
        <f t="shared" si="22"/>
        <v>0</v>
      </c>
      <c r="M386" s="114">
        <f t="shared" si="22"/>
        <v>0</v>
      </c>
      <c r="N386" s="114">
        <f t="shared" si="22"/>
        <v>0</v>
      </c>
      <c r="O386" s="114">
        <f t="shared" si="22"/>
        <v>0</v>
      </c>
      <c r="P386" s="114">
        <f t="shared" si="22"/>
        <v>0</v>
      </c>
      <c r="Q386" s="114">
        <f t="shared" si="22"/>
        <v>0</v>
      </c>
      <c r="R386" s="9"/>
      <c r="S386" s="9"/>
      <c r="T386" s="9"/>
      <c r="U386" s="9"/>
      <c r="V386" s="9"/>
      <c r="W386" s="9"/>
      <c r="X386" s="9"/>
      <c r="Y386" s="9"/>
      <c r="Z386" s="9"/>
      <c r="AB386" s="204"/>
      <c r="AC386" s="204"/>
      <c r="AD386" s="204"/>
      <c r="AE386" s="204"/>
      <c r="AF386" s="204"/>
      <c r="AG386" s="204"/>
      <c r="AH386" s="204"/>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c r="BI386" s="204"/>
      <c r="BJ386" s="204"/>
      <c r="BK386" s="204"/>
      <c r="BL386" s="204"/>
    </row>
    <row r="387" spans="1:256" hidden="1" outlineLevel="1">
      <c r="A387" s="9"/>
      <c r="B387" s="9"/>
      <c r="C387" s="9"/>
      <c r="D387" s="278">
        <f>Asset26</f>
        <v>0</v>
      </c>
      <c r="E387" s="9"/>
      <c r="F387" s="9"/>
      <c r="G387" s="9"/>
      <c r="H387" s="9"/>
      <c r="I387" s="9"/>
      <c r="J387" s="9"/>
      <c r="K387" s="9"/>
      <c r="L387" s="114">
        <f t="shared" si="22"/>
        <v>0</v>
      </c>
      <c r="M387" s="114">
        <f t="shared" si="22"/>
        <v>0</v>
      </c>
      <c r="N387" s="114">
        <f t="shared" si="22"/>
        <v>0</v>
      </c>
      <c r="O387" s="114">
        <f t="shared" si="22"/>
        <v>0</v>
      </c>
      <c r="P387" s="114">
        <f t="shared" si="22"/>
        <v>0</v>
      </c>
      <c r="Q387" s="114">
        <f t="shared" si="22"/>
        <v>0</v>
      </c>
      <c r="R387" s="9"/>
      <c r="S387" s="9"/>
      <c r="T387" s="9"/>
      <c r="U387" s="9"/>
      <c r="V387" s="9"/>
      <c r="W387" s="9"/>
      <c r="X387" s="9"/>
      <c r="Y387" s="9"/>
      <c r="Z387" s="9"/>
      <c r="AB387" s="204"/>
      <c r="AC387" s="204"/>
      <c r="AD387" s="204"/>
      <c r="AE387" s="204"/>
      <c r="AF387" s="204"/>
      <c r="AG387" s="204"/>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c r="BI387" s="204"/>
      <c r="BJ387" s="204"/>
      <c r="BK387" s="204"/>
      <c r="BL387" s="204"/>
    </row>
    <row r="388" spans="1:256" hidden="1" outlineLevel="1">
      <c r="A388" s="9"/>
      <c r="B388" s="9"/>
      <c r="C388" s="9"/>
      <c r="D388" s="278">
        <f>Asset27</f>
        <v>0</v>
      </c>
      <c r="E388" s="9"/>
      <c r="F388" s="9"/>
      <c r="G388" s="9"/>
      <c r="H388" s="9"/>
      <c r="I388" s="9"/>
      <c r="J388" s="9"/>
      <c r="K388" s="9"/>
      <c r="L388" s="114">
        <f t="shared" si="22"/>
        <v>0</v>
      </c>
      <c r="M388" s="114">
        <f t="shared" si="22"/>
        <v>0</v>
      </c>
      <c r="N388" s="114">
        <f t="shared" si="22"/>
        <v>0</v>
      </c>
      <c r="O388" s="114">
        <f t="shared" si="22"/>
        <v>0</v>
      </c>
      <c r="P388" s="114">
        <f t="shared" si="22"/>
        <v>0</v>
      </c>
      <c r="Q388" s="114">
        <f t="shared" si="22"/>
        <v>0</v>
      </c>
      <c r="R388" s="9"/>
      <c r="S388" s="9"/>
      <c r="T388" s="9"/>
      <c r="U388" s="9"/>
      <c r="V388" s="9"/>
      <c r="W388" s="9"/>
      <c r="X388" s="9"/>
      <c r="Y388" s="9"/>
      <c r="Z388" s="9"/>
      <c r="AB388" s="204"/>
      <c r="AC388" s="204"/>
      <c r="AD388" s="204"/>
      <c r="AE388" s="204"/>
      <c r="AF388" s="204"/>
      <c r="AG388" s="204"/>
      <c r="AH388" s="204"/>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c r="BI388" s="204"/>
      <c r="BJ388" s="204"/>
      <c r="BK388" s="204"/>
      <c r="BL388" s="204"/>
    </row>
    <row r="389" spans="1:256" hidden="1" outlineLevel="1">
      <c r="A389" s="9"/>
      <c r="B389" s="9"/>
      <c r="C389" s="9"/>
      <c r="D389" s="278">
        <f>Asset28</f>
        <v>0</v>
      </c>
      <c r="E389" s="9"/>
      <c r="F389" s="9"/>
      <c r="G389" s="9"/>
      <c r="H389" s="9"/>
      <c r="I389" s="9"/>
      <c r="J389" s="9"/>
      <c r="K389" s="9"/>
      <c r="L389" s="114">
        <f t="shared" si="22"/>
        <v>0</v>
      </c>
      <c r="M389" s="114">
        <f t="shared" si="22"/>
        <v>0</v>
      </c>
      <c r="N389" s="114">
        <f t="shared" si="22"/>
        <v>0</v>
      </c>
      <c r="O389" s="114">
        <f t="shared" si="22"/>
        <v>0</v>
      </c>
      <c r="P389" s="114">
        <f t="shared" si="22"/>
        <v>0</v>
      </c>
      <c r="Q389" s="114">
        <f t="shared" si="22"/>
        <v>0</v>
      </c>
      <c r="R389" s="9"/>
      <c r="S389" s="9"/>
      <c r="T389" s="9"/>
      <c r="U389" s="9"/>
      <c r="V389" s="9"/>
      <c r="W389" s="9"/>
      <c r="X389" s="9"/>
      <c r="Y389" s="9"/>
      <c r="Z389" s="9"/>
      <c r="AB389" s="204"/>
      <c r="AC389" s="204"/>
      <c r="AD389" s="204"/>
      <c r="AE389" s="204"/>
      <c r="AF389" s="204"/>
      <c r="AG389" s="204"/>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c r="BI389" s="204"/>
      <c r="BJ389" s="204"/>
      <c r="BK389" s="204"/>
      <c r="BL389" s="204"/>
    </row>
    <row r="390" spans="1:256" hidden="1" outlineLevel="1">
      <c r="A390" s="9"/>
      <c r="B390" s="9"/>
      <c r="C390" s="9"/>
      <c r="D390" s="278">
        <f>Asset29</f>
        <v>0</v>
      </c>
      <c r="E390" s="9"/>
      <c r="F390" s="9"/>
      <c r="G390" s="9"/>
      <c r="H390" s="9"/>
      <c r="I390" s="9"/>
      <c r="J390" s="9"/>
      <c r="K390" s="9"/>
      <c r="L390" s="114">
        <f t="shared" si="22"/>
        <v>0</v>
      </c>
      <c r="M390" s="114">
        <f t="shared" si="22"/>
        <v>0</v>
      </c>
      <c r="N390" s="114">
        <f t="shared" si="22"/>
        <v>0</v>
      </c>
      <c r="O390" s="114">
        <f t="shared" si="22"/>
        <v>0</v>
      </c>
      <c r="P390" s="114">
        <f t="shared" si="22"/>
        <v>0</v>
      </c>
      <c r="Q390" s="114">
        <f t="shared" si="22"/>
        <v>0</v>
      </c>
      <c r="R390" s="9"/>
      <c r="S390" s="9"/>
      <c r="T390" s="9"/>
      <c r="U390" s="9"/>
      <c r="V390" s="9"/>
      <c r="W390" s="9"/>
      <c r="X390" s="9"/>
      <c r="Y390" s="9"/>
      <c r="Z390" s="9"/>
      <c r="AB390" s="204"/>
      <c r="AC390" s="204"/>
      <c r="AD390" s="204"/>
      <c r="AE390" s="204"/>
      <c r="AF390" s="204"/>
      <c r="AG390" s="204"/>
      <c r="AH390" s="204"/>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c r="BI390" s="204"/>
      <c r="BJ390" s="204"/>
      <c r="BK390" s="204"/>
      <c r="BL390" s="204"/>
    </row>
    <row r="391" spans="1:256" hidden="1" outlineLevel="1">
      <c r="B391" s="9"/>
      <c r="C391" s="9"/>
      <c r="D391" s="278">
        <f>Asset30</f>
        <v>0</v>
      </c>
      <c r="E391" s="9"/>
      <c r="F391" s="9"/>
      <c r="G391" s="9"/>
      <c r="H391" s="9"/>
      <c r="I391" s="9"/>
      <c r="J391" s="9"/>
      <c r="K391" s="9"/>
      <c r="L391" s="114">
        <f t="shared" ref="L391:Q391" si="23">IF(M$201=0, L231+L263+L295+L327+L359, 0)</f>
        <v>0</v>
      </c>
      <c r="M391" s="114">
        <f t="shared" si="23"/>
        <v>0</v>
      </c>
      <c r="N391" s="114">
        <f t="shared" si="23"/>
        <v>0</v>
      </c>
      <c r="O391" s="114">
        <f t="shared" si="23"/>
        <v>0</v>
      </c>
      <c r="P391" s="114">
        <f t="shared" si="23"/>
        <v>0</v>
      </c>
      <c r="Q391" s="114">
        <f t="shared" si="23"/>
        <v>0</v>
      </c>
      <c r="R391" s="9"/>
      <c r="S391" s="9"/>
      <c r="T391" s="9"/>
      <c r="U391" s="9"/>
      <c r="V391" s="9"/>
      <c r="W391" s="9"/>
      <c r="X391" s="9"/>
      <c r="Y391" s="9"/>
      <c r="Z391" s="9"/>
      <c r="AB391" s="204"/>
      <c r="AC391" s="204"/>
      <c r="AD391" s="204"/>
      <c r="AE391" s="204"/>
      <c r="AF391" s="204"/>
      <c r="AG391" s="204"/>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c r="BI391" s="204"/>
      <c r="BJ391" s="204"/>
      <c r="BK391" s="204"/>
      <c r="BL391" s="204"/>
    </row>
    <row r="392" spans="1:256" collapsed="1">
      <c r="A392" s="9"/>
      <c r="B392" s="9"/>
      <c r="C392" s="9"/>
      <c r="D392" s="9"/>
      <c r="E392" s="9"/>
      <c r="F392" s="9"/>
      <c r="G392" s="9"/>
      <c r="H392" s="9"/>
      <c r="I392" s="9"/>
      <c r="J392" s="9"/>
      <c r="K392" s="9"/>
      <c r="L392" s="9"/>
      <c r="M392" s="35"/>
      <c r="N392" s="9"/>
      <c r="O392" s="9"/>
      <c r="P392" s="9"/>
      <c r="Q392" s="9"/>
      <c r="R392" s="9"/>
      <c r="S392" s="9"/>
      <c r="T392" s="9"/>
      <c r="U392" s="9"/>
      <c r="V392" s="9"/>
      <c r="W392" s="9"/>
      <c r="X392" s="9"/>
      <c r="Y392" s="9"/>
      <c r="Z392" s="9"/>
      <c r="AB392" s="204"/>
      <c r="AC392" s="204"/>
      <c r="AD392" s="204"/>
      <c r="AE392" s="204"/>
      <c r="AF392" s="204"/>
      <c r="AG392" s="204"/>
      <c r="AH392" s="204"/>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c r="BI392" s="204"/>
      <c r="BJ392" s="204"/>
      <c r="BK392" s="204"/>
      <c r="BL392" s="204"/>
    </row>
    <row r="393" spans="1:256">
      <c r="A393" s="78"/>
      <c r="B393" s="78"/>
      <c r="C393" s="85" t="s">
        <v>96</v>
      </c>
      <c r="D393" s="78"/>
      <c r="E393" s="78"/>
      <c r="F393" s="78"/>
      <c r="G393" s="78"/>
      <c r="H393" s="78"/>
      <c r="I393" s="78"/>
      <c r="J393" s="78"/>
      <c r="K393" s="78"/>
      <c r="L393" s="78"/>
      <c r="M393" s="78"/>
      <c r="N393" s="78"/>
      <c r="O393" s="78"/>
      <c r="P393" s="78"/>
      <c r="Q393" s="78"/>
      <c r="R393" s="78"/>
      <c r="S393" s="9"/>
      <c r="T393" s="9"/>
      <c r="U393" s="9"/>
      <c r="V393" s="9"/>
      <c r="W393" s="9"/>
      <c r="X393" s="9"/>
      <c r="Y393" s="9"/>
      <c r="Z393" s="9"/>
      <c r="AB393" s="204"/>
      <c r="AC393" s="204"/>
      <c r="AD393" s="204"/>
      <c r="AE393" s="204"/>
      <c r="AF393" s="204"/>
      <c r="AG393" s="204"/>
      <c r="AH393" s="204"/>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c r="BI393" s="204"/>
      <c r="BJ393" s="204"/>
      <c r="BK393" s="204"/>
      <c r="BL393" s="204"/>
    </row>
    <row r="394" spans="1:256" s="24" customForma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7"/>
      <c r="BL394" s="227"/>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c r="A395" s="9"/>
      <c r="B395" s="9"/>
      <c r="C395" s="44" t="s">
        <v>85</v>
      </c>
      <c r="D395" s="9"/>
      <c r="E395" s="9"/>
      <c r="F395" s="9"/>
      <c r="G395" s="317">
        <f>SUM(G396:G425)</f>
        <v>850.48215020415546</v>
      </c>
      <c r="H395" s="141">
        <f>SUM(H396:H425)</f>
        <v>896.13027904669582</v>
      </c>
      <c r="I395" s="141">
        <f t="shared" ref="I395:P395" si="24">SUM(I396:I425)</f>
        <v>925.02642735980635</v>
      </c>
      <c r="J395" s="141">
        <f t="shared" si="24"/>
        <v>1134.8602458966684</v>
      </c>
      <c r="K395" s="141">
        <f t="shared" si="24"/>
        <v>1213.0807569399738</v>
      </c>
      <c r="L395" s="141">
        <f t="shared" si="24"/>
        <v>1278.5783153475738</v>
      </c>
      <c r="M395" s="141">
        <f t="shared" si="24"/>
        <v>0</v>
      </c>
      <c r="N395" s="141">
        <f t="shared" si="24"/>
        <v>0</v>
      </c>
      <c r="O395" s="141">
        <f t="shared" si="24"/>
        <v>0</v>
      </c>
      <c r="P395" s="141">
        <f t="shared" si="24"/>
        <v>0</v>
      </c>
      <c r="Q395" s="141">
        <f>SUM(Q396:Q425)</f>
        <v>0</v>
      </c>
      <c r="R395" s="141"/>
      <c r="S395" s="140"/>
      <c r="T395" s="140"/>
      <c r="U395" s="140"/>
      <c r="V395" s="140"/>
      <c r="W395" s="140"/>
      <c r="X395" s="140"/>
      <c r="Y395" s="140"/>
      <c r="Z395" s="140"/>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27"/>
      <c r="BL395" s="227"/>
    </row>
    <row r="396" spans="1:256" hidden="1" outlineLevel="1">
      <c r="A396" s="9"/>
      <c r="B396" s="9"/>
      <c r="C396" s="9"/>
      <c r="D396" s="278" t="str">
        <f>Asset1</f>
        <v>Transmission Lines and Cables</v>
      </c>
      <c r="E396" s="9"/>
      <c r="F396" s="9"/>
      <c r="G396" s="207">
        <f>'Actual RAB roll forward'!G730</f>
        <v>301.73003727544352</v>
      </c>
      <c r="H396" s="114">
        <f t="shared" ref="H396:H415" si="25">G396+G428+G460+G492+G524</f>
        <v>293.69509346172714</v>
      </c>
      <c r="I396" s="114">
        <f t="shared" ref="I396:L415" si="26">H396+H428+H460</f>
        <v>287.87338874353077</v>
      </c>
      <c r="J396" s="114">
        <f t="shared" si="26"/>
        <v>282.75218662646068</v>
      </c>
      <c r="K396" s="114">
        <f t="shared" si="26"/>
        <v>272.02514885797677</v>
      </c>
      <c r="L396" s="114">
        <f t="shared" si="26"/>
        <v>263.1501368516461</v>
      </c>
      <c r="M396" s="114">
        <f>IF(COUNT($H396:L396)&gt;=Input!$W$7,0, L396+L428+L460)</f>
        <v>0</v>
      </c>
      <c r="N396" s="114">
        <f>IF(COUNT($H396:M396)&gt;=Input!$W$7,0, M396+M428+M460)</f>
        <v>0</v>
      </c>
      <c r="O396" s="114">
        <f>IF(COUNT($H396:N396)&gt;=Input!$W$7,0, N396+N428+N460)</f>
        <v>0</v>
      </c>
      <c r="P396" s="114">
        <f>IF(COUNT($H396:O396)&gt;=Input!$W$7,0, O396+O428+O460)</f>
        <v>0</v>
      </c>
      <c r="Q396" s="114">
        <f>IF(COUNT($H396:P396)&gt;=Input!$W$7,0, P396+P428+P460)</f>
        <v>0</v>
      </c>
      <c r="R396" s="114"/>
      <c r="S396" s="9"/>
      <c r="T396" s="9"/>
      <c r="U396" s="9"/>
      <c r="V396" s="9"/>
      <c r="W396" s="9"/>
      <c r="X396" s="9"/>
      <c r="Y396" s="9"/>
      <c r="Z396" s="9"/>
      <c r="AB396" s="204"/>
      <c r="AC396" s="204"/>
      <c r="AD396" s="204"/>
      <c r="AE396" s="204"/>
      <c r="AF396" s="204"/>
      <c r="AG396" s="204"/>
      <c r="AH396" s="204"/>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c r="BI396" s="204"/>
      <c r="BJ396" s="204"/>
      <c r="BK396" s="204"/>
      <c r="BL396" s="204"/>
    </row>
    <row r="397" spans="1:256" hidden="1" outlineLevel="1">
      <c r="A397" s="9"/>
      <c r="B397" s="9"/>
      <c r="C397" s="44"/>
      <c r="D397" s="278" t="str">
        <f>Asset2</f>
        <v>Transmission Substations</v>
      </c>
      <c r="E397" s="9"/>
      <c r="F397" s="9"/>
      <c r="G397" s="207">
        <f>'Actual RAB roll forward'!G731</f>
        <v>360.43130612945083</v>
      </c>
      <c r="H397" s="114">
        <f t="shared" si="25"/>
        <v>391.58650968027865</v>
      </c>
      <c r="I397" s="114">
        <f t="shared" si="26"/>
        <v>388.64400108973086</v>
      </c>
      <c r="J397" s="114">
        <f t="shared" si="26"/>
        <v>386.37607214518869</v>
      </c>
      <c r="K397" s="114">
        <f t="shared" si="26"/>
        <v>377.35791621929479</v>
      </c>
      <c r="L397" s="114">
        <f t="shared" si="26"/>
        <v>371.4206900535936</v>
      </c>
      <c r="M397" s="114">
        <f>IF(COUNT($H397:L397)&gt;=Input!$W$7,0, L397+L429+L461)</f>
        <v>0</v>
      </c>
      <c r="N397" s="114">
        <f>IF(COUNT($H397:M397)&gt;=Input!$W$7,0, M397+M429+M461)</f>
        <v>0</v>
      </c>
      <c r="O397" s="114">
        <f>IF(COUNT($H397:N397)&gt;=Input!$W$7,0, N397+N429+N461)</f>
        <v>0</v>
      </c>
      <c r="P397" s="114">
        <f>IF(COUNT($H397:O397)&gt;=Input!$W$7,0, O397+O429+O461)</f>
        <v>0</v>
      </c>
      <c r="Q397" s="114">
        <f>IF(COUNT($H397:P397)&gt;=Input!$W$7,0, P397+P429+P461)</f>
        <v>0</v>
      </c>
      <c r="R397" s="114"/>
      <c r="S397" s="104"/>
      <c r="T397" s="104"/>
      <c r="U397" s="104"/>
      <c r="V397" s="104"/>
      <c r="W397" s="104"/>
      <c r="X397" s="104"/>
      <c r="Y397" s="104"/>
      <c r="Z397" s="104"/>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c r="BA397" s="235"/>
      <c r="BB397" s="235"/>
      <c r="BC397" s="235"/>
      <c r="BD397" s="235"/>
      <c r="BE397" s="235"/>
      <c r="BF397" s="235"/>
      <c r="BG397" s="235"/>
      <c r="BH397" s="235"/>
      <c r="BI397" s="235"/>
      <c r="BJ397" s="235"/>
      <c r="BK397" s="227"/>
      <c r="BL397" s="227"/>
    </row>
    <row r="398" spans="1:256" hidden="1" outlineLevel="1">
      <c r="A398" s="9"/>
      <c r="B398" s="9"/>
      <c r="C398" s="44"/>
      <c r="D398" s="278" t="str">
        <f>Asset3</f>
        <v>Protection and Control</v>
      </c>
      <c r="E398" s="9"/>
      <c r="F398" s="9"/>
      <c r="G398" s="207">
        <f>'Actual RAB roll forward'!G732</f>
        <v>38.883000464697361</v>
      </c>
      <c r="H398" s="114">
        <f t="shared" si="25"/>
        <v>49.846266797470605</v>
      </c>
      <c r="I398" s="114">
        <f t="shared" si="26"/>
        <v>45.336514494626712</v>
      </c>
      <c r="J398" s="114">
        <f t="shared" si="26"/>
        <v>40.68021201988288</v>
      </c>
      <c r="K398" s="114">
        <f t="shared" si="26"/>
        <v>35.002808287110007</v>
      </c>
      <c r="L398" s="114">
        <f t="shared" si="26"/>
        <v>29.456550119637445</v>
      </c>
      <c r="M398" s="114">
        <f>IF(COUNT($H398:L398)&gt;=Input!$W$7,0, L398+L430+L462)</f>
        <v>0</v>
      </c>
      <c r="N398" s="114">
        <f>IF(COUNT($H398:M398)&gt;=Input!$W$7,0, M398+M430+M462)</f>
        <v>0</v>
      </c>
      <c r="O398" s="114">
        <f>IF(COUNT($H398:N398)&gt;=Input!$W$7,0, N398+N430+N462)</f>
        <v>0</v>
      </c>
      <c r="P398" s="114">
        <f>IF(COUNT($H398:O398)&gt;=Input!$W$7,0, O398+O430+O462)</f>
        <v>0</v>
      </c>
      <c r="Q398" s="114">
        <f>IF(COUNT($H398:P398)&gt;=Input!$W$7,0, P398+P430+P462)</f>
        <v>0</v>
      </c>
      <c r="R398" s="114"/>
      <c r="S398" s="104"/>
      <c r="T398" s="104"/>
      <c r="U398" s="104"/>
      <c r="V398" s="104"/>
      <c r="W398" s="104"/>
      <c r="X398" s="104"/>
      <c r="Y398" s="104"/>
      <c r="Z398" s="104"/>
      <c r="AA398" s="235"/>
      <c r="AB398" s="235"/>
      <c r="AC398" s="235"/>
      <c r="AD398" s="235"/>
      <c r="AE398" s="235"/>
      <c r="AF398" s="235"/>
      <c r="AG398" s="235"/>
      <c r="AH398" s="235"/>
      <c r="AI398" s="235"/>
      <c r="AJ398" s="235"/>
      <c r="AK398" s="235"/>
      <c r="AL398" s="235"/>
      <c r="AM398" s="235"/>
      <c r="AN398" s="235"/>
      <c r="AO398" s="235"/>
      <c r="AP398" s="235"/>
      <c r="AQ398" s="235"/>
      <c r="AR398" s="235"/>
      <c r="AS398" s="235"/>
      <c r="AT398" s="235"/>
      <c r="AU398" s="235"/>
      <c r="AV398" s="235"/>
      <c r="AW398" s="235"/>
      <c r="AX398" s="235"/>
      <c r="AY398" s="235"/>
      <c r="AZ398" s="235"/>
      <c r="BA398" s="235"/>
      <c r="BB398" s="235"/>
      <c r="BC398" s="235"/>
      <c r="BD398" s="235"/>
      <c r="BE398" s="235"/>
      <c r="BF398" s="235"/>
      <c r="BG398" s="235"/>
      <c r="BH398" s="235"/>
      <c r="BI398" s="235"/>
      <c r="BJ398" s="235"/>
      <c r="BK398" s="227"/>
      <c r="BL398" s="227"/>
    </row>
    <row r="399" spans="1:256" hidden="1" outlineLevel="1">
      <c r="A399" s="9"/>
      <c r="B399" s="9"/>
      <c r="C399" s="44"/>
      <c r="D399" s="278" t="str">
        <f>Asset4</f>
        <v>Refurbishment</v>
      </c>
      <c r="E399" s="9"/>
      <c r="F399" s="9"/>
      <c r="G399" s="207">
        <f>'Actual RAB roll forward'!G733</f>
        <v>44.713904308731671</v>
      </c>
      <c r="H399" s="114">
        <f t="shared" si="25"/>
        <v>22.665124185608324</v>
      </c>
      <c r="I399" s="114">
        <f t="shared" si="26"/>
        <v>21.00098104965161</v>
      </c>
      <c r="J399" s="114">
        <f t="shared" si="26"/>
        <v>19.315315214752168</v>
      </c>
      <c r="K399" s="114">
        <f t="shared" si="26"/>
        <v>17.156165168412731</v>
      </c>
      <c r="L399" s="114">
        <f t="shared" si="26"/>
        <v>15.081212740375012</v>
      </c>
      <c r="M399" s="114">
        <f>IF(COUNT($H399:L399)&gt;=Input!$W$7,0, L399+L431+L463)</f>
        <v>0</v>
      </c>
      <c r="N399" s="114">
        <f>IF(COUNT($H399:M399)&gt;=Input!$W$7,0, M399+M431+M463)</f>
        <v>0</v>
      </c>
      <c r="O399" s="114">
        <f>IF(COUNT($H399:N399)&gt;=Input!$W$7,0, N399+N431+N463)</f>
        <v>0</v>
      </c>
      <c r="P399" s="114">
        <f>IF(COUNT($H399:O399)&gt;=Input!$W$7,0, O399+O431+O463)</f>
        <v>0</v>
      </c>
      <c r="Q399" s="114">
        <f>IF(COUNT($H399:P399)&gt;=Input!$W$7,0, P399+P431+P463)</f>
        <v>0</v>
      </c>
      <c r="R399" s="114"/>
      <c r="S399" s="104"/>
      <c r="T399" s="104"/>
      <c r="U399" s="104"/>
      <c r="V399" s="104"/>
      <c r="W399" s="104"/>
      <c r="X399" s="104"/>
      <c r="Y399" s="104"/>
      <c r="Z399" s="104"/>
      <c r="AA399" s="235"/>
      <c r="AB399" s="235"/>
      <c r="AC399" s="235"/>
      <c r="AD399" s="235"/>
      <c r="AE399" s="235"/>
      <c r="AF399" s="235"/>
      <c r="AG399" s="235"/>
      <c r="AH399" s="235"/>
      <c r="AI399" s="235"/>
      <c r="AJ399" s="235"/>
      <c r="AK399" s="235"/>
      <c r="AL399" s="235"/>
      <c r="AM399" s="235"/>
      <c r="AN399" s="235"/>
      <c r="AO399" s="235"/>
      <c r="AP399" s="235"/>
      <c r="AQ399" s="235"/>
      <c r="AR399" s="235"/>
      <c r="AS399" s="235"/>
      <c r="AT399" s="235"/>
      <c r="AU399" s="235"/>
      <c r="AV399" s="235"/>
      <c r="AW399" s="235"/>
      <c r="AX399" s="235"/>
      <c r="AY399" s="235"/>
      <c r="AZ399" s="235"/>
      <c r="BA399" s="235"/>
      <c r="BB399" s="235"/>
      <c r="BC399" s="235"/>
      <c r="BD399" s="235"/>
      <c r="BE399" s="235"/>
      <c r="BF399" s="235"/>
      <c r="BG399" s="235"/>
      <c r="BH399" s="235"/>
      <c r="BI399" s="235"/>
      <c r="BJ399" s="235"/>
      <c r="BK399" s="227"/>
      <c r="BL399" s="227"/>
    </row>
    <row r="400" spans="1:256" hidden="1" outlineLevel="1">
      <c r="A400" s="9"/>
      <c r="B400" s="9"/>
      <c r="C400" s="44"/>
      <c r="D400" s="278" t="str">
        <f>Asset5</f>
        <v>Other</v>
      </c>
      <c r="E400" s="9"/>
      <c r="F400" s="9"/>
      <c r="G400" s="207">
        <f>'Actual RAB roll forward'!G734</f>
        <v>12.072309662925591</v>
      </c>
      <c r="H400" s="114">
        <f t="shared" si="25"/>
        <v>9.9493177652391811</v>
      </c>
      <c r="I400" s="114">
        <f t="shared" si="26"/>
        <v>8.3032668906730329</v>
      </c>
      <c r="J400" s="114">
        <f t="shared" si="26"/>
        <v>6.5908085161051186</v>
      </c>
      <c r="K400" s="114">
        <f t="shared" si="26"/>
        <v>4.6397051724745184</v>
      </c>
      <c r="L400" s="114">
        <f t="shared" si="26"/>
        <v>2.6676999234047383</v>
      </c>
      <c r="M400" s="114">
        <f>IF(COUNT($H400:L400)&gt;=Input!$W$7,0, L400+L432+L464)</f>
        <v>0</v>
      </c>
      <c r="N400" s="114">
        <f>IF(COUNT($H400:M400)&gt;=Input!$W$7,0, M400+M432+M464)</f>
        <v>0</v>
      </c>
      <c r="O400" s="114">
        <f>IF(COUNT($H400:N400)&gt;=Input!$W$7,0, N400+N432+N464)</f>
        <v>0</v>
      </c>
      <c r="P400" s="114">
        <f>IF(COUNT($H400:O400)&gt;=Input!$W$7,0, O400+O432+O464)</f>
        <v>0</v>
      </c>
      <c r="Q400" s="114">
        <f>IF(COUNT($H400:P400)&gt;=Input!$W$7,0, P400+P432+P464)</f>
        <v>0</v>
      </c>
      <c r="R400" s="114"/>
      <c r="S400" s="104"/>
      <c r="T400" s="104"/>
      <c r="U400" s="104"/>
      <c r="V400" s="104"/>
      <c r="W400" s="104"/>
      <c r="X400" s="104"/>
      <c r="Y400" s="104"/>
      <c r="Z400" s="104"/>
      <c r="AA400" s="235"/>
      <c r="AB400" s="235"/>
      <c r="AC400" s="235"/>
      <c r="AD400" s="235"/>
      <c r="AE400" s="235"/>
      <c r="AF400" s="235"/>
      <c r="AG400" s="235"/>
      <c r="AH400" s="235"/>
      <c r="AI400" s="235"/>
      <c r="AJ400" s="235"/>
      <c r="AK400" s="235"/>
      <c r="AL400" s="235"/>
      <c r="AM400" s="235"/>
      <c r="AN400" s="235"/>
      <c r="AO400" s="235"/>
      <c r="AP400" s="235"/>
      <c r="AQ400" s="235"/>
      <c r="AR400" s="235"/>
      <c r="AS400" s="235"/>
      <c r="AT400" s="235"/>
      <c r="AU400" s="235"/>
      <c r="AV400" s="235"/>
      <c r="AW400" s="235"/>
      <c r="AX400" s="235"/>
      <c r="AY400" s="235"/>
      <c r="AZ400" s="235"/>
      <c r="BA400" s="235"/>
      <c r="BB400" s="235"/>
      <c r="BC400" s="235"/>
      <c r="BD400" s="235"/>
      <c r="BE400" s="235"/>
      <c r="BF400" s="235"/>
      <c r="BG400" s="235"/>
      <c r="BH400" s="235"/>
      <c r="BI400" s="235"/>
      <c r="BJ400" s="235"/>
      <c r="BK400" s="227"/>
      <c r="BL400" s="227"/>
    </row>
    <row r="401" spans="1:64" hidden="1" outlineLevel="1">
      <c r="A401" s="9"/>
      <c r="B401" s="9"/>
      <c r="C401" s="44"/>
      <c r="D401" s="278" t="str">
        <f>Asset6</f>
        <v>Other - IT</v>
      </c>
      <c r="E401" s="9"/>
      <c r="F401" s="9"/>
      <c r="G401" s="207">
        <f>'Actual RAB roll forward'!G735</f>
        <v>0.58752110984938422</v>
      </c>
      <c r="H401" s="114">
        <f t="shared" si="25"/>
        <v>23.121263449639123</v>
      </c>
      <c r="I401" s="114">
        <f t="shared" si="26"/>
        <v>11.943298119232832</v>
      </c>
      <c r="J401" s="114">
        <f t="shared" si="26"/>
        <v>0.14829966419534024</v>
      </c>
      <c r="K401" s="114">
        <f t="shared" si="26"/>
        <v>0.15246349858157551</v>
      </c>
      <c r="L401" s="114">
        <f t="shared" si="26"/>
        <v>0.15812151212646913</v>
      </c>
      <c r="M401" s="114">
        <f>IF(COUNT($H401:L401)&gt;=Input!$W$7,0, L401+L433+L465)</f>
        <v>0</v>
      </c>
      <c r="N401" s="114">
        <f>IF(COUNT($H401:M401)&gt;=Input!$W$7,0, M401+M433+M465)</f>
        <v>0</v>
      </c>
      <c r="O401" s="114">
        <f>IF(COUNT($H401:N401)&gt;=Input!$W$7,0, N401+N433+N465)</f>
        <v>0</v>
      </c>
      <c r="P401" s="114">
        <f>IF(COUNT($H401:O401)&gt;=Input!$W$7,0, O401+O433+O465)</f>
        <v>0</v>
      </c>
      <c r="Q401" s="114">
        <f>IF(COUNT($H401:P401)&gt;=Input!$W$7,0, P401+P433+P465)</f>
        <v>0</v>
      </c>
      <c r="R401" s="114"/>
      <c r="S401" s="104"/>
      <c r="T401" s="104"/>
      <c r="U401" s="104"/>
      <c r="V401" s="104"/>
      <c r="W401" s="104"/>
      <c r="X401" s="104"/>
      <c r="Y401" s="104"/>
      <c r="Z401" s="104"/>
      <c r="AA401" s="235"/>
      <c r="AB401" s="235"/>
      <c r="AC401" s="235"/>
      <c r="AD401" s="235"/>
      <c r="AE401" s="235"/>
      <c r="AF401" s="235"/>
      <c r="AG401" s="235"/>
      <c r="AH401" s="235"/>
      <c r="AI401" s="235"/>
      <c r="AJ401" s="235"/>
      <c r="AK401" s="235"/>
      <c r="AL401" s="235"/>
      <c r="AM401" s="235"/>
      <c r="AN401" s="235"/>
      <c r="AO401" s="235"/>
      <c r="AP401" s="235"/>
      <c r="AQ401" s="235"/>
      <c r="AR401" s="235"/>
      <c r="AS401" s="235"/>
      <c r="AT401" s="235"/>
      <c r="AU401" s="235"/>
      <c r="AV401" s="235"/>
      <c r="AW401" s="235"/>
      <c r="AX401" s="235"/>
      <c r="AY401" s="235"/>
      <c r="AZ401" s="235"/>
      <c r="BA401" s="235"/>
      <c r="BB401" s="235"/>
      <c r="BC401" s="235"/>
      <c r="BD401" s="235"/>
      <c r="BE401" s="235"/>
      <c r="BF401" s="235"/>
      <c r="BG401" s="235"/>
      <c r="BH401" s="235"/>
      <c r="BI401" s="235"/>
      <c r="BJ401" s="235"/>
      <c r="BK401" s="227"/>
      <c r="BL401" s="227"/>
    </row>
    <row r="402" spans="1:64" hidden="1" outlineLevel="1">
      <c r="A402" s="9"/>
      <c r="B402" s="9"/>
      <c r="C402" s="44"/>
      <c r="D402" s="278" t="str">
        <f>Asset7</f>
        <v>Other - General</v>
      </c>
      <c r="E402" s="9"/>
      <c r="F402" s="9"/>
      <c r="G402" s="207">
        <f>'Actual RAB roll forward'!G736</f>
        <v>2.5195490511140073</v>
      </c>
      <c r="H402" s="114">
        <f t="shared" si="25"/>
        <v>-3.9892322403421208</v>
      </c>
      <c r="I402" s="114">
        <f t="shared" si="26"/>
        <v>-2.7419079413580656</v>
      </c>
      <c r="J402" s="114">
        <f t="shared" si="26"/>
        <v>-1.4314168474623092</v>
      </c>
      <c r="K402" s="114">
        <f t="shared" si="26"/>
        <v>-5.4815483001668941E-3</v>
      </c>
      <c r="L402" s="114">
        <f t="shared" si="26"/>
        <v>-5.618724183554454E-3</v>
      </c>
      <c r="M402" s="114">
        <f>IF(COUNT($H402:L402)&gt;=Input!$W$7,0, L402+L434+L466)</f>
        <v>0</v>
      </c>
      <c r="N402" s="114">
        <f>IF(COUNT($H402:M402)&gt;=Input!$W$7,0, M402+M434+M466)</f>
        <v>0</v>
      </c>
      <c r="O402" s="114">
        <f>IF(COUNT($H402:N402)&gt;=Input!$W$7,0, N402+N434+N466)</f>
        <v>0</v>
      </c>
      <c r="P402" s="114">
        <f>IF(COUNT($H402:O402)&gt;=Input!$W$7,0, O402+O434+O466)</f>
        <v>0</v>
      </c>
      <c r="Q402" s="114">
        <f>IF(COUNT($H402:P402)&gt;=Input!$W$7,0, P402+P434+P466)</f>
        <v>0</v>
      </c>
      <c r="R402" s="114"/>
      <c r="S402" s="104"/>
      <c r="T402" s="104"/>
      <c r="U402" s="104"/>
      <c r="V402" s="104"/>
      <c r="W402" s="104"/>
      <c r="X402" s="104"/>
      <c r="Y402" s="104"/>
      <c r="Z402" s="104"/>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c r="AV402" s="235"/>
      <c r="AW402" s="235"/>
      <c r="AX402" s="235"/>
      <c r="AY402" s="235"/>
      <c r="AZ402" s="235"/>
      <c r="BA402" s="235"/>
      <c r="BB402" s="235"/>
      <c r="BC402" s="235"/>
      <c r="BD402" s="235"/>
      <c r="BE402" s="235"/>
      <c r="BF402" s="235"/>
      <c r="BG402" s="235"/>
      <c r="BH402" s="235"/>
      <c r="BI402" s="235"/>
      <c r="BJ402" s="235"/>
      <c r="BK402" s="227"/>
      <c r="BL402" s="227"/>
    </row>
    <row r="403" spans="1:64" hidden="1" outlineLevel="1">
      <c r="A403" s="9"/>
      <c r="B403" s="9"/>
      <c r="C403" s="44"/>
      <c r="D403" s="278" t="str">
        <f>Asset8</f>
        <v>Other - Buildings</v>
      </c>
      <c r="E403" s="9"/>
      <c r="F403" s="9"/>
      <c r="G403" s="207">
        <f>'Actual RAB roll forward'!G737</f>
        <v>6.5807877703110798</v>
      </c>
      <c r="H403" s="114">
        <f t="shared" si="25"/>
        <v>21.253631705639343</v>
      </c>
      <c r="I403" s="114">
        <f t="shared" si="26"/>
        <v>21.266544488989943</v>
      </c>
      <c r="J403" s="114">
        <f t="shared" si="26"/>
        <v>21.357163973964497</v>
      </c>
      <c r="K403" s="114">
        <f t="shared" si="26"/>
        <v>21.056716844821594</v>
      </c>
      <c r="L403" s="114">
        <f t="shared" si="26"/>
        <v>20.934663892253397</v>
      </c>
      <c r="M403" s="114">
        <f>IF(COUNT($H403:L403)&gt;=Input!$W$7,0, L403+L435+L467)</f>
        <v>0</v>
      </c>
      <c r="N403" s="114">
        <f>IF(COUNT($H403:M403)&gt;=Input!$W$7,0, M403+M435+M467)</f>
        <v>0</v>
      </c>
      <c r="O403" s="114">
        <f>IF(COUNT($H403:N403)&gt;=Input!$W$7,0, N403+N435+N467)</f>
        <v>0</v>
      </c>
      <c r="P403" s="114">
        <f>IF(COUNT($H403:O403)&gt;=Input!$W$7,0, O403+O435+O467)</f>
        <v>0</v>
      </c>
      <c r="Q403" s="114">
        <f>IF(COUNT($H403:P403)&gt;=Input!$W$7,0, P403+P435+P467)</f>
        <v>0</v>
      </c>
      <c r="R403" s="114"/>
      <c r="S403" s="104"/>
      <c r="T403" s="104"/>
      <c r="U403" s="104"/>
      <c r="V403" s="104"/>
      <c r="W403" s="104"/>
      <c r="X403" s="104"/>
      <c r="Y403" s="104"/>
      <c r="Z403" s="104"/>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c r="AV403" s="235"/>
      <c r="AW403" s="235"/>
      <c r="AX403" s="235"/>
      <c r="AY403" s="235"/>
      <c r="AZ403" s="235"/>
      <c r="BA403" s="235"/>
      <c r="BB403" s="235"/>
      <c r="BC403" s="235"/>
      <c r="BD403" s="235"/>
      <c r="BE403" s="235"/>
      <c r="BF403" s="235"/>
      <c r="BG403" s="235"/>
      <c r="BH403" s="235"/>
      <c r="BI403" s="235"/>
      <c r="BJ403" s="235"/>
      <c r="BK403" s="227"/>
      <c r="BL403" s="227"/>
    </row>
    <row r="404" spans="1:64" hidden="1" outlineLevel="1">
      <c r="A404" s="9"/>
      <c r="B404" s="9"/>
      <c r="C404" s="44"/>
      <c r="D404" s="278" t="str">
        <f>Asset9</f>
        <v>Land and Easements</v>
      </c>
      <c r="E404" s="9"/>
      <c r="F404" s="9"/>
      <c r="G404" s="207">
        <f>'Actual RAB roll forward'!G738</f>
        <v>82.96373443163202</v>
      </c>
      <c r="H404" s="114">
        <f t="shared" si="25"/>
        <v>88.002304241435738</v>
      </c>
      <c r="I404" s="114">
        <f t="shared" si="26"/>
        <v>90.543887035412212</v>
      </c>
      <c r="J404" s="114">
        <f t="shared" si="26"/>
        <v>93.562016603259281</v>
      </c>
      <c r="K404" s="114">
        <f t="shared" si="26"/>
        <v>95.044606566412241</v>
      </c>
      <c r="L404" s="114">
        <f t="shared" si="26"/>
        <v>97.423100224230367</v>
      </c>
      <c r="M404" s="114">
        <f>IF(COUNT($H404:L404)&gt;=Input!$W$7,0, L404+L436+L468)</f>
        <v>0</v>
      </c>
      <c r="N404" s="114">
        <f>IF(COUNT($H404:M404)&gt;=Input!$W$7,0, M404+M436+M468)</f>
        <v>0</v>
      </c>
      <c r="O404" s="114">
        <f>IF(COUNT($H404:N404)&gt;=Input!$W$7,0, N404+N436+N468)</f>
        <v>0</v>
      </c>
      <c r="P404" s="114">
        <f>IF(COUNT($H404:O404)&gt;=Input!$W$7,0, O404+O436+O468)</f>
        <v>0</v>
      </c>
      <c r="Q404" s="114">
        <f>IF(COUNT($H404:P404)&gt;=Input!$W$7,0, P404+P436+P468)</f>
        <v>0</v>
      </c>
      <c r="R404" s="114"/>
      <c r="S404" s="104"/>
      <c r="T404" s="104"/>
      <c r="U404" s="104"/>
      <c r="V404" s="104"/>
      <c r="W404" s="104"/>
      <c r="X404" s="104"/>
      <c r="Y404" s="104"/>
      <c r="Z404" s="104"/>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c r="AV404" s="235"/>
      <c r="AW404" s="235"/>
      <c r="AX404" s="235"/>
      <c r="AY404" s="235"/>
      <c r="AZ404" s="235"/>
      <c r="BA404" s="235"/>
      <c r="BB404" s="235"/>
      <c r="BC404" s="235"/>
      <c r="BD404" s="235"/>
      <c r="BE404" s="235"/>
      <c r="BF404" s="235"/>
      <c r="BG404" s="235"/>
      <c r="BH404" s="235"/>
      <c r="BI404" s="235"/>
      <c r="BJ404" s="235"/>
      <c r="BK404" s="227"/>
      <c r="BL404" s="227"/>
    </row>
    <row r="405" spans="1:64" hidden="1" outlineLevel="1">
      <c r="A405" s="9"/>
      <c r="B405" s="9"/>
      <c r="C405" s="44"/>
      <c r="D405" s="278" t="str">
        <f>Asset10</f>
        <v>Transmission line assets - long life (60)</v>
      </c>
      <c r="E405" s="9"/>
      <c r="F405" s="9"/>
      <c r="G405" s="207">
        <f>'Actual RAB roll forward'!G739</f>
        <v>0</v>
      </c>
      <c r="H405" s="114">
        <f t="shared" si="25"/>
        <v>0</v>
      </c>
      <c r="I405" s="114">
        <f t="shared" si="26"/>
        <v>1.2586903116404593</v>
      </c>
      <c r="J405" s="114">
        <f t="shared" si="26"/>
        <v>117.82768841378831</v>
      </c>
      <c r="K405" s="114">
        <f t="shared" si="26"/>
        <v>136.0631036321505</v>
      </c>
      <c r="L405" s="114">
        <f t="shared" si="26"/>
        <v>147.30978691555791</v>
      </c>
      <c r="M405" s="114">
        <f>IF(COUNT($H405:L405)&gt;=Input!$W$7,0, L405+L437+L469)</f>
        <v>0</v>
      </c>
      <c r="N405" s="114">
        <f>IF(COUNT($H405:M405)&gt;=Input!$W$7,0, M405+M437+M469)</f>
        <v>0</v>
      </c>
      <c r="O405" s="114">
        <f>IF(COUNT($H405:N405)&gt;=Input!$W$7,0, N405+N437+N469)</f>
        <v>0</v>
      </c>
      <c r="P405" s="114">
        <f>IF(COUNT($H405:O405)&gt;=Input!$W$7,0, O405+O437+O469)</f>
        <v>0</v>
      </c>
      <c r="Q405" s="114">
        <f>IF(COUNT($H405:P405)&gt;=Input!$W$7,0, P405+P437+P469)</f>
        <v>0</v>
      </c>
      <c r="R405" s="114"/>
      <c r="S405" s="104"/>
      <c r="T405" s="104"/>
      <c r="U405" s="104"/>
      <c r="V405" s="104"/>
      <c r="W405" s="104"/>
      <c r="X405" s="104"/>
      <c r="Y405" s="104"/>
      <c r="Z405" s="104"/>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c r="AV405" s="235"/>
      <c r="AW405" s="235"/>
      <c r="AX405" s="235"/>
      <c r="AY405" s="235"/>
      <c r="AZ405" s="235"/>
      <c r="BA405" s="235"/>
      <c r="BB405" s="235"/>
      <c r="BC405" s="235"/>
      <c r="BD405" s="235"/>
      <c r="BE405" s="235"/>
      <c r="BF405" s="235"/>
      <c r="BG405" s="235"/>
      <c r="BH405" s="235"/>
      <c r="BI405" s="235"/>
      <c r="BJ405" s="235"/>
      <c r="BK405" s="227"/>
      <c r="BL405" s="227"/>
    </row>
    <row r="406" spans="1:64" hidden="1" outlineLevel="1">
      <c r="A406" s="9"/>
      <c r="B406" s="9"/>
      <c r="C406" s="44"/>
      <c r="D406" s="278" t="str">
        <f>Asset11</f>
        <v>Transmission line assets - medium life (45)</v>
      </c>
      <c r="E406" s="9"/>
      <c r="F406" s="9"/>
      <c r="G406" s="207">
        <f>'Actual RAB roll forward'!G740</f>
        <v>0</v>
      </c>
      <c r="H406" s="114">
        <f t="shared" si="25"/>
        <v>0</v>
      </c>
      <c r="I406" s="114">
        <f t="shared" si="26"/>
        <v>1.3509861545539041E-2</v>
      </c>
      <c r="J406" s="114">
        <f t="shared" si="26"/>
        <v>4.5247710920896939E-2</v>
      </c>
      <c r="K406" s="114">
        <f t="shared" si="26"/>
        <v>0.24228583423428965</v>
      </c>
      <c r="L406" s="114">
        <f t="shared" si="26"/>
        <v>0.64249032102789727</v>
      </c>
      <c r="M406" s="114">
        <f>IF(COUNT($H406:L406)&gt;=Input!$W$7,0, L406+L438+L470)</f>
        <v>0</v>
      </c>
      <c r="N406" s="114">
        <f>IF(COUNT($H406:M406)&gt;=Input!$W$7,0, M406+M438+M470)</f>
        <v>0</v>
      </c>
      <c r="O406" s="114">
        <f>IF(COUNT($H406:N406)&gt;=Input!$W$7,0, N406+N438+N470)</f>
        <v>0</v>
      </c>
      <c r="P406" s="114">
        <f>IF(COUNT($H406:O406)&gt;=Input!$W$7,0, O406+O438+O470)</f>
        <v>0</v>
      </c>
      <c r="Q406" s="114">
        <f>IF(COUNT($H406:P406)&gt;=Input!$W$7,0, P406+P438+P470)</f>
        <v>0</v>
      </c>
      <c r="R406" s="114"/>
      <c r="S406" s="104"/>
      <c r="T406" s="104"/>
      <c r="U406" s="104"/>
      <c r="V406" s="104"/>
      <c r="W406" s="104"/>
      <c r="X406" s="104"/>
      <c r="Y406" s="104"/>
      <c r="Z406" s="104"/>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c r="BA406" s="235"/>
      <c r="BB406" s="235"/>
      <c r="BC406" s="235"/>
      <c r="BD406" s="235"/>
      <c r="BE406" s="235"/>
      <c r="BF406" s="235"/>
      <c r="BG406" s="235"/>
      <c r="BH406" s="235"/>
      <c r="BI406" s="235"/>
      <c r="BJ406" s="235"/>
      <c r="BK406" s="227"/>
      <c r="BL406" s="227"/>
    </row>
    <row r="407" spans="1:64" hidden="1" outlineLevel="1">
      <c r="A407" s="9"/>
      <c r="B407" s="9"/>
      <c r="C407" s="44"/>
      <c r="D407" s="278" t="str">
        <f>Asset12</f>
        <v>Transmission line assets - short life (10)</v>
      </c>
      <c r="E407" s="9"/>
      <c r="F407" s="9"/>
      <c r="G407" s="207">
        <f>'Actual RAB roll forward'!G741</f>
        <v>0</v>
      </c>
      <c r="H407" s="114">
        <f t="shared" si="25"/>
        <v>0</v>
      </c>
      <c r="I407" s="114">
        <f t="shared" si="26"/>
        <v>0.37863134172724339</v>
      </c>
      <c r="J407" s="114">
        <f t="shared" si="26"/>
        <v>0.7556765714918785</v>
      </c>
      <c r="K407" s="114">
        <f t="shared" si="26"/>
        <v>1.2255975616823438</v>
      </c>
      <c r="L407" s="114">
        <f t="shared" si="26"/>
        <v>1.7874314741639259</v>
      </c>
      <c r="M407" s="114">
        <f>IF(COUNT($H407:L407)&gt;=Input!$W$7,0, L407+L439+L471)</f>
        <v>0</v>
      </c>
      <c r="N407" s="114">
        <f>IF(COUNT($H407:M407)&gt;=Input!$W$7,0, M407+M439+M471)</f>
        <v>0</v>
      </c>
      <c r="O407" s="114">
        <f>IF(COUNT($H407:N407)&gt;=Input!$W$7,0, N407+N439+N471)</f>
        <v>0</v>
      </c>
      <c r="P407" s="114">
        <f>IF(COUNT($H407:O407)&gt;=Input!$W$7,0, O407+O439+O471)</f>
        <v>0</v>
      </c>
      <c r="Q407" s="114">
        <f>IF(COUNT($H407:P407)&gt;=Input!$W$7,0, P407+P439+P471)</f>
        <v>0</v>
      </c>
      <c r="R407" s="114"/>
      <c r="S407" s="104"/>
      <c r="T407" s="104"/>
      <c r="U407" s="104"/>
      <c r="V407" s="104"/>
      <c r="W407" s="104"/>
      <c r="X407" s="104"/>
      <c r="Y407" s="104"/>
      <c r="Z407" s="104"/>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235"/>
      <c r="BE407" s="235"/>
      <c r="BF407" s="235"/>
      <c r="BG407" s="235"/>
      <c r="BH407" s="235"/>
      <c r="BI407" s="235"/>
      <c r="BJ407" s="235"/>
      <c r="BK407" s="227"/>
      <c r="BL407" s="227"/>
    </row>
    <row r="408" spans="1:64" hidden="1" outlineLevel="1">
      <c r="A408" s="9"/>
      <c r="B408" s="9"/>
      <c r="C408" s="44"/>
      <c r="D408" s="278" t="str">
        <f>Asset13</f>
        <v>Substation assets - long life (60)</v>
      </c>
      <c r="E408" s="9"/>
      <c r="F408" s="9"/>
      <c r="G408" s="207">
        <f>'Actual RAB roll forward'!G742</f>
        <v>0</v>
      </c>
      <c r="H408" s="114">
        <f t="shared" si="25"/>
        <v>0</v>
      </c>
      <c r="I408" s="114">
        <f t="shared" si="26"/>
        <v>2.4973591240740682</v>
      </c>
      <c r="J408" s="114">
        <f t="shared" si="26"/>
        <v>25.612638186922545</v>
      </c>
      <c r="K408" s="114">
        <f t="shared" si="26"/>
        <v>36.948877968258167</v>
      </c>
      <c r="L408" s="114">
        <f t="shared" si="26"/>
        <v>45.607321208783894</v>
      </c>
      <c r="M408" s="114">
        <f>IF(COUNT($H408:L408)&gt;=Input!$W$7,0, L408+L440+L472)</f>
        <v>0</v>
      </c>
      <c r="N408" s="114">
        <f>IF(COUNT($H408:M408)&gt;=Input!$W$7,0, M408+M440+M472)</f>
        <v>0</v>
      </c>
      <c r="O408" s="114">
        <f>IF(COUNT($H408:N408)&gt;=Input!$W$7,0, N408+N440+N472)</f>
        <v>0</v>
      </c>
      <c r="P408" s="114">
        <f>IF(COUNT($H408:O408)&gt;=Input!$W$7,0, O408+O440+O472)</f>
        <v>0</v>
      </c>
      <c r="Q408" s="114">
        <f>IF(COUNT($H408:P408)&gt;=Input!$W$7,0, P408+P440+P472)</f>
        <v>0</v>
      </c>
      <c r="R408" s="114"/>
      <c r="S408" s="104"/>
      <c r="T408" s="104"/>
      <c r="U408" s="104"/>
      <c r="V408" s="104"/>
      <c r="W408" s="104"/>
      <c r="X408" s="104"/>
      <c r="Y408" s="104"/>
      <c r="Z408" s="104"/>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c r="AV408" s="235"/>
      <c r="AW408" s="235"/>
      <c r="AX408" s="235"/>
      <c r="AY408" s="235"/>
      <c r="AZ408" s="235"/>
      <c r="BA408" s="235"/>
      <c r="BB408" s="235"/>
      <c r="BC408" s="235"/>
      <c r="BD408" s="235"/>
      <c r="BE408" s="235"/>
      <c r="BF408" s="235"/>
      <c r="BG408" s="235"/>
      <c r="BH408" s="235"/>
      <c r="BI408" s="235"/>
      <c r="BJ408" s="235"/>
      <c r="BK408" s="227"/>
      <c r="BL408" s="227"/>
    </row>
    <row r="409" spans="1:64" hidden="1" outlineLevel="1">
      <c r="A409" s="9"/>
      <c r="B409" s="9"/>
      <c r="C409" s="44"/>
      <c r="D409" s="278" t="str">
        <f>Asset14</f>
        <v>Substation assets - medium life (45)</v>
      </c>
      <c r="E409" s="9"/>
      <c r="F409" s="9"/>
      <c r="G409" s="207">
        <f>'Actual RAB roll forward'!G743</f>
        <v>0</v>
      </c>
      <c r="H409" s="114">
        <f t="shared" si="25"/>
        <v>0</v>
      </c>
      <c r="I409" s="114">
        <f t="shared" si="26"/>
        <v>11.773281557407312</v>
      </c>
      <c r="J409" s="114">
        <f t="shared" si="26"/>
        <v>68.138150236946572</v>
      </c>
      <c r="K409" s="114">
        <f t="shared" si="26"/>
        <v>116.1198333782651</v>
      </c>
      <c r="L409" s="114">
        <f t="shared" si="26"/>
        <v>155.57377865500885</v>
      </c>
      <c r="M409" s="114">
        <f>IF(COUNT($H409:L409)&gt;=Input!$W$7,0, L409+L441+L473)</f>
        <v>0</v>
      </c>
      <c r="N409" s="114">
        <f>IF(COUNT($H409:M409)&gt;=Input!$W$7,0, M409+M441+M473)</f>
        <v>0</v>
      </c>
      <c r="O409" s="114">
        <f>IF(COUNT($H409:N409)&gt;=Input!$W$7,0, N409+N441+N473)</f>
        <v>0</v>
      </c>
      <c r="P409" s="114">
        <f>IF(COUNT($H409:O409)&gt;=Input!$W$7,0, O409+O441+O473)</f>
        <v>0</v>
      </c>
      <c r="Q409" s="114">
        <f>IF(COUNT($H409:P409)&gt;=Input!$W$7,0, P409+P441+P473)</f>
        <v>0</v>
      </c>
      <c r="R409" s="114"/>
      <c r="S409" s="104"/>
      <c r="T409" s="104"/>
      <c r="U409" s="104"/>
      <c r="V409" s="104"/>
      <c r="W409" s="104"/>
      <c r="X409" s="104"/>
      <c r="Y409" s="104"/>
      <c r="Z409" s="104"/>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c r="AV409" s="235"/>
      <c r="AW409" s="235"/>
      <c r="AX409" s="235"/>
      <c r="AY409" s="235"/>
      <c r="AZ409" s="235"/>
      <c r="BA409" s="235"/>
      <c r="BB409" s="235"/>
      <c r="BC409" s="235"/>
      <c r="BD409" s="235"/>
      <c r="BE409" s="235"/>
      <c r="BF409" s="235"/>
      <c r="BG409" s="235"/>
      <c r="BH409" s="235"/>
      <c r="BI409" s="235"/>
      <c r="BJ409" s="235"/>
      <c r="BK409" s="227"/>
      <c r="BL409" s="227"/>
    </row>
    <row r="410" spans="1:64" hidden="1" outlineLevel="1">
      <c r="A410" s="9"/>
      <c r="B410" s="9"/>
      <c r="C410" s="44"/>
      <c r="D410" s="278" t="str">
        <f>Asset15</f>
        <v>Substation assets - short life (15)</v>
      </c>
      <c r="E410" s="9"/>
      <c r="F410" s="9"/>
      <c r="G410" s="207">
        <f>'Actual RAB roll forward'!G744</f>
        <v>0</v>
      </c>
      <c r="H410" s="114">
        <f t="shared" si="25"/>
        <v>0</v>
      </c>
      <c r="I410" s="114">
        <f t="shared" si="26"/>
        <v>12.356977989299727</v>
      </c>
      <c r="J410" s="114">
        <f t="shared" si="26"/>
        <v>13.539022919660617</v>
      </c>
      <c r="K410" s="114">
        <f t="shared" si="26"/>
        <v>13.89199194165994</v>
      </c>
      <c r="L410" s="114">
        <f t="shared" si="26"/>
        <v>17.404607077787567</v>
      </c>
      <c r="M410" s="114">
        <f>IF(COUNT($H410:L410)&gt;=Input!$W$7,0, L410+L442+L474)</f>
        <v>0</v>
      </c>
      <c r="N410" s="114">
        <f>IF(COUNT($H410:M410)&gt;=Input!$W$7,0, M410+M442+M474)</f>
        <v>0</v>
      </c>
      <c r="O410" s="114">
        <f>IF(COUNT($H410:N410)&gt;=Input!$W$7,0, N410+N442+N474)</f>
        <v>0</v>
      </c>
      <c r="P410" s="114">
        <f>IF(COUNT($H410:O410)&gt;=Input!$W$7,0, O410+O442+O474)</f>
        <v>0</v>
      </c>
      <c r="Q410" s="114">
        <f>IF(COUNT($H410:P410)&gt;=Input!$W$7,0, P410+P442+P474)</f>
        <v>0</v>
      </c>
      <c r="R410" s="114"/>
      <c r="S410" s="104"/>
      <c r="T410" s="104"/>
      <c r="U410" s="104"/>
      <c r="V410" s="104"/>
      <c r="W410" s="104"/>
      <c r="X410" s="104"/>
      <c r="Y410" s="104"/>
      <c r="Z410" s="104"/>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c r="AV410" s="235"/>
      <c r="AW410" s="235"/>
      <c r="AX410" s="235"/>
      <c r="AY410" s="235"/>
      <c r="AZ410" s="235"/>
      <c r="BA410" s="235"/>
      <c r="BB410" s="235"/>
      <c r="BC410" s="235"/>
      <c r="BD410" s="235"/>
      <c r="BE410" s="235"/>
      <c r="BF410" s="235"/>
      <c r="BG410" s="235"/>
      <c r="BH410" s="235"/>
      <c r="BI410" s="235"/>
      <c r="BJ410" s="235"/>
      <c r="BK410" s="227"/>
      <c r="BL410" s="227"/>
    </row>
    <row r="411" spans="1:64" hidden="1" outlineLevel="1">
      <c r="A411" s="9"/>
      <c r="B411" s="9"/>
      <c r="C411" s="44"/>
      <c r="D411" s="278" t="str">
        <f>Asset16</f>
        <v>Protection and control - short life (15)</v>
      </c>
      <c r="E411" s="9"/>
      <c r="F411" s="9"/>
      <c r="G411" s="207">
        <f>'Actual RAB roll forward'!G745</f>
        <v>0</v>
      </c>
      <c r="H411" s="114">
        <f t="shared" si="25"/>
        <v>0</v>
      </c>
      <c r="I411" s="114">
        <f t="shared" si="26"/>
        <v>11.011252851229447</v>
      </c>
      <c r="J411" s="114">
        <f t="shared" si="26"/>
        <v>24.923545464605517</v>
      </c>
      <c r="K411" s="114">
        <f t="shared" si="26"/>
        <v>44.109209914820063</v>
      </c>
      <c r="L411" s="114">
        <f t="shared" si="26"/>
        <v>61.016842487301105</v>
      </c>
      <c r="M411" s="114">
        <f>IF(COUNT($H411:L411)&gt;=Input!$W$7,0, L411+L443+L475)</f>
        <v>0</v>
      </c>
      <c r="N411" s="114">
        <f>IF(COUNT($H411:M411)&gt;=Input!$W$7,0, M411+M443+M475)</f>
        <v>0</v>
      </c>
      <c r="O411" s="114">
        <f>IF(COUNT($H411:N411)&gt;=Input!$W$7,0, N411+N443+N475)</f>
        <v>0</v>
      </c>
      <c r="P411" s="114">
        <f>IF(COUNT($H411:O411)&gt;=Input!$W$7,0, O411+O443+O475)</f>
        <v>0</v>
      </c>
      <c r="Q411" s="114">
        <f>IF(COUNT($H411:P411)&gt;=Input!$W$7,0, P411+P443+P475)</f>
        <v>0</v>
      </c>
      <c r="R411" s="114"/>
      <c r="S411" s="104"/>
      <c r="T411" s="104"/>
      <c r="U411" s="104"/>
      <c r="V411" s="104"/>
      <c r="W411" s="104"/>
      <c r="X411" s="104"/>
      <c r="Y411" s="104"/>
      <c r="Z411" s="104"/>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235"/>
      <c r="AY411" s="235"/>
      <c r="AZ411" s="235"/>
      <c r="BA411" s="235"/>
      <c r="BB411" s="235"/>
      <c r="BC411" s="235"/>
      <c r="BD411" s="235"/>
      <c r="BE411" s="235"/>
      <c r="BF411" s="235"/>
      <c r="BG411" s="235"/>
      <c r="BH411" s="235"/>
      <c r="BI411" s="235"/>
      <c r="BJ411" s="235"/>
      <c r="BK411" s="227"/>
      <c r="BL411" s="227"/>
    </row>
    <row r="412" spans="1:64" hidden="1" outlineLevel="1">
      <c r="A412" s="9"/>
      <c r="B412" s="9"/>
      <c r="C412" s="44"/>
      <c r="D412" s="278" t="str">
        <f>Asset17</f>
        <v>Protection and control - short life (4)</v>
      </c>
      <c r="E412" s="9"/>
      <c r="F412" s="9"/>
      <c r="G412" s="207">
        <f>'Actual RAB roll forward'!G746</f>
        <v>0</v>
      </c>
      <c r="H412" s="114">
        <f t="shared" si="25"/>
        <v>0</v>
      </c>
      <c r="I412" s="114">
        <f t="shared" si="26"/>
        <v>4.3349262468330943E-2</v>
      </c>
      <c r="J412" s="114">
        <f t="shared" si="26"/>
        <v>0.11052852982183174</v>
      </c>
      <c r="K412" s="114">
        <f t="shared" si="26"/>
        <v>1.4008455781082494</v>
      </c>
      <c r="L412" s="114">
        <f t="shared" si="26"/>
        <v>1.3845445509600567</v>
      </c>
      <c r="M412" s="114">
        <f>IF(COUNT($H412:L412)&gt;=Input!$W$7,0, L412+L444+L476)</f>
        <v>0</v>
      </c>
      <c r="N412" s="114">
        <f>IF(COUNT($H412:M412)&gt;=Input!$W$7,0, M412+M444+M476)</f>
        <v>0</v>
      </c>
      <c r="O412" s="114">
        <f>IF(COUNT($H412:N412)&gt;=Input!$W$7,0, N412+N444+N476)</f>
        <v>0</v>
      </c>
      <c r="P412" s="114">
        <f>IF(COUNT($H412:O412)&gt;=Input!$W$7,0, O412+O444+O476)</f>
        <v>0</v>
      </c>
      <c r="Q412" s="114">
        <f>IF(COUNT($H412:P412)&gt;=Input!$W$7,0, P412+P444+P476)</f>
        <v>0</v>
      </c>
      <c r="R412" s="114"/>
      <c r="S412" s="104"/>
      <c r="T412" s="104"/>
      <c r="U412" s="104"/>
      <c r="V412" s="104"/>
      <c r="W412" s="104"/>
      <c r="X412" s="104"/>
      <c r="Y412" s="104"/>
      <c r="Z412" s="104"/>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5"/>
      <c r="AY412" s="235"/>
      <c r="AZ412" s="235"/>
      <c r="BA412" s="235"/>
      <c r="BB412" s="235"/>
      <c r="BC412" s="235"/>
      <c r="BD412" s="235"/>
      <c r="BE412" s="235"/>
      <c r="BF412" s="235"/>
      <c r="BG412" s="235"/>
      <c r="BH412" s="235"/>
      <c r="BI412" s="235"/>
      <c r="BJ412" s="235"/>
      <c r="BK412" s="227"/>
      <c r="BL412" s="227"/>
    </row>
    <row r="413" spans="1:64" hidden="1" outlineLevel="1">
      <c r="A413" s="9"/>
      <c r="B413" s="9"/>
      <c r="C413" s="44"/>
      <c r="D413" s="278" t="str">
        <f>Asset18</f>
        <v>Transmission operations - short life (10)</v>
      </c>
      <c r="E413" s="9"/>
      <c r="F413" s="9"/>
      <c r="G413" s="207">
        <f>'Actual RAB roll forward'!G747</f>
        <v>0</v>
      </c>
      <c r="H413" s="114">
        <f t="shared" si="25"/>
        <v>0</v>
      </c>
      <c r="I413" s="114">
        <f t="shared" si="26"/>
        <v>1.1914825601167549</v>
      </c>
      <c r="J413" s="114">
        <f t="shared" si="26"/>
        <v>2.783219035333953</v>
      </c>
      <c r="K413" s="114">
        <f t="shared" si="26"/>
        <v>5.1946531764348123</v>
      </c>
      <c r="L413" s="114">
        <f t="shared" si="26"/>
        <v>6.6573286151847322</v>
      </c>
      <c r="M413" s="114">
        <f>IF(COUNT($H413:L413)&gt;=Input!$W$7,0, L413+L445+L477)</f>
        <v>0</v>
      </c>
      <c r="N413" s="114">
        <f>IF(COUNT($H413:M413)&gt;=Input!$W$7,0, M413+M445+M477)</f>
        <v>0</v>
      </c>
      <c r="O413" s="114">
        <f>IF(COUNT($H413:N413)&gt;=Input!$W$7,0, N413+N445+N477)</f>
        <v>0</v>
      </c>
      <c r="P413" s="114">
        <f>IF(COUNT($H413:O413)&gt;=Input!$W$7,0, O413+O445+O477)</f>
        <v>0</v>
      </c>
      <c r="Q413" s="114">
        <f>IF(COUNT($H413:P413)&gt;=Input!$W$7,0, P413+P445+P477)</f>
        <v>0</v>
      </c>
      <c r="R413" s="114"/>
      <c r="S413" s="104"/>
      <c r="T413" s="104"/>
      <c r="U413" s="104"/>
      <c r="V413" s="104"/>
      <c r="W413" s="104"/>
      <c r="X413" s="104"/>
      <c r="Y413" s="104"/>
      <c r="Z413" s="104"/>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5"/>
      <c r="AY413" s="235"/>
      <c r="AZ413" s="235"/>
      <c r="BA413" s="235"/>
      <c r="BB413" s="235"/>
      <c r="BC413" s="235"/>
      <c r="BD413" s="235"/>
      <c r="BE413" s="235"/>
      <c r="BF413" s="235"/>
      <c r="BG413" s="235"/>
      <c r="BH413" s="235"/>
      <c r="BI413" s="235"/>
      <c r="BJ413" s="235"/>
      <c r="BK413" s="227"/>
      <c r="BL413" s="227"/>
    </row>
    <row r="414" spans="1:64" hidden="1" outlineLevel="1">
      <c r="A414" s="9"/>
      <c r="B414" s="9"/>
      <c r="C414" s="44"/>
      <c r="D414" s="278" t="str">
        <f>Asset19</f>
        <v>Transmission operations - short life (4)</v>
      </c>
      <c r="E414" s="9"/>
      <c r="F414" s="9"/>
      <c r="G414" s="207">
        <f>'Actual RAB roll forward'!G748</f>
        <v>0</v>
      </c>
      <c r="H414" s="114">
        <f t="shared" si="25"/>
        <v>0</v>
      </c>
      <c r="I414" s="114">
        <f t="shared" si="26"/>
        <v>4.6783741467227996E-2</v>
      </c>
      <c r="J414" s="114">
        <f t="shared" si="26"/>
        <v>0.10371515090449816</v>
      </c>
      <c r="K414" s="114">
        <f t="shared" si="26"/>
        <v>7.551064702274693E-2</v>
      </c>
      <c r="L414" s="114">
        <f t="shared" si="26"/>
        <v>0.21386574695123262</v>
      </c>
      <c r="M414" s="114">
        <f>IF(COUNT($H414:L414)&gt;=Input!$W$7,0, L414+L446+L478)</f>
        <v>0</v>
      </c>
      <c r="N414" s="114">
        <f>IF(COUNT($H414:M414)&gt;=Input!$W$7,0, M414+M446+M478)</f>
        <v>0</v>
      </c>
      <c r="O414" s="114">
        <f>IF(COUNT($H414:N414)&gt;=Input!$W$7,0, N414+N446+N478)</f>
        <v>0</v>
      </c>
      <c r="P414" s="114">
        <f>IF(COUNT($H414:O414)&gt;=Input!$W$7,0, O414+O446+O478)</f>
        <v>0</v>
      </c>
      <c r="Q414" s="114">
        <f>IF(COUNT($H414:P414)&gt;=Input!$W$7,0, P414+P446+P478)</f>
        <v>0</v>
      </c>
      <c r="R414" s="114"/>
      <c r="S414" s="104"/>
      <c r="T414" s="104"/>
      <c r="U414" s="104"/>
      <c r="V414" s="104"/>
      <c r="W414" s="104"/>
      <c r="X414" s="104"/>
      <c r="Y414" s="104"/>
      <c r="Z414" s="104"/>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c r="AV414" s="235"/>
      <c r="AW414" s="235"/>
      <c r="AX414" s="235"/>
      <c r="AY414" s="235"/>
      <c r="AZ414" s="235"/>
      <c r="BA414" s="235"/>
      <c r="BB414" s="235"/>
      <c r="BC414" s="235"/>
      <c r="BD414" s="235"/>
      <c r="BE414" s="235"/>
      <c r="BF414" s="235"/>
      <c r="BG414" s="235"/>
      <c r="BH414" s="235"/>
      <c r="BI414" s="235"/>
      <c r="BJ414" s="235"/>
      <c r="BK414" s="227"/>
      <c r="BL414" s="227"/>
    </row>
    <row r="415" spans="1:64" hidden="1" outlineLevel="1">
      <c r="A415" s="9"/>
      <c r="B415" s="9"/>
      <c r="C415" s="44"/>
      <c r="D415" s="278" t="str">
        <f>Asset20</f>
        <v>Other - medium life (40)</v>
      </c>
      <c r="E415" s="9"/>
      <c r="F415" s="9"/>
      <c r="G415" s="207">
        <f>'Actual RAB roll forward'!G749</f>
        <v>0</v>
      </c>
      <c r="H415" s="114">
        <f t="shared" si="25"/>
        <v>0</v>
      </c>
      <c r="I415" s="114">
        <f t="shared" si="26"/>
        <v>8.5042071932102044</v>
      </c>
      <c r="J415" s="114">
        <f t="shared" si="26"/>
        <v>23.634103839434172</v>
      </c>
      <c r="K415" s="114">
        <f t="shared" si="26"/>
        <v>25.098673779687388</v>
      </c>
      <c r="L415" s="114">
        <f t="shared" si="26"/>
        <v>25.185417338872437</v>
      </c>
      <c r="M415" s="114">
        <f>IF(COUNT($H415:L415)&gt;=Input!$W$7,0, L415+L447+L479)</f>
        <v>0</v>
      </c>
      <c r="N415" s="114">
        <f>IF(COUNT($H415:M415)&gt;=Input!$W$7,0, M415+M447+M479)</f>
        <v>0</v>
      </c>
      <c r="O415" s="114">
        <f>IF(COUNT($H415:N415)&gt;=Input!$W$7,0, N415+N447+N479)</f>
        <v>0</v>
      </c>
      <c r="P415" s="114">
        <f>IF(COUNT($H415:O415)&gt;=Input!$W$7,0, O415+O447+O479)</f>
        <v>0</v>
      </c>
      <c r="Q415" s="114">
        <f>IF(COUNT($H415:P415)&gt;=Input!$W$7,0, P415+P447+P479)</f>
        <v>0</v>
      </c>
      <c r="R415" s="114"/>
      <c r="S415" s="104"/>
      <c r="T415" s="104"/>
      <c r="U415" s="104"/>
      <c r="V415" s="104"/>
      <c r="W415" s="104"/>
      <c r="X415" s="104"/>
      <c r="Y415" s="104"/>
      <c r="Z415" s="104"/>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c r="AV415" s="235"/>
      <c r="AW415" s="235"/>
      <c r="AX415" s="235"/>
      <c r="AY415" s="235"/>
      <c r="AZ415" s="235"/>
      <c r="BA415" s="235"/>
      <c r="BB415" s="235"/>
      <c r="BC415" s="235"/>
      <c r="BD415" s="235"/>
      <c r="BE415" s="235"/>
      <c r="BF415" s="235"/>
      <c r="BG415" s="235"/>
      <c r="BH415" s="235"/>
      <c r="BI415" s="235"/>
      <c r="BJ415" s="235"/>
      <c r="BK415" s="227"/>
      <c r="BL415" s="227"/>
    </row>
    <row r="416" spans="1:64" hidden="1" outlineLevel="1">
      <c r="A416" s="9"/>
      <c r="B416" s="9"/>
      <c r="C416" s="44"/>
      <c r="D416" s="278" t="str">
        <f>Asset21</f>
        <v>Other - short life (9)</v>
      </c>
      <c r="E416" s="9"/>
      <c r="F416" s="9"/>
      <c r="G416" s="207">
        <f>'Actual RAB roll forward'!G750</f>
        <v>0</v>
      </c>
      <c r="H416" s="114">
        <f t="shared" ref="H416:H424" si="27">G416+G448+G480+G512+G544</f>
        <v>0</v>
      </c>
      <c r="I416" s="114">
        <f t="shared" ref="I416:L424" si="28">H416+H448+H480</f>
        <v>0.72703233204589635</v>
      </c>
      <c r="J416" s="114">
        <f t="shared" si="28"/>
        <v>1.7213660166457985</v>
      </c>
      <c r="K416" s="114">
        <f t="shared" si="28"/>
        <v>2.7030548238393339</v>
      </c>
      <c r="L416" s="114">
        <f t="shared" si="28"/>
        <v>2.6718554906981526</v>
      </c>
      <c r="M416" s="114">
        <f>IF(COUNT($H416:L416)&gt;=Input!$W$7,0, L416+L448+L480)</f>
        <v>0</v>
      </c>
      <c r="N416" s="114">
        <f>IF(COUNT($H416:M416)&gt;=Input!$W$7,0, M416+M448+M480)</f>
        <v>0</v>
      </c>
      <c r="O416" s="114">
        <f>IF(COUNT($H416:N416)&gt;=Input!$W$7,0, N416+N448+N480)</f>
        <v>0</v>
      </c>
      <c r="P416" s="114">
        <f>IF(COUNT($H416:O416)&gt;=Input!$W$7,0, O416+O448+O480)</f>
        <v>0</v>
      </c>
      <c r="Q416" s="114">
        <f>IF(COUNT($H416:P416)&gt;=Input!$W$7,0, P416+P448+P480)</f>
        <v>0</v>
      </c>
      <c r="R416" s="114"/>
      <c r="S416" s="104"/>
      <c r="T416" s="104"/>
      <c r="U416" s="104"/>
      <c r="V416" s="104"/>
      <c r="W416" s="104"/>
      <c r="X416" s="104"/>
      <c r="Y416" s="104"/>
      <c r="Z416" s="104"/>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c r="AV416" s="235"/>
      <c r="AW416" s="235"/>
      <c r="AX416" s="235"/>
      <c r="AY416" s="235"/>
      <c r="AZ416" s="235"/>
      <c r="BA416" s="235"/>
      <c r="BB416" s="235"/>
      <c r="BC416" s="235"/>
      <c r="BD416" s="235"/>
      <c r="BE416" s="235"/>
      <c r="BF416" s="235"/>
      <c r="BG416" s="235"/>
      <c r="BH416" s="235"/>
      <c r="BI416" s="235"/>
      <c r="BJ416" s="235"/>
      <c r="BK416" s="227"/>
      <c r="BL416" s="227"/>
    </row>
    <row r="417" spans="1:64" hidden="1" outlineLevel="1">
      <c r="A417" s="9"/>
      <c r="B417" s="9"/>
      <c r="C417" s="44"/>
      <c r="D417" s="278" t="str">
        <f>Asset22</f>
        <v>Other - short life (4)</v>
      </c>
      <c r="E417" s="9"/>
      <c r="F417" s="9"/>
      <c r="G417" s="207">
        <f>'Actual RAB roll forward'!G751</f>
        <v>0</v>
      </c>
      <c r="H417" s="114">
        <f t="shared" si="27"/>
        <v>0</v>
      </c>
      <c r="I417" s="114">
        <f t="shared" si="28"/>
        <v>2.6090448499525216</v>
      </c>
      <c r="J417" s="114">
        <f t="shared" si="28"/>
        <v>4.1229155801835145</v>
      </c>
      <c r="K417" s="114">
        <f t="shared" si="28"/>
        <v>4.8794614776084133</v>
      </c>
      <c r="L417" s="114">
        <f t="shared" si="28"/>
        <v>8.7265761432160716</v>
      </c>
      <c r="M417" s="114">
        <f>IF(COUNT($H417:L417)&gt;=Input!$W$7,0, L417+L449+L481)</f>
        <v>0</v>
      </c>
      <c r="N417" s="114">
        <f>IF(COUNT($H417:M417)&gt;=Input!$W$7,0, M417+M449+M481)</f>
        <v>0</v>
      </c>
      <c r="O417" s="114">
        <f>IF(COUNT($H417:N417)&gt;=Input!$W$7,0, N417+N449+N481)</f>
        <v>0</v>
      </c>
      <c r="P417" s="114">
        <f>IF(COUNT($H417:O417)&gt;=Input!$W$7,0, O417+O449+O481)</f>
        <v>0</v>
      </c>
      <c r="Q417" s="114">
        <f>IF(COUNT($H417:P417)&gt;=Input!$W$7,0, P417+P449+P481)</f>
        <v>0</v>
      </c>
      <c r="R417" s="114"/>
      <c r="S417" s="104"/>
      <c r="T417" s="104"/>
      <c r="U417" s="104"/>
      <c r="V417" s="104"/>
      <c r="W417" s="104"/>
      <c r="X417" s="104"/>
      <c r="Y417" s="104"/>
      <c r="Z417" s="104"/>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c r="AV417" s="235"/>
      <c r="AW417" s="235"/>
      <c r="AX417" s="235"/>
      <c r="AY417" s="235"/>
      <c r="AZ417" s="235"/>
      <c r="BA417" s="235"/>
      <c r="BB417" s="235"/>
      <c r="BC417" s="235"/>
      <c r="BD417" s="235"/>
      <c r="BE417" s="235"/>
      <c r="BF417" s="235"/>
      <c r="BG417" s="235"/>
      <c r="BH417" s="235"/>
      <c r="BI417" s="235"/>
      <c r="BJ417" s="235"/>
      <c r="BK417" s="227"/>
      <c r="BL417" s="227"/>
    </row>
    <row r="418" spans="1:64" hidden="1" outlineLevel="1">
      <c r="A418" s="9"/>
      <c r="B418" s="9"/>
      <c r="C418" s="44"/>
      <c r="D418" s="278" t="str">
        <f>Asset23</f>
        <v>Land and Easements</v>
      </c>
      <c r="E418" s="9"/>
      <c r="F418" s="9"/>
      <c r="G418" s="207">
        <f>'Actual RAB roll forward'!G752</f>
        <v>0</v>
      </c>
      <c r="H418" s="114">
        <f t="shared" si="27"/>
        <v>0</v>
      </c>
      <c r="I418" s="114">
        <f t="shared" si="28"/>
        <v>0</v>
      </c>
      <c r="J418" s="114">
        <f t="shared" si="28"/>
        <v>1.743068639940359</v>
      </c>
      <c r="K418" s="114">
        <f t="shared" si="28"/>
        <v>2.2531392979164462</v>
      </c>
      <c r="L418" s="114">
        <f t="shared" si="28"/>
        <v>3.6658437437602203</v>
      </c>
      <c r="M418" s="114">
        <f>IF(COUNT($H418:L418)&gt;=Input!$W$7,0, L418+L450+L482)</f>
        <v>0</v>
      </c>
      <c r="N418" s="114">
        <f>IF(COUNT($H418:M418)&gt;=Input!$W$7,0, M418+M450+M482)</f>
        <v>0</v>
      </c>
      <c r="O418" s="114">
        <f>IF(COUNT($H418:N418)&gt;=Input!$W$7,0, N418+N450+N482)</f>
        <v>0</v>
      </c>
      <c r="P418" s="114">
        <f>IF(COUNT($H418:O418)&gt;=Input!$W$7,0, O418+O450+O482)</f>
        <v>0</v>
      </c>
      <c r="Q418" s="114">
        <f>IF(COUNT($H418:P418)&gt;=Input!$W$7,0, P418+P450+P482)</f>
        <v>0</v>
      </c>
      <c r="R418" s="114"/>
      <c r="S418" s="104"/>
      <c r="T418" s="104"/>
      <c r="U418" s="104"/>
      <c r="V418" s="104"/>
      <c r="W418" s="104"/>
      <c r="X418" s="104"/>
      <c r="Y418" s="104"/>
      <c r="Z418" s="104"/>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c r="AV418" s="235"/>
      <c r="AW418" s="235"/>
      <c r="AX418" s="235"/>
      <c r="AY418" s="235"/>
      <c r="AZ418" s="235"/>
      <c r="BA418" s="235"/>
      <c r="BB418" s="235"/>
      <c r="BC418" s="235"/>
      <c r="BD418" s="235"/>
      <c r="BE418" s="235"/>
      <c r="BF418" s="235"/>
      <c r="BG418" s="235"/>
      <c r="BH418" s="235"/>
      <c r="BI418" s="235"/>
      <c r="BJ418" s="235"/>
      <c r="BK418" s="227"/>
      <c r="BL418" s="227"/>
    </row>
    <row r="419" spans="1:64" hidden="1" outlineLevel="1">
      <c r="A419" s="9"/>
      <c r="B419" s="9"/>
      <c r="C419" s="44"/>
      <c r="D419" s="278" t="str">
        <f>Asset24</f>
        <v>Equity Raising</v>
      </c>
      <c r="E419" s="9"/>
      <c r="F419" s="9"/>
      <c r="G419" s="207">
        <f>'Actual RAB roll forward'!G753</f>
        <v>0</v>
      </c>
      <c r="H419" s="114">
        <f t="shared" si="27"/>
        <v>0</v>
      </c>
      <c r="I419" s="114">
        <f t="shared" si="28"/>
        <v>0.44485041313161061</v>
      </c>
      <c r="J419" s="114">
        <f t="shared" si="28"/>
        <v>0.44870168372209202</v>
      </c>
      <c r="K419" s="114">
        <f t="shared" si="28"/>
        <v>0.44446886150221571</v>
      </c>
      <c r="L419" s="114">
        <f t="shared" si="28"/>
        <v>0.44406898521604748</v>
      </c>
      <c r="M419" s="114">
        <f>IF(COUNT($H419:L419)&gt;=Input!$W$7,0, L419+L451+L483)</f>
        <v>0</v>
      </c>
      <c r="N419" s="114">
        <f>IF(COUNT($H419:M419)&gt;=Input!$W$7,0, M419+M451+M483)</f>
        <v>0</v>
      </c>
      <c r="O419" s="114">
        <f>IF(COUNT($H419:N419)&gt;=Input!$W$7,0, N419+N451+N483)</f>
        <v>0</v>
      </c>
      <c r="P419" s="114">
        <f>IF(COUNT($H419:O419)&gt;=Input!$W$7,0, O419+O451+O483)</f>
        <v>0</v>
      </c>
      <c r="Q419" s="114">
        <f>IF(COUNT($H419:P419)&gt;=Input!$W$7,0, P419+P451+P483)</f>
        <v>0</v>
      </c>
      <c r="R419" s="114"/>
      <c r="S419" s="104"/>
      <c r="T419" s="104"/>
      <c r="U419" s="104"/>
      <c r="V419" s="104"/>
      <c r="W419" s="104"/>
      <c r="X419" s="104"/>
      <c r="Y419" s="104"/>
      <c r="Z419" s="104"/>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c r="AV419" s="235"/>
      <c r="AW419" s="235"/>
      <c r="AX419" s="235"/>
      <c r="AY419" s="235"/>
      <c r="AZ419" s="235"/>
      <c r="BA419" s="235"/>
      <c r="BB419" s="235"/>
      <c r="BC419" s="235"/>
      <c r="BD419" s="235"/>
      <c r="BE419" s="235"/>
      <c r="BF419" s="235"/>
      <c r="BG419" s="235"/>
      <c r="BH419" s="235"/>
      <c r="BI419" s="235"/>
      <c r="BJ419" s="235"/>
      <c r="BK419" s="227"/>
      <c r="BL419" s="227"/>
    </row>
    <row r="420" spans="1:64" hidden="1" outlineLevel="1">
      <c r="A420" s="9"/>
      <c r="B420" s="9"/>
      <c r="C420" s="44"/>
      <c r="D420" s="278">
        <f>Asset25</f>
        <v>0</v>
      </c>
      <c r="E420" s="9"/>
      <c r="F420" s="9"/>
      <c r="G420" s="207">
        <f>'Actual RAB roll forward'!G754</f>
        <v>0</v>
      </c>
      <c r="H420" s="114">
        <f t="shared" si="27"/>
        <v>0</v>
      </c>
      <c r="I420" s="114">
        <f t="shared" si="28"/>
        <v>0</v>
      </c>
      <c r="J420" s="114">
        <f t="shared" si="28"/>
        <v>0</v>
      </c>
      <c r="K420" s="114">
        <f t="shared" si="28"/>
        <v>0</v>
      </c>
      <c r="L420" s="114">
        <f t="shared" si="28"/>
        <v>0</v>
      </c>
      <c r="M420" s="114">
        <f>IF(COUNT($H420:L420)&gt;=Input!$W$7,0, L420+L452+L484)</f>
        <v>0</v>
      </c>
      <c r="N420" s="114">
        <f>IF(COUNT($H420:M420)&gt;=Input!$W$7,0, M420+M452+M484)</f>
        <v>0</v>
      </c>
      <c r="O420" s="114">
        <f>IF(COUNT($H420:N420)&gt;=Input!$W$7,0, N420+N452+N484)</f>
        <v>0</v>
      </c>
      <c r="P420" s="114">
        <f>IF(COUNT($H420:O420)&gt;=Input!$W$7,0, O420+O452+O484)</f>
        <v>0</v>
      </c>
      <c r="Q420" s="114">
        <f>IF(COUNT($H420:P420)&gt;=Input!$W$7,0, P420+P452+P484)</f>
        <v>0</v>
      </c>
      <c r="R420" s="114"/>
      <c r="S420" s="104"/>
      <c r="T420" s="104"/>
      <c r="U420" s="104"/>
      <c r="V420" s="104"/>
      <c r="W420" s="104"/>
      <c r="X420" s="104"/>
      <c r="Y420" s="104"/>
      <c r="Z420" s="104"/>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235"/>
      <c r="BE420" s="235"/>
      <c r="BF420" s="235"/>
      <c r="BG420" s="235"/>
      <c r="BH420" s="235"/>
      <c r="BI420" s="235"/>
      <c r="BJ420" s="235"/>
      <c r="BK420" s="227"/>
      <c r="BL420" s="227"/>
    </row>
    <row r="421" spans="1:64" hidden="1" outlineLevel="1">
      <c r="A421" s="9"/>
      <c r="B421" s="9"/>
      <c r="C421" s="44"/>
      <c r="D421" s="278">
        <f>Asset26</f>
        <v>0</v>
      </c>
      <c r="E421" s="9"/>
      <c r="F421" s="9"/>
      <c r="G421" s="207">
        <f>'Actual RAB roll forward'!G755</f>
        <v>0</v>
      </c>
      <c r="H421" s="114">
        <f t="shared" si="27"/>
        <v>0</v>
      </c>
      <c r="I421" s="114">
        <f t="shared" si="28"/>
        <v>0</v>
      </c>
      <c r="J421" s="114">
        <f t="shared" si="28"/>
        <v>0</v>
      </c>
      <c r="K421" s="114">
        <f t="shared" si="28"/>
        <v>0</v>
      </c>
      <c r="L421" s="114">
        <f t="shared" si="28"/>
        <v>0</v>
      </c>
      <c r="M421" s="114">
        <f>IF(COUNT($H421:L421)&gt;=Input!$W$7,0, L421+L453+L485)</f>
        <v>0</v>
      </c>
      <c r="N421" s="114">
        <f>IF(COUNT($H421:M421)&gt;=Input!$W$7,0, M421+M453+M485)</f>
        <v>0</v>
      </c>
      <c r="O421" s="114">
        <f>IF(COUNT($H421:N421)&gt;=Input!$W$7,0, N421+N453+N485)</f>
        <v>0</v>
      </c>
      <c r="P421" s="114">
        <f>IF(COUNT($H421:O421)&gt;=Input!$W$7,0, O421+O453+O485)</f>
        <v>0</v>
      </c>
      <c r="Q421" s="114">
        <f>IF(COUNT($H421:P421)&gt;=Input!$W$7,0, P421+P453+P485)</f>
        <v>0</v>
      </c>
      <c r="R421" s="114"/>
      <c r="S421" s="104"/>
      <c r="T421" s="104"/>
      <c r="U421" s="104"/>
      <c r="V421" s="104"/>
      <c r="W421" s="104"/>
      <c r="X421" s="104"/>
      <c r="Y421" s="104"/>
      <c r="Z421" s="104"/>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c r="BA421" s="235"/>
      <c r="BB421" s="235"/>
      <c r="BC421" s="235"/>
      <c r="BD421" s="235"/>
      <c r="BE421" s="235"/>
      <c r="BF421" s="235"/>
      <c r="BG421" s="235"/>
      <c r="BH421" s="235"/>
      <c r="BI421" s="235"/>
      <c r="BJ421" s="235"/>
      <c r="BK421" s="227"/>
      <c r="BL421" s="227"/>
    </row>
    <row r="422" spans="1:64" hidden="1" outlineLevel="1">
      <c r="A422" s="9"/>
      <c r="B422" s="9"/>
      <c r="C422" s="44"/>
      <c r="D422" s="278">
        <f>Asset27</f>
        <v>0</v>
      </c>
      <c r="E422" s="9"/>
      <c r="F422" s="9"/>
      <c r="G422" s="207">
        <f>'Actual RAB roll forward'!G756</f>
        <v>0</v>
      </c>
      <c r="H422" s="114">
        <f t="shared" si="27"/>
        <v>0</v>
      </c>
      <c r="I422" s="114">
        <f t="shared" si="28"/>
        <v>0</v>
      </c>
      <c r="J422" s="114">
        <f t="shared" si="28"/>
        <v>0</v>
      </c>
      <c r="K422" s="114">
        <f t="shared" si="28"/>
        <v>0</v>
      </c>
      <c r="L422" s="114">
        <f t="shared" si="28"/>
        <v>0</v>
      </c>
      <c r="M422" s="114">
        <f>IF(COUNT($H422:L422)&gt;=Input!$W$7,0, L422+L454+L486)</f>
        <v>0</v>
      </c>
      <c r="N422" s="114">
        <f>IF(COUNT($H422:M422)&gt;=Input!$W$7,0, M422+M454+M486)</f>
        <v>0</v>
      </c>
      <c r="O422" s="114">
        <f>IF(COUNT($H422:N422)&gt;=Input!$W$7,0, N422+N454+N486)</f>
        <v>0</v>
      </c>
      <c r="P422" s="114">
        <f>IF(COUNT($H422:O422)&gt;=Input!$W$7,0, O422+O454+O486)</f>
        <v>0</v>
      </c>
      <c r="Q422" s="114">
        <f>IF(COUNT($H422:P422)&gt;=Input!$W$7,0, P422+P454+P486)</f>
        <v>0</v>
      </c>
      <c r="R422" s="114"/>
      <c r="S422" s="104"/>
      <c r="T422" s="104"/>
      <c r="U422" s="104"/>
      <c r="V422" s="104"/>
      <c r="W422" s="104"/>
      <c r="X422" s="104"/>
      <c r="Y422" s="104"/>
      <c r="Z422" s="104"/>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c r="AV422" s="235"/>
      <c r="AW422" s="235"/>
      <c r="AX422" s="235"/>
      <c r="AY422" s="235"/>
      <c r="AZ422" s="235"/>
      <c r="BA422" s="235"/>
      <c r="BB422" s="235"/>
      <c r="BC422" s="235"/>
      <c r="BD422" s="235"/>
      <c r="BE422" s="235"/>
      <c r="BF422" s="235"/>
      <c r="BG422" s="235"/>
      <c r="BH422" s="235"/>
      <c r="BI422" s="235"/>
      <c r="BJ422" s="235"/>
      <c r="BK422" s="227"/>
      <c r="BL422" s="227"/>
    </row>
    <row r="423" spans="1:64" hidden="1" outlineLevel="1">
      <c r="A423" s="9"/>
      <c r="B423" s="9"/>
      <c r="C423" s="44"/>
      <c r="D423" s="278">
        <f>Asset28</f>
        <v>0</v>
      </c>
      <c r="E423" s="9"/>
      <c r="F423" s="9"/>
      <c r="G423" s="207">
        <f>'Actual RAB roll forward'!G757</f>
        <v>0</v>
      </c>
      <c r="H423" s="114">
        <f t="shared" si="27"/>
        <v>0</v>
      </c>
      <c r="I423" s="114">
        <f t="shared" si="28"/>
        <v>0</v>
      </c>
      <c r="J423" s="114">
        <f t="shared" si="28"/>
        <v>0</v>
      </c>
      <c r="K423" s="114">
        <f t="shared" si="28"/>
        <v>0</v>
      </c>
      <c r="L423" s="114">
        <f t="shared" si="28"/>
        <v>0</v>
      </c>
      <c r="M423" s="114">
        <f>IF(COUNT($H423:L423)&gt;=Input!$W$7,0, L423+L455+L487)</f>
        <v>0</v>
      </c>
      <c r="N423" s="114">
        <f>IF(COUNT($H423:M423)&gt;=Input!$W$7,0, M423+M455+M487)</f>
        <v>0</v>
      </c>
      <c r="O423" s="114">
        <f>IF(COUNT($H423:N423)&gt;=Input!$W$7,0, N423+N455+N487)</f>
        <v>0</v>
      </c>
      <c r="P423" s="114">
        <f>IF(COUNT($H423:O423)&gt;=Input!$W$7,0, O423+O455+O487)</f>
        <v>0</v>
      </c>
      <c r="Q423" s="114">
        <f>IF(COUNT($H423:P423)&gt;=Input!$W$7,0, P423+P455+P487)</f>
        <v>0</v>
      </c>
      <c r="R423" s="114"/>
      <c r="S423" s="104"/>
      <c r="T423" s="104"/>
      <c r="U423" s="104"/>
      <c r="V423" s="104"/>
      <c r="W423" s="104"/>
      <c r="X423" s="104"/>
      <c r="Y423" s="104"/>
      <c r="Z423" s="104"/>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c r="AV423" s="235"/>
      <c r="AW423" s="235"/>
      <c r="AX423" s="235"/>
      <c r="AY423" s="235"/>
      <c r="AZ423" s="235"/>
      <c r="BA423" s="235"/>
      <c r="BB423" s="235"/>
      <c r="BC423" s="235"/>
      <c r="BD423" s="235"/>
      <c r="BE423" s="235"/>
      <c r="BF423" s="235"/>
      <c r="BG423" s="235"/>
      <c r="BH423" s="235"/>
      <c r="BI423" s="235"/>
      <c r="BJ423" s="235"/>
      <c r="BK423" s="227"/>
      <c r="BL423" s="227"/>
    </row>
    <row r="424" spans="1:64" hidden="1" outlineLevel="1">
      <c r="A424" s="9"/>
      <c r="B424" s="9"/>
      <c r="C424" s="44"/>
      <c r="D424" s="278">
        <f>Asset29</f>
        <v>0</v>
      </c>
      <c r="E424" s="9"/>
      <c r="F424" s="9"/>
      <c r="G424" s="207">
        <f>'Actual RAB roll forward'!G758</f>
        <v>0</v>
      </c>
      <c r="H424" s="114">
        <f t="shared" si="27"/>
        <v>0</v>
      </c>
      <c r="I424" s="114">
        <f t="shared" si="28"/>
        <v>0</v>
      </c>
      <c r="J424" s="114">
        <f t="shared" si="28"/>
        <v>0</v>
      </c>
      <c r="K424" s="114">
        <f t="shared" si="28"/>
        <v>0</v>
      </c>
      <c r="L424" s="114">
        <f t="shared" si="28"/>
        <v>0</v>
      </c>
      <c r="M424" s="114">
        <f>IF(COUNT($H424:L424)&gt;=Input!$W$7,0, L424+L456+L488)</f>
        <v>0</v>
      </c>
      <c r="N424" s="114">
        <f>IF(COUNT($H424:M424)&gt;=Input!$W$7,0, M424+M456+M488)</f>
        <v>0</v>
      </c>
      <c r="O424" s="114">
        <f>IF(COUNT($H424:N424)&gt;=Input!$W$7,0, N424+N456+N488)</f>
        <v>0</v>
      </c>
      <c r="P424" s="114">
        <f>IF(COUNT($H424:O424)&gt;=Input!$W$7,0, O424+O456+O488)</f>
        <v>0</v>
      </c>
      <c r="Q424" s="114">
        <f>IF(COUNT($H424:P424)&gt;=Input!$W$7,0, P424+P456+P488)</f>
        <v>0</v>
      </c>
      <c r="R424" s="114"/>
      <c r="S424" s="104"/>
      <c r="T424" s="104"/>
      <c r="U424" s="104"/>
      <c r="V424" s="104"/>
      <c r="W424" s="104"/>
      <c r="X424" s="104"/>
      <c r="Y424" s="104"/>
      <c r="Z424" s="104"/>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c r="AV424" s="235"/>
      <c r="AW424" s="235"/>
      <c r="AX424" s="235"/>
      <c r="AY424" s="235"/>
      <c r="AZ424" s="235"/>
      <c r="BA424" s="235"/>
      <c r="BB424" s="235"/>
      <c r="BC424" s="235"/>
      <c r="BD424" s="235"/>
      <c r="BE424" s="235"/>
      <c r="BF424" s="235"/>
      <c r="BG424" s="235"/>
      <c r="BH424" s="235"/>
      <c r="BI424" s="235"/>
      <c r="BJ424" s="235"/>
      <c r="BK424" s="227"/>
      <c r="BL424" s="227"/>
    </row>
    <row r="425" spans="1:64" hidden="1" outlineLevel="1">
      <c r="A425" s="9"/>
      <c r="B425" s="9"/>
      <c r="C425" s="44"/>
      <c r="D425" s="278">
        <f>Asset30</f>
        <v>0</v>
      </c>
      <c r="E425" s="9"/>
      <c r="F425" s="9"/>
      <c r="G425" s="207">
        <f>'Actual RAB roll forward'!G759</f>
        <v>0</v>
      </c>
      <c r="H425" s="114">
        <f>G425+G457+G489+G521+G553</f>
        <v>0</v>
      </c>
      <c r="I425" s="114">
        <f>H425+H457+H489</f>
        <v>0</v>
      </c>
      <c r="J425" s="114">
        <f>I425+I457+I489</f>
        <v>0</v>
      </c>
      <c r="K425" s="114">
        <f>J425+J457+J489</f>
        <v>0</v>
      </c>
      <c r="L425" s="114">
        <f>K425+K457+K489</f>
        <v>0</v>
      </c>
      <c r="M425" s="114">
        <f>IF(COUNT($H425:L425)&gt;=Input!$W$7,0, L425+L457+L489)</f>
        <v>0</v>
      </c>
      <c r="N425" s="114">
        <f>IF(COUNT($H425:M425)&gt;=Input!$W$7,0, M425+M457+M489)</f>
        <v>0</v>
      </c>
      <c r="O425" s="114">
        <f>IF(COUNT($H425:N425)&gt;=Input!$W$7,0, N425+N457+N489)</f>
        <v>0</v>
      </c>
      <c r="P425" s="114">
        <f>IF(COUNT($H425:O425)&gt;=Input!$W$7,0, O425+O457+O489)</f>
        <v>0</v>
      </c>
      <c r="Q425" s="114">
        <f>IF(COUNT($H425:P425)&gt;=Input!$W$7,0, P425+P457+P489)</f>
        <v>0</v>
      </c>
      <c r="R425" s="114"/>
      <c r="S425" s="104"/>
      <c r="T425" s="104"/>
      <c r="U425" s="104"/>
      <c r="V425" s="104"/>
      <c r="W425" s="104"/>
      <c r="X425" s="104"/>
      <c r="Y425" s="104"/>
      <c r="Z425" s="104"/>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c r="AV425" s="235"/>
      <c r="AW425" s="235"/>
      <c r="AX425" s="235"/>
      <c r="AY425" s="235"/>
      <c r="AZ425" s="235"/>
      <c r="BA425" s="235"/>
      <c r="BB425" s="235"/>
      <c r="BC425" s="235"/>
      <c r="BD425" s="235"/>
      <c r="BE425" s="235"/>
      <c r="BF425" s="235"/>
      <c r="BG425" s="235"/>
      <c r="BH425" s="235"/>
      <c r="BI425" s="235"/>
      <c r="BJ425" s="235"/>
      <c r="BK425" s="227"/>
      <c r="BL425" s="227"/>
    </row>
    <row r="426" spans="1:64" collapsed="1">
      <c r="A426" s="9"/>
      <c r="B426" s="9"/>
      <c r="C426" s="44"/>
      <c r="D426" s="116"/>
      <c r="E426" s="9"/>
      <c r="F426" s="9"/>
      <c r="G426" s="216"/>
      <c r="H426" s="35"/>
      <c r="I426" s="35"/>
      <c r="J426" s="35"/>
      <c r="K426" s="35"/>
      <c r="L426" s="35"/>
      <c r="M426" s="35"/>
      <c r="N426" s="104"/>
      <c r="O426" s="29"/>
      <c r="P426" s="29"/>
      <c r="Q426" s="29"/>
      <c r="R426" s="29"/>
      <c r="S426" s="104"/>
      <c r="T426" s="104"/>
      <c r="U426" s="104"/>
      <c r="V426" s="104"/>
      <c r="W426" s="104"/>
      <c r="X426" s="104"/>
      <c r="Y426" s="104"/>
      <c r="Z426" s="104"/>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c r="AV426" s="235"/>
      <c r="AW426" s="235"/>
      <c r="AX426" s="235"/>
      <c r="AY426" s="235"/>
      <c r="AZ426" s="235"/>
      <c r="BA426" s="235"/>
      <c r="BB426" s="235"/>
      <c r="BC426" s="235"/>
      <c r="BD426" s="235"/>
      <c r="BE426" s="235"/>
      <c r="BF426" s="235"/>
      <c r="BG426" s="235"/>
      <c r="BH426" s="235"/>
      <c r="BI426" s="235"/>
      <c r="BJ426" s="235"/>
      <c r="BK426" s="227"/>
      <c r="BL426" s="227"/>
    </row>
    <row r="427" spans="1:64">
      <c r="A427" s="9"/>
      <c r="B427" s="9"/>
      <c r="C427" s="44" t="s">
        <v>31</v>
      </c>
      <c r="D427" s="9"/>
      <c r="E427" s="9"/>
      <c r="F427" s="9"/>
      <c r="G427" s="208">
        <f>SUM(G428:G457)</f>
        <v>83.128654385774468</v>
      </c>
      <c r="H427" s="35">
        <f>SUM(H428:H457)</f>
        <v>52.85645338931635</v>
      </c>
      <c r="I427" s="35">
        <f t="shared" ref="I427:P427" si="29">SUM(I428:I457)</f>
        <v>233.38583214437696</v>
      </c>
      <c r="J427" s="35">
        <f t="shared" si="29"/>
        <v>109.92338471285758</v>
      </c>
      <c r="K427" s="35">
        <f t="shared" si="29"/>
        <v>91.480766004234042</v>
      </c>
      <c r="L427" s="35">
        <f t="shared" si="29"/>
        <v>124.55260392540487</v>
      </c>
      <c r="M427" s="35">
        <f t="shared" si="29"/>
        <v>0</v>
      </c>
      <c r="N427" s="35">
        <f t="shared" si="29"/>
        <v>0</v>
      </c>
      <c r="O427" s="35">
        <f t="shared" si="29"/>
        <v>0</v>
      </c>
      <c r="P427" s="35">
        <f t="shared" si="29"/>
        <v>0</v>
      </c>
      <c r="Q427" s="35">
        <f>SUM(Q428:Q457)</f>
        <v>0</v>
      </c>
      <c r="R427" s="29"/>
      <c r="S427" s="104"/>
      <c r="T427" s="104"/>
      <c r="U427" s="104"/>
      <c r="V427" s="104"/>
      <c r="W427" s="104"/>
      <c r="X427" s="104"/>
      <c r="Y427" s="104"/>
      <c r="Z427" s="104"/>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5"/>
      <c r="AY427" s="235"/>
      <c r="AZ427" s="235"/>
      <c r="BA427" s="235"/>
      <c r="BB427" s="235"/>
      <c r="BC427" s="235"/>
      <c r="BD427" s="235"/>
      <c r="BE427" s="235"/>
      <c r="BF427" s="235"/>
      <c r="BG427" s="235"/>
      <c r="BH427" s="235"/>
      <c r="BI427" s="235"/>
      <c r="BJ427" s="235"/>
      <c r="BK427" s="227"/>
      <c r="BL427" s="227"/>
    </row>
    <row r="428" spans="1:64" hidden="1" outlineLevel="1">
      <c r="A428" s="9"/>
      <c r="B428" s="9"/>
      <c r="C428" s="44"/>
      <c r="D428" s="278" t="str">
        <f>Asset1</f>
        <v>Transmission Lines and Cables</v>
      </c>
      <c r="E428" s="9"/>
      <c r="F428" s="9"/>
      <c r="G428" s="207">
        <f>'Actual RAB roll forward'!G762</f>
        <v>3.4044998441965704</v>
      </c>
      <c r="H428" s="114">
        <f>'Actual RAB roll forward'!H762</f>
        <v>0</v>
      </c>
      <c r="I428" s="114">
        <f>'Actual RAB roll forward'!I762</f>
        <v>0</v>
      </c>
      <c r="J428" s="114">
        <f>'Actual RAB roll forward'!J762</f>
        <v>0</v>
      </c>
      <c r="K428" s="114">
        <f>'Actual RAB roll forward'!K762</f>
        <v>-0.23392054602619189</v>
      </c>
      <c r="L428" s="114">
        <f>'Actual RAB roll forward'!L762</f>
        <v>0</v>
      </c>
      <c r="M428" s="114">
        <f>'Actual RAB roll forward'!M762</f>
        <v>0</v>
      </c>
      <c r="N428" s="114">
        <f>'Actual RAB roll forward'!N762</f>
        <v>0</v>
      </c>
      <c r="O428" s="114">
        <f>'Actual RAB roll forward'!O762</f>
        <v>0</v>
      </c>
      <c r="P428" s="114">
        <f>'Actual RAB roll forward'!P762</f>
        <v>0</v>
      </c>
      <c r="Q428" s="114">
        <f>'Actual RAB roll forward'!Q762</f>
        <v>0</v>
      </c>
      <c r="R428" s="29"/>
      <c r="S428" s="104"/>
      <c r="T428" s="104"/>
      <c r="U428" s="104"/>
      <c r="V428" s="104"/>
      <c r="W428" s="104"/>
      <c r="X428" s="104"/>
      <c r="Y428" s="104"/>
      <c r="Z428" s="104"/>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235"/>
      <c r="AY428" s="235"/>
      <c r="AZ428" s="235"/>
      <c r="BA428" s="235"/>
      <c r="BB428" s="235"/>
      <c r="BC428" s="235"/>
      <c r="BD428" s="235"/>
      <c r="BE428" s="235"/>
      <c r="BF428" s="235"/>
      <c r="BG428" s="235"/>
      <c r="BH428" s="235"/>
      <c r="BI428" s="235"/>
      <c r="BJ428" s="235"/>
      <c r="BK428" s="227"/>
      <c r="BL428" s="227"/>
    </row>
    <row r="429" spans="1:64" hidden="1" outlineLevel="1">
      <c r="A429" s="9"/>
      <c r="B429" s="9"/>
      <c r="C429" s="44"/>
      <c r="D429" s="278" t="str">
        <f>Asset2</f>
        <v>Transmission Substations</v>
      </c>
      <c r="E429" s="9"/>
      <c r="F429" s="9"/>
      <c r="G429" s="207">
        <f>'Actual RAB roll forward'!G763</f>
        <v>62.450138395488089</v>
      </c>
      <c r="H429" s="114">
        <f>'Actual RAB roll forward'!H763</f>
        <v>0</v>
      </c>
      <c r="I429" s="114">
        <f>'Actual RAB roll forward'!I763</f>
        <v>-0.55925646393252604</v>
      </c>
      <c r="J429" s="114">
        <f>'Actual RAB roll forward'!J763</f>
        <v>0</v>
      </c>
      <c r="K429" s="114">
        <f>'Actual RAB roll forward'!K763</f>
        <v>0</v>
      </c>
      <c r="L429" s="114">
        <f>'Actual RAB roll forward'!L763</f>
        <v>0</v>
      </c>
      <c r="M429" s="114">
        <f>'Actual RAB roll forward'!M763</f>
        <v>0</v>
      </c>
      <c r="N429" s="114">
        <f>'Actual RAB roll forward'!N763</f>
        <v>0</v>
      </c>
      <c r="O429" s="114">
        <f>'Actual RAB roll forward'!O763</f>
        <v>0</v>
      </c>
      <c r="P429" s="114">
        <f>'Actual RAB roll forward'!P763</f>
        <v>0</v>
      </c>
      <c r="Q429" s="114">
        <f>'Actual RAB roll forward'!Q763</f>
        <v>0</v>
      </c>
      <c r="R429" s="29"/>
      <c r="S429" s="104"/>
      <c r="T429" s="104"/>
      <c r="U429" s="104"/>
      <c r="V429" s="104"/>
      <c r="W429" s="104"/>
      <c r="X429" s="104"/>
      <c r="Y429" s="104"/>
      <c r="Z429" s="104"/>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35"/>
      <c r="AY429" s="235"/>
      <c r="AZ429" s="235"/>
      <c r="BA429" s="235"/>
      <c r="BB429" s="235"/>
      <c r="BC429" s="235"/>
      <c r="BD429" s="235"/>
      <c r="BE429" s="235"/>
      <c r="BF429" s="235"/>
      <c r="BG429" s="235"/>
      <c r="BH429" s="235"/>
      <c r="BI429" s="235"/>
      <c r="BJ429" s="235"/>
      <c r="BK429" s="227"/>
      <c r="BL429" s="227"/>
    </row>
    <row r="430" spans="1:64" hidden="1" outlineLevel="1">
      <c r="A430" s="9"/>
      <c r="B430" s="9"/>
      <c r="C430" s="44"/>
      <c r="D430" s="278" t="str">
        <f>Asset3</f>
        <v>Protection and Control</v>
      </c>
      <c r="E430" s="9"/>
      <c r="F430" s="9"/>
      <c r="G430" s="207">
        <f>'Actual RAB roll forward'!G764</f>
        <v>9.4118856801581483</v>
      </c>
      <c r="H430" s="114">
        <f>'Actual RAB roll forward'!H764</f>
        <v>0</v>
      </c>
      <c r="I430" s="114">
        <f>'Actual RAB roll forward'!I764</f>
        <v>-4.6341401907779946E-2</v>
      </c>
      <c r="J430" s="114">
        <f>'Actual RAB roll forward'!J764</f>
        <v>0</v>
      </c>
      <c r="K430" s="114">
        <f>'Actual RAB roll forward'!K764</f>
        <v>0</v>
      </c>
      <c r="L430" s="114">
        <f>'Actual RAB roll forward'!L764</f>
        <v>0</v>
      </c>
      <c r="M430" s="114">
        <f>'Actual RAB roll forward'!M764</f>
        <v>0</v>
      </c>
      <c r="N430" s="114">
        <f>'Actual RAB roll forward'!N764</f>
        <v>0</v>
      </c>
      <c r="O430" s="114">
        <f>'Actual RAB roll forward'!O764</f>
        <v>0</v>
      </c>
      <c r="P430" s="114">
        <f>'Actual RAB roll forward'!P764</f>
        <v>0</v>
      </c>
      <c r="Q430" s="114">
        <f>'Actual RAB roll forward'!Q764</f>
        <v>0</v>
      </c>
      <c r="R430" s="29"/>
      <c r="S430" s="104"/>
      <c r="T430" s="104"/>
      <c r="U430" s="104"/>
      <c r="V430" s="104"/>
      <c r="W430" s="104"/>
      <c r="X430" s="104"/>
      <c r="Y430" s="104"/>
      <c r="Z430" s="104"/>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5"/>
      <c r="AY430" s="235"/>
      <c r="AZ430" s="235"/>
      <c r="BA430" s="235"/>
      <c r="BB430" s="235"/>
      <c r="BC430" s="235"/>
      <c r="BD430" s="235"/>
      <c r="BE430" s="235"/>
      <c r="BF430" s="235"/>
      <c r="BG430" s="235"/>
      <c r="BH430" s="235"/>
      <c r="BI430" s="235"/>
      <c r="BJ430" s="235"/>
      <c r="BK430" s="227"/>
      <c r="BL430" s="227"/>
    </row>
    <row r="431" spans="1:64" hidden="1" outlineLevel="1">
      <c r="A431" s="9"/>
      <c r="B431" s="9"/>
      <c r="C431" s="44"/>
      <c r="D431" s="278" t="str">
        <f>Asset4</f>
        <v>Refurbishment</v>
      </c>
      <c r="E431" s="9"/>
      <c r="F431" s="9"/>
      <c r="G431" s="207">
        <f>'Actual RAB roll forward'!G765</f>
        <v>0</v>
      </c>
      <c r="H431" s="114">
        <f>'Actual RAB roll forward'!H765</f>
        <v>0</v>
      </c>
      <c r="I431" s="114">
        <f>'Actual RAB roll forward'!I765</f>
        <v>0</v>
      </c>
      <c r="J431" s="114">
        <f>'Actual RAB roll forward'!J765</f>
        <v>0</v>
      </c>
      <c r="K431" s="114">
        <f>'Actual RAB roll forward'!K765</f>
        <v>0</v>
      </c>
      <c r="L431" s="114">
        <f>'Actual RAB roll forward'!L765</f>
        <v>0</v>
      </c>
      <c r="M431" s="114">
        <f>'Actual RAB roll forward'!M765</f>
        <v>0</v>
      </c>
      <c r="N431" s="114">
        <f>'Actual RAB roll forward'!N765</f>
        <v>0</v>
      </c>
      <c r="O431" s="114">
        <f>'Actual RAB roll forward'!O765</f>
        <v>0</v>
      </c>
      <c r="P431" s="114">
        <f>'Actual RAB roll forward'!P765</f>
        <v>0</v>
      </c>
      <c r="Q431" s="114">
        <f>'Actual RAB roll forward'!Q765</f>
        <v>0</v>
      </c>
      <c r="R431" s="29"/>
      <c r="S431" s="104"/>
      <c r="T431" s="104"/>
      <c r="U431" s="104"/>
      <c r="V431" s="104"/>
      <c r="W431" s="104"/>
      <c r="X431" s="104"/>
      <c r="Y431" s="104"/>
      <c r="Z431" s="104"/>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c r="AV431" s="235"/>
      <c r="AW431" s="235"/>
      <c r="AX431" s="235"/>
      <c r="AY431" s="235"/>
      <c r="AZ431" s="235"/>
      <c r="BA431" s="235"/>
      <c r="BB431" s="235"/>
      <c r="BC431" s="235"/>
      <c r="BD431" s="235"/>
      <c r="BE431" s="235"/>
      <c r="BF431" s="235"/>
      <c r="BG431" s="235"/>
      <c r="BH431" s="235"/>
      <c r="BI431" s="235"/>
      <c r="BJ431" s="235"/>
      <c r="BK431" s="227"/>
      <c r="BL431" s="227"/>
    </row>
    <row r="432" spans="1:64" hidden="1" outlineLevel="1">
      <c r="A432" s="9"/>
      <c r="B432" s="9"/>
      <c r="C432" s="44"/>
      <c r="D432" s="278" t="str">
        <f>Asset5</f>
        <v>Other</v>
      </c>
      <c r="E432" s="9"/>
      <c r="F432" s="9"/>
      <c r="G432" s="207">
        <f>'Actual RAB roll forward'!G766</f>
        <v>0</v>
      </c>
      <c r="H432" s="114">
        <f>'Actual RAB roll forward'!H766</f>
        <v>0</v>
      </c>
      <c r="I432" s="114">
        <f>'Actual RAB roll forward'!I766</f>
        <v>0</v>
      </c>
      <c r="J432" s="114">
        <f>'Actual RAB roll forward'!J766</f>
        <v>0</v>
      </c>
      <c r="K432" s="114">
        <f>'Actual RAB roll forward'!K766</f>
        <v>0</v>
      </c>
      <c r="L432" s="114">
        <f>'Actual RAB roll forward'!L766</f>
        <v>0</v>
      </c>
      <c r="M432" s="114">
        <f>'Actual RAB roll forward'!M766</f>
        <v>0</v>
      </c>
      <c r="N432" s="114">
        <f>'Actual RAB roll forward'!N766</f>
        <v>0</v>
      </c>
      <c r="O432" s="114">
        <f>'Actual RAB roll forward'!O766</f>
        <v>0</v>
      </c>
      <c r="P432" s="114">
        <f>'Actual RAB roll forward'!P766</f>
        <v>0</v>
      </c>
      <c r="Q432" s="114">
        <f>'Actual RAB roll forward'!Q766</f>
        <v>0</v>
      </c>
      <c r="R432" s="29"/>
      <c r="S432" s="104"/>
      <c r="T432" s="104"/>
      <c r="U432" s="104"/>
      <c r="V432" s="104"/>
      <c r="W432" s="104"/>
      <c r="X432" s="104"/>
      <c r="Y432" s="104"/>
      <c r="Z432" s="104"/>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c r="AV432" s="235"/>
      <c r="AW432" s="235"/>
      <c r="AX432" s="235"/>
      <c r="AY432" s="235"/>
      <c r="AZ432" s="235"/>
      <c r="BA432" s="235"/>
      <c r="BB432" s="235"/>
      <c r="BC432" s="235"/>
      <c r="BD432" s="235"/>
      <c r="BE432" s="235"/>
      <c r="BF432" s="235"/>
      <c r="BG432" s="235"/>
      <c r="BH432" s="235"/>
      <c r="BI432" s="235"/>
      <c r="BJ432" s="235"/>
      <c r="BK432" s="227"/>
      <c r="BL432" s="227"/>
    </row>
    <row r="433" spans="1:64" hidden="1" outlineLevel="1">
      <c r="A433" s="9"/>
      <c r="B433" s="9"/>
      <c r="C433" s="44"/>
      <c r="D433" s="278" t="str">
        <f>Asset6</f>
        <v>Other - IT</v>
      </c>
      <c r="E433" s="9"/>
      <c r="F433" s="9"/>
      <c r="G433" s="207">
        <f>'Actual RAB roll forward'!G767</f>
        <v>4.7021850436574333</v>
      </c>
      <c r="H433" s="114">
        <f>'Actual RAB roll forward'!H767</f>
        <v>0</v>
      </c>
      <c r="I433" s="114">
        <f>'Actual RAB roll forward'!I767</f>
        <v>-5.2660683986113562E-3</v>
      </c>
      <c r="J433" s="114">
        <f>'Actual RAB roll forward'!J767</f>
        <v>0</v>
      </c>
      <c r="K433" s="114">
        <f>'Actual RAB roll forward'!K767</f>
        <v>0</v>
      </c>
      <c r="L433" s="114">
        <f>'Actual RAB roll forward'!L767</f>
        <v>0</v>
      </c>
      <c r="M433" s="114">
        <f>'Actual RAB roll forward'!M767</f>
        <v>0</v>
      </c>
      <c r="N433" s="114">
        <f>'Actual RAB roll forward'!N767</f>
        <v>0</v>
      </c>
      <c r="O433" s="114">
        <f>'Actual RAB roll forward'!O767</f>
        <v>0</v>
      </c>
      <c r="P433" s="114">
        <f>'Actual RAB roll forward'!P767</f>
        <v>0</v>
      </c>
      <c r="Q433" s="114">
        <f>'Actual RAB roll forward'!Q767</f>
        <v>0</v>
      </c>
      <c r="R433" s="29"/>
      <c r="S433" s="104"/>
      <c r="T433" s="104"/>
      <c r="U433" s="104"/>
      <c r="V433" s="104"/>
      <c r="W433" s="104"/>
      <c r="X433" s="104"/>
      <c r="Y433" s="104"/>
      <c r="Z433" s="104"/>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c r="BA433" s="235"/>
      <c r="BB433" s="235"/>
      <c r="BC433" s="235"/>
      <c r="BD433" s="235"/>
      <c r="BE433" s="235"/>
      <c r="BF433" s="235"/>
      <c r="BG433" s="235"/>
      <c r="BH433" s="235"/>
      <c r="BI433" s="235"/>
      <c r="BJ433" s="235"/>
      <c r="BK433" s="227"/>
      <c r="BL433" s="227"/>
    </row>
    <row r="434" spans="1:64" hidden="1" outlineLevel="1">
      <c r="A434" s="9"/>
      <c r="B434" s="9"/>
      <c r="C434" s="44"/>
      <c r="D434" s="278" t="str">
        <f>Asset7</f>
        <v>Other - General</v>
      </c>
      <c r="E434" s="9"/>
      <c r="F434" s="9"/>
      <c r="G434" s="207">
        <f>'Actual RAB roll forward'!G768</f>
        <v>0</v>
      </c>
      <c r="H434" s="114">
        <f>'Actual RAB roll forward'!H768</f>
        <v>0</v>
      </c>
      <c r="I434" s="114">
        <f>'Actual RAB roll forward'!I768</f>
        <v>0</v>
      </c>
      <c r="J434" s="114">
        <f>'Actual RAB roll forward'!J768</f>
        <v>0</v>
      </c>
      <c r="K434" s="114">
        <f>'Actual RAB roll forward'!K768</f>
        <v>0</v>
      </c>
      <c r="L434" s="114">
        <f>'Actual RAB roll forward'!L768</f>
        <v>0</v>
      </c>
      <c r="M434" s="114">
        <f>'Actual RAB roll forward'!M768</f>
        <v>0</v>
      </c>
      <c r="N434" s="114">
        <f>'Actual RAB roll forward'!N768</f>
        <v>0</v>
      </c>
      <c r="O434" s="114">
        <f>'Actual RAB roll forward'!O768</f>
        <v>0</v>
      </c>
      <c r="P434" s="114">
        <f>'Actual RAB roll forward'!P768</f>
        <v>0</v>
      </c>
      <c r="Q434" s="114">
        <f>'Actual RAB roll forward'!Q768</f>
        <v>0</v>
      </c>
      <c r="R434" s="29"/>
      <c r="S434" s="104"/>
      <c r="T434" s="104"/>
      <c r="U434" s="104"/>
      <c r="V434" s="104"/>
      <c r="W434" s="104"/>
      <c r="X434" s="104"/>
      <c r="Y434" s="104"/>
      <c r="Z434" s="104"/>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c r="AV434" s="235"/>
      <c r="AW434" s="235"/>
      <c r="AX434" s="235"/>
      <c r="AY434" s="235"/>
      <c r="AZ434" s="235"/>
      <c r="BA434" s="235"/>
      <c r="BB434" s="235"/>
      <c r="BC434" s="235"/>
      <c r="BD434" s="235"/>
      <c r="BE434" s="235"/>
      <c r="BF434" s="235"/>
      <c r="BG434" s="235"/>
      <c r="BH434" s="235"/>
      <c r="BI434" s="235"/>
      <c r="BJ434" s="235"/>
      <c r="BK434" s="227"/>
      <c r="BL434" s="227"/>
    </row>
    <row r="435" spans="1:64" hidden="1" outlineLevel="1">
      <c r="A435" s="9"/>
      <c r="B435" s="9"/>
      <c r="C435" s="44"/>
      <c r="D435" s="278" t="str">
        <f>Asset8</f>
        <v>Other - Buildings</v>
      </c>
      <c r="E435" s="9"/>
      <c r="F435" s="9"/>
      <c r="G435" s="207">
        <f>'Actual RAB roll forward'!G769</f>
        <v>3.149271747091551</v>
      </c>
      <c r="H435" s="114">
        <f>'Actual RAB roll forward'!H769</f>
        <v>0</v>
      </c>
      <c r="I435" s="114">
        <f>'Actual RAB roll forward'!I769</f>
        <v>0</v>
      </c>
      <c r="J435" s="114">
        <f>'Actual RAB roll forward'!J769</f>
        <v>0</v>
      </c>
      <c r="K435" s="114">
        <f>'Actual RAB roll forward'!K769</f>
        <v>0</v>
      </c>
      <c r="L435" s="114">
        <f>'Actual RAB roll forward'!L769</f>
        <v>0</v>
      </c>
      <c r="M435" s="114">
        <f>'Actual RAB roll forward'!M769</f>
        <v>0</v>
      </c>
      <c r="N435" s="114">
        <f>'Actual RAB roll forward'!N769</f>
        <v>0</v>
      </c>
      <c r="O435" s="114">
        <f>'Actual RAB roll forward'!O769</f>
        <v>0</v>
      </c>
      <c r="P435" s="114">
        <f>'Actual RAB roll forward'!P769</f>
        <v>0</v>
      </c>
      <c r="Q435" s="114">
        <f>'Actual RAB roll forward'!Q769</f>
        <v>0</v>
      </c>
      <c r="R435" s="29"/>
      <c r="S435" s="104"/>
      <c r="T435" s="104"/>
      <c r="U435" s="104"/>
      <c r="V435" s="104"/>
      <c r="W435" s="104"/>
      <c r="X435" s="104"/>
      <c r="Y435" s="104"/>
      <c r="Z435" s="104"/>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c r="AV435" s="235"/>
      <c r="AW435" s="235"/>
      <c r="AX435" s="235"/>
      <c r="AY435" s="235"/>
      <c r="AZ435" s="235"/>
      <c r="BA435" s="235"/>
      <c r="BB435" s="235"/>
      <c r="BC435" s="235"/>
      <c r="BD435" s="235"/>
      <c r="BE435" s="235"/>
      <c r="BF435" s="235"/>
      <c r="BG435" s="235"/>
      <c r="BH435" s="235"/>
      <c r="BI435" s="235"/>
      <c r="BJ435" s="235"/>
      <c r="BK435" s="227"/>
      <c r="BL435" s="227"/>
    </row>
    <row r="436" spans="1:64" hidden="1" outlineLevel="1">
      <c r="A436" s="9"/>
      <c r="B436" s="9"/>
      <c r="C436" s="44"/>
      <c r="D436" s="278" t="str">
        <f>Asset9</f>
        <v>Land and Easements</v>
      </c>
      <c r="E436" s="9"/>
      <c r="F436" s="9"/>
      <c r="G436" s="207">
        <f>'Actual RAB roll forward'!G770</f>
        <v>1.0673675182676838E-2</v>
      </c>
      <c r="H436" s="114">
        <f>'Actual RAB roll forward'!H770</f>
        <v>0</v>
      </c>
      <c r="I436" s="114">
        <f>'Actual RAB roll forward'!I770</f>
        <v>0</v>
      </c>
      <c r="J436" s="114">
        <f>'Actual RAB roll forward'!J770</f>
        <v>0</v>
      </c>
      <c r="K436" s="114">
        <f>'Actual RAB roll forward'!K770</f>
        <v>0</v>
      </c>
      <c r="L436" s="114">
        <f>'Actual RAB roll forward'!L770</f>
        <v>0</v>
      </c>
      <c r="M436" s="114">
        <f>'Actual RAB roll forward'!M770</f>
        <v>0</v>
      </c>
      <c r="N436" s="114">
        <f>'Actual RAB roll forward'!N770</f>
        <v>0</v>
      </c>
      <c r="O436" s="114">
        <f>'Actual RAB roll forward'!O770</f>
        <v>0</v>
      </c>
      <c r="P436" s="114">
        <f>'Actual RAB roll forward'!P770</f>
        <v>0</v>
      </c>
      <c r="Q436" s="114">
        <f>'Actual RAB roll forward'!Q770</f>
        <v>0</v>
      </c>
      <c r="R436" s="29"/>
      <c r="S436" s="104"/>
      <c r="T436" s="104"/>
      <c r="U436" s="104"/>
      <c r="V436" s="104"/>
      <c r="W436" s="104"/>
      <c r="X436" s="104"/>
      <c r="Y436" s="104"/>
      <c r="Z436" s="104"/>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c r="AV436" s="235"/>
      <c r="AW436" s="235"/>
      <c r="AX436" s="235"/>
      <c r="AY436" s="235"/>
      <c r="AZ436" s="235"/>
      <c r="BA436" s="235"/>
      <c r="BB436" s="235"/>
      <c r="BC436" s="235"/>
      <c r="BD436" s="235"/>
      <c r="BE436" s="235"/>
      <c r="BF436" s="235"/>
      <c r="BG436" s="235"/>
      <c r="BH436" s="235"/>
      <c r="BI436" s="235"/>
      <c r="BJ436" s="235"/>
      <c r="BK436" s="227"/>
      <c r="BL436" s="227"/>
    </row>
    <row r="437" spans="1:64" hidden="1" outlineLevel="1">
      <c r="A437" s="9"/>
      <c r="B437" s="9"/>
      <c r="C437" s="44"/>
      <c r="D437" s="278" t="str">
        <f>Asset10</f>
        <v>Transmission line assets - long life (60)</v>
      </c>
      <c r="E437" s="9"/>
      <c r="F437" s="9"/>
      <c r="G437" s="207">
        <f>'Actual RAB roll forward'!G771</f>
        <v>0</v>
      </c>
      <c r="H437" s="114">
        <f>'Actual RAB roll forward'!H771</f>
        <v>1.2586903116404593</v>
      </c>
      <c r="I437" s="114">
        <f>'Actual RAB roll forward'!I771</f>
        <v>116.54862579806654</v>
      </c>
      <c r="J437" s="114">
        <f>'Actual RAB roll forward'!J771</f>
        <v>18.397839640058564</v>
      </c>
      <c r="K437" s="114">
        <f>'Actual RAB roll forward'!K771</f>
        <v>10.214880166829849</v>
      </c>
      <c r="L437" s="114">
        <f>'Actual RAB roll forward'!L771</f>
        <v>43.330830195590302</v>
      </c>
      <c r="M437" s="114">
        <f>'Actual RAB roll forward'!M771</f>
        <v>0</v>
      </c>
      <c r="N437" s="114">
        <f>'Actual RAB roll forward'!N771</f>
        <v>0</v>
      </c>
      <c r="O437" s="114">
        <f>'Actual RAB roll forward'!O771</f>
        <v>0</v>
      </c>
      <c r="P437" s="114">
        <f>'Actual RAB roll forward'!P771</f>
        <v>0</v>
      </c>
      <c r="Q437" s="114">
        <f>'Actual RAB roll forward'!Q771</f>
        <v>0</v>
      </c>
      <c r="R437" s="29"/>
      <c r="S437" s="104"/>
      <c r="T437" s="104"/>
      <c r="U437" s="104"/>
      <c r="V437" s="104"/>
      <c r="W437" s="104"/>
      <c r="X437" s="104"/>
      <c r="Y437" s="104"/>
      <c r="Z437" s="104"/>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235"/>
      <c r="BE437" s="235"/>
      <c r="BF437" s="235"/>
      <c r="BG437" s="235"/>
      <c r="BH437" s="235"/>
      <c r="BI437" s="235"/>
      <c r="BJ437" s="235"/>
      <c r="BK437" s="227"/>
      <c r="BL437" s="227"/>
    </row>
    <row r="438" spans="1:64" hidden="1" outlineLevel="1">
      <c r="A438" s="9"/>
      <c r="B438" s="9"/>
      <c r="C438" s="44"/>
      <c r="D438" s="278" t="str">
        <f>Asset11</f>
        <v>Transmission line assets - medium life (45)</v>
      </c>
      <c r="E438" s="9"/>
      <c r="F438" s="9"/>
      <c r="G438" s="207">
        <f>'Actual RAB roll forward'!G772</f>
        <v>0</v>
      </c>
      <c r="H438" s="114">
        <f>'Actual RAB roll forward'!H772</f>
        <v>1.3509861545539041E-2</v>
      </c>
      <c r="I438" s="114">
        <f>'Actual RAB roll forward'!I772</f>
        <v>3.1596410391668141E-2</v>
      </c>
      <c r="J438" s="114">
        <f>'Actual RAB roll forward'!J772</f>
        <v>0.19736585832506917</v>
      </c>
      <c r="K438" s="114">
        <f>'Actual RAB roll forward'!K772</f>
        <v>0.39965797325551172</v>
      </c>
      <c r="L438" s="114">
        <f>'Actual RAB roll forward'!L772</f>
        <v>0.15927277225512557</v>
      </c>
      <c r="M438" s="114">
        <f>'Actual RAB roll forward'!M772</f>
        <v>0</v>
      </c>
      <c r="N438" s="114">
        <f>'Actual RAB roll forward'!N772</f>
        <v>0</v>
      </c>
      <c r="O438" s="114">
        <f>'Actual RAB roll forward'!O772</f>
        <v>0</v>
      </c>
      <c r="P438" s="114">
        <f>'Actual RAB roll forward'!P772</f>
        <v>0</v>
      </c>
      <c r="Q438" s="114">
        <f>'Actual RAB roll forward'!Q772</f>
        <v>0</v>
      </c>
      <c r="R438" s="29"/>
      <c r="S438" s="104"/>
      <c r="T438" s="104"/>
      <c r="U438" s="104"/>
      <c r="V438" s="104"/>
      <c r="W438" s="104"/>
      <c r="X438" s="104"/>
      <c r="Y438" s="104"/>
      <c r="Z438" s="104"/>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c r="AV438" s="235"/>
      <c r="AW438" s="235"/>
      <c r="AX438" s="235"/>
      <c r="AY438" s="235"/>
      <c r="AZ438" s="235"/>
      <c r="BA438" s="235"/>
      <c r="BB438" s="235"/>
      <c r="BC438" s="235"/>
      <c r="BD438" s="235"/>
      <c r="BE438" s="235"/>
      <c r="BF438" s="235"/>
      <c r="BG438" s="235"/>
      <c r="BH438" s="235"/>
      <c r="BI438" s="235"/>
      <c r="BJ438" s="235"/>
      <c r="BK438" s="227"/>
      <c r="BL438" s="227"/>
    </row>
    <row r="439" spans="1:64" hidden="1" outlineLevel="1">
      <c r="A439" s="9"/>
      <c r="B439" s="9"/>
      <c r="C439" s="44"/>
      <c r="D439" s="278" t="str">
        <f>Asset12</f>
        <v>Transmission line assets - short life (10)</v>
      </c>
      <c r="E439" s="9"/>
      <c r="F439" s="9"/>
      <c r="G439" s="207">
        <f>'Actual RAB roll forward'!G773</f>
        <v>0</v>
      </c>
      <c r="H439" s="114">
        <f>'Actual RAB roll forward'!H773</f>
        <v>0.37863134172724339</v>
      </c>
      <c r="I439" s="114">
        <f>'Actual RAB roll forward'!I773</f>
        <v>0.40338083933362995</v>
      </c>
      <c r="J439" s="114">
        <f>'Actual RAB roll forward'!J773</f>
        <v>0.53988438494212043</v>
      </c>
      <c r="K439" s="114">
        <f>'Actual RAB roll forward'!K773</f>
        <v>0.6692435352677597</v>
      </c>
      <c r="L439" s="114">
        <f>'Actual RAB roll forward'!L773</f>
        <v>3.686678095594881</v>
      </c>
      <c r="M439" s="114">
        <f>'Actual RAB roll forward'!M773</f>
        <v>0</v>
      </c>
      <c r="N439" s="114">
        <f>'Actual RAB roll forward'!N773</f>
        <v>0</v>
      </c>
      <c r="O439" s="114">
        <f>'Actual RAB roll forward'!O773</f>
        <v>0</v>
      </c>
      <c r="P439" s="114">
        <f>'Actual RAB roll forward'!P773</f>
        <v>0</v>
      </c>
      <c r="Q439" s="114">
        <f>'Actual RAB roll forward'!Q773</f>
        <v>0</v>
      </c>
      <c r="R439" s="29"/>
      <c r="S439" s="104"/>
      <c r="T439" s="104"/>
      <c r="U439" s="104"/>
      <c r="V439" s="104"/>
      <c r="W439" s="104"/>
      <c r="X439" s="104"/>
      <c r="Y439" s="104"/>
      <c r="Z439" s="104"/>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235"/>
      <c r="BE439" s="235"/>
      <c r="BF439" s="235"/>
      <c r="BG439" s="235"/>
      <c r="BH439" s="235"/>
      <c r="BI439" s="235"/>
      <c r="BJ439" s="235"/>
      <c r="BK439" s="227"/>
      <c r="BL439" s="227"/>
    </row>
    <row r="440" spans="1:64" hidden="1" outlineLevel="1">
      <c r="A440" s="9"/>
      <c r="B440" s="9"/>
      <c r="C440" s="44"/>
      <c r="D440" s="278" t="str">
        <f>Asset13</f>
        <v>Substation assets - long life (60)</v>
      </c>
      <c r="E440" s="9"/>
      <c r="F440" s="9"/>
      <c r="G440" s="207">
        <f>'Actual RAB roll forward'!G774</f>
        <v>0</v>
      </c>
      <c r="H440" s="114">
        <f>'Actual RAB roll forward'!H774</f>
        <v>2.4973591240740682</v>
      </c>
      <c r="I440" s="114">
        <f>'Actual RAB roll forward'!I774</f>
        <v>23.074858509035245</v>
      </c>
      <c r="J440" s="114">
        <f>'Actual RAB roll forward'!J774</f>
        <v>11.372032789206369</v>
      </c>
      <c r="K440" s="114">
        <f>'Actual RAB roll forward'!K774</f>
        <v>8.3749849303727171</v>
      </c>
      <c r="L440" s="114">
        <f>'Actual RAB roll forward'!L774</f>
        <v>10.333830812838043</v>
      </c>
      <c r="M440" s="114">
        <f>'Actual RAB roll forward'!M774</f>
        <v>0</v>
      </c>
      <c r="N440" s="114">
        <f>'Actual RAB roll forward'!N774</f>
        <v>0</v>
      </c>
      <c r="O440" s="114">
        <f>'Actual RAB roll forward'!O774</f>
        <v>0</v>
      </c>
      <c r="P440" s="114">
        <f>'Actual RAB roll forward'!P774</f>
        <v>0</v>
      </c>
      <c r="Q440" s="114">
        <f>'Actual RAB roll forward'!Q774</f>
        <v>0</v>
      </c>
      <c r="R440" s="29"/>
      <c r="S440" s="104"/>
      <c r="T440" s="104"/>
      <c r="U440" s="104"/>
      <c r="V440" s="104"/>
      <c r="W440" s="104"/>
      <c r="X440" s="104"/>
      <c r="Y440" s="104"/>
      <c r="Z440" s="104"/>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235"/>
      <c r="BE440" s="235"/>
      <c r="BF440" s="235"/>
      <c r="BG440" s="235"/>
      <c r="BH440" s="235"/>
      <c r="BI440" s="235"/>
      <c r="BJ440" s="235"/>
      <c r="BK440" s="227"/>
      <c r="BL440" s="227"/>
    </row>
    <row r="441" spans="1:64" hidden="1" outlineLevel="1">
      <c r="A441" s="9"/>
      <c r="B441" s="9"/>
      <c r="C441" s="44"/>
      <c r="D441" s="278" t="str">
        <f>Asset14</f>
        <v>Substation assets - medium life (45)</v>
      </c>
      <c r="E441" s="9"/>
      <c r="F441" s="9"/>
      <c r="G441" s="207">
        <f>'Actual RAB roll forward'!G775</f>
        <v>0</v>
      </c>
      <c r="H441" s="114">
        <f>'Actual RAB roll forward'!H775</f>
        <v>11.773281557407312</v>
      </c>
      <c r="I441" s="114">
        <f>'Actual RAB roll forward'!I775</f>
        <v>56.24161049716929</v>
      </c>
      <c r="J441" s="114">
        <f>'Actual RAB roll forward'!J775</f>
        <v>48.471592835316066</v>
      </c>
      <c r="K441" s="114">
        <f>'Actual RAB roll forward'!K775</f>
        <v>39.23676243995385</v>
      </c>
      <c r="L441" s="114">
        <f>'Actual RAB roll forward'!L775</f>
        <v>31.426773949093029</v>
      </c>
      <c r="M441" s="114">
        <f>'Actual RAB roll forward'!M775</f>
        <v>0</v>
      </c>
      <c r="N441" s="114">
        <f>'Actual RAB roll forward'!N775</f>
        <v>0</v>
      </c>
      <c r="O441" s="114">
        <f>'Actual RAB roll forward'!O775</f>
        <v>0</v>
      </c>
      <c r="P441" s="114">
        <f>'Actual RAB roll forward'!P775</f>
        <v>0</v>
      </c>
      <c r="Q441" s="114">
        <f>'Actual RAB roll forward'!Q775</f>
        <v>0</v>
      </c>
      <c r="R441" s="29"/>
      <c r="S441" s="104"/>
      <c r="T441" s="104"/>
      <c r="U441" s="104"/>
      <c r="V441" s="104"/>
      <c r="W441" s="104"/>
      <c r="X441" s="104"/>
      <c r="Y441" s="104"/>
      <c r="Z441" s="104"/>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235"/>
      <c r="BE441" s="235"/>
      <c r="BF441" s="235"/>
      <c r="BG441" s="235"/>
      <c r="BH441" s="235"/>
      <c r="BI441" s="235"/>
      <c r="BJ441" s="235"/>
      <c r="BK441" s="227"/>
      <c r="BL441" s="227"/>
    </row>
    <row r="442" spans="1:64" hidden="1" outlineLevel="1">
      <c r="A442" s="9"/>
      <c r="B442" s="9"/>
      <c r="C442" s="44"/>
      <c r="D442" s="278" t="str">
        <f>Asset15</f>
        <v>Substation assets - short life (15)</v>
      </c>
      <c r="E442" s="9"/>
      <c r="F442" s="9"/>
      <c r="G442" s="207">
        <f>'Actual RAB roll forward'!G776</f>
        <v>0</v>
      </c>
      <c r="H442" s="114">
        <f>'Actual RAB roll forward'!H776</f>
        <v>12.356977989299727</v>
      </c>
      <c r="I442" s="114">
        <f>'Actual RAB roll forward'!I776</f>
        <v>1.6177362120534089</v>
      </c>
      <c r="J442" s="114">
        <f>'Actual RAB roll forward'!J776</f>
        <v>1.1257163771133576</v>
      </c>
      <c r="K442" s="114">
        <f>'Actual RAB roll forward'!K776</f>
        <v>4.2441369023406832</v>
      </c>
      <c r="L442" s="114">
        <f>'Actual RAB roll forward'!L776</f>
        <v>5.2565097853754628</v>
      </c>
      <c r="M442" s="114">
        <f>'Actual RAB roll forward'!M776</f>
        <v>0</v>
      </c>
      <c r="N442" s="114">
        <f>'Actual RAB roll forward'!N776</f>
        <v>0</v>
      </c>
      <c r="O442" s="114">
        <f>'Actual RAB roll forward'!O776</f>
        <v>0</v>
      </c>
      <c r="P442" s="114">
        <f>'Actual RAB roll forward'!P776</f>
        <v>0</v>
      </c>
      <c r="Q442" s="114">
        <f>'Actual RAB roll forward'!Q776</f>
        <v>0</v>
      </c>
      <c r="R442" s="29"/>
      <c r="S442" s="104"/>
      <c r="T442" s="104"/>
      <c r="U442" s="104"/>
      <c r="V442" s="104"/>
      <c r="W442" s="104"/>
      <c r="X442" s="104"/>
      <c r="Y442" s="104"/>
      <c r="Z442" s="104"/>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235"/>
      <c r="BE442" s="235"/>
      <c r="BF442" s="235"/>
      <c r="BG442" s="235"/>
      <c r="BH442" s="235"/>
      <c r="BI442" s="235"/>
      <c r="BJ442" s="235"/>
      <c r="BK442" s="227"/>
      <c r="BL442" s="227"/>
    </row>
    <row r="443" spans="1:64" hidden="1" outlineLevel="1">
      <c r="A443" s="9"/>
      <c r="B443" s="9"/>
      <c r="C443" s="44"/>
      <c r="D443" s="278" t="str">
        <f>Asset16</f>
        <v>Protection and control - short life (15)</v>
      </c>
      <c r="E443" s="9"/>
      <c r="F443" s="9"/>
      <c r="G443" s="207">
        <f>'Actual RAB roll forward'!G777</f>
        <v>0</v>
      </c>
      <c r="H443" s="114">
        <f>'Actual RAB roll forward'!H777</f>
        <v>11.011252851229447</v>
      </c>
      <c r="I443" s="114">
        <f>'Actual RAB roll forward'!I777</f>
        <v>14.300535343268999</v>
      </c>
      <c r="J443" s="114">
        <f>'Actual RAB roll forward'!J777</f>
        <v>20.556332916026388</v>
      </c>
      <c r="K443" s="114">
        <f>'Actual RAB roll forward'!K777</f>
        <v>18.989523070458077</v>
      </c>
      <c r="L443" s="114">
        <f>'Actual RAB roll forward'!L777</f>
        <v>21.010577882975134</v>
      </c>
      <c r="M443" s="114">
        <f>'Actual RAB roll forward'!M777</f>
        <v>0</v>
      </c>
      <c r="N443" s="114">
        <f>'Actual RAB roll forward'!N777</f>
        <v>0</v>
      </c>
      <c r="O443" s="114">
        <f>'Actual RAB roll forward'!O777</f>
        <v>0</v>
      </c>
      <c r="P443" s="114">
        <f>'Actual RAB roll forward'!P777</f>
        <v>0</v>
      </c>
      <c r="Q443" s="114">
        <f>'Actual RAB roll forward'!Q777</f>
        <v>0</v>
      </c>
      <c r="R443" s="29"/>
      <c r="S443" s="104"/>
      <c r="T443" s="104"/>
      <c r="U443" s="104"/>
      <c r="V443" s="104"/>
      <c r="W443" s="104"/>
      <c r="X443" s="104"/>
      <c r="Y443" s="104"/>
      <c r="Z443" s="104"/>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235"/>
      <c r="BE443" s="235"/>
      <c r="BF443" s="235"/>
      <c r="BG443" s="235"/>
      <c r="BH443" s="235"/>
      <c r="BI443" s="235"/>
      <c r="BJ443" s="235"/>
      <c r="BK443" s="227"/>
      <c r="BL443" s="227"/>
    </row>
    <row r="444" spans="1:64" hidden="1" outlineLevel="1">
      <c r="A444" s="9"/>
      <c r="B444" s="9"/>
      <c r="C444" s="44"/>
      <c r="D444" s="278" t="str">
        <f>Asset17</f>
        <v>Protection and control - short life (4)</v>
      </c>
      <c r="E444" s="9"/>
      <c r="F444" s="9"/>
      <c r="G444" s="207">
        <f>'Actual RAB roll forward'!G778</f>
        <v>0</v>
      </c>
      <c r="H444" s="114">
        <f>'Actual RAB roll forward'!H778</f>
        <v>4.3349262468330943E-2</v>
      </c>
      <c r="I444" s="114">
        <f>'Actual RAB roll forward'!I778</f>
        <v>7.6884598619725797E-2</v>
      </c>
      <c r="J444" s="114">
        <f>'Actual RAB roll forward'!J778</f>
        <v>1.3199494440364417</v>
      </c>
      <c r="K444" s="114">
        <f>'Actual RAB roll forward'!K778</f>
        <v>0.31574028858243836</v>
      </c>
      <c r="L444" s="114">
        <f>'Actual RAB roll forward'!L778</f>
        <v>0</v>
      </c>
      <c r="M444" s="114">
        <f>'Actual RAB roll forward'!M778</f>
        <v>0</v>
      </c>
      <c r="N444" s="114">
        <f>'Actual RAB roll forward'!N778</f>
        <v>0</v>
      </c>
      <c r="O444" s="114">
        <f>'Actual RAB roll forward'!O778</f>
        <v>0</v>
      </c>
      <c r="P444" s="114">
        <f>'Actual RAB roll forward'!P778</f>
        <v>0</v>
      </c>
      <c r="Q444" s="114">
        <f>'Actual RAB roll forward'!Q778</f>
        <v>0</v>
      </c>
      <c r="R444" s="29"/>
      <c r="S444" s="104"/>
      <c r="T444" s="104"/>
      <c r="U444" s="104"/>
      <c r="V444" s="104"/>
      <c r="W444" s="104"/>
      <c r="X444" s="104"/>
      <c r="Y444" s="104"/>
      <c r="Z444" s="104"/>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235"/>
      <c r="BE444" s="235"/>
      <c r="BF444" s="235"/>
      <c r="BG444" s="235"/>
      <c r="BH444" s="235"/>
      <c r="BI444" s="235"/>
      <c r="BJ444" s="235"/>
      <c r="BK444" s="227"/>
      <c r="BL444" s="227"/>
    </row>
    <row r="445" spans="1:64" hidden="1" outlineLevel="1">
      <c r="A445" s="9"/>
      <c r="B445" s="9"/>
      <c r="C445" s="44"/>
      <c r="D445" s="278" t="str">
        <f>Asset18</f>
        <v>Transmission operations - short life (10)</v>
      </c>
      <c r="E445" s="9"/>
      <c r="F445" s="9"/>
      <c r="G445" s="207">
        <f>'Actual RAB roll forward'!G779</f>
        <v>0</v>
      </c>
      <c r="H445" s="114">
        <f>'Actual RAB roll forward'!H779</f>
        <v>1.1914825601167549</v>
      </c>
      <c r="I445" s="114">
        <f>'Actual RAB roll forward'!I779</f>
        <v>1.6746097507584115</v>
      </c>
      <c r="J445" s="114">
        <f>'Actual RAB roll forward'!J779</f>
        <v>2.667049746890088</v>
      </c>
      <c r="K445" s="114">
        <f>'Actual RAB roll forward'!K779</f>
        <v>1.9080783552540042</v>
      </c>
      <c r="L445" s="114">
        <f>'Actual RAB roll forward'!L779</f>
        <v>1.572818484410001</v>
      </c>
      <c r="M445" s="114">
        <f>'Actual RAB roll forward'!M779</f>
        <v>0</v>
      </c>
      <c r="N445" s="114">
        <f>'Actual RAB roll forward'!N779</f>
        <v>0</v>
      </c>
      <c r="O445" s="114">
        <f>'Actual RAB roll forward'!O779</f>
        <v>0</v>
      </c>
      <c r="P445" s="114">
        <f>'Actual RAB roll forward'!P779</f>
        <v>0</v>
      </c>
      <c r="Q445" s="114">
        <f>'Actual RAB roll forward'!Q779</f>
        <v>0</v>
      </c>
      <c r="R445" s="29"/>
      <c r="S445" s="104"/>
      <c r="T445" s="104"/>
      <c r="U445" s="104"/>
      <c r="V445" s="104"/>
      <c r="W445" s="104"/>
      <c r="X445" s="104"/>
      <c r="Y445" s="104"/>
      <c r="Z445" s="104"/>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235"/>
      <c r="BE445" s="235"/>
      <c r="BF445" s="235"/>
      <c r="BG445" s="235"/>
      <c r="BH445" s="235"/>
      <c r="BI445" s="235"/>
      <c r="BJ445" s="235"/>
      <c r="BK445" s="227"/>
      <c r="BL445" s="227"/>
    </row>
    <row r="446" spans="1:64" hidden="1" outlineLevel="1">
      <c r="A446" s="9"/>
      <c r="B446" s="9"/>
      <c r="C446" s="44"/>
      <c r="D446" s="278" t="str">
        <f>Asset19</f>
        <v>Transmission operations - short life (4)</v>
      </c>
      <c r="E446" s="9"/>
      <c r="F446" s="9"/>
      <c r="G446" s="207">
        <f>'Actual RAB roll forward'!G780</f>
        <v>0</v>
      </c>
      <c r="H446" s="114">
        <f>'Actual RAB roll forward'!H780</f>
        <v>4.6783741467227996E-2</v>
      </c>
      <c r="I446" s="114">
        <f>'Actual RAB roll forward'!I780</f>
        <v>6.7405675502225371E-2</v>
      </c>
      <c r="J446" s="114">
        <f>'Actual RAB roll forward'!J780</f>
        <v>0</v>
      </c>
      <c r="K446" s="114">
        <f>'Actual RAB roll forward'!K780</f>
        <v>0.1667863982877332</v>
      </c>
      <c r="L446" s="114">
        <f>'Actual RAB roll forward'!L780</f>
        <v>0</v>
      </c>
      <c r="M446" s="114">
        <f>'Actual RAB roll forward'!M780</f>
        <v>0</v>
      </c>
      <c r="N446" s="114">
        <f>'Actual RAB roll forward'!N780</f>
        <v>0</v>
      </c>
      <c r="O446" s="114">
        <f>'Actual RAB roll forward'!O780</f>
        <v>0</v>
      </c>
      <c r="P446" s="114">
        <f>'Actual RAB roll forward'!P780</f>
        <v>0</v>
      </c>
      <c r="Q446" s="114">
        <f>'Actual RAB roll forward'!Q780</f>
        <v>0</v>
      </c>
      <c r="R446" s="29"/>
      <c r="S446" s="104"/>
      <c r="T446" s="104"/>
      <c r="U446" s="104"/>
      <c r="V446" s="104"/>
      <c r="W446" s="104"/>
      <c r="X446" s="104"/>
      <c r="Y446" s="104"/>
      <c r="Z446" s="104"/>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235"/>
      <c r="BE446" s="235"/>
      <c r="BF446" s="235"/>
      <c r="BG446" s="235"/>
      <c r="BH446" s="235"/>
      <c r="BI446" s="235"/>
      <c r="BJ446" s="235"/>
      <c r="BK446" s="227"/>
      <c r="BL446" s="227"/>
    </row>
    <row r="447" spans="1:64" hidden="1" outlineLevel="1">
      <c r="A447" s="9"/>
      <c r="B447" s="9"/>
      <c r="C447" s="44"/>
      <c r="D447" s="278" t="str">
        <f>Asset20</f>
        <v>Other - medium life (40)</v>
      </c>
      <c r="E447" s="9"/>
      <c r="F447" s="9"/>
      <c r="G447" s="207">
        <f>'Actual RAB roll forward'!G781</f>
        <v>0</v>
      </c>
      <c r="H447" s="114">
        <f>'Actual RAB roll forward'!H781</f>
        <v>8.5042071932102044</v>
      </c>
      <c r="I447" s="114">
        <f>'Actual RAB roll forward'!I781</f>
        <v>15.065168474747368</v>
      </c>
      <c r="J447" s="114">
        <f>'Actual RAB roll forward'!J781</f>
        <v>1.7052827864806241</v>
      </c>
      <c r="K447" s="114">
        <f>'Actual RAB roll forward'!K781</f>
        <v>0.12692549806802339</v>
      </c>
      <c r="L447" s="114">
        <f>'Actual RAB roll forward'!L781</f>
        <v>3.6771187867541784</v>
      </c>
      <c r="M447" s="114">
        <f>'Actual RAB roll forward'!M781</f>
        <v>0</v>
      </c>
      <c r="N447" s="114">
        <f>'Actual RAB roll forward'!N781</f>
        <v>0</v>
      </c>
      <c r="O447" s="114">
        <f>'Actual RAB roll forward'!O781</f>
        <v>0</v>
      </c>
      <c r="P447" s="114">
        <f>'Actual RAB roll forward'!P781</f>
        <v>0</v>
      </c>
      <c r="Q447" s="114">
        <f>'Actual RAB roll forward'!Q781</f>
        <v>0</v>
      </c>
      <c r="R447" s="29"/>
      <c r="S447" s="104"/>
      <c r="T447" s="104"/>
      <c r="U447" s="104"/>
      <c r="V447" s="104"/>
      <c r="W447" s="104"/>
      <c r="X447" s="104"/>
      <c r="Y447" s="104"/>
      <c r="Z447" s="104"/>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235"/>
      <c r="BE447" s="235"/>
      <c r="BF447" s="235"/>
      <c r="BG447" s="235"/>
      <c r="BH447" s="235"/>
      <c r="BI447" s="235"/>
      <c r="BJ447" s="235"/>
      <c r="BK447" s="227"/>
      <c r="BL447" s="227"/>
    </row>
    <row r="448" spans="1:64" hidden="1" outlineLevel="1">
      <c r="A448" s="9"/>
      <c r="B448" s="9"/>
      <c r="C448" s="44"/>
      <c r="D448" s="278" t="str">
        <f>Asset21</f>
        <v>Other - short life (9)</v>
      </c>
      <c r="E448" s="9"/>
      <c r="F448" s="9"/>
      <c r="G448" s="207">
        <f>'Actual RAB roll forward'!G782</f>
        <v>0</v>
      </c>
      <c r="H448" s="114">
        <f>'Actual RAB roll forward'!H782</f>
        <v>0.72703233204589635</v>
      </c>
      <c r="I448" s="114">
        <f>'Actual RAB roll forward'!I782</f>
        <v>1.0532136797222713</v>
      </c>
      <c r="J448" s="114">
        <f>'Actual RAB roll forward'!J782</f>
        <v>1.1612213463358569</v>
      </c>
      <c r="K448" s="114">
        <f>'Actual RAB roll forward'!K782</f>
        <v>0.24231231449349916</v>
      </c>
      <c r="L448" s="114">
        <f>'Actual RAB roll forward'!L782</f>
        <v>0.52876307226373143</v>
      </c>
      <c r="M448" s="114">
        <f>'Actual RAB roll forward'!M782</f>
        <v>0</v>
      </c>
      <c r="N448" s="114">
        <f>'Actual RAB roll forward'!N782</f>
        <v>0</v>
      </c>
      <c r="O448" s="114">
        <f>'Actual RAB roll forward'!O782</f>
        <v>0</v>
      </c>
      <c r="P448" s="114">
        <f>'Actual RAB roll forward'!P782</f>
        <v>0</v>
      </c>
      <c r="Q448" s="114">
        <f>'Actual RAB roll forward'!Q782</f>
        <v>0</v>
      </c>
      <c r="R448" s="29"/>
      <c r="S448" s="104"/>
      <c r="T448" s="104"/>
      <c r="U448" s="104"/>
      <c r="V448" s="104"/>
      <c r="W448" s="104"/>
      <c r="X448" s="104"/>
      <c r="Y448" s="104"/>
      <c r="Z448" s="104"/>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235"/>
      <c r="BE448" s="235"/>
      <c r="BF448" s="235"/>
      <c r="BG448" s="235"/>
      <c r="BH448" s="235"/>
      <c r="BI448" s="235"/>
      <c r="BJ448" s="235"/>
      <c r="BK448" s="227"/>
      <c r="BL448" s="227"/>
    </row>
    <row r="449" spans="1:64" hidden="1" outlineLevel="1">
      <c r="A449" s="9"/>
      <c r="B449" s="9"/>
      <c r="C449" s="44"/>
      <c r="D449" s="278" t="str">
        <f>Asset22</f>
        <v>Other - short life (4)</v>
      </c>
      <c r="E449" s="9"/>
      <c r="F449" s="9"/>
      <c r="G449" s="207">
        <f>'Actual RAB roll forward'!G783</f>
        <v>0</v>
      </c>
      <c r="H449" s="114">
        <f>'Actual RAB roll forward'!H783</f>
        <v>2.6090448499525216</v>
      </c>
      <c r="I449" s="114">
        <f>'Actual RAB roll forward'!I783</f>
        <v>2.0980016500067644</v>
      </c>
      <c r="J449" s="114">
        <f>'Actual RAB roll forward'!J783</f>
        <v>1.9266667122209136</v>
      </c>
      <c r="K449" s="114">
        <f>'Actual RAB roll forward'!K783</f>
        <v>5.4693350985675533</v>
      </c>
      <c r="L449" s="114">
        <f>'Actual RAB roll forward'!L783</f>
        <v>2.5109039169742311</v>
      </c>
      <c r="M449" s="114">
        <f>'Actual RAB roll forward'!M783</f>
        <v>0</v>
      </c>
      <c r="N449" s="114">
        <f>'Actual RAB roll forward'!N783</f>
        <v>0</v>
      </c>
      <c r="O449" s="114">
        <f>'Actual RAB roll forward'!O783</f>
        <v>0</v>
      </c>
      <c r="P449" s="114">
        <f>'Actual RAB roll forward'!P783</f>
        <v>0</v>
      </c>
      <c r="Q449" s="114">
        <f>'Actual RAB roll forward'!Q783</f>
        <v>0</v>
      </c>
      <c r="R449" s="29"/>
      <c r="S449" s="104"/>
      <c r="T449" s="104"/>
      <c r="U449" s="104"/>
      <c r="V449" s="104"/>
      <c r="W449" s="104"/>
      <c r="X449" s="104"/>
      <c r="Y449" s="104"/>
      <c r="Z449" s="104"/>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235"/>
      <c r="BE449" s="235"/>
      <c r="BF449" s="235"/>
      <c r="BG449" s="235"/>
      <c r="BH449" s="235"/>
      <c r="BI449" s="235"/>
      <c r="BJ449" s="235"/>
      <c r="BK449" s="227"/>
      <c r="BL449" s="227"/>
    </row>
    <row r="450" spans="1:64" hidden="1" outlineLevel="1">
      <c r="A450" s="9"/>
      <c r="B450" s="9"/>
      <c r="C450" s="44"/>
      <c r="D450" s="278" t="str">
        <f>Asset23</f>
        <v>Land and Easements</v>
      </c>
      <c r="E450" s="9"/>
      <c r="F450" s="9"/>
      <c r="G450" s="207">
        <f>'Actual RAB roll forward'!G784</f>
        <v>0</v>
      </c>
      <c r="H450" s="114">
        <f>'Actual RAB roll forward'!H784</f>
        <v>0</v>
      </c>
      <c r="I450" s="114">
        <f>'Actual RAB roll forward'!I784</f>
        <v>1.743068639940359</v>
      </c>
      <c r="J450" s="114">
        <f>'Actual RAB roll forward'!J784</f>
        <v>0.48244987590572475</v>
      </c>
      <c r="K450" s="114">
        <f>'Actual RAB roll forward'!K784</f>
        <v>1.3563195785285476</v>
      </c>
      <c r="L450" s="114">
        <f>'Actual RAB roll forward'!L784</f>
        <v>1.0585261712807665</v>
      </c>
      <c r="M450" s="114">
        <f>'Actual RAB roll forward'!M784</f>
        <v>0</v>
      </c>
      <c r="N450" s="114">
        <f>'Actual RAB roll forward'!N784</f>
        <v>0</v>
      </c>
      <c r="O450" s="114">
        <f>'Actual RAB roll forward'!O784</f>
        <v>0</v>
      </c>
      <c r="P450" s="114">
        <f>'Actual RAB roll forward'!P784</f>
        <v>0</v>
      </c>
      <c r="Q450" s="114">
        <f>'Actual RAB roll forward'!Q784</f>
        <v>0</v>
      </c>
      <c r="R450" s="29"/>
      <c r="S450" s="104"/>
      <c r="T450" s="104"/>
      <c r="U450" s="104"/>
      <c r="V450" s="104"/>
      <c r="W450" s="104"/>
      <c r="X450" s="104"/>
      <c r="Y450" s="104"/>
      <c r="Z450" s="104"/>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235"/>
      <c r="BE450" s="235"/>
      <c r="BF450" s="235"/>
      <c r="BG450" s="235"/>
      <c r="BH450" s="235"/>
      <c r="BI450" s="235"/>
      <c r="BJ450" s="235"/>
      <c r="BK450" s="227"/>
      <c r="BL450" s="227"/>
    </row>
    <row r="451" spans="1:64" hidden="1" outlineLevel="1">
      <c r="A451" s="9"/>
      <c r="B451" s="9"/>
      <c r="C451" s="44"/>
      <c r="D451" s="278" t="str">
        <f>Asset24</f>
        <v>Equity Raising</v>
      </c>
      <c r="E451" s="9"/>
      <c r="F451" s="9"/>
      <c r="G451" s="207">
        <f>'Actual RAB roll forward'!G785</f>
        <v>0</v>
      </c>
      <c r="H451" s="114">
        <f>'Actual RAB roll forward'!H785</f>
        <v>0.44485041313161061</v>
      </c>
      <c r="I451" s="114">
        <f>'Actual RAB roll forward'!I785</f>
        <v>0</v>
      </c>
      <c r="J451" s="114">
        <f>'Actual RAB roll forward'!J785</f>
        <v>0</v>
      </c>
      <c r="K451" s="114">
        <f>'Actual RAB roll forward'!K785</f>
        <v>0</v>
      </c>
      <c r="L451" s="114">
        <f>'Actual RAB roll forward'!L785</f>
        <v>0</v>
      </c>
      <c r="M451" s="114">
        <f>'Actual RAB roll forward'!M785</f>
        <v>0</v>
      </c>
      <c r="N451" s="114">
        <f>'Actual RAB roll forward'!N785</f>
        <v>0</v>
      </c>
      <c r="O451" s="114">
        <f>'Actual RAB roll forward'!O785</f>
        <v>0</v>
      </c>
      <c r="P451" s="114">
        <f>'Actual RAB roll forward'!P785</f>
        <v>0</v>
      </c>
      <c r="Q451" s="114">
        <f>'Actual RAB roll forward'!Q785</f>
        <v>0</v>
      </c>
      <c r="R451" s="29"/>
      <c r="S451" s="104"/>
      <c r="T451" s="104"/>
      <c r="U451" s="104"/>
      <c r="V451" s="104"/>
      <c r="W451" s="104"/>
      <c r="X451" s="104"/>
      <c r="Y451" s="104"/>
      <c r="Z451" s="104"/>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235"/>
      <c r="BE451" s="235"/>
      <c r="BF451" s="235"/>
      <c r="BG451" s="235"/>
      <c r="BH451" s="235"/>
      <c r="BI451" s="235"/>
      <c r="BJ451" s="235"/>
      <c r="BK451" s="227"/>
      <c r="BL451" s="227"/>
    </row>
    <row r="452" spans="1:64" hidden="1" outlineLevel="1">
      <c r="A452" s="9"/>
      <c r="B452" s="9"/>
      <c r="C452" s="44"/>
      <c r="D452" s="278">
        <f>Asset25</f>
        <v>0</v>
      </c>
      <c r="E452" s="9"/>
      <c r="F452" s="9"/>
      <c r="G452" s="207">
        <f>'Actual RAB roll forward'!G786</f>
        <v>0</v>
      </c>
      <c r="H452" s="114">
        <f>'Actual RAB roll forward'!H786</f>
        <v>0</v>
      </c>
      <c r="I452" s="114">
        <f>'Actual RAB roll forward'!I786</f>
        <v>0</v>
      </c>
      <c r="J452" s="114">
        <f>'Actual RAB roll forward'!J786</f>
        <v>0</v>
      </c>
      <c r="K452" s="114">
        <f>'Actual RAB roll forward'!K786</f>
        <v>0</v>
      </c>
      <c r="L452" s="114">
        <f>'Actual RAB roll forward'!L786</f>
        <v>0</v>
      </c>
      <c r="M452" s="114">
        <f>'Actual RAB roll forward'!M786</f>
        <v>0</v>
      </c>
      <c r="N452" s="114">
        <f>'Actual RAB roll forward'!N786</f>
        <v>0</v>
      </c>
      <c r="O452" s="114">
        <f>'Actual RAB roll forward'!O786</f>
        <v>0</v>
      </c>
      <c r="P452" s="114">
        <f>'Actual RAB roll forward'!P786</f>
        <v>0</v>
      </c>
      <c r="Q452" s="114">
        <f>'Actual RAB roll forward'!Q786</f>
        <v>0</v>
      </c>
      <c r="R452" s="29"/>
      <c r="S452" s="104"/>
      <c r="T452" s="104"/>
      <c r="U452" s="104"/>
      <c r="V452" s="104"/>
      <c r="W452" s="104"/>
      <c r="X452" s="104"/>
      <c r="Y452" s="104"/>
      <c r="Z452" s="104"/>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235"/>
      <c r="BE452" s="235"/>
      <c r="BF452" s="235"/>
      <c r="BG452" s="235"/>
      <c r="BH452" s="235"/>
      <c r="BI452" s="235"/>
      <c r="BJ452" s="235"/>
      <c r="BK452" s="227"/>
      <c r="BL452" s="227"/>
    </row>
    <row r="453" spans="1:64" hidden="1" outlineLevel="1">
      <c r="A453" s="9"/>
      <c r="B453" s="9"/>
      <c r="C453" s="44"/>
      <c r="D453" s="278">
        <f>Asset26</f>
        <v>0</v>
      </c>
      <c r="E453" s="9"/>
      <c r="F453" s="9"/>
      <c r="G453" s="207">
        <f>'Actual RAB roll forward'!G787</f>
        <v>0</v>
      </c>
      <c r="H453" s="114">
        <f>'Actual RAB roll forward'!H787</f>
        <v>0</v>
      </c>
      <c r="I453" s="114">
        <f>'Actual RAB roll forward'!I787</f>
        <v>0</v>
      </c>
      <c r="J453" s="114">
        <f>'Actual RAB roll forward'!J787</f>
        <v>0</v>
      </c>
      <c r="K453" s="114">
        <f>'Actual RAB roll forward'!K787</f>
        <v>0</v>
      </c>
      <c r="L453" s="114">
        <f>'Actual RAB roll forward'!L787</f>
        <v>0</v>
      </c>
      <c r="M453" s="114">
        <f>'Actual RAB roll forward'!M787</f>
        <v>0</v>
      </c>
      <c r="N453" s="114">
        <f>'Actual RAB roll forward'!N787</f>
        <v>0</v>
      </c>
      <c r="O453" s="114">
        <f>'Actual RAB roll forward'!O787</f>
        <v>0</v>
      </c>
      <c r="P453" s="114">
        <f>'Actual RAB roll forward'!P787</f>
        <v>0</v>
      </c>
      <c r="Q453" s="114">
        <f>'Actual RAB roll forward'!Q787</f>
        <v>0</v>
      </c>
      <c r="R453" s="29"/>
      <c r="S453" s="104"/>
      <c r="T453" s="104"/>
      <c r="U453" s="104"/>
      <c r="V453" s="104"/>
      <c r="W453" s="104"/>
      <c r="X453" s="104"/>
      <c r="Y453" s="104"/>
      <c r="Z453" s="104"/>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235"/>
      <c r="BE453" s="235"/>
      <c r="BF453" s="235"/>
      <c r="BG453" s="235"/>
      <c r="BH453" s="235"/>
      <c r="BI453" s="235"/>
      <c r="BJ453" s="235"/>
      <c r="BK453" s="227"/>
      <c r="BL453" s="227"/>
    </row>
    <row r="454" spans="1:64" hidden="1" outlineLevel="1">
      <c r="A454" s="9"/>
      <c r="B454" s="9"/>
      <c r="C454" s="44"/>
      <c r="D454" s="278">
        <f>Asset27</f>
        <v>0</v>
      </c>
      <c r="E454" s="9"/>
      <c r="F454" s="9"/>
      <c r="G454" s="207">
        <f>'Actual RAB roll forward'!G788</f>
        <v>0</v>
      </c>
      <c r="H454" s="114">
        <f>'Actual RAB roll forward'!H788</f>
        <v>0</v>
      </c>
      <c r="I454" s="114">
        <f>'Actual RAB roll forward'!I788</f>
        <v>0</v>
      </c>
      <c r="J454" s="114">
        <f>'Actual RAB roll forward'!J788</f>
        <v>0</v>
      </c>
      <c r="K454" s="114">
        <f>'Actual RAB roll forward'!K788</f>
        <v>0</v>
      </c>
      <c r="L454" s="114">
        <f>'Actual RAB roll forward'!L788</f>
        <v>0</v>
      </c>
      <c r="M454" s="114">
        <f>'Actual RAB roll forward'!M788</f>
        <v>0</v>
      </c>
      <c r="N454" s="114">
        <f>'Actual RAB roll forward'!N788</f>
        <v>0</v>
      </c>
      <c r="O454" s="114">
        <f>'Actual RAB roll forward'!O788</f>
        <v>0</v>
      </c>
      <c r="P454" s="114">
        <f>'Actual RAB roll forward'!P788</f>
        <v>0</v>
      </c>
      <c r="Q454" s="114">
        <f>'Actual RAB roll forward'!Q788</f>
        <v>0</v>
      </c>
      <c r="R454" s="29"/>
      <c r="S454" s="104"/>
      <c r="T454" s="104"/>
      <c r="U454" s="104"/>
      <c r="V454" s="104"/>
      <c r="W454" s="104"/>
      <c r="X454" s="104"/>
      <c r="Y454" s="104"/>
      <c r="Z454" s="104"/>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235"/>
      <c r="BE454" s="235"/>
      <c r="BF454" s="235"/>
      <c r="BG454" s="235"/>
      <c r="BH454" s="235"/>
      <c r="BI454" s="235"/>
      <c r="BJ454" s="235"/>
      <c r="BK454" s="227"/>
      <c r="BL454" s="227"/>
    </row>
    <row r="455" spans="1:64" hidden="1" outlineLevel="1">
      <c r="A455" s="9"/>
      <c r="B455" s="9"/>
      <c r="C455" s="44"/>
      <c r="D455" s="278">
        <f>Asset28</f>
        <v>0</v>
      </c>
      <c r="E455" s="9"/>
      <c r="F455" s="9"/>
      <c r="G455" s="207">
        <f>'Actual RAB roll forward'!G789</f>
        <v>0</v>
      </c>
      <c r="H455" s="114">
        <f>'Actual RAB roll forward'!H789</f>
        <v>0</v>
      </c>
      <c r="I455" s="114">
        <f>'Actual RAB roll forward'!I789</f>
        <v>0</v>
      </c>
      <c r="J455" s="114">
        <f>'Actual RAB roll forward'!J789</f>
        <v>0</v>
      </c>
      <c r="K455" s="114">
        <f>'Actual RAB roll forward'!K789</f>
        <v>0</v>
      </c>
      <c r="L455" s="114">
        <f>'Actual RAB roll forward'!L789</f>
        <v>0</v>
      </c>
      <c r="M455" s="114">
        <f>'Actual RAB roll forward'!M789</f>
        <v>0</v>
      </c>
      <c r="N455" s="114">
        <f>'Actual RAB roll forward'!N789</f>
        <v>0</v>
      </c>
      <c r="O455" s="114">
        <f>'Actual RAB roll forward'!O789</f>
        <v>0</v>
      </c>
      <c r="P455" s="114">
        <f>'Actual RAB roll forward'!P789</f>
        <v>0</v>
      </c>
      <c r="Q455" s="114">
        <f>'Actual RAB roll forward'!Q789</f>
        <v>0</v>
      </c>
      <c r="R455" s="29"/>
      <c r="S455" s="104"/>
      <c r="T455" s="104"/>
      <c r="U455" s="104"/>
      <c r="V455" s="104"/>
      <c r="W455" s="104"/>
      <c r="X455" s="104"/>
      <c r="Y455" s="104"/>
      <c r="Z455" s="104"/>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235"/>
      <c r="BE455" s="235"/>
      <c r="BF455" s="235"/>
      <c r="BG455" s="235"/>
      <c r="BH455" s="235"/>
      <c r="BI455" s="235"/>
      <c r="BJ455" s="235"/>
      <c r="BK455" s="227"/>
      <c r="BL455" s="227"/>
    </row>
    <row r="456" spans="1:64" hidden="1" outlineLevel="1">
      <c r="A456" s="9"/>
      <c r="B456" s="9"/>
      <c r="C456" s="44"/>
      <c r="D456" s="278">
        <f>Asset29</f>
        <v>0</v>
      </c>
      <c r="E456" s="9"/>
      <c r="F456" s="9"/>
      <c r="G456" s="207">
        <f>'Actual RAB roll forward'!G790</f>
        <v>0</v>
      </c>
      <c r="H456" s="114">
        <f>'Actual RAB roll forward'!H790</f>
        <v>0</v>
      </c>
      <c r="I456" s="114">
        <f>'Actual RAB roll forward'!I790</f>
        <v>0</v>
      </c>
      <c r="J456" s="114">
        <f>'Actual RAB roll forward'!J790</f>
        <v>0</v>
      </c>
      <c r="K456" s="114">
        <f>'Actual RAB roll forward'!K790</f>
        <v>0</v>
      </c>
      <c r="L456" s="114">
        <f>'Actual RAB roll forward'!L790</f>
        <v>0</v>
      </c>
      <c r="M456" s="114">
        <f>'Actual RAB roll forward'!M790</f>
        <v>0</v>
      </c>
      <c r="N456" s="114">
        <f>'Actual RAB roll forward'!N790</f>
        <v>0</v>
      </c>
      <c r="O456" s="114">
        <f>'Actual RAB roll forward'!O790</f>
        <v>0</v>
      </c>
      <c r="P456" s="114">
        <f>'Actual RAB roll forward'!P790</f>
        <v>0</v>
      </c>
      <c r="Q456" s="114">
        <f>'Actual RAB roll forward'!Q790</f>
        <v>0</v>
      </c>
      <c r="R456" s="29"/>
      <c r="S456" s="104"/>
      <c r="T456" s="104"/>
      <c r="U456" s="104"/>
      <c r="V456" s="104"/>
      <c r="W456" s="104"/>
      <c r="X456" s="104"/>
      <c r="Y456" s="104"/>
      <c r="Z456" s="104"/>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235"/>
      <c r="BE456" s="235"/>
      <c r="BF456" s="235"/>
      <c r="BG456" s="235"/>
      <c r="BH456" s="235"/>
      <c r="BI456" s="235"/>
      <c r="BJ456" s="235"/>
      <c r="BK456" s="227"/>
      <c r="BL456" s="227"/>
    </row>
    <row r="457" spans="1:64" hidden="1" outlineLevel="1">
      <c r="A457" s="9"/>
      <c r="B457" s="9"/>
      <c r="C457" s="44"/>
      <c r="D457" s="278">
        <f>Asset30</f>
        <v>0</v>
      </c>
      <c r="E457" s="9"/>
      <c r="F457" s="9"/>
      <c r="G457" s="207">
        <f>'Actual RAB roll forward'!G791</f>
        <v>0</v>
      </c>
      <c r="H457" s="114">
        <f>'Actual RAB roll forward'!H791</f>
        <v>0</v>
      </c>
      <c r="I457" s="114">
        <f>'Actual RAB roll forward'!I791</f>
        <v>0</v>
      </c>
      <c r="J457" s="114">
        <f>'Actual RAB roll forward'!J791</f>
        <v>0</v>
      </c>
      <c r="K457" s="114">
        <f>'Actual RAB roll forward'!K791</f>
        <v>0</v>
      </c>
      <c r="L457" s="114">
        <f>'Actual RAB roll forward'!L791</f>
        <v>0</v>
      </c>
      <c r="M457" s="114">
        <f>'Actual RAB roll forward'!M791</f>
        <v>0</v>
      </c>
      <c r="N457" s="114">
        <f>'Actual RAB roll forward'!N791</f>
        <v>0</v>
      </c>
      <c r="O457" s="114">
        <f>'Actual RAB roll forward'!O791</f>
        <v>0</v>
      </c>
      <c r="P457" s="114">
        <f>'Actual RAB roll forward'!P791</f>
        <v>0</v>
      </c>
      <c r="Q457" s="114">
        <f>'Actual RAB roll forward'!Q791</f>
        <v>0</v>
      </c>
      <c r="R457" s="29"/>
      <c r="S457" s="104"/>
      <c r="T457" s="104"/>
      <c r="U457" s="104"/>
      <c r="V457" s="104"/>
      <c r="W457" s="104"/>
      <c r="X457" s="104"/>
      <c r="Y457" s="104"/>
      <c r="Z457" s="104"/>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235"/>
      <c r="BE457" s="235"/>
      <c r="BF457" s="235"/>
      <c r="BG457" s="235"/>
      <c r="BH457" s="235"/>
      <c r="BI457" s="235"/>
      <c r="BJ457" s="235"/>
      <c r="BK457" s="227"/>
      <c r="BL457" s="227"/>
    </row>
    <row r="458" spans="1:64" collapsed="1">
      <c r="A458" s="9"/>
      <c r="B458" s="9"/>
      <c r="C458" s="44"/>
      <c r="D458" s="116"/>
      <c r="E458" s="9"/>
      <c r="F458" s="9"/>
      <c r="G458" s="216"/>
      <c r="H458" s="35"/>
      <c r="I458" s="35"/>
      <c r="J458" s="35"/>
      <c r="K458" s="35"/>
      <c r="L458" s="35"/>
      <c r="M458" s="35"/>
      <c r="N458" s="104"/>
      <c r="O458" s="29"/>
      <c r="P458" s="29"/>
      <c r="Q458" s="29"/>
      <c r="R458" s="29"/>
      <c r="S458" s="104"/>
      <c r="T458" s="104"/>
      <c r="U458" s="104"/>
      <c r="V458" s="104"/>
      <c r="W458" s="104"/>
      <c r="X458" s="104"/>
      <c r="Y458" s="104"/>
      <c r="Z458" s="104"/>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235"/>
      <c r="BE458" s="235"/>
      <c r="BF458" s="235"/>
      <c r="BG458" s="235"/>
      <c r="BH458" s="235"/>
      <c r="BI458" s="235"/>
      <c r="BJ458" s="235"/>
      <c r="BK458" s="227"/>
      <c r="BL458" s="227"/>
    </row>
    <row r="459" spans="1:64">
      <c r="A459" s="9"/>
      <c r="B459" s="9"/>
      <c r="C459" s="94" t="s">
        <v>71</v>
      </c>
      <c r="D459" s="12"/>
      <c r="E459" s="9"/>
      <c r="F459" s="9"/>
      <c r="G459" s="208">
        <f>SUM(G460:G489)</f>
        <v>-22.262805038529823</v>
      </c>
      <c r="H459" s="35">
        <f>SUM(H460:H489)</f>
        <v>-23.96030507620603</v>
      </c>
      <c r="I459" s="35">
        <f t="shared" ref="I459:Q459" si="30">SUM(I460:I489)</f>
        <v>-23.552013607514393</v>
      </c>
      <c r="J459" s="35">
        <f t="shared" si="30"/>
        <v>-31.70287366955235</v>
      </c>
      <c r="K459" s="35">
        <f t="shared" si="30"/>
        <v>-25.983207596634461</v>
      </c>
      <c r="L459" s="35">
        <f t="shared" si="30"/>
        <v>-30.410396383161416</v>
      </c>
      <c r="M459" s="35">
        <f t="shared" si="30"/>
        <v>0</v>
      </c>
      <c r="N459" s="35">
        <f t="shared" si="30"/>
        <v>0</v>
      </c>
      <c r="O459" s="35">
        <f t="shared" si="30"/>
        <v>0</v>
      </c>
      <c r="P459" s="35">
        <f t="shared" si="30"/>
        <v>0</v>
      </c>
      <c r="Q459" s="35">
        <f t="shared" si="30"/>
        <v>0</v>
      </c>
      <c r="R459" s="29"/>
      <c r="S459" s="104"/>
      <c r="T459" s="104"/>
      <c r="U459" s="104"/>
      <c r="V459" s="104"/>
      <c r="W459" s="104"/>
      <c r="X459" s="104"/>
      <c r="Y459" s="104"/>
      <c r="Z459" s="104"/>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235"/>
      <c r="BE459" s="235"/>
      <c r="BF459" s="235"/>
      <c r="BG459" s="235"/>
      <c r="BH459" s="235"/>
      <c r="BI459" s="235"/>
      <c r="BJ459" s="235"/>
      <c r="BK459" s="227"/>
      <c r="BL459" s="227"/>
    </row>
    <row r="460" spans="1:64" hidden="1" outlineLevel="1">
      <c r="A460" s="9"/>
      <c r="B460" s="9"/>
      <c r="C460" s="44"/>
      <c r="D460" s="278" t="str">
        <f>Asset1</f>
        <v>Transmission Lines and Cables</v>
      </c>
      <c r="E460" s="9"/>
      <c r="F460" s="9"/>
      <c r="G460" s="207">
        <f>'Actual RAB roll forward'!G794</f>
        <v>-6.5708704093471146</v>
      </c>
      <c r="H460" s="114">
        <f>'Actual RAB roll forward'!H794</f>
        <v>-5.8217047181963562</v>
      </c>
      <c r="I460" s="114">
        <f>'Actual RAB roll forward'!I794</f>
        <v>-5.121202117070105</v>
      </c>
      <c r="J460" s="114">
        <f>'Actual RAB roll forward'!J794</f>
        <v>-10.727037768483886</v>
      </c>
      <c r="K460" s="114">
        <f>'Actual RAB roll forward'!K794</f>
        <v>-8.6410914603044979</v>
      </c>
      <c r="L460" s="114">
        <f>'Actual RAB roll forward'!L794</f>
        <v>-9.2523777466326536</v>
      </c>
      <c r="M460" s="114">
        <f>'Actual RAB roll forward'!M794</f>
        <v>0</v>
      </c>
      <c r="N460" s="114">
        <f>'Actual RAB roll forward'!N794</f>
        <v>0</v>
      </c>
      <c r="O460" s="114">
        <f>'Actual RAB roll forward'!O794</f>
        <v>0</v>
      </c>
      <c r="P460" s="114">
        <f>'Actual RAB roll forward'!P794</f>
        <v>0</v>
      </c>
      <c r="Q460" s="114">
        <f>'Actual RAB roll forward'!Q794</f>
        <v>0</v>
      </c>
      <c r="R460" s="29"/>
      <c r="S460" s="104"/>
      <c r="T460" s="104"/>
      <c r="U460" s="104"/>
      <c r="V460" s="104"/>
      <c r="W460" s="104"/>
      <c r="X460" s="104"/>
      <c r="Y460" s="104"/>
      <c r="Z460" s="104"/>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235"/>
      <c r="BE460" s="235"/>
      <c r="BF460" s="235"/>
      <c r="BG460" s="235"/>
      <c r="BH460" s="235"/>
      <c r="BI460" s="235"/>
      <c r="BJ460" s="235"/>
      <c r="BK460" s="227"/>
      <c r="BL460" s="227"/>
    </row>
    <row r="461" spans="1:64" hidden="1" outlineLevel="1">
      <c r="A461" s="9"/>
      <c r="B461" s="9"/>
      <c r="C461" s="44"/>
      <c r="D461" s="278" t="str">
        <f>Asset2</f>
        <v>Transmission Substations</v>
      </c>
      <c r="E461" s="9"/>
      <c r="F461" s="9"/>
      <c r="G461" s="207">
        <f>'Actual RAB roll forward'!G795</f>
        <v>-4.6151674774377103</v>
      </c>
      <c r="H461" s="114">
        <f>'Actual RAB roll forward'!H795</f>
        <v>-2.9425085905477655</v>
      </c>
      <c r="I461" s="114">
        <f>'Actual RAB roll forward'!I795</f>
        <v>-1.7086724806096676</v>
      </c>
      <c r="J461" s="114">
        <f>'Actual RAB roll forward'!J795</f>
        <v>-9.0181559258938808</v>
      </c>
      <c r="K461" s="114">
        <f>'Actual RAB roll forward'!K795</f>
        <v>-5.937226165701162</v>
      </c>
      <c r="L461" s="114">
        <f>'Actual RAB roll forward'!L795</f>
        <v>-6.4800005480393725</v>
      </c>
      <c r="M461" s="114">
        <f>'Actual RAB roll forward'!M795</f>
        <v>0</v>
      </c>
      <c r="N461" s="114">
        <f>'Actual RAB roll forward'!N795</f>
        <v>0</v>
      </c>
      <c r="O461" s="114">
        <f>'Actual RAB roll forward'!O795</f>
        <v>0</v>
      </c>
      <c r="P461" s="114">
        <f>'Actual RAB roll forward'!P795</f>
        <v>0</v>
      </c>
      <c r="Q461" s="114">
        <f>'Actual RAB roll forward'!Q795</f>
        <v>0</v>
      </c>
      <c r="R461" s="29"/>
      <c r="S461" s="104"/>
      <c r="T461" s="104"/>
      <c r="U461" s="104"/>
      <c r="V461" s="104"/>
      <c r="W461" s="104"/>
      <c r="X461" s="104"/>
      <c r="Y461" s="104"/>
      <c r="Z461" s="104"/>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235"/>
      <c r="BE461" s="235"/>
      <c r="BF461" s="235"/>
      <c r="BG461" s="235"/>
      <c r="BH461" s="235"/>
      <c r="BI461" s="235"/>
      <c r="BJ461" s="235"/>
      <c r="BK461" s="227"/>
      <c r="BL461" s="227"/>
    </row>
    <row r="462" spans="1:64" hidden="1" outlineLevel="1">
      <c r="A462" s="9"/>
      <c r="B462" s="9"/>
      <c r="C462" s="44"/>
      <c r="D462" s="278" t="str">
        <f>Asset3</f>
        <v>Protection and Control</v>
      </c>
      <c r="E462" s="9"/>
      <c r="F462" s="9"/>
      <c r="G462" s="207">
        <f>'Actual RAB roll forward'!G796</f>
        <v>-5.514909320251248</v>
      </c>
      <c r="H462" s="114">
        <f>'Actual RAB roll forward'!H796</f>
        <v>-4.5097523028438911</v>
      </c>
      <c r="I462" s="114">
        <f>'Actual RAB roll forward'!I796</f>
        <v>-4.6099610728360485</v>
      </c>
      <c r="J462" s="114">
        <f>'Actual RAB roll forward'!J796</f>
        <v>-5.6774037327728735</v>
      </c>
      <c r="K462" s="114">
        <f>'Actual RAB roll forward'!K796</f>
        <v>-5.5462581674725628</v>
      </c>
      <c r="L462" s="114">
        <f>'Actual RAB roll forward'!L796</f>
        <v>-5.8465063916566429</v>
      </c>
      <c r="M462" s="114">
        <f>'Actual RAB roll forward'!M796</f>
        <v>0</v>
      </c>
      <c r="N462" s="114">
        <f>'Actual RAB roll forward'!N796</f>
        <v>0</v>
      </c>
      <c r="O462" s="114">
        <f>'Actual RAB roll forward'!O796</f>
        <v>0</v>
      </c>
      <c r="P462" s="114">
        <f>'Actual RAB roll forward'!P796</f>
        <v>0</v>
      </c>
      <c r="Q462" s="114">
        <f>'Actual RAB roll forward'!Q796</f>
        <v>0</v>
      </c>
      <c r="R462" s="29"/>
      <c r="S462" s="104"/>
      <c r="T462" s="104"/>
      <c r="U462" s="104"/>
      <c r="V462" s="104"/>
      <c r="W462" s="104"/>
      <c r="X462" s="104"/>
      <c r="Y462" s="104"/>
      <c r="Z462" s="104"/>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235"/>
      <c r="BE462" s="235"/>
      <c r="BF462" s="235"/>
      <c r="BG462" s="235"/>
      <c r="BH462" s="235"/>
      <c r="BI462" s="235"/>
      <c r="BJ462" s="235"/>
      <c r="BK462" s="227"/>
      <c r="BL462" s="227"/>
    </row>
    <row r="463" spans="1:64" hidden="1" outlineLevel="1">
      <c r="A463" s="9"/>
      <c r="B463" s="9"/>
      <c r="C463" s="44"/>
      <c r="D463" s="278" t="str">
        <f>Asset4</f>
        <v>Refurbishment</v>
      </c>
      <c r="E463" s="9"/>
      <c r="F463" s="9"/>
      <c r="G463" s="207">
        <f>'Actual RAB roll forward'!G797</f>
        <v>-3.1271970408972707</v>
      </c>
      <c r="H463" s="114">
        <f>'Actual RAB roll forward'!H797</f>
        <v>-1.664143135956714</v>
      </c>
      <c r="I463" s="114">
        <f>'Actual RAB roll forward'!I797</f>
        <v>-1.6856658348994422</v>
      </c>
      <c r="J463" s="114">
        <f>'Actual RAB roll forward'!J797</f>
        <v>-2.1591500463394362</v>
      </c>
      <c r="K463" s="114">
        <f>'Actual RAB roll forward'!K797</f>
        <v>-2.0749524280377196</v>
      </c>
      <c r="L463" s="114">
        <f>'Actual RAB roll forward'!L797</f>
        <v>-2.1899253892861883</v>
      </c>
      <c r="M463" s="114">
        <f>'Actual RAB roll forward'!M797</f>
        <v>0</v>
      </c>
      <c r="N463" s="114">
        <f>'Actual RAB roll forward'!N797</f>
        <v>0</v>
      </c>
      <c r="O463" s="114">
        <f>'Actual RAB roll forward'!O797</f>
        <v>0</v>
      </c>
      <c r="P463" s="114">
        <f>'Actual RAB roll forward'!P797</f>
        <v>0</v>
      </c>
      <c r="Q463" s="114">
        <f>'Actual RAB roll forward'!Q797</f>
        <v>0</v>
      </c>
      <c r="R463" s="29"/>
      <c r="S463" s="104"/>
      <c r="T463" s="104"/>
      <c r="U463" s="104"/>
      <c r="V463" s="104"/>
      <c r="W463" s="104"/>
      <c r="X463" s="104"/>
      <c r="Y463" s="104"/>
      <c r="Z463" s="104"/>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235"/>
      <c r="BE463" s="235"/>
      <c r="BF463" s="235"/>
      <c r="BG463" s="235"/>
      <c r="BH463" s="235"/>
      <c r="BI463" s="235"/>
      <c r="BJ463" s="235"/>
      <c r="BK463" s="227"/>
      <c r="BL463" s="227"/>
    </row>
    <row r="464" spans="1:64" hidden="1" outlineLevel="1">
      <c r="A464" s="9"/>
      <c r="B464" s="9"/>
      <c r="C464" s="44"/>
      <c r="D464" s="278" t="str">
        <f>Asset5</f>
        <v>Other</v>
      </c>
      <c r="E464" s="9"/>
      <c r="F464" s="9"/>
      <c r="G464" s="207">
        <f>'Actual RAB roll forward'!G798</f>
        <v>-1.6357162905502329</v>
      </c>
      <c r="H464" s="114">
        <f>'Actual RAB roll forward'!H798</f>
        <v>-1.6460508745661473</v>
      </c>
      <c r="I464" s="114">
        <f>'Actual RAB roll forward'!I798</f>
        <v>-1.7124583745679143</v>
      </c>
      <c r="J464" s="114">
        <f>'Actual RAB roll forward'!J798</f>
        <v>-1.9511033436306005</v>
      </c>
      <c r="K464" s="114">
        <f>'Actual RAB roll forward'!K798</f>
        <v>-1.9720052490697801</v>
      </c>
      <c r="L464" s="114">
        <f>'Actual RAB roll forward'!L798</f>
        <v>-2.0736765938173498</v>
      </c>
      <c r="M464" s="114">
        <f>'Actual RAB roll forward'!M798</f>
        <v>0</v>
      </c>
      <c r="N464" s="114">
        <f>'Actual RAB roll forward'!N798</f>
        <v>0</v>
      </c>
      <c r="O464" s="114">
        <f>'Actual RAB roll forward'!O798</f>
        <v>0</v>
      </c>
      <c r="P464" s="114">
        <f>'Actual RAB roll forward'!P798</f>
        <v>0</v>
      </c>
      <c r="Q464" s="114">
        <f>'Actual RAB roll forward'!Q798</f>
        <v>0</v>
      </c>
      <c r="R464" s="29"/>
      <c r="S464" s="104"/>
      <c r="T464" s="104"/>
      <c r="U464" s="104"/>
      <c r="V464" s="104"/>
      <c r="W464" s="104"/>
      <c r="X464" s="104"/>
      <c r="Y464" s="104"/>
      <c r="Z464" s="104"/>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235"/>
      <c r="BE464" s="235"/>
      <c r="BF464" s="235"/>
      <c r="BG464" s="235"/>
      <c r="BH464" s="235"/>
      <c r="BI464" s="235"/>
      <c r="BJ464" s="235"/>
      <c r="BK464" s="227"/>
      <c r="BL464" s="227"/>
    </row>
    <row r="465" spans="1:64" hidden="1" outlineLevel="1">
      <c r="A465" s="9"/>
      <c r="B465" s="9"/>
      <c r="C465" s="44"/>
      <c r="D465" s="278" t="str">
        <f>Asset6</f>
        <v>Other - IT</v>
      </c>
      <c r="E465" s="9"/>
      <c r="F465" s="9"/>
      <c r="G465" s="207">
        <f>'Actual RAB roll forward'!G799</f>
        <v>-1.3605739922335367</v>
      </c>
      <c r="H465" s="114">
        <f>'Actual RAB roll forward'!H799</f>
        <v>-11.177965330406291</v>
      </c>
      <c r="I465" s="114">
        <f>'Actual RAB roll forward'!I799</f>
        <v>-11.78973238663888</v>
      </c>
      <c r="J465" s="114">
        <f>'Actual RAB roll forward'!J799</f>
        <v>4.1638343862352711E-3</v>
      </c>
      <c r="K465" s="114">
        <f>'Actual RAB roll forward'!K799</f>
        <v>5.6580135448936128E-3</v>
      </c>
      <c r="L465" s="114">
        <f>'Actual RAB roll forward'!L799</f>
        <v>5.8417598589640338E-3</v>
      </c>
      <c r="M465" s="114">
        <f>'Actual RAB roll forward'!M799</f>
        <v>0</v>
      </c>
      <c r="N465" s="114">
        <f>'Actual RAB roll forward'!N799</f>
        <v>0</v>
      </c>
      <c r="O465" s="114">
        <f>'Actual RAB roll forward'!O799</f>
        <v>0</v>
      </c>
      <c r="P465" s="114">
        <f>'Actual RAB roll forward'!P799</f>
        <v>0</v>
      </c>
      <c r="Q465" s="114">
        <f>'Actual RAB roll forward'!Q799</f>
        <v>0</v>
      </c>
      <c r="R465" s="29"/>
      <c r="S465" s="104"/>
      <c r="T465" s="104"/>
      <c r="U465" s="104"/>
      <c r="V465" s="104"/>
      <c r="W465" s="104"/>
      <c r="X465" s="104"/>
      <c r="Y465" s="104"/>
      <c r="Z465" s="104"/>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235"/>
      <c r="BE465" s="235"/>
      <c r="BF465" s="235"/>
      <c r="BG465" s="235"/>
      <c r="BH465" s="235"/>
      <c r="BI465" s="235"/>
      <c r="BJ465" s="235"/>
      <c r="BK465" s="227"/>
      <c r="BL465" s="227"/>
    </row>
    <row r="466" spans="1:64" hidden="1" outlineLevel="1">
      <c r="A466" s="9"/>
      <c r="B466" s="9"/>
      <c r="C466" s="44"/>
      <c r="D466" s="278" t="str">
        <f>Asset7</f>
        <v>Other - General</v>
      </c>
      <c r="E466" s="9"/>
      <c r="F466" s="9"/>
      <c r="G466" s="207">
        <f>'Actual RAB roll forward'!G800</f>
        <v>-1.4546996008642703</v>
      </c>
      <c r="H466" s="114">
        <f>'Actual RAB roll forward'!H800</f>
        <v>1.2473242989840549</v>
      </c>
      <c r="I466" s="114">
        <f>'Actual RAB roll forward'!I800</f>
        <v>1.3104910938957564</v>
      </c>
      <c r="J466" s="114">
        <f>'Actual RAB roll forward'!J800</f>
        <v>1.4259352991621423</v>
      </c>
      <c r="K466" s="114">
        <f>'Actual RAB roll forward'!K800</f>
        <v>-1.3717588338755987E-4</v>
      </c>
      <c r="L466" s="114">
        <f>'Actual RAB roll forward'!L800</f>
        <v>-1.4046810458886135E-4</v>
      </c>
      <c r="M466" s="114">
        <f>'Actual RAB roll forward'!M800</f>
        <v>0</v>
      </c>
      <c r="N466" s="114">
        <f>'Actual RAB roll forward'!N800</f>
        <v>0</v>
      </c>
      <c r="O466" s="114">
        <f>'Actual RAB roll forward'!O800</f>
        <v>0</v>
      </c>
      <c r="P466" s="114">
        <f>'Actual RAB roll forward'!P800</f>
        <v>0</v>
      </c>
      <c r="Q466" s="114">
        <f>'Actual RAB roll forward'!Q800</f>
        <v>0</v>
      </c>
      <c r="R466" s="29"/>
      <c r="S466" s="104"/>
      <c r="T466" s="104"/>
      <c r="U466" s="104"/>
      <c r="V466" s="104"/>
      <c r="W466" s="104"/>
      <c r="X466" s="104"/>
      <c r="Y466" s="104"/>
      <c r="Z466" s="104"/>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235"/>
      <c r="BE466" s="235"/>
      <c r="BF466" s="235"/>
      <c r="BG466" s="235"/>
      <c r="BH466" s="235"/>
      <c r="BI466" s="235"/>
      <c r="BJ466" s="235"/>
      <c r="BK466" s="227"/>
      <c r="BL466" s="227"/>
    </row>
    <row r="467" spans="1:64" hidden="1" outlineLevel="1">
      <c r="A467" s="9"/>
      <c r="B467" s="9"/>
      <c r="C467" s="44"/>
      <c r="D467" s="278" t="str">
        <f>Asset8</f>
        <v>Other - Buildings</v>
      </c>
      <c r="E467" s="9"/>
      <c r="F467" s="9"/>
      <c r="G467" s="207">
        <f>'Actual RAB roll forward'!G801</f>
        <v>-2.9632298603983503E-2</v>
      </c>
      <c r="H467" s="114">
        <f>'Actual RAB roll forward'!H801</f>
        <v>1.2912783350601642E-2</v>
      </c>
      <c r="I467" s="114">
        <f>'Actual RAB roll forward'!I801</f>
        <v>9.0619484974551856E-2</v>
      </c>
      <c r="J467" s="114">
        <f>'Actual RAB roll forward'!J801</f>
        <v>-0.30044712914290184</v>
      </c>
      <c r="K467" s="114">
        <f>'Actual RAB roll forward'!K801</f>
        <v>-0.12205295256819504</v>
      </c>
      <c r="L467" s="114">
        <f>'Actual RAB roll forward'!L801</f>
        <v>-0.14187240789890487</v>
      </c>
      <c r="M467" s="114">
        <f>'Actual RAB roll forward'!M801</f>
        <v>0</v>
      </c>
      <c r="N467" s="114">
        <f>'Actual RAB roll forward'!N801</f>
        <v>0</v>
      </c>
      <c r="O467" s="114">
        <f>'Actual RAB roll forward'!O801</f>
        <v>0</v>
      </c>
      <c r="P467" s="114">
        <f>'Actual RAB roll forward'!P801</f>
        <v>0</v>
      </c>
      <c r="Q467" s="114">
        <f>'Actual RAB roll forward'!Q801</f>
        <v>0</v>
      </c>
      <c r="R467" s="29"/>
      <c r="S467" s="104"/>
      <c r="T467" s="104"/>
      <c r="U467" s="104"/>
      <c r="V467" s="104"/>
      <c r="W467" s="104"/>
      <c r="X467" s="104"/>
      <c r="Y467" s="104"/>
      <c r="Z467" s="104"/>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235"/>
      <c r="BE467" s="235"/>
      <c r="BF467" s="235"/>
      <c r="BG467" s="235"/>
      <c r="BH467" s="235"/>
      <c r="BI467" s="235"/>
      <c r="BJ467" s="235"/>
      <c r="BK467" s="227"/>
      <c r="BL467" s="227"/>
    </row>
    <row r="468" spans="1:64" hidden="1" outlineLevel="1">
      <c r="A468" s="9"/>
      <c r="B468" s="9"/>
      <c r="C468" s="44"/>
      <c r="D468" s="278" t="str">
        <f>Asset9</f>
        <v>Land and Easements</v>
      </c>
      <c r="E468" s="9"/>
      <c r="F468" s="9"/>
      <c r="G468" s="207">
        <f>'Actual RAB roll forward'!G802</f>
        <v>2.0459613916555419</v>
      </c>
      <c r="H468" s="114">
        <f>'Actual RAB roll forward'!H802</f>
        <v>2.5415827939764806</v>
      </c>
      <c r="I468" s="114">
        <f>'Actual RAB roll forward'!I802</f>
        <v>3.0181295678470632</v>
      </c>
      <c r="J468" s="114">
        <f>'Actual RAB roll forward'!J802</f>
        <v>1.4825899631529624</v>
      </c>
      <c r="K468" s="114">
        <f>'Actual RAB roll forward'!K802</f>
        <v>2.3784936578181233</v>
      </c>
      <c r="L468" s="114">
        <f>'Actual RAB roll forward'!L802</f>
        <v>2.4355775056057594</v>
      </c>
      <c r="M468" s="114">
        <f>'Actual RAB roll forward'!M802</f>
        <v>0</v>
      </c>
      <c r="N468" s="114">
        <f>'Actual RAB roll forward'!N802</f>
        <v>0</v>
      </c>
      <c r="O468" s="114">
        <f>'Actual RAB roll forward'!O802</f>
        <v>0</v>
      </c>
      <c r="P468" s="114">
        <f>'Actual RAB roll forward'!P802</f>
        <v>0</v>
      </c>
      <c r="Q468" s="114">
        <f>'Actual RAB roll forward'!Q802</f>
        <v>0</v>
      </c>
      <c r="R468" s="29"/>
      <c r="S468" s="104"/>
      <c r="T468" s="104"/>
      <c r="U468" s="104"/>
      <c r="V468" s="104"/>
      <c r="W468" s="104"/>
      <c r="X468" s="104"/>
      <c r="Y468" s="104"/>
      <c r="Z468" s="104"/>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235"/>
      <c r="BE468" s="235"/>
      <c r="BF468" s="235"/>
      <c r="BG468" s="235"/>
      <c r="BH468" s="235"/>
      <c r="BI468" s="235"/>
      <c r="BJ468" s="235"/>
      <c r="BK468" s="227"/>
      <c r="BL468" s="227"/>
    </row>
    <row r="469" spans="1:64" hidden="1" outlineLevel="1">
      <c r="A469" s="9"/>
      <c r="B469" s="9"/>
      <c r="C469" s="44"/>
      <c r="D469" s="278" t="str">
        <f>Asset10</f>
        <v>Transmission line assets - long life (60)</v>
      </c>
      <c r="E469" s="9"/>
      <c r="F469" s="9"/>
      <c r="G469" s="207">
        <f>'Actual RAB roll forward'!G803</f>
        <v>0</v>
      </c>
      <c r="H469" s="114">
        <f>'Actual RAB roll forward'!H803</f>
        <v>0</v>
      </c>
      <c r="I469" s="114">
        <f>'Actual RAB roll forward'!I803</f>
        <v>2.0372304081304519E-2</v>
      </c>
      <c r="J469" s="114">
        <f>'Actual RAB roll forward'!J803</f>
        <v>-0.16242442169636706</v>
      </c>
      <c r="K469" s="114">
        <f>'Actual RAB roll forward'!K803</f>
        <v>1.0318031165775468</v>
      </c>
      <c r="L469" s="114">
        <f>'Actual RAB roll forward'!L803</f>
        <v>1.0756678774835309</v>
      </c>
      <c r="M469" s="114">
        <f>'Actual RAB roll forward'!M803</f>
        <v>0</v>
      </c>
      <c r="N469" s="114">
        <f>'Actual RAB roll forward'!N803</f>
        <v>0</v>
      </c>
      <c r="O469" s="114">
        <f>'Actual RAB roll forward'!O803</f>
        <v>0</v>
      </c>
      <c r="P469" s="114">
        <f>'Actual RAB roll forward'!P803</f>
        <v>0</v>
      </c>
      <c r="Q469" s="114">
        <f>'Actual RAB roll forward'!Q803</f>
        <v>0</v>
      </c>
      <c r="R469" s="29"/>
      <c r="S469" s="104"/>
      <c r="T469" s="104"/>
      <c r="U469" s="104"/>
      <c r="V469" s="104"/>
      <c r="W469" s="104"/>
      <c r="X469" s="104"/>
      <c r="Y469" s="104"/>
      <c r="Z469" s="104"/>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235"/>
      <c r="BE469" s="235"/>
      <c r="BF469" s="235"/>
      <c r="BG469" s="235"/>
      <c r="BH469" s="235"/>
      <c r="BI469" s="235"/>
      <c r="BJ469" s="235"/>
      <c r="BK469" s="227"/>
      <c r="BL469" s="227"/>
    </row>
    <row r="470" spans="1:64" hidden="1" outlineLevel="1">
      <c r="A470" s="9"/>
      <c r="B470" s="9"/>
      <c r="C470" s="44"/>
      <c r="D470" s="278" t="str">
        <f>Asset11</f>
        <v>Transmission line assets - medium life (45)</v>
      </c>
      <c r="E470" s="9"/>
      <c r="F470" s="9"/>
      <c r="G470" s="207">
        <f>'Actual RAB roll forward'!G804</f>
        <v>0</v>
      </c>
      <c r="H470" s="114">
        <f>'Actual RAB roll forward'!H804</f>
        <v>0</v>
      </c>
      <c r="I470" s="114">
        <f>'Actual RAB roll forward'!I804</f>
        <v>1.4143898368975733E-4</v>
      </c>
      <c r="J470" s="114">
        <f>'Actual RAB roll forward'!J804</f>
        <v>-3.2773501167647468E-4</v>
      </c>
      <c r="K470" s="114">
        <f>'Actual RAB roll forward'!K804</f>
        <v>5.4651353809582592E-4</v>
      </c>
      <c r="L470" s="114">
        <f>'Actual RAB roll forward'!L804</f>
        <v>1.3039642988639001E-3</v>
      </c>
      <c r="M470" s="114">
        <f>'Actual RAB roll forward'!M804</f>
        <v>0</v>
      </c>
      <c r="N470" s="114">
        <f>'Actual RAB roll forward'!N804</f>
        <v>0</v>
      </c>
      <c r="O470" s="114">
        <f>'Actual RAB roll forward'!O804</f>
        <v>0</v>
      </c>
      <c r="P470" s="114">
        <f>'Actual RAB roll forward'!P804</f>
        <v>0</v>
      </c>
      <c r="Q470" s="114">
        <f>'Actual RAB roll forward'!Q804</f>
        <v>0</v>
      </c>
      <c r="R470" s="29"/>
      <c r="S470" s="104"/>
      <c r="T470" s="104"/>
      <c r="U470" s="104"/>
      <c r="V470" s="104"/>
      <c r="W470" s="104"/>
      <c r="X470" s="104"/>
      <c r="Y470" s="104"/>
      <c r="Z470" s="104"/>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235"/>
      <c r="BE470" s="235"/>
      <c r="BF470" s="235"/>
      <c r="BG470" s="235"/>
      <c r="BH470" s="235"/>
      <c r="BI470" s="235"/>
      <c r="BJ470" s="235"/>
      <c r="BK470" s="227"/>
      <c r="BL470" s="227"/>
    </row>
    <row r="471" spans="1:64" hidden="1" outlineLevel="1">
      <c r="A471" s="9"/>
      <c r="B471" s="9"/>
      <c r="C471" s="44"/>
      <c r="D471" s="278" t="str">
        <f>Asset12</f>
        <v>Transmission line assets - short life (10)</v>
      </c>
      <c r="E471" s="9"/>
      <c r="F471" s="9"/>
      <c r="G471" s="207">
        <f>'Actual RAB roll forward'!G805</f>
        <v>0</v>
      </c>
      <c r="H471" s="114">
        <f>'Actual RAB roll forward'!H805</f>
        <v>0</v>
      </c>
      <c r="I471" s="114">
        <f>'Actual RAB roll forward'!I805</f>
        <v>-2.6335609568994833E-2</v>
      </c>
      <c r="J471" s="114">
        <f>'Actual RAB roll forward'!J805</f>
        <v>-6.9963394751655181E-2</v>
      </c>
      <c r="K471" s="114">
        <f>'Actual RAB roll forward'!K805</f>
        <v>-0.10740962278617751</v>
      </c>
      <c r="L471" s="114">
        <f>'Actual RAB roll forward'!L805</f>
        <v>-0.16544904400457625</v>
      </c>
      <c r="M471" s="114">
        <f>'Actual RAB roll forward'!M805</f>
        <v>0</v>
      </c>
      <c r="N471" s="114">
        <f>'Actual RAB roll forward'!N805</f>
        <v>0</v>
      </c>
      <c r="O471" s="114">
        <f>'Actual RAB roll forward'!O805</f>
        <v>0</v>
      </c>
      <c r="P471" s="114">
        <f>'Actual RAB roll forward'!P805</f>
        <v>0</v>
      </c>
      <c r="Q471" s="114">
        <f>'Actual RAB roll forward'!Q805</f>
        <v>0</v>
      </c>
      <c r="R471" s="29"/>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235"/>
      <c r="BE471" s="235"/>
      <c r="BF471" s="235"/>
      <c r="BG471" s="235"/>
      <c r="BH471" s="235"/>
      <c r="BI471" s="235"/>
      <c r="BJ471" s="235"/>
      <c r="BK471" s="227"/>
      <c r="BL471" s="227"/>
    </row>
    <row r="472" spans="1:64" hidden="1" outlineLevel="1">
      <c r="A472" s="9"/>
      <c r="B472" s="9"/>
      <c r="C472" s="44"/>
      <c r="D472" s="278" t="str">
        <f>Asset13</f>
        <v>Substation assets - long life (60)</v>
      </c>
      <c r="E472" s="9"/>
      <c r="F472" s="9"/>
      <c r="G472" s="207">
        <f>'Actual RAB roll forward'!G806</f>
        <v>0</v>
      </c>
      <c r="H472" s="114">
        <f>'Actual RAB roll forward'!H806</f>
        <v>0</v>
      </c>
      <c r="I472" s="114">
        <f>'Actual RAB roll forward'!I806</f>
        <v>4.0420553813232216E-2</v>
      </c>
      <c r="J472" s="114">
        <f>'Actual RAB roll forward'!J806</f>
        <v>-3.5793007870741078E-2</v>
      </c>
      <c r="K472" s="114">
        <f>'Actual RAB roll forward'!K806</f>
        <v>0.28345831015300982</v>
      </c>
      <c r="L472" s="114">
        <f>'Actual RAB roll forward'!L806</f>
        <v>0.33987283937890089</v>
      </c>
      <c r="M472" s="114">
        <f>'Actual RAB roll forward'!M806</f>
        <v>0</v>
      </c>
      <c r="N472" s="114">
        <f>'Actual RAB roll forward'!N806</f>
        <v>0</v>
      </c>
      <c r="O472" s="114">
        <f>'Actual RAB roll forward'!O806</f>
        <v>0</v>
      </c>
      <c r="P472" s="114">
        <f>'Actual RAB roll forward'!P806</f>
        <v>0</v>
      </c>
      <c r="Q472" s="114">
        <f>'Actual RAB roll forward'!Q806</f>
        <v>0</v>
      </c>
      <c r="R472" s="29"/>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235"/>
      <c r="BE472" s="235"/>
      <c r="BF472" s="235"/>
      <c r="BG472" s="235"/>
      <c r="BH472" s="235"/>
      <c r="BI472" s="235"/>
      <c r="BJ472" s="235"/>
      <c r="BK472" s="227"/>
      <c r="BL472" s="227"/>
    </row>
    <row r="473" spans="1:64" hidden="1" outlineLevel="1">
      <c r="A473" s="9"/>
      <c r="B473" s="9"/>
      <c r="C473" s="44"/>
      <c r="D473" s="278" t="str">
        <f>Asset14</f>
        <v>Substation assets - medium life (45)</v>
      </c>
      <c r="E473" s="9"/>
      <c r="F473" s="9"/>
      <c r="G473" s="207">
        <f>'Actual RAB roll forward'!G807</f>
        <v>0</v>
      </c>
      <c r="H473" s="114">
        <f>'Actual RAB roll forward'!H807</f>
        <v>0</v>
      </c>
      <c r="I473" s="114">
        <f>'Actual RAB roll forward'!I807</f>
        <v>0.12325818236996683</v>
      </c>
      <c r="J473" s="114">
        <f>'Actual RAB roll forward'!J807</f>
        <v>-0.48990969399752649</v>
      </c>
      <c r="K473" s="114">
        <f>'Actual RAB roll forward'!K807</f>
        <v>0.21718283678990113</v>
      </c>
      <c r="L473" s="114">
        <f>'Actual RAB roll forward'!L807</f>
        <v>0.23959223363138449</v>
      </c>
      <c r="M473" s="114">
        <f>'Actual RAB roll forward'!M807</f>
        <v>0</v>
      </c>
      <c r="N473" s="114">
        <f>'Actual RAB roll forward'!N807</f>
        <v>0</v>
      </c>
      <c r="O473" s="114">
        <f>'Actual RAB roll forward'!O807</f>
        <v>0</v>
      </c>
      <c r="P473" s="114">
        <f>'Actual RAB roll forward'!P807</f>
        <v>0</v>
      </c>
      <c r="Q473" s="114">
        <f>'Actual RAB roll forward'!Q807</f>
        <v>0</v>
      </c>
      <c r="R473" s="29"/>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235"/>
      <c r="BE473" s="235"/>
      <c r="BF473" s="235"/>
      <c r="BG473" s="235"/>
      <c r="BH473" s="235"/>
      <c r="BI473" s="235"/>
      <c r="BJ473" s="235"/>
      <c r="BK473" s="227"/>
      <c r="BL473" s="227"/>
    </row>
    <row r="474" spans="1:64" hidden="1" outlineLevel="1">
      <c r="A474" s="9"/>
      <c r="B474" s="9"/>
      <c r="C474" s="44"/>
      <c r="D474" s="278" t="str">
        <f>Asset15</f>
        <v>Substation assets - short life (15)</v>
      </c>
      <c r="E474" s="9"/>
      <c r="F474" s="9"/>
      <c r="G474" s="207">
        <f>'Actual RAB roll forward'!G808</f>
        <v>0</v>
      </c>
      <c r="H474" s="114">
        <f>'Actual RAB roll forward'!H808</f>
        <v>0</v>
      </c>
      <c r="I474" s="114">
        <f>'Actual RAB roll forward'!I808</f>
        <v>-0.43569128169251897</v>
      </c>
      <c r="J474" s="114">
        <f>'Actual RAB roll forward'!J808</f>
        <v>-0.77274735511403536</v>
      </c>
      <c r="K474" s="114">
        <f>'Actual RAB roll forward'!K808</f>
        <v>-0.73152176621305487</v>
      </c>
      <c r="L474" s="114">
        <f>'Actual RAB roll forward'!L808</f>
        <v>-0.96108337409949929</v>
      </c>
      <c r="M474" s="114">
        <f>'Actual RAB roll forward'!M808</f>
        <v>0</v>
      </c>
      <c r="N474" s="114">
        <f>'Actual RAB roll forward'!N808</f>
        <v>0</v>
      </c>
      <c r="O474" s="114">
        <f>'Actual RAB roll forward'!O808</f>
        <v>0</v>
      </c>
      <c r="P474" s="114">
        <f>'Actual RAB roll forward'!P808</f>
        <v>0</v>
      </c>
      <c r="Q474" s="114">
        <f>'Actual RAB roll forward'!Q808</f>
        <v>0</v>
      </c>
      <c r="R474" s="29"/>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235"/>
      <c r="BE474" s="235"/>
      <c r="BF474" s="235"/>
      <c r="BG474" s="235"/>
      <c r="BH474" s="235"/>
      <c r="BI474" s="235"/>
      <c r="BJ474" s="235"/>
      <c r="BK474" s="227"/>
      <c r="BL474" s="227"/>
    </row>
    <row r="475" spans="1:64" hidden="1" outlineLevel="1">
      <c r="A475" s="9"/>
      <c r="B475" s="9"/>
      <c r="C475" s="44"/>
      <c r="D475" s="278" t="str">
        <f>Asset16</f>
        <v>Protection and control - short life (15)</v>
      </c>
      <c r="E475" s="9"/>
      <c r="F475" s="9"/>
      <c r="G475" s="207">
        <f>'Actual RAB roll forward'!G809</f>
        <v>0</v>
      </c>
      <c r="H475" s="114">
        <f>'Actual RAB roll forward'!H809</f>
        <v>0</v>
      </c>
      <c r="I475" s="114">
        <f>'Actual RAB roll forward'!I809</f>
        <v>-0.38824272989292885</v>
      </c>
      <c r="J475" s="114">
        <f>'Actual RAB roll forward'!J809</f>
        <v>-1.3706684658118398</v>
      </c>
      <c r="K475" s="114">
        <f>'Actual RAB roll forward'!K809</f>
        <v>-2.0818904979770378</v>
      </c>
      <c r="L475" s="114">
        <f>'Actual RAB roll forward'!L809</f>
        <v>-3.0376754457831754</v>
      </c>
      <c r="M475" s="114">
        <f>'Actual RAB roll forward'!M809</f>
        <v>0</v>
      </c>
      <c r="N475" s="114">
        <f>'Actual RAB roll forward'!N809</f>
        <v>0</v>
      </c>
      <c r="O475" s="114">
        <f>'Actual RAB roll forward'!O809</f>
        <v>0</v>
      </c>
      <c r="P475" s="114">
        <f>'Actual RAB roll forward'!P809</f>
        <v>0</v>
      </c>
      <c r="Q475" s="114">
        <f>'Actual RAB roll forward'!Q809</f>
        <v>0</v>
      </c>
      <c r="R475" s="29"/>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235"/>
      <c r="BE475" s="235"/>
      <c r="BF475" s="235"/>
      <c r="BG475" s="235"/>
      <c r="BH475" s="235"/>
      <c r="BI475" s="235"/>
      <c r="BJ475" s="235"/>
      <c r="BK475" s="227"/>
      <c r="BL475" s="227"/>
    </row>
    <row r="476" spans="1:64" hidden="1" outlineLevel="1">
      <c r="A476" s="9"/>
      <c r="B476" s="9"/>
      <c r="C476" s="44"/>
      <c r="D476" s="278" t="str">
        <f>Asset17</f>
        <v>Protection and control - short life (4)</v>
      </c>
      <c r="E476" s="9"/>
      <c r="F476" s="9"/>
      <c r="G476" s="207">
        <f>'Actual RAB roll forward'!G810</f>
        <v>0</v>
      </c>
      <c r="H476" s="114">
        <f>'Actual RAB roll forward'!H810</f>
        <v>0</v>
      </c>
      <c r="I476" s="114">
        <f>'Actual RAB roll forward'!I810</f>
        <v>-9.7053312662250014E-3</v>
      </c>
      <c r="J476" s="114">
        <f>'Actual RAB roll forward'!J810</f>
        <v>-2.9632395750024004E-2</v>
      </c>
      <c r="K476" s="114">
        <f>'Actual RAB roll forward'!K810</f>
        <v>-0.332041315730631</v>
      </c>
      <c r="L476" s="114">
        <f>'Actual RAB roll forward'!L810</f>
        <v>-0.42258094631527332</v>
      </c>
      <c r="M476" s="114">
        <f>'Actual RAB roll forward'!M810</f>
        <v>0</v>
      </c>
      <c r="N476" s="114">
        <f>'Actual RAB roll forward'!N810</f>
        <v>0</v>
      </c>
      <c r="O476" s="114">
        <f>'Actual RAB roll forward'!O810</f>
        <v>0</v>
      </c>
      <c r="P476" s="114">
        <f>'Actual RAB roll forward'!P810</f>
        <v>0</v>
      </c>
      <c r="Q476" s="114">
        <f>'Actual RAB roll forward'!Q810</f>
        <v>0</v>
      </c>
      <c r="R476" s="29"/>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235"/>
      <c r="BE476" s="235"/>
      <c r="BF476" s="235"/>
      <c r="BG476" s="235"/>
      <c r="BH476" s="235"/>
      <c r="BI476" s="235"/>
      <c r="BJ476" s="235"/>
      <c r="BK476" s="227"/>
      <c r="BL476" s="227"/>
    </row>
    <row r="477" spans="1:64" hidden="1" outlineLevel="1">
      <c r="A477" s="9"/>
      <c r="B477" s="9"/>
      <c r="C477" s="44"/>
      <c r="D477" s="278" t="str">
        <f>Asset18</f>
        <v>Transmission operations - short life (10)</v>
      </c>
      <c r="E477" s="9"/>
      <c r="F477" s="9"/>
      <c r="G477" s="207">
        <f>'Actual RAB roll forward'!G811</f>
        <v>0</v>
      </c>
      <c r="H477" s="114">
        <f>'Actual RAB roll forward'!H811</f>
        <v>0</v>
      </c>
      <c r="I477" s="114">
        <f>'Actual RAB roll forward'!I811</f>
        <v>-8.2873275541213667E-2</v>
      </c>
      <c r="J477" s="114">
        <f>'Actual RAB roll forward'!J811</f>
        <v>-0.25561560578922932</v>
      </c>
      <c r="K477" s="114">
        <f>'Actual RAB roll forward'!K811</f>
        <v>-0.4454029165040842</v>
      </c>
      <c r="L477" s="114">
        <f>'Actual RAB roll forward'!L811</f>
        <v>-0.61894821368192077</v>
      </c>
      <c r="M477" s="114">
        <f>'Actual RAB roll forward'!M811</f>
        <v>0</v>
      </c>
      <c r="N477" s="114">
        <f>'Actual RAB roll forward'!N811</f>
        <v>0</v>
      </c>
      <c r="O477" s="114">
        <f>'Actual RAB roll forward'!O811</f>
        <v>0</v>
      </c>
      <c r="P477" s="114">
        <f>'Actual RAB roll forward'!P811</f>
        <v>0</v>
      </c>
      <c r="Q477" s="114">
        <f>'Actual RAB roll forward'!Q811</f>
        <v>0</v>
      </c>
      <c r="R477" s="29"/>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235"/>
      <c r="BE477" s="235"/>
      <c r="BF477" s="235"/>
      <c r="BG477" s="235"/>
      <c r="BH477" s="235"/>
      <c r="BI477" s="235"/>
      <c r="BJ477" s="235"/>
      <c r="BK477" s="227"/>
      <c r="BL477" s="227"/>
    </row>
    <row r="478" spans="1:64" hidden="1" outlineLevel="1">
      <c r="A478" s="9"/>
      <c r="B478" s="9"/>
      <c r="C478" s="44"/>
      <c r="D478" s="278" t="str">
        <f>Asset19</f>
        <v>Transmission operations - short life (4)</v>
      </c>
      <c r="E478" s="9"/>
      <c r="F478" s="9"/>
      <c r="G478" s="207">
        <f>'Actual RAB roll forward'!G812</f>
        <v>0</v>
      </c>
      <c r="H478" s="114">
        <f>'Actual RAB roll forward'!H812</f>
        <v>0</v>
      </c>
      <c r="I478" s="114">
        <f>'Actual RAB roll forward'!I812</f>
        <v>-1.0474266064955202E-2</v>
      </c>
      <c r="J478" s="114">
        <f>'Actual RAB roll forward'!J812</f>
        <v>-2.820450388175123E-2</v>
      </c>
      <c r="K478" s="114">
        <f>'Actual RAB roll forward'!K812</f>
        <v>-2.8431298359247507E-2</v>
      </c>
      <c r="L478" s="114">
        <f>'Actual RAB roll forward'!L812</f>
        <v>-6.8473151173949739E-2</v>
      </c>
      <c r="M478" s="114">
        <f>'Actual RAB roll forward'!M812</f>
        <v>0</v>
      </c>
      <c r="N478" s="114">
        <f>'Actual RAB roll forward'!N812</f>
        <v>0</v>
      </c>
      <c r="O478" s="114">
        <f>'Actual RAB roll forward'!O812</f>
        <v>0</v>
      </c>
      <c r="P478" s="114">
        <f>'Actual RAB roll forward'!P812</f>
        <v>0</v>
      </c>
      <c r="Q478" s="114">
        <f>'Actual RAB roll forward'!Q812</f>
        <v>0</v>
      </c>
      <c r="R478" s="29"/>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235"/>
      <c r="BE478" s="235"/>
      <c r="BF478" s="235"/>
      <c r="BG478" s="235"/>
      <c r="BH478" s="235"/>
      <c r="BI478" s="235"/>
      <c r="BJ478" s="235"/>
      <c r="BK478" s="227"/>
      <c r="BL478" s="227"/>
    </row>
    <row r="479" spans="1:64" hidden="1" outlineLevel="1">
      <c r="A479" s="9"/>
      <c r="B479" s="9"/>
      <c r="C479" s="44"/>
      <c r="D479" s="278" t="str">
        <f>Asset20</f>
        <v>Other - medium life (40)</v>
      </c>
      <c r="E479" s="9"/>
      <c r="F479" s="9"/>
      <c r="G479" s="207">
        <f>'Actual RAB roll forward'!G813</f>
        <v>0</v>
      </c>
      <c r="H479" s="114">
        <f>'Actual RAB roll forward'!H813</f>
        <v>0</v>
      </c>
      <c r="I479" s="114">
        <f>'Actual RAB roll forward'!I813</f>
        <v>6.4728171476598956E-2</v>
      </c>
      <c r="J479" s="114">
        <f>'Actual RAB roll forward'!J813</f>
        <v>-0.24071284622740652</v>
      </c>
      <c r="K479" s="114">
        <f>'Actual RAB roll forward'!K813</f>
        <v>-4.0181938882974944E-2</v>
      </c>
      <c r="L479" s="114">
        <f>'Actual RAB roll forward'!L813</f>
        <v>-5.861763574208545E-2</v>
      </c>
      <c r="M479" s="114">
        <f>'Actual RAB roll forward'!M813</f>
        <v>0</v>
      </c>
      <c r="N479" s="114">
        <f>'Actual RAB roll forward'!N813</f>
        <v>0</v>
      </c>
      <c r="O479" s="114">
        <f>'Actual RAB roll forward'!O813</f>
        <v>0</v>
      </c>
      <c r="P479" s="114">
        <f>'Actual RAB roll forward'!P813</f>
        <v>0</v>
      </c>
      <c r="Q479" s="114">
        <f>'Actual RAB roll forward'!Q813</f>
        <v>0</v>
      </c>
      <c r="R479" s="29"/>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235"/>
      <c r="BE479" s="235"/>
      <c r="BF479" s="235"/>
      <c r="BG479" s="235"/>
      <c r="BH479" s="235"/>
      <c r="BI479" s="235"/>
      <c r="BJ479" s="235"/>
      <c r="BK479" s="227"/>
      <c r="BL479" s="227"/>
    </row>
    <row r="480" spans="1:64" hidden="1" outlineLevel="1">
      <c r="A480" s="9"/>
      <c r="B480" s="9"/>
      <c r="C480" s="44"/>
      <c r="D480" s="278" t="str">
        <f>Asset21</f>
        <v>Other - short life (9)</v>
      </c>
      <c r="E480" s="9"/>
      <c r="F480" s="9"/>
      <c r="G480" s="207">
        <f>'Actual RAB roll forward'!G814</f>
        <v>0</v>
      </c>
      <c r="H480" s="114">
        <f>'Actual RAB roll forward'!H814</f>
        <v>0</v>
      </c>
      <c r="I480" s="114">
        <f>'Actual RAB roll forward'!I814</f>
        <v>-5.88799951223693E-2</v>
      </c>
      <c r="J480" s="114">
        <f>'Actual RAB roll forward'!J814</f>
        <v>-0.17953253914232131</v>
      </c>
      <c r="K480" s="114">
        <f>'Actual RAB roll forward'!K814</f>
        <v>-0.2735116476346805</v>
      </c>
      <c r="L480" s="114">
        <f>'Actual RAB roll forward'!L814</f>
        <v>-0.31049405798822327</v>
      </c>
      <c r="M480" s="114">
        <f>'Actual RAB roll forward'!M814</f>
        <v>0</v>
      </c>
      <c r="N480" s="114">
        <f>'Actual RAB roll forward'!N814</f>
        <v>0</v>
      </c>
      <c r="O480" s="114">
        <f>'Actual RAB roll forward'!O814</f>
        <v>0</v>
      </c>
      <c r="P480" s="114">
        <f>'Actual RAB roll forward'!P814</f>
        <v>0</v>
      </c>
      <c r="Q480" s="114">
        <f>'Actual RAB roll forward'!Q814</f>
        <v>0</v>
      </c>
      <c r="R480" s="29"/>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235"/>
      <c r="BE480" s="235"/>
      <c r="BF480" s="235"/>
      <c r="BG480" s="235"/>
      <c r="BH480" s="235"/>
      <c r="BI480" s="235"/>
      <c r="BJ480" s="235"/>
      <c r="BK480" s="227"/>
      <c r="BL480" s="227"/>
    </row>
    <row r="481" spans="1:64" hidden="1" outlineLevel="1">
      <c r="A481" s="9"/>
      <c r="B481" s="9"/>
      <c r="C481" s="44"/>
      <c r="D481" s="278" t="str">
        <f>Asset22</f>
        <v>Other - short life (4)</v>
      </c>
      <c r="E481" s="9"/>
      <c r="F481" s="9"/>
      <c r="G481" s="207">
        <f>'Actual RAB roll forward'!G815</f>
        <v>0</v>
      </c>
      <c r="H481" s="114">
        <f>'Actual RAB roll forward'!H815</f>
        <v>0</v>
      </c>
      <c r="I481" s="114">
        <f>'Actual RAB roll forward'!I815</f>
        <v>-0.58413091977577247</v>
      </c>
      <c r="J481" s="114">
        <f>'Actual RAB roll forward'!J815</f>
        <v>-1.1701208147960145</v>
      </c>
      <c r="K481" s="114">
        <f>'Actual RAB roll forward'!K815</f>
        <v>-1.6222204329598953</v>
      </c>
      <c r="L481" s="114">
        <f>'Actual RAB roll forward'!L815</f>
        <v>-2.9713678903776377</v>
      </c>
      <c r="M481" s="114">
        <f>'Actual RAB roll forward'!M815</f>
        <v>0</v>
      </c>
      <c r="N481" s="114">
        <f>'Actual RAB roll forward'!N815</f>
        <v>0</v>
      </c>
      <c r="O481" s="114">
        <f>'Actual RAB roll forward'!O815</f>
        <v>0</v>
      </c>
      <c r="P481" s="114">
        <f>'Actual RAB roll forward'!P815</f>
        <v>0</v>
      </c>
      <c r="Q481" s="114">
        <f>'Actual RAB roll forward'!Q815</f>
        <v>0</v>
      </c>
      <c r="R481" s="29"/>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235"/>
      <c r="BE481" s="235"/>
      <c r="BF481" s="235"/>
      <c r="BG481" s="235"/>
      <c r="BH481" s="235"/>
      <c r="BI481" s="235"/>
      <c r="BJ481" s="235"/>
      <c r="BK481" s="227"/>
      <c r="BL481" s="227"/>
    </row>
    <row r="482" spans="1:64" hidden="1" outlineLevel="1">
      <c r="A482" s="9"/>
      <c r="B482" s="9"/>
      <c r="C482" s="44"/>
      <c r="D482" s="278" t="str">
        <f>Asset23</f>
        <v>Land and Easements</v>
      </c>
      <c r="E482" s="9"/>
      <c r="F482" s="9"/>
      <c r="G482" s="207">
        <f>'Actual RAB roll forward'!G816</f>
        <v>0</v>
      </c>
      <c r="H482" s="114">
        <f>'Actual RAB roll forward'!H816</f>
        <v>0</v>
      </c>
      <c r="I482" s="114">
        <f>'Actual RAB roll forward'!I816</f>
        <v>0</v>
      </c>
      <c r="J482" s="114">
        <f>'Actual RAB roll forward'!J816</f>
        <v>2.7620782070362487E-2</v>
      </c>
      <c r="K482" s="114">
        <f>'Actual RAB roll forward'!K816</f>
        <v>5.6384867315226364E-2</v>
      </c>
      <c r="L482" s="114">
        <f>'Actual RAB roll forward'!L816</f>
        <v>9.1646093594005509E-2</v>
      </c>
      <c r="M482" s="114">
        <f>'Actual RAB roll forward'!M816</f>
        <v>0</v>
      </c>
      <c r="N482" s="114">
        <f>'Actual RAB roll forward'!N816</f>
        <v>0</v>
      </c>
      <c r="O482" s="114">
        <f>'Actual RAB roll forward'!O816</f>
        <v>0</v>
      </c>
      <c r="P482" s="114">
        <f>'Actual RAB roll forward'!P816</f>
        <v>0</v>
      </c>
      <c r="Q482" s="114">
        <f>'Actual RAB roll forward'!Q816</f>
        <v>0</v>
      </c>
      <c r="R482" s="29"/>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235"/>
      <c r="BE482" s="235"/>
      <c r="BF482" s="235"/>
      <c r="BG482" s="235"/>
      <c r="BH482" s="235"/>
      <c r="BI482" s="235"/>
      <c r="BJ482" s="235"/>
      <c r="BK482" s="227"/>
      <c r="BL482" s="227"/>
    </row>
    <row r="483" spans="1:64" hidden="1" outlineLevel="1">
      <c r="A483" s="9"/>
      <c r="B483" s="9"/>
      <c r="C483" s="44"/>
      <c r="D483" s="278" t="str">
        <f>Asset24</f>
        <v>Equity Raising</v>
      </c>
      <c r="E483" s="9"/>
      <c r="F483" s="9"/>
      <c r="G483" s="207">
        <f>'Actual RAB roll forward'!G817</f>
        <v>0</v>
      </c>
      <c r="H483" s="114">
        <f>'Actual RAB roll forward'!H817</f>
        <v>0</v>
      </c>
      <c r="I483" s="114">
        <f>'Actual RAB roll forward'!I817</f>
        <v>3.851270590481428E-3</v>
      </c>
      <c r="J483" s="114">
        <f>'Actual RAB roll forward'!J817</f>
        <v>-4.2328222198763053E-3</v>
      </c>
      <c r="K483" s="114">
        <f>'Actual RAB roll forward'!K817</f>
        <v>-3.9987628616819891E-4</v>
      </c>
      <c r="L483" s="114">
        <f>'Actual RAB roll forward'!L817</f>
        <v>-7.0935241078004876E-4</v>
      </c>
      <c r="M483" s="114">
        <f>'Actual RAB roll forward'!M817</f>
        <v>0</v>
      </c>
      <c r="N483" s="114">
        <f>'Actual RAB roll forward'!N817</f>
        <v>0</v>
      </c>
      <c r="O483" s="114">
        <f>'Actual RAB roll forward'!O817</f>
        <v>0</v>
      </c>
      <c r="P483" s="114">
        <f>'Actual RAB roll forward'!P817</f>
        <v>0</v>
      </c>
      <c r="Q483" s="114">
        <f>'Actual RAB roll forward'!Q817</f>
        <v>0</v>
      </c>
      <c r="R483" s="29"/>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235"/>
      <c r="BE483" s="235"/>
      <c r="BF483" s="235"/>
      <c r="BG483" s="235"/>
      <c r="BH483" s="235"/>
      <c r="BI483" s="235"/>
      <c r="BJ483" s="235"/>
      <c r="BK483" s="227"/>
      <c r="BL483" s="227"/>
    </row>
    <row r="484" spans="1:64" hidden="1" outlineLevel="1">
      <c r="A484" s="9"/>
      <c r="B484" s="9"/>
      <c r="C484" s="44"/>
      <c r="D484" s="278">
        <f>Asset25</f>
        <v>0</v>
      </c>
      <c r="E484" s="9"/>
      <c r="F484" s="9"/>
      <c r="G484" s="207">
        <f>'Actual RAB roll forward'!G818</f>
        <v>0</v>
      </c>
      <c r="H484" s="114">
        <f>'Actual RAB roll forward'!H818</f>
        <v>0</v>
      </c>
      <c r="I484" s="114">
        <f>'Actual RAB roll forward'!I818</f>
        <v>0</v>
      </c>
      <c r="J484" s="114">
        <f>'Actual RAB roll forward'!J818</f>
        <v>0</v>
      </c>
      <c r="K484" s="114">
        <f>'Actual RAB roll forward'!K818</f>
        <v>0</v>
      </c>
      <c r="L484" s="114">
        <f>'Actual RAB roll forward'!L818</f>
        <v>0</v>
      </c>
      <c r="M484" s="114">
        <f>'Actual RAB roll forward'!M818</f>
        <v>0</v>
      </c>
      <c r="N484" s="114">
        <f>'Actual RAB roll forward'!N818</f>
        <v>0</v>
      </c>
      <c r="O484" s="114">
        <f>'Actual RAB roll forward'!O818</f>
        <v>0</v>
      </c>
      <c r="P484" s="114">
        <f>'Actual RAB roll forward'!P818</f>
        <v>0</v>
      </c>
      <c r="Q484" s="114">
        <f>'Actual RAB roll forward'!Q818</f>
        <v>0</v>
      </c>
      <c r="R484" s="29"/>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235"/>
      <c r="BE484" s="235"/>
      <c r="BF484" s="235"/>
      <c r="BG484" s="235"/>
      <c r="BH484" s="235"/>
      <c r="BI484" s="235"/>
      <c r="BJ484" s="235"/>
      <c r="BK484" s="227"/>
      <c r="BL484" s="227"/>
    </row>
    <row r="485" spans="1:64" hidden="1" outlineLevel="1">
      <c r="A485" s="9"/>
      <c r="B485" s="9"/>
      <c r="C485" s="44"/>
      <c r="D485" s="278">
        <f>Asset26</f>
        <v>0</v>
      </c>
      <c r="E485" s="9"/>
      <c r="F485" s="9"/>
      <c r="G485" s="207">
        <f>'Actual RAB roll forward'!G819</f>
        <v>0</v>
      </c>
      <c r="H485" s="114">
        <f>'Actual RAB roll forward'!H819</f>
        <v>0</v>
      </c>
      <c r="I485" s="114">
        <f>'Actual RAB roll forward'!I819</f>
        <v>0</v>
      </c>
      <c r="J485" s="114">
        <f>'Actual RAB roll forward'!J819</f>
        <v>0</v>
      </c>
      <c r="K485" s="114">
        <f>'Actual RAB roll forward'!K819</f>
        <v>0</v>
      </c>
      <c r="L485" s="114">
        <f>'Actual RAB roll forward'!L819</f>
        <v>0</v>
      </c>
      <c r="M485" s="114">
        <f>'Actual RAB roll forward'!M819</f>
        <v>0</v>
      </c>
      <c r="N485" s="114">
        <f>'Actual RAB roll forward'!N819</f>
        <v>0</v>
      </c>
      <c r="O485" s="114">
        <f>'Actual RAB roll forward'!O819</f>
        <v>0</v>
      </c>
      <c r="P485" s="114">
        <f>'Actual RAB roll forward'!P819</f>
        <v>0</v>
      </c>
      <c r="Q485" s="114">
        <f>'Actual RAB roll forward'!Q819</f>
        <v>0</v>
      </c>
      <c r="R485" s="29"/>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235"/>
      <c r="BE485" s="235"/>
      <c r="BF485" s="235"/>
      <c r="BG485" s="235"/>
      <c r="BH485" s="235"/>
      <c r="BI485" s="235"/>
      <c r="BJ485" s="235"/>
      <c r="BK485" s="227"/>
      <c r="BL485" s="227"/>
    </row>
    <row r="486" spans="1:64" hidden="1" outlineLevel="1">
      <c r="A486" s="9"/>
      <c r="B486" s="9"/>
      <c r="C486" s="44"/>
      <c r="D486" s="278">
        <f>Asset27</f>
        <v>0</v>
      </c>
      <c r="E486" s="9"/>
      <c r="F486" s="9"/>
      <c r="G486" s="207">
        <f>'Actual RAB roll forward'!G820</f>
        <v>0</v>
      </c>
      <c r="H486" s="114">
        <f>'Actual RAB roll forward'!H820</f>
        <v>0</v>
      </c>
      <c r="I486" s="114">
        <f>'Actual RAB roll forward'!I820</f>
        <v>0</v>
      </c>
      <c r="J486" s="114">
        <f>'Actual RAB roll forward'!J820</f>
        <v>0</v>
      </c>
      <c r="K486" s="114">
        <f>'Actual RAB roll forward'!K820</f>
        <v>0</v>
      </c>
      <c r="L486" s="114">
        <f>'Actual RAB roll forward'!L820</f>
        <v>0</v>
      </c>
      <c r="M486" s="114">
        <f>'Actual RAB roll forward'!M820</f>
        <v>0</v>
      </c>
      <c r="N486" s="114">
        <f>'Actual RAB roll forward'!N820</f>
        <v>0</v>
      </c>
      <c r="O486" s="114">
        <f>'Actual RAB roll forward'!O820</f>
        <v>0</v>
      </c>
      <c r="P486" s="114">
        <f>'Actual RAB roll forward'!P820</f>
        <v>0</v>
      </c>
      <c r="Q486" s="114">
        <f>'Actual RAB roll forward'!Q820</f>
        <v>0</v>
      </c>
      <c r="R486" s="29"/>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235"/>
      <c r="BE486" s="235"/>
      <c r="BF486" s="235"/>
      <c r="BG486" s="235"/>
      <c r="BH486" s="235"/>
      <c r="BI486" s="235"/>
      <c r="BJ486" s="235"/>
      <c r="BK486" s="227"/>
      <c r="BL486" s="227"/>
    </row>
    <row r="487" spans="1:64" hidden="1" outlineLevel="1">
      <c r="A487" s="9"/>
      <c r="B487" s="9"/>
      <c r="C487" s="44"/>
      <c r="D487" s="278">
        <f>Asset28</f>
        <v>0</v>
      </c>
      <c r="E487" s="9"/>
      <c r="F487" s="9"/>
      <c r="G487" s="207">
        <f>'Actual RAB roll forward'!G821</f>
        <v>0</v>
      </c>
      <c r="H487" s="114">
        <f>'Actual RAB roll forward'!H821</f>
        <v>0</v>
      </c>
      <c r="I487" s="114">
        <f>'Actual RAB roll forward'!I821</f>
        <v>0</v>
      </c>
      <c r="J487" s="114">
        <f>'Actual RAB roll forward'!J821</f>
        <v>0</v>
      </c>
      <c r="K487" s="114">
        <f>'Actual RAB roll forward'!K821</f>
        <v>0</v>
      </c>
      <c r="L487" s="114">
        <f>'Actual RAB roll forward'!L821</f>
        <v>0</v>
      </c>
      <c r="M487" s="114">
        <f>'Actual RAB roll forward'!M821</f>
        <v>0</v>
      </c>
      <c r="N487" s="114">
        <f>'Actual RAB roll forward'!N821</f>
        <v>0</v>
      </c>
      <c r="O487" s="114">
        <f>'Actual RAB roll forward'!O821</f>
        <v>0</v>
      </c>
      <c r="P487" s="114">
        <f>'Actual RAB roll forward'!P821</f>
        <v>0</v>
      </c>
      <c r="Q487" s="114">
        <f>'Actual RAB roll forward'!Q821</f>
        <v>0</v>
      </c>
      <c r="R487" s="29"/>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235"/>
      <c r="BE487" s="235"/>
      <c r="BF487" s="235"/>
      <c r="BG487" s="235"/>
      <c r="BH487" s="235"/>
      <c r="BI487" s="235"/>
      <c r="BJ487" s="235"/>
      <c r="BK487" s="227"/>
      <c r="BL487" s="227"/>
    </row>
    <row r="488" spans="1:64" hidden="1" outlineLevel="1">
      <c r="A488" s="9"/>
      <c r="B488" s="9"/>
      <c r="C488" s="44"/>
      <c r="D488" s="278">
        <f>Asset29</f>
        <v>0</v>
      </c>
      <c r="E488" s="9"/>
      <c r="F488" s="9"/>
      <c r="G488" s="207">
        <f>'Actual RAB roll forward'!G822</f>
        <v>0</v>
      </c>
      <c r="H488" s="114">
        <f>'Actual RAB roll forward'!H822</f>
        <v>0</v>
      </c>
      <c r="I488" s="114">
        <f>'Actual RAB roll forward'!I822</f>
        <v>0</v>
      </c>
      <c r="J488" s="114">
        <f>'Actual RAB roll forward'!J822</f>
        <v>0</v>
      </c>
      <c r="K488" s="114">
        <f>'Actual RAB roll forward'!K822</f>
        <v>0</v>
      </c>
      <c r="L488" s="114">
        <f>'Actual RAB roll forward'!L822</f>
        <v>0</v>
      </c>
      <c r="M488" s="114">
        <f>'Actual RAB roll forward'!M822</f>
        <v>0</v>
      </c>
      <c r="N488" s="114">
        <f>'Actual RAB roll forward'!N822</f>
        <v>0</v>
      </c>
      <c r="O488" s="114">
        <f>'Actual RAB roll forward'!O822</f>
        <v>0</v>
      </c>
      <c r="P488" s="114">
        <f>'Actual RAB roll forward'!P822</f>
        <v>0</v>
      </c>
      <c r="Q488" s="114">
        <f>'Actual RAB roll forward'!Q822</f>
        <v>0</v>
      </c>
      <c r="R488" s="29"/>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235"/>
      <c r="BE488" s="235"/>
      <c r="BF488" s="235"/>
      <c r="BG488" s="235"/>
      <c r="BH488" s="235"/>
      <c r="BI488" s="235"/>
      <c r="BJ488" s="235"/>
      <c r="BK488" s="227"/>
      <c r="BL488" s="227"/>
    </row>
    <row r="489" spans="1:64" hidden="1" outlineLevel="1">
      <c r="A489" s="9"/>
      <c r="B489" s="9"/>
      <c r="C489" s="44"/>
      <c r="D489" s="278">
        <f>Asset30</f>
        <v>0</v>
      </c>
      <c r="E489" s="9"/>
      <c r="F489" s="9"/>
      <c r="G489" s="207">
        <f>'Actual RAB roll forward'!G823</f>
        <v>0</v>
      </c>
      <c r="H489" s="114">
        <f>'Actual RAB roll forward'!H823</f>
        <v>0</v>
      </c>
      <c r="I489" s="114">
        <f>'Actual RAB roll forward'!I823</f>
        <v>0</v>
      </c>
      <c r="J489" s="114">
        <f>'Actual RAB roll forward'!J823</f>
        <v>0</v>
      </c>
      <c r="K489" s="114">
        <f>'Actual RAB roll forward'!K823</f>
        <v>0</v>
      </c>
      <c r="L489" s="114">
        <f>'Actual RAB roll forward'!L823</f>
        <v>0</v>
      </c>
      <c r="M489" s="114">
        <f>'Actual RAB roll forward'!M823</f>
        <v>0</v>
      </c>
      <c r="N489" s="114">
        <f>'Actual RAB roll forward'!N823</f>
        <v>0</v>
      </c>
      <c r="O489" s="114">
        <f>'Actual RAB roll forward'!O823</f>
        <v>0</v>
      </c>
      <c r="P489" s="114">
        <f>'Actual RAB roll forward'!P823</f>
        <v>0</v>
      </c>
      <c r="Q489" s="114">
        <f>'Actual RAB roll forward'!Q823</f>
        <v>0</v>
      </c>
      <c r="R489" s="29"/>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235"/>
      <c r="BE489" s="235"/>
      <c r="BF489" s="235"/>
      <c r="BG489" s="235"/>
      <c r="BH489" s="235"/>
      <c r="BI489" s="235"/>
      <c r="BJ489" s="235"/>
      <c r="BK489" s="227"/>
      <c r="BL489" s="227"/>
    </row>
    <row r="490" spans="1:64" collapsed="1">
      <c r="A490" s="9"/>
      <c r="B490" s="9"/>
      <c r="C490" s="44"/>
      <c r="D490" s="130"/>
      <c r="E490" s="9"/>
      <c r="F490" s="9"/>
      <c r="G490" s="216"/>
      <c r="H490" s="114"/>
      <c r="I490" s="114"/>
      <c r="J490" s="114"/>
      <c r="K490" s="114"/>
      <c r="L490" s="114"/>
      <c r="M490" s="114"/>
      <c r="N490" s="104"/>
      <c r="O490" s="29"/>
      <c r="P490" s="29"/>
      <c r="Q490" s="29"/>
      <c r="R490" s="29"/>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235"/>
      <c r="BE490" s="235"/>
      <c r="BF490" s="235"/>
      <c r="BG490" s="235"/>
      <c r="BH490" s="235"/>
      <c r="BI490" s="235"/>
      <c r="BJ490" s="235"/>
      <c r="BK490" s="227"/>
      <c r="BL490" s="227"/>
    </row>
    <row r="491" spans="1:64">
      <c r="A491" s="9"/>
      <c r="B491" s="9"/>
      <c r="C491" s="44" t="s">
        <v>48</v>
      </c>
      <c r="D491" s="116"/>
      <c r="E491" s="9"/>
      <c r="F491" s="9"/>
      <c r="G491" s="320">
        <f>SUM(G492:G521)</f>
        <v>-9.3282752599801135</v>
      </c>
      <c r="H491" s="35"/>
      <c r="I491" s="35"/>
      <c r="J491" s="35"/>
      <c r="K491" s="35"/>
      <c r="L491" s="35"/>
      <c r="M491" s="35"/>
      <c r="N491" s="104"/>
      <c r="O491" s="29"/>
      <c r="P491" s="29"/>
      <c r="Q491" s="29"/>
      <c r="R491" s="29"/>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235"/>
      <c r="BE491" s="235"/>
      <c r="BF491" s="235"/>
      <c r="BG491" s="235"/>
      <c r="BH491" s="235"/>
      <c r="BI491" s="235"/>
      <c r="BJ491" s="235"/>
      <c r="BK491" s="227"/>
      <c r="BL491" s="227"/>
    </row>
    <row r="492" spans="1:64" hidden="1" outlineLevel="1">
      <c r="A492" s="9"/>
      <c r="B492" s="9"/>
      <c r="C492" s="9"/>
      <c r="D492" s="278" t="str">
        <f>Asset1</f>
        <v>Transmission Lines and Cables</v>
      </c>
      <c r="E492" s="9"/>
      <c r="F492" s="9"/>
      <c r="G492" s="210">
        <f>'Actual RAB roll forward'!G826</f>
        <v>-6.670889526632461</v>
      </c>
      <c r="H492" s="35"/>
      <c r="I492" s="35"/>
      <c r="J492" s="35"/>
      <c r="K492" s="35"/>
      <c r="L492" s="35"/>
      <c r="M492" s="35"/>
      <c r="N492" s="104"/>
      <c r="O492" s="29"/>
      <c r="P492" s="29"/>
      <c r="Q492" s="29"/>
      <c r="R492" s="29"/>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235"/>
      <c r="BE492" s="235"/>
      <c r="BF492" s="235"/>
      <c r="BG492" s="235"/>
      <c r="BH492" s="235"/>
      <c r="BI492" s="235"/>
      <c r="BJ492" s="235"/>
      <c r="BK492" s="227"/>
      <c r="BL492" s="227"/>
    </row>
    <row r="493" spans="1:64" hidden="1" outlineLevel="1">
      <c r="A493" s="9"/>
      <c r="B493" s="9"/>
      <c r="C493" s="44"/>
      <c r="D493" s="278" t="str">
        <f>Asset2</f>
        <v>Transmission Substations</v>
      </c>
      <c r="E493" s="9"/>
      <c r="F493" s="9"/>
      <c r="G493" s="210">
        <f>'Actual RAB roll forward'!G827</f>
        <v>-24.619744597623882</v>
      </c>
      <c r="H493" s="35"/>
      <c r="I493" s="35"/>
      <c r="J493" s="35"/>
      <c r="K493" s="35"/>
      <c r="L493" s="35"/>
      <c r="M493" s="35"/>
      <c r="N493" s="104"/>
      <c r="O493" s="29"/>
      <c r="P493" s="29"/>
      <c r="Q493" s="29"/>
      <c r="R493" s="29"/>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235"/>
      <c r="BE493" s="235"/>
      <c r="BF493" s="235"/>
      <c r="BG493" s="235"/>
      <c r="BH493" s="235"/>
      <c r="BI493" s="235"/>
      <c r="BJ493" s="235"/>
      <c r="BK493" s="227"/>
      <c r="BL493" s="227"/>
    </row>
    <row r="494" spans="1:64" hidden="1" outlineLevel="1">
      <c r="A494" s="9"/>
      <c r="B494" s="9"/>
      <c r="C494" s="44"/>
      <c r="D494" s="278" t="str">
        <f>Asset3</f>
        <v>Protection and Control</v>
      </c>
      <c r="E494" s="9"/>
      <c r="F494" s="9"/>
      <c r="G494" s="210">
        <f>'Actual RAB roll forward'!G828</f>
        <v>8.0081413556646659</v>
      </c>
      <c r="H494" s="35"/>
      <c r="I494" s="35"/>
      <c r="J494" s="35"/>
      <c r="K494" s="35"/>
      <c r="L494" s="35"/>
      <c r="M494" s="35"/>
      <c r="N494" s="104"/>
      <c r="O494" s="29"/>
      <c r="P494" s="29"/>
      <c r="Q494" s="29"/>
      <c r="R494" s="29"/>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235"/>
      <c r="BE494" s="235"/>
      <c r="BF494" s="235"/>
      <c r="BG494" s="235"/>
      <c r="BH494" s="235"/>
      <c r="BI494" s="235"/>
      <c r="BJ494" s="235"/>
      <c r="BK494" s="227"/>
      <c r="BL494" s="227"/>
    </row>
    <row r="495" spans="1:64" hidden="1" outlineLevel="1">
      <c r="A495" s="9"/>
      <c r="B495" s="9"/>
      <c r="C495" s="44"/>
      <c r="D495" s="278" t="str">
        <f>Asset4</f>
        <v>Refurbishment</v>
      </c>
      <c r="E495" s="9"/>
      <c r="F495" s="9"/>
      <c r="G495" s="210">
        <f>'Actual RAB roll forward'!G829</f>
        <v>-15.141625906629972</v>
      </c>
      <c r="H495" s="35"/>
      <c r="I495" s="35"/>
      <c r="J495" s="35"/>
      <c r="K495" s="35"/>
      <c r="L495" s="35"/>
      <c r="M495" s="35"/>
      <c r="N495" s="104"/>
      <c r="O495" s="29"/>
      <c r="P495" s="29"/>
      <c r="Q495" s="29"/>
      <c r="R495" s="29"/>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235"/>
      <c r="BE495" s="235"/>
      <c r="BF495" s="235"/>
      <c r="BG495" s="235"/>
      <c r="BH495" s="235"/>
      <c r="BI495" s="235"/>
      <c r="BJ495" s="235"/>
      <c r="BK495" s="227"/>
      <c r="BL495" s="227"/>
    </row>
    <row r="496" spans="1:64" hidden="1" outlineLevel="1">
      <c r="A496" s="9"/>
      <c r="B496" s="9"/>
      <c r="C496" s="44"/>
      <c r="D496" s="278" t="str">
        <f>Asset5</f>
        <v>Other</v>
      </c>
      <c r="E496" s="9"/>
      <c r="F496" s="9"/>
      <c r="G496" s="210">
        <f>'Actual RAB roll forward'!G830</f>
        <v>-0.4872756071361764</v>
      </c>
      <c r="H496" s="35"/>
      <c r="I496" s="35"/>
      <c r="J496" s="35"/>
      <c r="K496" s="35"/>
      <c r="L496" s="35"/>
      <c r="M496" s="35"/>
      <c r="N496" s="104"/>
      <c r="O496" s="29"/>
      <c r="P496" s="29"/>
      <c r="Q496" s="29"/>
      <c r="R496" s="29"/>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235"/>
      <c r="BE496" s="235"/>
      <c r="BF496" s="235"/>
      <c r="BG496" s="235"/>
      <c r="BH496" s="235"/>
      <c r="BI496" s="235"/>
      <c r="BJ496" s="235"/>
      <c r="BK496" s="227"/>
      <c r="BL496" s="227"/>
    </row>
    <row r="497" spans="1:64" hidden="1" outlineLevel="1">
      <c r="A497" s="9"/>
      <c r="B497" s="9"/>
      <c r="C497" s="44"/>
      <c r="D497" s="278" t="str">
        <f>Asset6</f>
        <v>Other - IT</v>
      </c>
      <c r="E497" s="9"/>
      <c r="F497" s="9"/>
      <c r="G497" s="210">
        <f>'Actual RAB roll forward'!G831</f>
        <v>18.655537634766787</v>
      </c>
      <c r="H497" s="35"/>
      <c r="I497" s="35"/>
      <c r="J497" s="35"/>
      <c r="K497" s="35"/>
      <c r="L497" s="35"/>
      <c r="M497" s="35"/>
      <c r="N497" s="104"/>
      <c r="O497" s="29"/>
      <c r="P497" s="29"/>
      <c r="Q497" s="29"/>
      <c r="R497" s="29"/>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235"/>
      <c r="BE497" s="235"/>
      <c r="BF497" s="235"/>
      <c r="BG497" s="235"/>
      <c r="BH497" s="235"/>
      <c r="BI497" s="235"/>
      <c r="BJ497" s="235"/>
      <c r="BK497" s="227"/>
      <c r="BL497" s="227"/>
    </row>
    <row r="498" spans="1:64" hidden="1" outlineLevel="1">
      <c r="A498" s="9"/>
      <c r="B498" s="9"/>
      <c r="C498" s="44"/>
      <c r="D498" s="278" t="str">
        <f>Asset7</f>
        <v>Other - General</v>
      </c>
      <c r="E498" s="9"/>
      <c r="F498" s="9"/>
      <c r="G498" s="210">
        <f>'Actual RAB roll forward'!G832</f>
        <v>-4.3670255217504392</v>
      </c>
      <c r="H498" s="35"/>
      <c r="I498" s="35"/>
      <c r="J498" s="35"/>
      <c r="K498" s="35"/>
      <c r="L498" s="35"/>
      <c r="M498" s="35"/>
      <c r="N498" s="104"/>
      <c r="O498" s="29"/>
      <c r="P498" s="29"/>
      <c r="Q498" s="29"/>
      <c r="R498" s="29"/>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235"/>
      <c r="BE498" s="235"/>
      <c r="BF498" s="235"/>
      <c r="BG498" s="235"/>
      <c r="BH498" s="235"/>
      <c r="BI498" s="235"/>
      <c r="BJ498" s="235"/>
      <c r="BK498" s="227"/>
      <c r="BL498" s="227"/>
    </row>
    <row r="499" spans="1:64" hidden="1" outlineLevel="1">
      <c r="A499" s="9"/>
      <c r="B499" s="9"/>
      <c r="C499" s="44"/>
      <c r="D499" s="278" t="str">
        <f>Asset8</f>
        <v>Other - Buildings</v>
      </c>
      <c r="E499" s="9"/>
      <c r="F499" s="9"/>
      <c r="G499" s="210">
        <f>'Actual RAB roll forward'!G833</f>
        <v>12.501824253719461</v>
      </c>
      <c r="H499" s="35"/>
      <c r="I499" s="35"/>
      <c r="J499" s="35"/>
      <c r="K499" s="35"/>
      <c r="L499" s="35"/>
      <c r="M499" s="35"/>
      <c r="N499" s="104"/>
      <c r="O499" s="29"/>
      <c r="P499" s="29"/>
      <c r="Q499" s="29"/>
      <c r="R499" s="29"/>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235"/>
      <c r="BE499" s="235"/>
      <c r="BF499" s="235"/>
      <c r="BG499" s="235"/>
      <c r="BH499" s="235"/>
      <c r="BI499" s="235"/>
      <c r="BJ499" s="235"/>
      <c r="BK499" s="227"/>
      <c r="BL499" s="227"/>
    </row>
    <row r="500" spans="1:64" hidden="1" outlineLevel="1">
      <c r="A500" s="9"/>
      <c r="B500" s="9"/>
      <c r="C500" s="44"/>
      <c r="D500" s="278" t="str">
        <f>Asset9</f>
        <v>Land and Easements</v>
      </c>
      <c r="E500" s="9"/>
      <c r="F500" s="9"/>
      <c r="G500" s="210">
        <f>'Actual RAB roll forward'!G834</f>
        <v>2.7927826556419029</v>
      </c>
      <c r="H500" s="35"/>
      <c r="I500" s="35"/>
      <c r="J500" s="35"/>
      <c r="K500" s="35"/>
      <c r="L500" s="35"/>
      <c r="M500" s="35"/>
      <c r="N500" s="104"/>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235"/>
      <c r="BE500" s="235"/>
      <c r="BF500" s="235"/>
      <c r="BG500" s="235"/>
      <c r="BH500" s="235"/>
      <c r="BI500" s="235"/>
      <c r="BJ500" s="235"/>
      <c r="BK500" s="227"/>
      <c r="BL500" s="227"/>
    </row>
    <row r="501" spans="1:64" hidden="1" outlineLevel="1">
      <c r="A501" s="9"/>
      <c r="B501" s="9"/>
      <c r="C501" s="44"/>
      <c r="D501" s="278" t="str">
        <f>Asset10</f>
        <v>Transmission line assets - long life (60)</v>
      </c>
      <c r="E501" s="9"/>
      <c r="F501" s="9"/>
      <c r="G501" s="210">
        <f>'Actual RAB roll forward'!G835</f>
        <v>0</v>
      </c>
      <c r="H501" s="35"/>
      <c r="I501" s="35"/>
      <c r="J501" s="35"/>
      <c r="K501" s="35"/>
      <c r="L501" s="35"/>
      <c r="M501" s="35"/>
      <c r="N501" s="104"/>
      <c r="O501" s="29"/>
      <c r="P501" s="29"/>
      <c r="Q501" s="29"/>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235"/>
      <c r="BE501" s="235"/>
      <c r="BF501" s="235"/>
      <c r="BG501" s="235"/>
      <c r="BH501" s="235"/>
      <c r="BI501" s="235"/>
      <c r="BJ501" s="235"/>
      <c r="BK501" s="227"/>
      <c r="BL501" s="227"/>
    </row>
    <row r="502" spans="1:64" hidden="1" outlineLevel="1">
      <c r="A502" s="9"/>
      <c r="B502" s="9"/>
      <c r="C502" s="44"/>
      <c r="D502" s="278" t="str">
        <f>Asset11</f>
        <v>Transmission line assets - medium life (45)</v>
      </c>
      <c r="E502" s="9"/>
      <c r="F502" s="9"/>
      <c r="G502" s="210">
        <f>'Actual RAB roll forward'!G836</f>
        <v>0</v>
      </c>
      <c r="H502" s="35"/>
      <c r="I502" s="35"/>
      <c r="J502" s="35"/>
      <c r="K502" s="35"/>
      <c r="L502" s="35"/>
      <c r="M502" s="35"/>
      <c r="N502" s="104"/>
      <c r="O502" s="29"/>
      <c r="P502" s="29"/>
      <c r="Q502" s="29"/>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235"/>
      <c r="BE502" s="235"/>
      <c r="BF502" s="235"/>
      <c r="BG502" s="235"/>
      <c r="BH502" s="235"/>
      <c r="BI502" s="235"/>
      <c r="BJ502" s="235"/>
      <c r="BK502" s="227"/>
      <c r="BL502" s="227"/>
    </row>
    <row r="503" spans="1:64" hidden="1" outlineLevel="1">
      <c r="A503" s="9"/>
      <c r="B503" s="9"/>
      <c r="C503" s="44"/>
      <c r="D503" s="278" t="str">
        <f>Asset12</f>
        <v>Transmission line assets - short life (10)</v>
      </c>
      <c r="E503" s="9"/>
      <c r="F503" s="9"/>
      <c r="G503" s="210">
        <f>'Actual RAB roll forward'!G837</f>
        <v>0</v>
      </c>
      <c r="H503" s="35"/>
      <c r="I503" s="35"/>
      <c r="J503" s="35"/>
      <c r="K503" s="35"/>
      <c r="L503" s="35"/>
      <c r="M503" s="35"/>
      <c r="N503" s="104"/>
      <c r="O503" s="29"/>
      <c r="P503" s="29"/>
      <c r="Q503" s="29"/>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235"/>
      <c r="BE503" s="235"/>
      <c r="BF503" s="235"/>
      <c r="BG503" s="235"/>
      <c r="BH503" s="235"/>
      <c r="BI503" s="235"/>
      <c r="BJ503" s="235"/>
      <c r="BK503" s="227"/>
      <c r="BL503" s="227"/>
    </row>
    <row r="504" spans="1:64" hidden="1" outlineLevel="1">
      <c r="A504" s="9"/>
      <c r="B504" s="9"/>
      <c r="C504" s="44"/>
      <c r="D504" s="278" t="str">
        <f>Asset13</f>
        <v>Substation assets - long life (60)</v>
      </c>
      <c r="E504" s="9"/>
      <c r="F504" s="9"/>
      <c r="G504" s="210">
        <f>'Actual RAB roll forward'!G838</f>
        <v>0</v>
      </c>
      <c r="H504" s="35"/>
      <c r="I504" s="35"/>
      <c r="J504" s="35"/>
      <c r="K504" s="35"/>
      <c r="L504" s="35"/>
      <c r="M504" s="35"/>
      <c r="N504" s="104"/>
      <c r="O504" s="29"/>
      <c r="P504" s="29"/>
      <c r="Q504" s="29"/>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235"/>
      <c r="BE504" s="235"/>
      <c r="BF504" s="235"/>
      <c r="BG504" s="235"/>
      <c r="BH504" s="235"/>
      <c r="BI504" s="235"/>
      <c r="BJ504" s="235"/>
      <c r="BK504" s="227"/>
      <c r="BL504" s="227"/>
    </row>
    <row r="505" spans="1:64" hidden="1" outlineLevel="1">
      <c r="A505" s="9"/>
      <c r="B505" s="9"/>
      <c r="C505" s="44"/>
      <c r="D505" s="278" t="str">
        <f>Asset14</f>
        <v>Substation assets - medium life (45)</v>
      </c>
      <c r="E505" s="9"/>
      <c r="F505" s="9"/>
      <c r="G505" s="210">
        <f>'Actual RAB roll forward'!G839</f>
        <v>0</v>
      </c>
      <c r="H505" s="35"/>
      <c r="I505" s="35"/>
      <c r="J505" s="35"/>
      <c r="K505" s="35"/>
      <c r="L505" s="35"/>
      <c r="M505" s="35"/>
      <c r="N505" s="104"/>
      <c r="O505" s="29"/>
      <c r="P505" s="29"/>
      <c r="Q505" s="29"/>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235"/>
      <c r="BE505" s="235"/>
      <c r="BF505" s="235"/>
      <c r="BG505" s="235"/>
      <c r="BH505" s="235"/>
      <c r="BI505" s="235"/>
      <c r="BJ505" s="235"/>
      <c r="BK505" s="227"/>
      <c r="BL505" s="227"/>
    </row>
    <row r="506" spans="1:64" hidden="1" outlineLevel="1">
      <c r="A506" s="9"/>
      <c r="B506" s="9"/>
      <c r="C506" s="44"/>
      <c r="D506" s="278" t="str">
        <f>Asset15</f>
        <v>Substation assets - short life (15)</v>
      </c>
      <c r="E506" s="9"/>
      <c r="F506" s="9"/>
      <c r="G506" s="210">
        <f>'Actual RAB roll forward'!G840</f>
        <v>0</v>
      </c>
      <c r="H506" s="35"/>
      <c r="I506" s="35"/>
      <c r="J506" s="35"/>
      <c r="K506" s="35"/>
      <c r="L506" s="35"/>
      <c r="M506" s="35"/>
      <c r="N506" s="104"/>
      <c r="O506" s="29"/>
      <c r="P506" s="29"/>
      <c r="Q506" s="29"/>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235"/>
      <c r="BE506" s="235"/>
      <c r="BF506" s="235"/>
      <c r="BG506" s="235"/>
      <c r="BH506" s="235"/>
      <c r="BI506" s="235"/>
      <c r="BJ506" s="235"/>
      <c r="BK506" s="227"/>
      <c r="BL506" s="227"/>
    </row>
    <row r="507" spans="1:64" hidden="1" outlineLevel="1">
      <c r="A507" s="9"/>
      <c r="B507" s="9"/>
      <c r="C507" s="44"/>
      <c r="D507" s="278" t="str">
        <f>Asset16</f>
        <v>Protection and control - short life (15)</v>
      </c>
      <c r="E507" s="9"/>
      <c r="F507" s="9"/>
      <c r="G507" s="210">
        <f>'Actual RAB roll forward'!G841</f>
        <v>0</v>
      </c>
      <c r="H507" s="35"/>
      <c r="I507" s="35"/>
      <c r="J507" s="35"/>
      <c r="K507" s="35"/>
      <c r="L507" s="35"/>
      <c r="M507" s="35"/>
      <c r="N507" s="104"/>
      <c r="O507" s="29"/>
      <c r="P507" s="29"/>
      <c r="Q507" s="29"/>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235"/>
      <c r="BE507" s="235"/>
      <c r="BF507" s="235"/>
      <c r="BG507" s="235"/>
      <c r="BH507" s="235"/>
      <c r="BI507" s="235"/>
      <c r="BJ507" s="235"/>
      <c r="BK507" s="227"/>
      <c r="BL507" s="227"/>
    </row>
    <row r="508" spans="1:64" hidden="1" outlineLevel="1">
      <c r="A508" s="9"/>
      <c r="B508" s="9"/>
      <c r="C508" s="44"/>
      <c r="D508" s="278" t="str">
        <f>Asset17</f>
        <v>Protection and control - short life (4)</v>
      </c>
      <c r="E508" s="9"/>
      <c r="F508" s="9"/>
      <c r="G508" s="210">
        <f>'Actual RAB roll forward'!G842</f>
        <v>0</v>
      </c>
      <c r="H508" s="35"/>
      <c r="I508" s="35"/>
      <c r="J508" s="35"/>
      <c r="K508" s="35"/>
      <c r="L508" s="35"/>
      <c r="M508" s="35"/>
      <c r="N508" s="104"/>
      <c r="O508" s="29"/>
      <c r="P508" s="29"/>
      <c r="Q508" s="29"/>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235"/>
      <c r="BE508" s="235"/>
      <c r="BF508" s="235"/>
      <c r="BG508" s="235"/>
      <c r="BH508" s="235"/>
      <c r="BI508" s="235"/>
      <c r="BJ508" s="235"/>
      <c r="BK508" s="227"/>
      <c r="BL508" s="227"/>
    </row>
    <row r="509" spans="1:64" hidden="1" outlineLevel="1">
      <c r="A509" s="9"/>
      <c r="B509" s="9"/>
      <c r="C509" s="44"/>
      <c r="D509" s="278" t="str">
        <f>Asset18</f>
        <v>Transmission operations - short life (10)</v>
      </c>
      <c r="E509" s="9"/>
      <c r="F509" s="9"/>
      <c r="G509" s="210">
        <f>'Actual RAB roll forward'!G843</f>
        <v>0</v>
      </c>
      <c r="H509" s="35"/>
      <c r="I509" s="35"/>
      <c r="J509" s="35"/>
      <c r="K509" s="35"/>
      <c r="L509" s="35"/>
      <c r="M509" s="35"/>
      <c r="N509" s="104"/>
      <c r="O509" s="29"/>
      <c r="P509" s="29"/>
      <c r="Q509" s="29"/>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235"/>
      <c r="BE509" s="235"/>
      <c r="BF509" s="235"/>
      <c r="BG509" s="235"/>
      <c r="BH509" s="235"/>
      <c r="BI509" s="235"/>
      <c r="BJ509" s="235"/>
      <c r="BK509" s="227"/>
      <c r="BL509" s="227"/>
    </row>
    <row r="510" spans="1:64" hidden="1" outlineLevel="1">
      <c r="A510" s="9"/>
      <c r="B510" s="9"/>
      <c r="C510" s="44"/>
      <c r="D510" s="278" t="str">
        <f>Asset19</f>
        <v>Transmission operations - short life (4)</v>
      </c>
      <c r="E510" s="9"/>
      <c r="F510" s="9"/>
      <c r="G510" s="210">
        <f>'Actual RAB roll forward'!G844</f>
        <v>0</v>
      </c>
      <c r="H510" s="35"/>
      <c r="I510" s="35"/>
      <c r="J510" s="35"/>
      <c r="K510" s="35"/>
      <c r="L510" s="35"/>
      <c r="M510" s="35"/>
      <c r="N510" s="104"/>
      <c r="O510" s="29"/>
      <c r="P510" s="29"/>
      <c r="Q510" s="29"/>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235"/>
      <c r="BE510" s="235"/>
      <c r="BF510" s="235"/>
      <c r="BG510" s="235"/>
      <c r="BH510" s="235"/>
      <c r="BI510" s="235"/>
      <c r="BJ510" s="235"/>
      <c r="BK510" s="227"/>
      <c r="BL510" s="227"/>
    </row>
    <row r="511" spans="1:64" hidden="1" outlineLevel="1">
      <c r="A511" s="9"/>
      <c r="B511" s="9"/>
      <c r="C511" s="44"/>
      <c r="D511" s="278" t="str">
        <f>Asset20</f>
        <v>Other - medium life (40)</v>
      </c>
      <c r="E511" s="9"/>
      <c r="F511" s="9"/>
      <c r="G511" s="210">
        <f>'Actual RAB roll forward'!G845</f>
        <v>0</v>
      </c>
      <c r="H511" s="35"/>
      <c r="I511" s="35"/>
      <c r="J511" s="35"/>
      <c r="K511" s="35"/>
      <c r="L511" s="35"/>
      <c r="M511" s="35"/>
      <c r="N511" s="104"/>
      <c r="O511" s="29"/>
      <c r="P511" s="29"/>
      <c r="Q511" s="29"/>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235"/>
      <c r="BE511" s="235"/>
      <c r="BF511" s="235"/>
      <c r="BG511" s="235"/>
      <c r="BH511" s="235"/>
      <c r="BI511" s="235"/>
      <c r="BJ511" s="235"/>
      <c r="BK511" s="227"/>
      <c r="BL511" s="227"/>
    </row>
    <row r="512" spans="1:64" hidden="1" outlineLevel="1">
      <c r="A512" s="9"/>
      <c r="B512" s="9"/>
      <c r="C512" s="44"/>
      <c r="D512" s="278" t="str">
        <f>Asset21</f>
        <v>Other - short life (9)</v>
      </c>
      <c r="E512" s="9"/>
      <c r="F512" s="9"/>
      <c r="G512" s="210">
        <f>'Actual RAB roll forward'!G846</f>
        <v>0</v>
      </c>
      <c r="H512" s="35"/>
      <c r="I512" s="35"/>
      <c r="J512" s="35"/>
      <c r="K512" s="35"/>
      <c r="L512" s="35"/>
      <c r="M512" s="35"/>
      <c r="N512" s="104"/>
      <c r="O512" s="29"/>
      <c r="P512" s="29"/>
      <c r="Q512" s="29"/>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235"/>
      <c r="BE512" s="235"/>
      <c r="BF512" s="235"/>
      <c r="BG512" s="235"/>
      <c r="BH512" s="235"/>
      <c r="BI512" s="235"/>
      <c r="BJ512" s="235"/>
      <c r="BK512" s="227"/>
      <c r="BL512" s="227"/>
    </row>
    <row r="513" spans="1:64" hidden="1" outlineLevel="1">
      <c r="A513" s="9"/>
      <c r="B513" s="9"/>
      <c r="C513" s="44"/>
      <c r="D513" s="278" t="str">
        <f>Asset22</f>
        <v>Other - short life (4)</v>
      </c>
      <c r="E513" s="9"/>
      <c r="F513" s="9"/>
      <c r="G513" s="210">
        <f>'Actual RAB roll forward'!G847</f>
        <v>0</v>
      </c>
      <c r="H513" s="35"/>
      <c r="I513" s="35"/>
      <c r="J513" s="35"/>
      <c r="K513" s="35"/>
      <c r="L513" s="35"/>
      <c r="M513" s="35"/>
      <c r="N513" s="104"/>
      <c r="O513" s="29"/>
      <c r="P513" s="29"/>
      <c r="Q513" s="29"/>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235"/>
      <c r="BE513" s="235"/>
      <c r="BF513" s="235"/>
      <c r="BG513" s="235"/>
      <c r="BH513" s="235"/>
      <c r="BI513" s="235"/>
      <c r="BJ513" s="235"/>
      <c r="BK513" s="227"/>
      <c r="BL513" s="227"/>
    </row>
    <row r="514" spans="1:64" hidden="1" outlineLevel="1">
      <c r="A514" s="9"/>
      <c r="B514" s="9"/>
      <c r="C514" s="44"/>
      <c r="D514" s="278" t="str">
        <f>Asset23</f>
        <v>Land and Easements</v>
      </c>
      <c r="E514" s="9"/>
      <c r="F514" s="9"/>
      <c r="G514" s="210">
        <f>'Actual RAB roll forward'!G848</f>
        <v>0</v>
      </c>
      <c r="H514" s="35"/>
      <c r="I514" s="35"/>
      <c r="J514" s="35"/>
      <c r="K514" s="35"/>
      <c r="L514" s="35"/>
      <c r="M514" s="35"/>
      <c r="N514" s="104"/>
      <c r="O514" s="29"/>
      <c r="P514" s="29"/>
      <c r="Q514" s="29"/>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235"/>
      <c r="BE514" s="235"/>
      <c r="BF514" s="235"/>
      <c r="BG514" s="235"/>
      <c r="BH514" s="235"/>
      <c r="BI514" s="235"/>
      <c r="BJ514" s="235"/>
      <c r="BK514" s="227"/>
      <c r="BL514" s="227"/>
    </row>
    <row r="515" spans="1:64" hidden="1" outlineLevel="1">
      <c r="A515" s="9"/>
      <c r="B515" s="9"/>
      <c r="C515" s="44"/>
      <c r="D515" s="278" t="str">
        <f>Asset24</f>
        <v>Equity Raising</v>
      </c>
      <c r="E515" s="9"/>
      <c r="F515" s="9"/>
      <c r="G515" s="210">
        <f>'Actual RAB roll forward'!G849</f>
        <v>0</v>
      </c>
      <c r="H515" s="35"/>
      <c r="I515" s="35"/>
      <c r="J515" s="35"/>
      <c r="K515" s="35"/>
      <c r="L515" s="35"/>
      <c r="M515" s="35"/>
      <c r="N515" s="104"/>
      <c r="O515" s="29"/>
      <c r="P515" s="29"/>
      <c r="Q515" s="29"/>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235"/>
      <c r="BE515" s="235"/>
      <c r="BF515" s="235"/>
      <c r="BG515" s="235"/>
      <c r="BH515" s="235"/>
      <c r="BI515" s="235"/>
      <c r="BJ515" s="235"/>
      <c r="BK515" s="227"/>
      <c r="BL515" s="227"/>
    </row>
    <row r="516" spans="1:64" hidden="1" outlineLevel="1">
      <c r="A516" s="9"/>
      <c r="B516" s="9"/>
      <c r="C516" s="44"/>
      <c r="D516" s="278">
        <f>Asset25</f>
        <v>0</v>
      </c>
      <c r="E516" s="9"/>
      <c r="F516" s="9"/>
      <c r="G516" s="210">
        <f>'Actual RAB roll forward'!G850</f>
        <v>0</v>
      </c>
      <c r="H516" s="35"/>
      <c r="I516" s="35"/>
      <c r="J516" s="35"/>
      <c r="K516" s="35"/>
      <c r="L516" s="35"/>
      <c r="M516" s="35"/>
      <c r="N516" s="104"/>
      <c r="O516" s="29"/>
      <c r="P516" s="29"/>
      <c r="Q516" s="29"/>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235"/>
      <c r="BE516" s="235"/>
      <c r="BF516" s="235"/>
      <c r="BG516" s="235"/>
      <c r="BH516" s="235"/>
      <c r="BI516" s="235"/>
      <c r="BJ516" s="235"/>
      <c r="BK516" s="227"/>
      <c r="BL516" s="227"/>
    </row>
    <row r="517" spans="1:64" hidden="1" outlineLevel="1">
      <c r="A517" s="9"/>
      <c r="B517" s="9"/>
      <c r="C517" s="44"/>
      <c r="D517" s="278">
        <f>Asset26</f>
        <v>0</v>
      </c>
      <c r="E517" s="9"/>
      <c r="F517" s="9"/>
      <c r="G517" s="210">
        <f>'Actual RAB roll forward'!G851</f>
        <v>0</v>
      </c>
      <c r="H517" s="35"/>
      <c r="I517" s="35"/>
      <c r="J517" s="35"/>
      <c r="K517" s="35"/>
      <c r="L517" s="35"/>
      <c r="M517" s="35"/>
      <c r="N517" s="104"/>
      <c r="O517" s="29"/>
      <c r="P517" s="29"/>
      <c r="Q517" s="29"/>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235"/>
      <c r="BE517" s="235"/>
      <c r="BF517" s="235"/>
      <c r="BG517" s="235"/>
      <c r="BH517" s="235"/>
      <c r="BI517" s="235"/>
      <c r="BJ517" s="235"/>
      <c r="BK517" s="227"/>
      <c r="BL517" s="227"/>
    </row>
    <row r="518" spans="1:64" hidden="1" outlineLevel="1">
      <c r="A518" s="9"/>
      <c r="B518" s="9"/>
      <c r="C518" s="44"/>
      <c r="D518" s="278">
        <f>Asset27</f>
        <v>0</v>
      </c>
      <c r="E518" s="9"/>
      <c r="F518" s="9"/>
      <c r="G518" s="210">
        <f>'Actual RAB roll forward'!G852</f>
        <v>0</v>
      </c>
      <c r="H518" s="35"/>
      <c r="I518" s="35"/>
      <c r="J518" s="35"/>
      <c r="K518" s="35"/>
      <c r="L518" s="35"/>
      <c r="M518" s="35"/>
      <c r="N518" s="104"/>
      <c r="O518" s="29"/>
      <c r="P518" s="29"/>
      <c r="Q518" s="29"/>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235"/>
      <c r="BE518" s="235"/>
      <c r="BF518" s="235"/>
      <c r="BG518" s="235"/>
      <c r="BH518" s="235"/>
      <c r="BI518" s="235"/>
      <c r="BJ518" s="235"/>
      <c r="BK518" s="227"/>
      <c r="BL518" s="227"/>
    </row>
    <row r="519" spans="1:64" hidden="1" outlineLevel="1">
      <c r="A519" s="9"/>
      <c r="B519" s="9"/>
      <c r="C519" s="44"/>
      <c r="D519" s="278">
        <f>Asset28</f>
        <v>0</v>
      </c>
      <c r="E519" s="9"/>
      <c r="F519" s="9"/>
      <c r="G519" s="210">
        <f>'Actual RAB roll forward'!G853</f>
        <v>0</v>
      </c>
      <c r="H519" s="35"/>
      <c r="I519" s="35"/>
      <c r="J519" s="35"/>
      <c r="K519" s="35"/>
      <c r="L519" s="35"/>
      <c r="M519" s="35"/>
      <c r="N519" s="104"/>
      <c r="O519" s="29"/>
      <c r="P519" s="29"/>
      <c r="Q519" s="29"/>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235"/>
      <c r="BE519" s="235"/>
      <c r="BF519" s="235"/>
      <c r="BG519" s="235"/>
      <c r="BH519" s="235"/>
      <c r="BI519" s="235"/>
      <c r="BJ519" s="235"/>
      <c r="BK519" s="227"/>
      <c r="BL519" s="227"/>
    </row>
    <row r="520" spans="1:64" hidden="1" outlineLevel="1">
      <c r="A520" s="9"/>
      <c r="B520" s="9"/>
      <c r="C520" s="44"/>
      <c r="D520" s="278">
        <f>Asset29</f>
        <v>0</v>
      </c>
      <c r="E520" s="9"/>
      <c r="F520" s="9"/>
      <c r="G520" s="210">
        <f>'Actual RAB roll forward'!G854</f>
        <v>0</v>
      </c>
      <c r="H520" s="35"/>
      <c r="I520" s="35"/>
      <c r="J520" s="35"/>
      <c r="K520" s="35"/>
      <c r="L520" s="35"/>
      <c r="M520" s="35"/>
      <c r="N520" s="104"/>
      <c r="O520" s="29"/>
      <c r="P520" s="29"/>
      <c r="Q520" s="29"/>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235"/>
      <c r="BE520" s="235"/>
      <c r="BF520" s="235"/>
      <c r="BG520" s="235"/>
      <c r="BH520" s="235"/>
      <c r="BI520" s="235"/>
      <c r="BJ520" s="235"/>
      <c r="BK520" s="227"/>
      <c r="BL520" s="227"/>
    </row>
    <row r="521" spans="1:64" hidden="1" outlineLevel="1">
      <c r="A521" s="9"/>
      <c r="B521" s="9"/>
      <c r="C521" s="44"/>
      <c r="D521" s="278">
        <f>Asset30</f>
        <v>0</v>
      </c>
      <c r="E521" s="9"/>
      <c r="F521" s="9"/>
      <c r="G521" s="210">
        <f>'Actual RAB roll forward'!G855</f>
        <v>0</v>
      </c>
      <c r="H521" s="35"/>
      <c r="I521" s="35"/>
      <c r="J521" s="35"/>
      <c r="K521" s="35"/>
      <c r="L521" s="35"/>
      <c r="M521" s="35"/>
      <c r="N521" s="104"/>
      <c r="O521" s="29"/>
      <c r="P521" s="29"/>
      <c r="Q521" s="29"/>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235"/>
      <c r="BE521" s="235"/>
      <c r="BF521" s="235"/>
      <c r="BG521" s="235"/>
      <c r="BH521" s="235"/>
      <c r="BI521" s="235"/>
      <c r="BJ521" s="235"/>
      <c r="BK521" s="227"/>
      <c r="BL521" s="227"/>
    </row>
    <row r="522" spans="1:64" s="9" customFormat="1" collapsed="1">
      <c r="G522" s="215"/>
      <c r="AA522" s="204"/>
      <c r="AB522" s="204"/>
      <c r="AC522" s="204"/>
      <c r="AD522" s="204"/>
      <c r="AE522" s="204"/>
      <c r="AF522" s="204"/>
      <c r="AG522" s="204"/>
      <c r="AH522" s="204"/>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c r="BF522" s="204"/>
      <c r="BG522" s="204"/>
      <c r="BH522" s="204"/>
      <c r="BI522" s="204"/>
      <c r="BJ522" s="204"/>
      <c r="BK522" s="204"/>
      <c r="BL522" s="204"/>
    </row>
    <row r="523" spans="1:64">
      <c r="A523" s="9"/>
      <c r="B523" s="9"/>
      <c r="C523" s="44" t="s">
        <v>60</v>
      </c>
      <c r="D523" s="116"/>
      <c r="E523" s="9"/>
      <c r="F523" s="9"/>
      <c r="G523" s="320">
        <f>SUM(G524:G553)</f>
        <v>-5.8894452447240129</v>
      </c>
      <c r="H523" s="35"/>
      <c r="I523" s="35"/>
      <c r="J523" s="35"/>
      <c r="K523" s="35"/>
      <c r="L523" s="35"/>
      <c r="M523" s="35"/>
      <c r="N523" s="104"/>
      <c r="O523" s="29"/>
      <c r="P523" s="29"/>
      <c r="Q523" s="29"/>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235"/>
      <c r="BE523" s="235"/>
      <c r="BF523" s="235"/>
      <c r="BG523" s="235"/>
      <c r="BH523" s="235"/>
      <c r="BI523" s="235"/>
      <c r="BJ523" s="235"/>
      <c r="BK523" s="227"/>
      <c r="BL523" s="227"/>
    </row>
    <row r="524" spans="1:64" hidden="1" outlineLevel="1">
      <c r="A524" s="9"/>
      <c r="B524" s="9"/>
      <c r="C524" s="9"/>
      <c r="D524" s="278" t="str">
        <f>Asset1</f>
        <v>Transmission Lines and Cables</v>
      </c>
      <c r="E524" s="9"/>
      <c r="F524" s="9"/>
      <c r="G524" s="210">
        <f>'Actual RAB roll forward'!G858</f>
        <v>1.8023162780666071</v>
      </c>
      <c r="H524" s="35"/>
      <c r="I524" s="35"/>
      <c r="J524" s="35"/>
      <c r="K524" s="35"/>
      <c r="L524" s="35"/>
      <c r="M524" s="35"/>
      <c r="N524" s="104"/>
      <c r="O524" s="29"/>
      <c r="P524" s="29"/>
      <c r="Q524" s="29"/>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235"/>
      <c r="BE524" s="235"/>
      <c r="BF524" s="235"/>
      <c r="BG524" s="235"/>
      <c r="BH524" s="235"/>
      <c r="BI524" s="235"/>
      <c r="BJ524" s="235"/>
      <c r="BK524" s="227"/>
      <c r="BL524" s="227"/>
    </row>
    <row r="525" spans="1:64" hidden="1" outlineLevel="1">
      <c r="A525" s="9"/>
      <c r="B525" s="9"/>
      <c r="C525" s="44"/>
      <c r="D525" s="278" t="str">
        <f>Asset2</f>
        <v>Transmission Substations</v>
      </c>
      <c r="E525" s="9"/>
      <c r="F525" s="9"/>
      <c r="G525" s="210">
        <f>'Actual RAB roll forward'!G859</f>
        <v>-2.0600227695986688</v>
      </c>
      <c r="H525" s="35"/>
      <c r="I525" s="35"/>
      <c r="J525" s="35"/>
      <c r="K525" s="35"/>
      <c r="L525" s="35"/>
      <c r="M525" s="35"/>
      <c r="N525" s="104"/>
      <c r="O525" s="29"/>
      <c r="P525" s="29"/>
      <c r="Q525" s="29"/>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235"/>
      <c r="BE525" s="235"/>
      <c r="BF525" s="235"/>
      <c r="BG525" s="235"/>
      <c r="BH525" s="235"/>
      <c r="BI525" s="235"/>
      <c r="BJ525" s="235"/>
      <c r="BK525" s="227"/>
      <c r="BL525" s="227"/>
    </row>
    <row r="526" spans="1:64" hidden="1" outlineLevel="1">
      <c r="A526" s="9"/>
      <c r="B526" s="9"/>
      <c r="C526" s="44"/>
      <c r="D526" s="278" t="str">
        <f>Asset3</f>
        <v>Protection and Control</v>
      </c>
      <c r="E526" s="9"/>
      <c r="F526" s="9"/>
      <c r="G526" s="210">
        <f>'Actual RAB roll forward'!G860</f>
        <v>-0.94185138279832004</v>
      </c>
      <c r="H526" s="35"/>
      <c r="I526" s="35"/>
      <c r="J526" s="35"/>
      <c r="K526" s="35"/>
      <c r="L526" s="35"/>
      <c r="M526" s="35"/>
      <c r="N526" s="104"/>
      <c r="O526" s="29"/>
      <c r="P526" s="29"/>
      <c r="Q526" s="29"/>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235"/>
      <c r="BE526" s="235"/>
      <c r="BF526" s="235"/>
      <c r="BG526" s="235"/>
      <c r="BH526" s="235"/>
      <c r="BI526" s="235"/>
      <c r="BJ526" s="235"/>
      <c r="BK526" s="227"/>
      <c r="BL526" s="227"/>
    </row>
    <row r="527" spans="1:64" hidden="1" outlineLevel="1">
      <c r="A527" s="9"/>
      <c r="B527" s="9"/>
      <c r="C527" s="44"/>
      <c r="D527" s="278" t="str">
        <f>Asset4</f>
        <v>Refurbishment</v>
      </c>
      <c r="E527" s="9"/>
      <c r="F527" s="9"/>
      <c r="G527" s="210">
        <f>'Actual RAB roll forward'!G861</f>
        <v>-3.779957175596103</v>
      </c>
      <c r="H527" s="35"/>
      <c r="I527" s="35"/>
      <c r="J527" s="35"/>
      <c r="K527" s="35"/>
      <c r="L527" s="35"/>
      <c r="M527" s="35"/>
      <c r="N527" s="104"/>
      <c r="O527" s="29"/>
      <c r="P527" s="29"/>
      <c r="Q527" s="29"/>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27"/>
      <c r="BL527" s="227"/>
    </row>
    <row r="528" spans="1:64" hidden="1" outlineLevel="1">
      <c r="A528" s="9"/>
      <c r="B528" s="9"/>
      <c r="C528" s="44"/>
      <c r="D528" s="278" t="str">
        <f>Asset5</f>
        <v>Other</v>
      </c>
      <c r="E528" s="9"/>
      <c r="F528" s="9"/>
      <c r="G528" s="210">
        <f>'Actual RAB roll forward'!G862</f>
        <v>0</v>
      </c>
      <c r="H528" s="35"/>
      <c r="I528" s="35"/>
      <c r="J528" s="35"/>
      <c r="K528" s="35"/>
      <c r="L528" s="35"/>
      <c r="M528" s="35"/>
      <c r="N528" s="104"/>
      <c r="O528" s="29"/>
      <c r="P528" s="29"/>
      <c r="Q528" s="29"/>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235"/>
      <c r="BE528" s="235"/>
      <c r="BF528" s="235"/>
      <c r="BG528" s="235"/>
      <c r="BH528" s="235"/>
      <c r="BI528" s="235"/>
      <c r="BJ528" s="235"/>
      <c r="BK528" s="227"/>
      <c r="BL528" s="227"/>
    </row>
    <row r="529" spans="1:64" hidden="1" outlineLevel="1">
      <c r="A529" s="9"/>
      <c r="B529" s="9"/>
      <c r="C529" s="44"/>
      <c r="D529" s="278" t="str">
        <f>Asset6</f>
        <v>Other - IT</v>
      </c>
      <c r="E529" s="9"/>
      <c r="F529" s="9"/>
      <c r="G529" s="210">
        <f>'Actual RAB roll forward'!G863</f>
        <v>0.53659365359905431</v>
      </c>
      <c r="H529" s="35"/>
      <c r="I529" s="35"/>
      <c r="J529" s="35"/>
      <c r="K529" s="35"/>
      <c r="L529" s="35"/>
      <c r="M529" s="35"/>
      <c r="N529" s="104"/>
      <c r="O529" s="29"/>
      <c r="P529" s="29"/>
      <c r="Q529" s="29"/>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235"/>
      <c r="BE529" s="235"/>
      <c r="BF529" s="235"/>
      <c r="BG529" s="235"/>
      <c r="BH529" s="235"/>
      <c r="BI529" s="235"/>
      <c r="BJ529" s="235"/>
      <c r="BK529" s="227"/>
      <c r="BL529" s="227"/>
    </row>
    <row r="530" spans="1:64" hidden="1" outlineLevel="1">
      <c r="A530" s="9"/>
      <c r="B530" s="9"/>
      <c r="C530" s="44"/>
      <c r="D530" s="278" t="str">
        <f>Asset7</f>
        <v>Other - General</v>
      </c>
      <c r="E530" s="9"/>
      <c r="F530" s="9"/>
      <c r="G530" s="210">
        <f>'Actual RAB roll forward'!G864</f>
        <v>-0.6870561688414184</v>
      </c>
      <c r="H530" s="35"/>
      <c r="I530" s="35"/>
      <c r="J530" s="35"/>
      <c r="K530" s="35"/>
      <c r="L530" s="35"/>
      <c r="M530" s="35"/>
      <c r="N530" s="104"/>
      <c r="O530" s="29"/>
      <c r="P530" s="29"/>
      <c r="Q530" s="29"/>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235"/>
      <c r="BE530" s="235"/>
      <c r="BF530" s="235"/>
      <c r="BG530" s="235"/>
      <c r="BH530" s="235"/>
      <c r="BI530" s="235"/>
      <c r="BJ530" s="235"/>
      <c r="BK530" s="227"/>
      <c r="BL530" s="227"/>
    </row>
    <row r="531" spans="1:64" hidden="1" outlineLevel="1">
      <c r="A531" s="9"/>
      <c r="B531" s="9"/>
      <c r="C531" s="44"/>
      <c r="D531" s="278" t="str">
        <f>Asset8</f>
        <v>Other - Buildings</v>
      </c>
      <c r="E531" s="9"/>
      <c r="F531" s="9"/>
      <c r="G531" s="210">
        <f>'Actual RAB roll forward'!G865</f>
        <v>-0.94861976687876493</v>
      </c>
      <c r="H531" s="35"/>
      <c r="I531" s="35"/>
      <c r="J531" s="35"/>
      <c r="K531" s="35"/>
      <c r="L531" s="35"/>
      <c r="M531" s="35"/>
      <c r="N531" s="104"/>
      <c r="O531" s="29"/>
      <c r="P531" s="29"/>
      <c r="Q531" s="29"/>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235"/>
      <c r="BE531" s="235"/>
      <c r="BF531" s="235"/>
      <c r="BG531" s="235"/>
      <c r="BH531" s="235"/>
      <c r="BI531" s="235"/>
      <c r="BJ531" s="235"/>
      <c r="BK531" s="227"/>
      <c r="BL531" s="227"/>
    </row>
    <row r="532" spans="1:64" hidden="1" outlineLevel="1">
      <c r="A532" s="9"/>
      <c r="B532" s="9"/>
      <c r="C532" s="44"/>
      <c r="D532" s="278" t="str">
        <f>Asset9</f>
        <v>Land and Easements</v>
      </c>
      <c r="E532" s="9"/>
      <c r="F532" s="9"/>
      <c r="G532" s="210">
        <f>'Actual RAB roll forward'!G866</f>
        <v>0.18915208732360167</v>
      </c>
      <c r="H532" s="35"/>
      <c r="I532" s="35"/>
      <c r="J532" s="35"/>
      <c r="K532" s="35"/>
      <c r="L532" s="35"/>
      <c r="M532" s="35"/>
      <c r="N532" s="104"/>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235"/>
      <c r="BE532" s="235"/>
      <c r="BF532" s="235"/>
      <c r="BG532" s="235"/>
      <c r="BH532" s="235"/>
      <c r="BI532" s="235"/>
      <c r="BJ532" s="235"/>
      <c r="BK532" s="227"/>
      <c r="BL532" s="227"/>
    </row>
    <row r="533" spans="1:64" hidden="1" outlineLevel="1">
      <c r="A533" s="9"/>
      <c r="B533" s="9"/>
      <c r="C533" s="44"/>
      <c r="D533" s="278" t="str">
        <f>Asset10</f>
        <v>Transmission line assets - long life (60)</v>
      </c>
      <c r="E533" s="9"/>
      <c r="F533" s="9"/>
      <c r="G533" s="210">
        <f>'Actual RAB roll forward'!G867</f>
        <v>0</v>
      </c>
      <c r="H533" s="35"/>
      <c r="I533" s="35"/>
      <c r="J533" s="35"/>
      <c r="K533" s="35"/>
      <c r="L533" s="35"/>
      <c r="M533" s="35"/>
      <c r="N533" s="104"/>
      <c r="O533" s="29"/>
      <c r="P533" s="29"/>
      <c r="Q533" s="29"/>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235"/>
      <c r="BE533" s="235"/>
      <c r="BF533" s="235"/>
      <c r="BG533" s="235"/>
      <c r="BH533" s="235"/>
      <c r="BI533" s="235"/>
      <c r="BJ533" s="235"/>
      <c r="BK533" s="227"/>
      <c r="BL533" s="227"/>
    </row>
    <row r="534" spans="1:64" hidden="1" outlineLevel="1">
      <c r="A534" s="9"/>
      <c r="B534" s="9"/>
      <c r="C534" s="44"/>
      <c r="D534" s="278" t="str">
        <f>Asset11</f>
        <v>Transmission line assets - medium life (45)</v>
      </c>
      <c r="E534" s="9"/>
      <c r="F534" s="9"/>
      <c r="G534" s="210">
        <f>'Actual RAB roll forward'!G868</f>
        <v>0</v>
      </c>
      <c r="H534" s="35"/>
      <c r="I534" s="35"/>
      <c r="J534" s="35"/>
      <c r="K534" s="35"/>
      <c r="L534" s="35"/>
      <c r="M534" s="35"/>
      <c r="N534" s="104"/>
      <c r="O534" s="29"/>
      <c r="P534" s="29"/>
      <c r="Q534" s="29"/>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235"/>
      <c r="BE534" s="235"/>
      <c r="BF534" s="235"/>
      <c r="BG534" s="235"/>
      <c r="BH534" s="235"/>
      <c r="BI534" s="235"/>
      <c r="BJ534" s="235"/>
      <c r="BK534" s="227"/>
      <c r="BL534" s="227"/>
    </row>
    <row r="535" spans="1:64" hidden="1" outlineLevel="1">
      <c r="A535" s="9"/>
      <c r="B535" s="9"/>
      <c r="C535" s="44"/>
      <c r="D535" s="278" t="str">
        <f>Asset12</f>
        <v>Transmission line assets - short life (10)</v>
      </c>
      <c r="E535" s="9"/>
      <c r="F535" s="9"/>
      <c r="G535" s="210">
        <f>'Actual RAB roll forward'!G869</f>
        <v>0</v>
      </c>
      <c r="H535" s="35"/>
      <c r="I535" s="35"/>
      <c r="J535" s="35"/>
      <c r="K535" s="35"/>
      <c r="L535" s="35"/>
      <c r="M535" s="35"/>
      <c r="N535" s="104"/>
      <c r="O535" s="29"/>
      <c r="P535" s="29"/>
      <c r="Q535" s="29"/>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235"/>
      <c r="BE535" s="235"/>
      <c r="BF535" s="235"/>
      <c r="BG535" s="235"/>
      <c r="BH535" s="235"/>
      <c r="BI535" s="235"/>
      <c r="BJ535" s="235"/>
      <c r="BK535" s="227"/>
      <c r="BL535" s="227"/>
    </row>
    <row r="536" spans="1:64" hidden="1" outlineLevel="1">
      <c r="A536" s="9"/>
      <c r="B536" s="9"/>
      <c r="C536" s="44"/>
      <c r="D536" s="278" t="str">
        <f>Asset13</f>
        <v>Substation assets - long life (60)</v>
      </c>
      <c r="E536" s="9"/>
      <c r="F536" s="9"/>
      <c r="G536" s="210">
        <f>'Actual RAB roll forward'!G870</f>
        <v>0</v>
      </c>
      <c r="H536" s="35"/>
      <c r="I536" s="35"/>
      <c r="J536" s="35"/>
      <c r="K536" s="35"/>
      <c r="L536" s="35"/>
      <c r="M536" s="35"/>
      <c r="N536" s="104"/>
      <c r="O536" s="29"/>
      <c r="P536" s="29"/>
      <c r="Q536" s="29"/>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235"/>
      <c r="BE536" s="235"/>
      <c r="BF536" s="235"/>
      <c r="BG536" s="235"/>
      <c r="BH536" s="235"/>
      <c r="BI536" s="235"/>
      <c r="BJ536" s="235"/>
      <c r="BK536" s="227"/>
      <c r="BL536" s="227"/>
    </row>
    <row r="537" spans="1:64" hidden="1" outlineLevel="1">
      <c r="A537" s="9"/>
      <c r="B537" s="9"/>
      <c r="C537" s="44"/>
      <c r="D537" s="278" t="str">
        <f>Asset14</f>
        <v>Substation assets - medium life (45)</v>
      </c>
      <c r="E537" s="9"/>
      <c r="F537" s="9"/>
      <c r="G537" s="210">
        <f>'Actual RAB roll forward'!G871</f>
        <v>0</v>
      </c>
      <c r="H537" s="35"/>
      <c r="I537" s="35"/>
      <c r="J537" s="35"/>
      <c r="K537" s="35"/>
      <c r="L537" s="35"/>
      <c r="M537" s="35"/>
      <c r="N537" s="104"/>
      <c r="O537" s="29"/>
      <c r="P537" s="29"/>
      <c r="Q537" s="29"/>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235"/>
      <c r="BE537" s="235"/>
      <c r="BF537" s="235"/>
      <c r="BG537" s="235"/>
      <c r="BH537" s="235"/>
      <c r="BI537" s="235"/>
      <c r="BJ537" s="235"/>
      <c r="BK537" s="227"/>
      <c r="BL537" s="227"/>
    </row>
    <row r="538" spans="1:64" hidden="1" outlineLevel="1">
      <c r="A538" s="9"/>
      <c r="B538" s="9"/>
      <c r="C538" s="44"/>
      <c r="D538" s="278" t="str">
        <f>Asset15</f>
        <v>Substation assets - short life (15)</v>
      </c>
      <c r="E538" s="9"/>
      <c r="F538" s="9"/>
      <c r="G538" s="210">
        <f>'Actual RAB roll forward'!G872</f>
        <v>0</v>
      </c>
      <c r="H538" s="35"/>
      <c r="I538" s="35"/>
      <c r="J538" s="35"/>
      <c r="K538" s="35"/>
      <c r="L538" s="35"/>
      <c r="M538" s="35"/>
      <c r="N538" s="104"/>
      <c r="O538" s="29"/>
      <c r="P538" s="29"/>
      <c r="Q538" s="29"/>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235"/>
      <c r="BE538" s="235"/>
      <c r="BF538" s="235"/>
      <c r="BG538" s="235"/>
      <c r="BH538" s="235"/>
      <c r="BI538" s="235"/>
      <c r="BJ538" s="235"/>
      <c r="BK538" s="227"/>
      <c r="BL538" s="227"/>
    </row>
    <row r="539" spans="1:64" hidden="1" outlineLevel="1">
      <c r="A539" s="9"/>
      <c r="B539" s="9"/>
      <c r="C539" s="44"/>
      <c r="D539" s="278" t="str">
        <f>Asset16</f>
        <v>Protection and control - short life (15)</v>
      </c>
      <c r="E539" s="9"/>
      <c r="F539" s="9"/>
      <c r="G539" s="210">
        <f>'Actual RAB roll forward'!G873</f>
        <v>0</v>
      </c>
      <c r="H539" s="35"/>
      <c r="I539" s="35"/>
      <c r="J539" s="35"/>
      <c r="K539" s="35"/>
      <c r="L539" s="35"/>
      <c r="M539" s="35"/>
      <c r="N539" s="104"/>
      <c r="O539" s="29"/>
      <c r="P539" s="29"/>
      <c r="Q539" s="29"/>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235"/>
      <c r="BE539" s="235"/>
      <c r="BF539" s="235"/>
      <c r="BG539" s="235"/>
      <c r="BH539" s="235"/>
      <c r="BI539" s="235"/>
      <c r="BJ539" s="235"/>
      <c r="BK539" s="227"/>
      <c r="BL539" s="227"/>
    </row>
    <row r="540" spans="1:64" hidden="1" outlineLevel="1">
      <c r="A540" s="9"/>
      <c r="B540" s="9"/>
      <c r="C540" s="44"/>
      <c r="D540" s="278" t="str">
        <f>Asset17</f>
        <v>Protection and control - short life (4)</v>
      </c>
      <c r="E540" s="9"/>
      <c r="F540" s="9"/>
      <c r="G540" s="210">
        <f>'Actual RAB roll forward'!G874</f>
        <v>0</v>
      </c>
      <c r="H540" s="35"/>
      <c r="I540" s="35"/>
      <c r="J540" s="35"/>
      <c r="K540" s="35"/>
      <c r="L540" s="35"/>
      <c r="M540" s="35"/>
      <c r="N540" s="104"/>
      <c r="O540" s="29"/>
      <c r="P540" s="29"/>
      <c r="Q540" s="29"/>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235"/>
      <c r="BE540" s="235"/>
      <c r="BF540" s="235"/>
      <c r="BG540" s="235"/>
      <c r="BH540" s="235"/>
      <c r="BI540" s="235"/>
      <c r="BJ540" s="235"/>
      <c r="BK540" s="227"/>
      <c r="BL540" s="227"/>
    </row>
    <row r="541" spans="1:64" hidden="1" outlineLevel="1">
      <c r="A541" s="9"/>
      <c r="B541" s="9"/>
      <c r="C541" s="44"/>
      <c r="D541" s="278" t="str">
        <f>Asset18</f>
        <v>Transmission operations - short life (10)</v>
      </c>
      <c r="E541" s="9"/>
      <c r="F541" s="9"/>
      <c r="G541" s="210">
        <f>'Actual RAB roll forward'!G875</f>
        <v>0</v>
      </c>
      <c r="H541" s="35"/>
      <c r="I541" s="35"/>
      <c r="J541" s="35"/>
      <c r="K541" s="35"/>
      <c r="L541" s="35"/>
      <c r="M541" s="35"/>
      <c r="N541" s="104"/>
      <c r="O541" s="29"/>
      <c r="P541" s="29"/>
      <c r="Q541" s="29"/>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235"/>
      <c r="BE541" s="235"/>
      <c r="BF541" s="235"/>
      <c r="BG541" s="235"/>
      <c r="BH541" s="235"/>
      <c r="BI541" s="235"/>
      <c r="BJ541" s="235"/>
      <c r="BK541" s="227"/>
      <c r="BL541" s="227"/>
    </row>
    <row r="542" spans="1:64" hidden="1" outlineLevel="1">
      <c r="A542" s="9"/>
      <c r="B542" s="9"/>
      <c r="C542" s="44"/>
      <c r="D542" s="278" t="str">
        <f>Asset19</f>
        <v>Transmission operations - short life (4)</v>
      </c>
      <c r="E542" s="9"/>
      <c r="F542" s="9"/>
      <c r="G542" s="210">
        <f>'Actual RAB roll forward'!G876</f>
        <v>0</v>
      </c>
      <c r="H542" s="35"/>
      <c r="I542" s="35"/>
      <c r="J542" s="35"/>
      <c r="K542" s="35"/>
      <c r="L542" s="35"/>
      <c r="M542" s="35"/>
      <c r="N542" s="104"/>
      <c r="O542" s="29"/>
      <c r="P542" s="29"/>
      <c r="Q542" s="29"/>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235"/>
      <c r="BE542" s="235"/>
      <c r="BF542" s="235"/>
      <c r="BG542" s="235"/>
      <c r="BH542" s="235"/>
      <c r="BI542" s="235"/>
      <c r="BJ542" s="235"/>
      <c r="BK542" s="227"/>
      <c r="BL542" s="227"/>
    </row>
    <row r="543" spans="1:64" hidden="1" outlineLevel="1">
      <c r="A543" s="9"/>
      <c r="B543" s="9"/>
      <c r="C543" s="44"/>
      <c r="D543" s="278" t="str">
        <f>Asset20</f>
        <v>Other - medium life (40)</v>
      </c>
      <c r="E543" s="9"/>
      <c r="F543" s="9"/>
      <c r="G543" s="210">
        <f>'Actual RAB roll forward'!G877</f>
        <v>0</v>
      </c>
      <c r="H543" s="35"/>
      <c r="I543" s="35"/>
      <c r="J543" s="35"/>
      <c r="K543" s="35"/>
      <c r="L543" s="35"/>
      <c r="M543" s="35"/>
      <c r="N543" s="104"/>
      <c r="O543" s="29"/>
      <c r="P543" s="29"/>
      <c r="Q543" s="29"/>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235"/>
      <c r="BE543" s="235"/>
      <c r="BF543" s="235"/>
      <c r="BG543" s="235"/>
      <c r="BH543" s="235"/>
      <c r="BI543" s="235"/>
      <c r="BJ543" s="235"/>
      <c r="BK543" s="227"/>
      <c r="BL543" s="227"/>
    </row>
    <row r="544" spans="1:64" hidden="1" outlineLevel="1">
      <c r="A544" s="9"/>
      <c r="B544" s="9"/>
      <c r="C544" s="44"/>
      <c r="D544" s="278" t="str">
        <f>Asset21</f>
        <v>Other - short life (9)</v>
      </c>
      <c r="E544" s="9"/>
      <c r="F544" s="9"/>
      <c r="G544" s="210">
        <f>'Actual RAB roll forward'!G878</f>
        <v>0</v>
      </c>
      <c r="H544" s="35"/>
      <c r="I544" s="35"/>
      <c r="J544" s="35"/>
      <c r="K544" s="35"/>
      <c r="L544" s="35"/>
      <c r="M544" s="35"/>
      <c r="N544" s="104"/>
      <c r="O544" s="29"/>
      <c r="P544" s="29"/>
      <c r="Q544" s="29"/>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235"/>
      <c r="BE544" s="235"/>
      <c r="BF544" s="235"/>
      <c r="BG544" s="235"/>
      <c r="BH544" s="235"/>
      <c r="BI544" s="235"/>
      <c r="BJ544" s="235"/>
      <c r="BK544" s="227"/>
      <c r="BL544" s="227"/>
    </row>
    <row r="545" spans="1:64" hidden="1" outlineLevel="1">
      <c r="A545" s="9"/>
      <c r="B545" s="9"/>
      <c r="C545" s="44"/>
      <c r="D545" s="278" t="str">
        <f>Asset22</f>
        <v>Other - short life (4)</v>
      </c>
      <c r="E545" s="9"/>
      <c r="F545" s="9"/>
      <c r="G545" s="210">
        <f>'Actual RAB roll forward'!G879</f>
        <v>0</v>
      </c>
      <c r="H545" s="35"/>
      <c r="I545" s="35"/>
      <c r="J545" s="35"/>
      <c r="K545" s="35"/>
      <c r="L545" s="35"/>
      <c r="M545" s="35"/>
      <c r="N545" s="104"/>
      <c r="O545" s="29"/>
      <c r="P545" s="29"/>
      <c r="Q545" s="29"/>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235"/>
      <c r="BE545" s="235"/>
      <c r="BF545" s="235"/>
      <c r="BG545" s="235"/>
      <c r="BH545" s="235"/>
      <c r="BI545" s="235"/>
      <c r="BJ545" s="235"/>
      <c r="BK545" s="227"/>
      <c r="BL545" s="227"/>
    </row>
    <row r="546" spans="1:64" hidden="1" outlineLevel="1">
      <c r="A546" s="9"/>
      <c r="B546" s="9"/>
      <c r="C546" s="44"/>
      <c r="D546" s="278" t="str">
        <f>Asset23</f>
        <v>Land and Easements</v>
      </c>
      <c r="E546" s="9"/>
      <c r="F546" s="9"/>
      <c r="G546" s="210">
        <f>'Actual RAB roll forward'!G880</f>
        <v>0</v>
      </c>
      <c r="H546" s="35"/>
      <c r="I546" s="35"/>
      <c r="J546" s="35"/>
      <c r="K546" s="35"/>
      <c r="L546" s="35"/>
      <c r="M546" s="35"/>
      <c r="N546" s="104"/>
      <c r="O546" s="29"/>
      <c r="P546" s="29"/>
      <c r="Q546" s="29"/>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235"/>
      <c r="BE546" s="235"/>
      <c r="BF546" s="235"/>
      <c r="BG546" s="235"/>
      <c r="BH546" s="235"/>
      <c r="BI546" s="235"/>
      <c r="BJ546" s="235"/>
      <c r="BK546" s="227"/>
      <c r="BL546" s="227"/>
    </row>
    <row r="547" spans="1:64" hidden="1" outlineLevel="1">
      <c r="A547" s="9"/>
      <c r="B547" s="9"/>
      <c r="C547" s="44"/>
      <c r="D547" s="278" t="str">
        <f>Asset24</f>
        <v>Equity Raising</v>
      </c>
      <c r="E547" s="9"/>
      <c r="F547" s="9"/>
      <c r="G547" s="210">
        <f>'Actual RAB roll forward'!G881</f>
        <v>0</v>
      </c>
      <c r="H547" s="35"/>
      <c r="I547" s="35"/>
      <c r="J547" s="35"/>
      <c r="K547" s="35"/>
      <c r="L547" s="35"/>
      <c r="M547" s="35"/>
      <c r="N547" s="104"/>
      <c r="O547" s="29"/>
      <c r="P547" s="29"/>
      <c r="Q547" s="29"/>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235"/>
      <c r="BE547" s="235"/>
      <c r="BF547" s="235"/>
      <c r="BG547" s="235"/>
      <c r="BH547" s="235"/>
      <c r="BI547" s="235"/>
      <c r="BJ547" s="235"/>
      <c r="BK547" s="227"/>
      <c r="BL547" s="227"/>
    </row>
    <row r="548" spans="1:64" hidden="1" outlineLevel="1">
      <c r="A548" s="9"/>
      <c r="B548" s="9"/>
      <c r="C548" s="44"/>
      <c r="D548" s="278">
        <f>Asset25</f>
        <v>0</v>
      </c>
      <c r="E548" s="9"/>
      <c r="F548" s="9"/>
      <c r="G548" s="210">
        <f>'Actual RAB roll forward'!G882</f>
        <v>0</v>
      </c>
      <c r="H548" s="35"/>
      <c r="I548" s="35"/>
      <c r="J548" s="35"/>
      <c r="K548" s="35"/>
      <c r="L548" s="35"/>
      <c r="M548" s="35"/>
      <c r="N548" s="104"/>
      <c r="O548" s="29"/>
      <c r="P548" s="29"/>
      <c r="Q548" s="29"/>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235"/>
      <c r="BE548" s="235"/>
      <c r="BF548" s="235"/>
      <c r="BG548" s="235"/>
      <c r="BH548" s="235"/>
      <c r="BI548" s="235"/>
      <c r="BJ548" s="235"/>
      <c r="BK548" s="227"/>
      <c r="BL548" s="227"/>
    </row>
    <row r="549" spans="1:64" hidden="1" outlineLevel="1">
      <c r="A549" s="9"/>
      <c r="B549" s="9"/>
      <c r="C549" s="44"/>
      <c r="D549" s="278">
        <f>Asset26</f>
        <v>0</v>
      </c>
      <c r="E549" s="9"/>
      <c r="F549" s="9"/>
      <c r="G549" s="210">
        <f>'Actual RAB roll forward'!G883</f>
        <v>0</v>
      </c>
      <c r="H549" s="35"/>
      <c r="I549" s="35"/>
      <c r="J549" s="35"/>
      <c r="K549" s="35"/>
      <c r="L549" s="35"/>
      <c r="M549" s="35"/>
      <c r="N549" s="104"/>
      <c r="O549" s="29"/>
      <c r="P549" s="29"/>
      <c r="Q549" s="29"/>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235"/>
      <c r="BE549" s="235"/>
      <c r="BF549" s="235"/>
      <c r="BG549" s="235"/>
      <c r="BH549" s="235"/>
      <c r="BI549" s="235"/>
      <c r="BJ549" s="235"/>
      <c r="BK549" s="227"/>
      <c r="BL549" s="227"/>
    </row>
    <row r="550" spans="1:64" hidden="1" outlineLevel="1">
      <c r="A550" s="9"/>
      <c r="B550" s="9"/>
      <c r="C550" s="44"/>
      <c r="D550" s="278">
        <f>Asset27</f>
        <v>0</v>
      </c>
      <c r="E550" s="9"/>
      <c r="F550" s="9"/>
      <c r="G550" s="210">
        <f>'Actual RAB roll forward'!G884</f>
        <v>0</v>
      </c>
      <c r="H550" s="35"/>
      <c r="I550" s="35"/>
      <c r="J550" s="35"/>
      <c r="K550" s="35"/>
      <c r="L550" s="35"/>
      <c r="M550" s="35"/>
      <c r="N550" s="104"/>
      <c r="O550" s="29"/>
      <c r="P550" s="29"/>
      <c r="Q550" s="29"/>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235"/>
      <c r="BE550" s="235"/>
      <c r="BF550" s="235"/>
      <c r="BG550" s="235"/>
      <c r="BH550" s="235"/>
      <c r="BI550" s="235"/>
      <c r="BJ550" s="235"/>
      <c r="BK550" s="227"/>
      <c r="BL550" s="227"/>
    </row>
    <row r="551" spans="1:64" hidden="1" outlineLevel="1">
      <c r="A551" s="9"/>
      <c r="B551" s="9"/>
      <c r="C551" s="44"/>
      <c r="D551" s="278">
        <f>Asset28</f>
        <v>0</v>
      </c>
      <c r="E551" s="9"/>
      <c r="F551" s="9"/>
      <c r="G551" s="210">
        <f>'Actual RAB roll forward'!G885</f>
        <v>0</v>
      </c>
      <c r="H551" s="35"/>
      <c r="I551" s="35"/>
      <c r="J551" s="35"/>
      <c r="K551" s="35"/>
      <c r="L551" s="35"/>
      <c r="M551" s="35"/>
      <c r="N551" s="104"/>
      <c r="O551" s="29"/>
      <c r="P551" s="29"/>
      <c r="Q551" s="29"/>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235"/>
      <c r="BE551" s="235"/>
      <c r="BF551" s="235"/>
      <c r="BG551" s="235"/>
      <c r="BH551" s="235"/>
      <c r="BI551" s="235"/>
      <c r="BJ551" s="235"/>
      <c r="BK551" s="227"/>
      <c r="BL551" s="227"/>
    </row>
    <row r="552" spans="1:64" hidden="1" outlineLevel="1">
      <c r="A552" s="9"/>
      <c r="B552" s="9"/>
      <c r="C552" s="44"/>
      <c r="D552" s="278">
        <f>Asset29</f>
        <v>0</v>
      </c>
      <c r="E552" s="9"/>
      <c r="F552" s="9"/>
      <c r="G552" s="210">
        <f>'Actual RAB roll forward'!G886</f>
        <v>0</v>
      </c>
      <c r="H552" s="35"/>
      <c r="I552" s="35"/>
      <c r="J552" s="35"/>
      <c r="K552" s="35"/>
      <c r="L552" s="35"/>
      <c r="M552" s="35"/>
      <c r="N552" s="104"/>
      <c r="O552" s="29"/>
      <c r="P552" s="29"/>
      <c r="Q552" s="29"/>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235"/>
      <c r="BE552" s="235"/>
      <c r="BF552" s="235"/>
      <c r="BG552" s="235"/>
      <c r="BH552" s="235"/>
      <c r="BI552" s="235"/>
      <c r="BJ552" s="235"/>
      <c r="BK552" s="227"/>
      <c r="BL552" s="227"/>
    </row>
    <row r="553" spans="1:64" hidden="1" outlineLevel="1">
      <c r="A553" s="9"/>
      <c r="B553" s="9"/>
      <c r="C553" s="44"/>
      <c r="D553" s="278">
        <f>Asset30</f>
        <v>0</v>
      </c>
      <c r="E553" s="9"/>
      <c r="F553" s="9"/>
      <c r="G553" s="210">
        <f>'Actual RAB roll forward'!G887</f>
        <v>0</v>
      </c>
      <c r="H553" s="35"/>
      <c r="I553" s="35"/>
      <c r="J553" s="35"/>
      <c r="K553" s="35"/>
      <c r="L553" s="35"/>
      <c r="M553" s="35"/>
      <c r="N553" s="104"/>
      <c r="O553" s="29"/>
      <c r="P553" s="29"/>
      <c r="Q553" s="29"/>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235"/>
      <c r="BE553" s="235"/>
      <c r="BF553" s="235"/>
      <c r="BG553" s="235"/>
      <c r="BH553" s="235"/>
      <c r="BI553" s="235"/>
      <c r="BJ553" s="235"/>
      <c r="BK553" s="227"/>
      <c r="BL553" s="227"/>
    </row>
    <row r="554" spans="1:64" collapsed="1">
      <c r="A554" s="9"/>
      <c r="B554" s="9"/>
      <c r="C554" s="44"/>
      <c r="D554" s="130"/>
      <c r="E554" s="9"/>
      <c r="F554" s="9"/>
      <c r="G554" s="142"/>
      <c r="H554" s="114"/>
      <c r="I554" s="114"/>
      <c r="J554" s="114"/>
      <c r="K554" s="114"/>
      <c r="L554" s="114"/>
      <c r="M554" s="114"/>
      <c r="N554" s="104"/>
      <c r="O554" s="29"/>
      <c r="P554" s="29"/>
      <c r="Q554" s="29"/>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235"/>
      <c r="BE554" s="235"/>
      <c r="BF554" s="235"/>
      <c r="BG554" s="235"/>
      <c r="BH554" s="235"/>
      <c r="BI554" s="235"/>
      <c r="BJ554" s="235"/>
      <c r="BK554" s="227"/>
      <c r="BL554" s="227"/>
    </row>
    <row r="555" spans="1:64">
      <c r="A555" s="78"/>
      <c r="B555" s="78"/>
      <c r="C555" s="85" t="s">
        <v>89</v>
      </c>
      <c r="D555" s="256"/>
      <c r="E555" s="78"/>
      <c r="F555" s="78"/>
      <c r="G555" s="184"/>
      <c r="H555" s="186"/>
      <c r="I555" s="186"/>
      <c r="J555" s="186"/>
      <c r="K555" s="186"/>
      <c r="L555" s="186"/>
      <c r="M555" s="186"/>
      <c r="N555" s="257"/>
      <c r="O555" s="257"/>
      <c r="P555" s="257"/>
      <c r="Q555" s="257"/>
      <c r="R555" s="257"/>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235"/>
      <c r="BE555" s="235"/>
      <c r="BF555" s="235"/>
      <c r="BG555" s="235"/>
      <c r="BH555" s="235"/>
      <c r="BI555" s="235"/>
      <c r="BJ555" s="235"/>
      <c r="BK555" s="227"/>
      <c r="BL555" s="227"/>
    </row>
    <row r="556" spans="1:64">
      <c r="A556" s="9"/>
      <c r="B556" s="9"/>
      <c r="C556" s="17"/>
      <c r="D556" s="130"/>
      <c r="E556" s="9"/>
      <c r="F556" s="9"/>
      <c r="G556" s="142"/>
      <c r="H556" s="114"/>
      <c r="I556" s="114"/>
      <c r="J556" s="114"/>
      <c r="K556" s="114"/>
      <c r="L556" s="114"/>
      <c r="M556" s="114"/>
      <c r="N556" s="104"/>
      <c r="O556" s="29"/>
      <c r="P556" s="29"/>
      <c r="Q556" s="29"/>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235"/>
      <c r="BE556" s="235"/>
      <c r="BF556" s="235"/>
      <c r="BG556" s="235"/>
      <c r="BH556" s="235"/>
      <c r="BI556" s="235"/>
      <c r="BJ556" s="235"/>
      <c r="BK556" s="227"/>
      <c r="BL556" s="227"/>
    </row>
    <row r="557" spans="1:64">
      <c r="A557" s="12"/>
      <c r="B557" s="12"/>
      <c r="C557" s="94" t="s">
        <v>86</v>
      </c>
      <c r="D557" s="116"/>
      <c r="E557" s="94"/>
      <c r="F557" s="94"/>
      <c r="G557" s="322">
        <f>SUM(G558:G587)</f>
        <v>896.13027904669582</v>
      </c>
      <c r="H557" s="322">
        <f>SUM(H558:H587)</f>
        <v>925.02642735980635</v>
      </c>
      <c r="I557" s="322">
        <f t="shared" ref="I557:P557" si="31">SUM(I558:I587)</f>
        <v>1134.8602458966684</v>
      </c>
      <c r="J557" s="322">
        <f t="shared" si="31"/>
        <v>1213.0807569399738</v>
      </c>
      <c r="K557" s="322">
        <f t="shared" si="31"/>
        <v>1278.5783153475738</v>
      </c>
      <c r="L557" s="322">
        <f t="shared" si="31"/>
        <v>1372.7205228898174</v>
      </c>
      <c r="M557" s="322">
        <f t="shared" si="31"/>
        <v>0</v>
      </c>
      <c r="N557" s="322">
        <f t="shared" si="31"/>
        <v>0</v>
      </c>
      <c r="O557" s="322">
        <f t="shared" si="31"/>
        <v>0</v>
      </c>
      <c r="P557" s="322">
        <f t="shared" si="31"/>
        <v>0</v>
      </c>
      <c r="Q557" s="322">
        <f>SUM(Q558:Q587)</f>
        <v>0</v>
      </c>
      <c r="R557" s="25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235"/>
      <c r="BE557" s="235"/>
      <c r="BF557" s="235"/>
      <c r="BG557" s="235"/>
      <c r="BH557" s="235"/>
      <c r="BI557" s="235"/>
      <c r="BJ557" s="235"/>
      <c r="BK557" s="227"/>
      <c r="BL557" s="227"/>
    </row>
    <row r="558" spans="1:64" hidden="1" outlineLevel="1">
      <c r="A558" s="9"/>
      <c r="B558" s="12"/>
      <c r="C558" s="44"/>
      <c r="D558" s="278" t="str">
        <f>Asset1</f>
        <v>Transmission Lines and Cables</v>
      </c>
      <c r="E558" s="12"/>
      <c r="F558" s="12"/>
      <c r="G558" s="207">
        <f t="shared" ref="G558:G577" si="32">G396+G428+G460+G492+G524</f>
        <v>293.69509346172714</v>
      </c>
      <c r="H558" s="156">
        <f t="shared" ref="H558:L567" si="33">H396+H428+H460</f>
        <v>287.87338874353077</v>
      </c>
      <c r="I558" s="156">
        <f t="shared" si="33"/>
        <v>282.75218662646068</v>
      </c>
      <c r="J558" s="156">
        <f t="shared" si="33"/>
        <v>272.02514885797677</v>
      </c>
      <c r="K558" s="156">
        <f t="shared" si="33"/>
        <v>263.1501368516461</v>
      </c>
      <c r="L558" s="156">
        <f t="shared" si="33"/>
        <v>253.89775910501345</v>
      </c>
      <c r="M558" s="156">
        <f>IF(COUNT($H558:L558)&gt;=Input!$W$7,0, M396+M428+M460)</f>
        <v>0</v>
      </c>
      <c r="N558" s="156">
        <f>IF(COUNT($H558:M558)&gt;=Input!$W$7,0, N396+N428+N460)</f>
        <v>0</v>
      </c>
      <c r="O558" s="156">
        <f>IF(COUNT($H558:N558)&gt;=Input!$W$7,0, O396+O428+O460)</f>
        <v>0</v>
      </c>
      <c r="P558" s="156">
        <f>IF(COUNT($H558:O558)&gt;=Input!$W$7,0, P396+P428+P460)</f>
        <v>0</v>
      </c>
      <c r="Q558" s="156">
        <f>IF(COUNT($H558:P558)&gt;=Input!$W$7,0, Q396+Q428+Q460)</f>
        <v>0</v>
      </c>
      <c r="R558" s="104"/>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235"/>
      <c r="BE558" s="235"/>
      <c r="BF558" s="235"/>
      <c r="BG558" s="235"/>
      <c r="BH558" s="235"/>
      <c r="BI558" s="235"/>
      <c r="BJ558" s="235"/>
      <c r="BK558" s="227"/>
      <c r="BL558" s="227"/>
    </row>
    <row r="559" spans="1:64" hidden="1" outlineLevel="1">
      <c r="A559" s="9"/>
      <c r="B559" s="12"/>
      <c r="C559" s="44"/>
      <c r="D559" s="278" t="str">
        <f>Asset2</f>
        <v>Transmission Substations</v>
      </c>
      <c r="E559" s="12"/>
      <c r="F559" s="12"/>
      <c r="G559" s="207">
        <f t="shared" si="32"/>
        <v>391.58650968027865</v>
      </c>
      <c r="H559" s="156">
        <f t="shared" si="33"/>
        <v>388.64400108973086</v>
      </c>
      <c r="I559" s="156">
        <f t="shared" si="33"/>
        <v>386.37607214518869</v>
      </c>
      <c r="J559" s="156">
        <f t="shared" si="33"/>
        <v>377.35791621929479</v>
      </c>
      <c r="K559" s="156">
        <f t="shared" si="33"/>
        <v>371.4206900535936</v>
      </c>
      <c r="L559" s="156">
        <f t="shared" si="33"/>
        <v>364.94068950555425</v>
      </c>
      <c r="M559" s="156">
        <f>IF(COUNT($H559:L559)&gt;=Input!$W$7,0, M397+M429+M461)</f>
        <v>0</v>
      </c>
      <c r="N559" s="156">
        <f>IF(COUNT($H559:M559)&gt;=Input!$W$7,0, N397+N429+N461)</f>
        <v>0</v>
      </c>
      <c r="O559" s="156">
        <f>IF(COUNT($H559:N559)&gt;=Input!$W$7,0, O397+O429+O461)</f>
        <v>0</v>
      </c>
      <c r="P559" s="156">
        <f>IF(COUNT($H559:O559)&gt;=Input!$W$7,0, P397+P429+P461)</f>
        <v>0</v>
      </c>
      <c r="Q559" s="156">
        <f>IF(COUNT($H559:P559)&gt;=Input!$W$7,0, Q397+Q429+Q461)</f>
        <v>0</v>
      </c>
      <c r="R559" s="104"/>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235"/>
      <c r="BE559" s="235"/>
      <c r="BF559" s="235"/>
      <c r="BG559" s="235"/>
      <c r="BH559" s="235"/>
      <c r="BI559" s="235"/>
      <c r="BJ559" s="235"/>
      <c r="BK559" s="227"/>
      <c r="BL559" s="227"/>
    </row>
    <row r="560" spans="1:64" hidden="1" outlineLevel="1">
      <c r="A560" s="9"/>
      <c r="B560" s="12"/>
      <c r="C560" s="44"/>
      <c r="D560" s="278" t="str">
        <f>Asset3</f>
        <v>Protection and Control</v>
      </c>
      <c r="E560" s="12"/>
      <c r="F560" s="12"/>
      <c r="G560" s="207">
        <f t="shared" si="32"/>
        <v>49.846266797470605</v>
      </c>
      <c r="H560" s="156">
        <f t="shared" si="33"/>
        <v>45.336514494626712</v>
      </c>
      <c r="I560" s="156">
        <f t="shared" si="33"/>
        <v>40.68021201988288</v>
      </c>
      <c r="J560" s="156">
        <f t="shared" si="33"/>
        <v>35.002808287110007</v>
      </c>
      <c r="K560" s="156">
        <f t="shared" si="33"/>
        <v>29.456550119637445</v>
      </c>
      <c r="L560" s="156">
        <f t="shared" si="33"/>
        <v>23.610043727980802</v>
      </c>
      <c r="M560" s="156">
        <f>IF(COUNT($H560:L560)&gt;=Input!$W$7,0, M398+M430+M462)</f>
        <v>0</v>
      </c>
      <c r="N560" s="156">
        <f>IF(COUNT($H560:M560)&gt;=Input!$W$7,0, N398+N430+N462)</f>
        <v>0</v>
      </c>
      <c r="O560" s="156">
        <f>IF(COUNT($H560:N560)&gt;=Input!$W$7,0, O398+O430+O462)</f>
        <v>0</v>
      </c>
      <c r="P560" s="156">
        <f>IF(COUNT($H560:O560)&gt;=Input!$W$7,0, P398+P430+P462)</f>
        <v>0</v>
      </c>
      <c r="Q560" s="156">
        <f>IF(COUNT($H560:P560)&gt;=Input!$W$7,0, Q398+Q430+Q462)</f>
        <v>0</v>
      </c>
      <c r="R560" s="104"/>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235"/>
      <c r="BE560" s="235"/>
      <c r="BF560" s="235"/>
      <c r="BG560" s="235"/>
      <c r="BH560" s="235"/>
      <c r="BI560" s="235"/>
      <c r="BJ560" s="235"/>
      <c r="BK560" s="227"/>
      <c r="BL560" s="227"/>
    </row>
    <row r="561" spans="1:64" hidden="1" outlineLevel="1">
      <c r="A561" s="9"/>
      <c r="B561" s="12"/>
      <c r="C561" s="44"/>
      <c r="D561" s="278" t="str">
        <f>Asset4</f>
        <v>Refurbishment</v>
      </c>
      <c r="E561" s="12"/>
      <c r="F561" s="12"/>
      <c r="G561" s="207">
        <f t="shared" si="32"/>
        <v>22.665124185608324</v>
      </c>
      <c r="H561" s="156">
        <f t="shared" si="33"/>
        <v>21.00098104965161</v>
      </c>
      <c r="I561" s="156">
        <f t="shared" si="33"/>
        <v>19.315315214752168</v>
      </c>
      <c r="J561" s="156">
        <f t="shared" si="33"/>
        <v>17.156165168412731</v>
      </c>
      <c r="K561" s="156">
        <f t="shared" si="33"/>
        <v>15.081212740375012</v>
      </c>
      <c r="L561" s="156">
        <f t="shared" si="33"/>
        <v>12.891287351088824</v>
      </c>
      <c r="M561" s="156">
        <f>IF(COUNT($H561:L561)&gt;=Input!$W$7,0, M399+M431+M463)</f>
        <v>0</v>
      </c>
      <c r="N561" s="156">
        <f>IF(COUNT($H561:M561)&gt;=Input!$W$7,0, N399+N431+N463)</f>
        <v>0</v>
      </c>
      <c r="O561" s="156">
        <f>IF(COUNT($H561:N561)&gt;=Input!$W$7,0, O399+O431+O463)</f>
        <v>0</v>
      </c>
      <c r="P561" s="156">
        <f>IF(COUNT($H561:O561)&gt;=Input!$W$7,0, P399+P431+P463)</f>
        <v>0</v>
      </c>
      <c r="Q561" s="156">
        <f>IF(COUNT($H561:P561)&gt;=Input!$W$7,0, Q399+Q431+Q463)</f>
        <v>0</v>
      </c>
      <c r="R561" s="104"/>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235"/>
      <c r="BE561" s="235"/>
      <c r="BF561" s="235"/>
      <c r="BG561" s="235"/>
      <c r="BH561" s="235"/>
      <c r="BI561" s="235"/>
      <c r="BJ561" s="235"/>
      <c r="BK561" s="227"/>
      <c r="BL561" s="227"/>
    </row>
    <row r="562" spans="1:64" hidden="1" outlineLevel="1">
      <c r="A562" s="9"/>
      <c r="B562" s="12"/>
      <c r="C562" s="44"/>
      <c r="D562" s="278" t="str">
        <f>Asset5</f>
        <v>Other</v>
      </c>
      <c r="E562" s="12"/>
      <c r="F562" s="12"/>
      <c r="G562" s="207">
        <f t="shared" si="32"/>
        <v>9.9493177652391811</v>
      </c>
      <c r="H562" s="156">
        <f t="shared" si="33"/>
        <v>8.3032668906730329</v>
      </c>
      <c r="I562" s="156">
        <f t="shared" si="33"/>
        <v>6.5908085161051186</v>
      </c>
      <c r="J562" s="156">
        <f t="shared" si="33"/>
        <v>4.6397051724745184</v>
      </c>
      <c r="K562" s="156">
        <f t="shared" si="33"/>
        <v>2.6676999234047383</v>
      </c>
      <c r="L562" s="156">
        <f t="shared" si="33"/>
        <v>0.59402332958738846</v>
      </c>
      <c r="M562" s="156">
        <f>IF(COUNT($H562:L562)&gt;=Input!$W$7,0, M400+M432+M464)</f>
        <v>0</v>
      </c>
      <c r="N562" s="156">
        <f>IF(COUNT($H562:M562)&gt;=Input!$W$7,0, N400+N432+N464)</f>
        <v>0</v>
      </c>
      <c r="O562" s="156">
        <f>IF(COUNT($H562:N562)&gt;=Input!$W$7,0, O400+O432+O464)</f>
        <v>0</v>
      </c>
      <c r="P562" s="156">
        <f>IF(COUNT($H562:O562)&gt;=Input!$W$7,0, P400+P432+P464)</f>
        <v>0</v>
      </c>
      <c r="Q562" s="156">
        <f>IF(COUNT($H562:P562)&gt;=Input!$W$7,0, Q400+Q432+Q464)</f>
        <v>0</v>
      </c>
      <c r="R562" s="104"/>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235"/>
      <c r="BE562" s="235"/>
      <c r="BF562" s="235"/>
      <c r="BG562" s="235"/>
      <c r="BH562" s="235"/>
      <c r="BI562" s="235"/>
      <c r="BJ562" s="235"/>
      <c r="BK562" s="227"/>
      <c r="BL562" s="227"/>
    </row>
    <row r="563" spans="1:64" hidden="1" outlineLevel="1">
      <c r="A563" s="9"/>
      <c r="B563" s="12"/>
      <c r="C563" s="44"/>
      <c r="D563" s="278" t="str">
        <f>Asset6</f>
        <v>Other - IT</v>
      </c>
      <c r="E563" s="12"/>
      <c r="F563" s="12"/>
      <c r="G563" s="207">
        <f t="shared" si="32"/>
        <v>23.121263449639123</v>
      </c>
      <c r="H563" s="156">
        <f t="shared" si="33"/>
        <v>11.943298119232832</v>
      </c>
      <c r="I563" s="156">
        <f t="shared" si="33"/>
        <v>0.14829966419534024</v>
      </c>
      <c r="J563" s="156">
        <f t="shared" si="33"/>
        <v>0.15246349858157551</v>
      </c>
      <c r="K563" s="156">
        <f t="shared" si="33"/>
        <v>0.15812151212646913</v>
      </c>
      <c r="L563" s="156">
        <f t="shared" si="33"/>
        <v>0.16396327198543317</v>
      </c>
      <c r="M563" s="156">
        <f>IF(COUNT($H563:L563)&gt;=Input!$W$7,0, M401+M433+M465)</f>
        <v>0</v>
      </c>
      <c r="N563" s="156">
        <f>IF(COUNT($H563:M563)&gt;=Input!$W$7,0, N401+N433+N465)</f>
        <v>0</v>
      </c>
      <c r="O563" s="156">
        <f>IF(COUNT($H563:N563)&gt;=Input!$W$7,0, O401+O433+O465)</f>
        <v>0</v>
      </c>
      <c r="P563" s="156">
        <f>IF(COUNT($H563:O563)&gt;=Input!$W$7,0, P401+P433+P465)</f>
        <v>0</v>
      </c>
      <c r="Q563" s="156">
        <f>IF(COUNT($H563:P563)&gt;=Input!$W$7,0, Q401+Q433+Q465)</f>
        <v>0</v>
      </c>
      <c r="R563" s="104"/>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235"/>
      <c r="BE563" s="235"/>
      <c r="BF563" s="235"/>
      <c r="BG563" s="235"/>
      <c r="BH563" s="235"/>
      <c r="BI563" s="235"/>
      <c r="BJ563" s="235"/>
      <c r="BK563" s="227"/>
      <c r="BL563" s="227"/>
    </row>
    <row r="564" spans="1:64" hidden="1" outlineLevel="1">
      <c r="A564" s="9"/>
      <c r="B564" s="12"/>
      <c r="C564" s="44"/>
      <c r="D564" s="278" t="str">
        <f>Asset7</f>
        <v>Other - General</v>
      </c>
      <c r="E564" s="12"/>
      <c r="F564" s="12"/>
      <c r="G564" s="207">
        <f t="shared" si="32"/>
        <v>-3.9892322403421208</v>
      </c>
      <c r="H564" s="156">
        <f t="shared" si="33"/>
        <v>-2.7419079413580656</v>
      </c>
      <c r="I564" s="156">
        <f t="shared" si="33"/>
        <v>-1.4314168474623092</v>
      </c>
      <c r="J564" s="156">
        <f t="shared" si="33"/>
        <v>-5.4815483001668941E-3</v>
      </c>
      <c r="K564" s="156">
        <f t="shared" si="33"/>
        <v>-5.618724183554454E-3</v>
      </c>
      <c r="L564" s="156">
        <f t="shared" si="33"/>
        <v>-5.7591922881433154E-3</v>
      </c>
      <c r="M564" s="156">
        <f>IF(COUNT($H564:L564)&gt;=Input!$W$7,0, M402+M434+M466)</f>
        <v>0</v>
      </c>
      <c r="N564" s="156">
        <f>IF(COUNT($H564:M564)&gt;=Input!$W$7,0, N402+N434+N466)</f>
        <v>0</v>
      </c>
      <c r="O564" s="156">
        <f>IF(COUNT($H564:N564)&gt;=Input!$W$7,0, O402+O434+O466)</f>
        <v>0</v>
      </c>
      <c r="P564" s="156">
        <f>IF(COUNT($H564:O564)&gt;=Input!$W$7,0, P402+P434+P466)</f>
        <v>0</v>
      </c>
      <c r="Q564" s="156">
        <f>IF(COUNT($H564:P564)&gt;=Input!$W$7,0, Q402+Q434+Q466)</f>
        <v>0</v>
      </c>
      <c r="R564" s="104"/>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235"/>
      <c r="BE564" s="235"/>
      <c r="BF564" s="235"/>
      <c r="BG564" s="235"/>
      <c r="BH564" s="235"/>
      <c r="BI564" s="235"/>
      <c r="BJ564" s="235"/>
      <c r="BK564" s="227"/>
      <c r="BL564" s="227"/>
    </row>
    <row r="565" spans="1:64" hidden="1" outlineLevel="1">
      <c r="A565" s="9"/>
      <c r="B565" s="12"/>
      <c r="C565" s="44"/>
      <c r="D565" s="278" t="str">
        <f>Asset8</f>
        <v>Other - Buildings</v>
      </c>
      <c r="E565" s="12"/>
      <c r="F565" s="12"/>
      <c r="G565" s="207">
        <f t="shared" si="32"/>
        <v>21.253631705639343</v>
      </c>
      <c r="H565" s="156">
        <f t="shared" si="33"/>
        <v>21.266544488989943</v>
      </c>
      <c r="I565" s="156">
        <f t="shared" si="33"/>
        <v>21.357163973964497</v>
      </c>
      <c r="J565" s="156">
        <f t="shared" si="33"/>
        <v>21.056716844821594</v>
      </c>
      <c r="K565" s="156">
        <f t="shared" si="33"/>
        <v>20.934663892253397</v>
      </c>
      <c r="L565" s="156">
        <f t="shared" si="33"/>
        <v>20.792791484354492</v>
      </c>
      <c r="M565" s="156">
        <f>IF(COUNT($H565:L565)&gt;=Input!$W$7,0, M403+M435+M467)</f>
        <v>0</v>
      </c>
      <c r="N565" s="156">
        <f>IF(COUNT($H565:M565)&gt;=Input!$W$7,0, N403+N435+N467)</f>
        <v>0</v>
      </c>
      <c r="O565" s="156">
        <f>IF(COUNT($H565:N565)&gt;=Input!$W$7,0, O403+O435+O467)</f>
        <v>0</v>
      </c>
      <c r="P565" s="156">
        <f>IF(COUNT($H565:O565)&gt;=Input!$W$7,0, P403+P435+P467)</f>
        <v>0</v>
      </c>
      <c r="Q565" s="156">
        <f>IF(COUNT($H565:P565)&gt;=Input!$W$7,0, Q403+Q435+Q467)</f>
        <v>0</v>
      </c>
      <c r="R565" s="104"/>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235"/>
      <c r="BE565" s="235"/>
      <c r="BF565" s="235"/>
      <c r="BG565" s="235"/>
      <c r="BH565" s="235"/>
      <c r="BI565" s="235"/>
      <c r="BJ565" s="235"/>
      <c r="BK565" s="227"/>
      <c r="BL565" s="227"/>
    </row>
    <row r="566" spans="1:64" hidden="1" outlineLevel="1">
      <c r="A566" s="9"/>
      <c r="B566" s="12"/>
      <c r="C566" s="44"/>
      <c r="D566" s="278" t="str">
        <f>Asset9</f>
        <v>Land and Easements</v>
      </c>
      <c r="E566" s="12"/>
      <c r="F566" s="12"/>
      <c r="G566" s="207">
        <f t="shared" si="32"/>
        <v>88.002304241435738</v>
      </c>
      <c r="H566" s="156">
        <f t="shared" si="33"/>
        <v>90.543887035412212</v>
      </c>
      <c r="I566" s="156">
        <f t="shared" si="33"/>
        <v>93.562016603259281</v>
      </c>
      <c r="J566" s="156">
        <f t="shared" si="33"/>
        <v>95.044606566412241</v>
      </c>
      <c r="K566" s="156">
        <f t="shared" si="33"/>
        <v>97.423100224230367</v>
      </c>
      <c r="L566" s="156">
        <f t="shared" si="33"/>
        <v>99.858677729836131</v>
      </c>
      <c r="M566" s="156">
        <f>IF(COUNT($H566:L566)&gt;=Input!$W$7,0, M404+M436+M468)</f>
        <v>0</v>
      </c>
      <c r="N566" s="156">
        <f>IF(COUNT($H566:M566)&gt;=Input!$W$7,0, N404+N436+N468)</f>
        <v>0</v>
      </c>
      <c r="O566" s="156">
        <f>IF(COUNT($H566:N566)&gt;=Input!$W$7,0, O404+O436+O468)</f>
        <v>0</v>
      </c>
      <c r="P566" s="156">
        <f>IF(COUNT($H566:O566)&gt;=Input!$W$7,0, P404+P436+P468)</f>
        <v>0</v>
      </c>
      <c r="Q566" s="156">
        <f>IF(COUNT($H566:P566)&gt;=Input!$W$7,0, Q404+Q436+Q468)</f>
        <v>0</v>
      </c>
      <c r="R566" s="104"/>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235"/>
      <c r="BE566" s="235"/>
      <c r="BF566" s="235"/>
      <c r="BG566" s="235"/>
      <c r="BH566" s="235"/>
      <c r="BI566" s="235"/>
      <c r="BJ566" s="235"/>
      <c r="BK566" s="227"/>
      <c r="BL566" s="227"/>
    </row>
    <row r="567" spans="1:64" hidden="1" outlineLevel="1">
      <c r="A567" s="9"/>
      <c r="B567" s="12"/>
      <c r="C567" s="44"/>
      <c r="D567" s="278" t="str">
        <f>Asset10</f>
        <v>Transmission line assets - long life (60)</v>
      </c>
      <c r="E567" s="12"/>
      <c r="F567" s="12"/>
      <c r="G567" s="207">
        <f t="shared" si="32"/>
        <v>0</v>
      </c>
      <c r="H567" s="156">
        <f t="shared" si="33"/>
        <v>1.2586903116404593</v>
      </c>
      <c r="I567" s="156">
        <f t="shared" si="33"/>
        <v>117.82768841378831</v>
      </c>
      <c r="J567" s="156">
        <f t="shared" si="33"/>
        <v>136.0631036321505</v>
      </c>
      <c r="K567" s="156">
        <f t="shared" si="33"/>
        <v>147.30978691555791</v>
      </c>
      <c r="L567" s="156">
        <f t="shared" si="33"/>
        <v>191.71628498863174</v>
      </c>
      <c r="M567" s="156">
        <f>IF(COUNT($H567:L567)&gt;=Input!$W$7,0, M405+M437+M469)</f>
        <v>0</v>
      </c>
      <c r="N567" s="156">
        <f>IF(COUNT($H567:M567)&gt;=Input!$W$7,0, N405+N437+N469)</f>
        <v>0</v>
      </c>
      <c r="O567" s="156">
        <f>IF(COUNT($H567:N567)&gt;=Input!$W$7,0, O405+O437+O469)</f>
        <v>0</v>
      </c>
      <c r="P567" s="156">
        <f>IF(COUNT($H567:O567)&gt;=Input!$W$7,0, P405+P437+P469)</f>
        <v>0</v>
      </c>
      <c r="Q567" s="156">
        <f>IF(COUNT($H567:P567)&gt;=Input!$W$7,0, Q405+Q437+Q469)</f>
        <v>0</v>
      </c>
      <c r="R567" s="104"/>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235"/>
      <c r="BE567" s="235"/>
      <c r="BF567" s="235"/>
      <c r="BG567" s="235"/>
      <c r="BH567" s="235"/>
      <c r="BI567" s="235"/>
      <c r="BJ567" s="235"/>
      <c r="BK567" s="227"/>
      <c r="BL567" s="227"/>
    </row>
    <row r="568" spans="1:64" hidden="1" outlineLevel="1">
      <c r="A568" s="9"/>
      <c r="B568" s="12"/>
      <c r="C568" s="44"/>
      <c r="D568" s="278" t="str">
        <f>Asset11</f>
        <v>Transmission line assets - medium life (45)</v>
      </c>
      <c r="E568" s="12"/>
      <c r="F568" s="12"/>
      <c r="G568" s="207">
        <f t="shared" si="32"/>
        <v>0</v>
      </c>
      <c r="H568" s="156">
        <f t="shared" ref="H568:L577" si="34">H406+H438+H470</f>
        <v>1.3509861545539041E-2</v>
      </c>
      <c r="I568" s="156">
        <f t="shared" si="34"/>
        <v>4.5247710920896939E-2</v>
      </c>
      <c r="J568" s="156">
        <f t="shared" si="34"/>
        <v>0.24228583423428965</v>
      </c>
      <c r="K568" s="156">
        <f t="shared" si="34"/>
        <v>0.64249032102789727</v>
      </c>
      <c r="L568" s="156">
        <f t="shared" si="34"/>
        <v>0.80306705758188679</v>
      </c>
      <c r="M568" s="156">
        <f>IF(COUNT($H568:L568)&gt;=Input!$W$7,0, M406+M438+M470)</f>
        <v>0</v>
      </c>
      <c r="N568" s="156">
        <f>IF(COUNT($H568:M568)&gt;=Input!$W$7,0, N406+N438+N470)</f>
        <v>0</v>
      </c>
      <c r="O568" s="156">
        <f>IF(COUNT($H568:N568)&gt;=Input!$W$7,0, O406+O438+O470)</f>
        <v>0</v>
      </c>
      <c r="P568" s="156">
        <f>IF(COUNT($H568:O568)&gt;=Input!$W$7,0, P406+P438+P470)</f>
        <v>0</v>
      </c>
      <c r="Q568" s="156">
        <f>IF(COUNT($H568:P568)&gt;=Input!$W$7,0, Q406+Q438+Q470)</f>
        <v>0</v>
      </c>
      <c r="R568" s="104"/>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235"/>
      <c r="BE568" s="235"/>
      <c r="BF568" s="235"/>
      <c r="BG568" s="235"/>
      <c r="BH568" s="235"/>
      <c r="BI568" s="235"/>
      <c r="BJ568" s="235"/>
      <c r="BK568" s="227"/>
      <c r="BL568" s="227"/>
    </row>
    <row r="569" spans="1:64" hidden="1" outlineLevel="1">
      <c r="A569" s="9"/>
      <c r="B569" s="12"/>
      <c r="C569" s="44"/>
      <c r="D569" s="278" t="str">
        <f>Asset12</f>
        <v>Transmission line assets - short life (10)</v>
      </c>
      <c r="E569" s="12"/>
      <c r="F569" s="12"/>
      <c r="G569" s="207">
        <f t="shared" si="32"/>
        <v>0</v>
      </c>
      <c r="H569" s="156">
        <f t="shared" si="34"/>
        <v>0.37863134172724339</v>
      </c>
      <c r="I569" s="156">
        <f t="shared" si="34"/>
        <v>0.7556765714918785</v>
      </c>
      <c r="J569" s="156">
        <f t="shared" si="34"/>
        <v>1.2255975616823438</v>
      </c>
      <c r="K569" s="156">
        <f t="shared" si="34"/>
        <v>1.7874314741639259</v>
      </c>
      <c r="L569" s="156">
        <f t="shared" si="34"/>
        <v>5.3086605257542301</v>
      </c>
      <c r="M569" s="156">
        <f>IF(COUNT($H569:L569)&gt;=Input!$W$7,0, M407+M439+M471)</f>
        <v>0</v>
      </c>
      <c r="N569" s="156">
        <f>IF(COUNT($H569:M569)&gt;=Input!$W$7,0, N407+N439+N471)</f>
        <v>0</v>
      </c>
      <c r="O569" s="156">
        <f>IF(COUNT($H569:N569)&gt;=Input!$W$7,0, O407+O439+O471)</f>
        <v>0</v>
      </c>
      <c r="P569" s="156">
        <f>IF(COUNT($H569:O569)&gt;=Input!$W$7,0, P407+P439+P471)</f>
        <v>0</v>
      </c>
      <c r="Q569" s="156">
        <f>IF(COUNT($H569:P569)&gt;=Input!$W$7,0, Q407+Q439+Q471)</f>
        <v>0</v>
      </c>
      <c r="R569" s="104"/>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235"/>
      <c r="BE569" s="235"/>
      <c r="BF569" s="235"/>
      <c r="BG569" s="235"/>
      <c r="BH569" s="235"/>
      <c r="BI569" s="235"/>
      <c r="BJ569" s="235"/>
      <c r="BK569" s="227"/>
      <c r="BL569" s="227"/>
    </row>
    <row r="570" spans="1:64" hidden="1" outlineLevel="1">
      <c r="A570" s="9"/>
      <c r="B570" s="12"/>
      <c r="C570" s="44"/>
      <c r="D570" s="278" t="str">
        <f>Asset13</f>
        <v>Substation assets - long life (60)</v>
      </c>
      <c r="E570" s="12"/>
      <c r="F570" s="12"/>
      <c r="G570" s="207">
        <f t="shared" si="32"/>
        <v>0</v>
      </c>
      <c r="H570" s="156">
        <f t="shared" si="34"/>
        <v>2.4973591240740682</v>
      </c>
      <c r="I570" s="156">
        <f t="shared" si="34"/>
        <v>25.612638186922545</v>
      </c>
      <c r="J570" s="156">
        <f t="shared" si="34"/>
        <v>36.948877968258167</v>
      </c>
      <c r="K570" s="156">
        <f t="shared" si="34"/>
        <v>45.607321208783894</v>
      </c>
      <c r="L570" s="156">
        <f t="shared" si="34"/>
        <v>56.281024861000837</v>
      </c>
      <c r="M570" s="156">
        <f>IF(COUNT($H570:L570)&gt;=Input!$W$7,0, M408+M440+M472)</f>
        <v>0</v>
      </c>
      <c r="N570" s="156">
        <f>IF(COUNT($H570:M570)&gt;=Input!$W$7,0, N408+N440+N472)</f>
        <v>0</v>
      </c>
      <c r="O570" s="156">
        <f>IF(COUNT($H570:N570)&gt;=Input!$W$7,0, O408+O440+O472)</f>
        <v>0</v>
      </c>
      <c r="P570" s="156">
        <f>IF(COUNT($H570:O570)&gt;=Input!$W$7,0, P408+P440+P472)</f>
        <v>0</v>
      </c>
      <c r="Q570" s="156">
        <f>IF(COUNT($H570:P570)&gt;=Input!$W$7,0, Q408+Q440+Q472)</f>
        <v>0</v>
      </c>
      <c r="R570" s="104"/>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235"/>
      <c r="BE570" s="235"/>
      <c r="BF570" s="235"/>
      <c r="BG570" s="235"/>
      <c r="BH570" s="235"/>
      <c r="BI570" s="235"/>
      <c r="BJ570" s="235"/>
      <c r="BK570" s="227"/>
      <c r="BL570" s="227"/>
    </row>
    <row r="571" spans="1:64" hidden="1" outlineLevel="1">
      <c r="A571" s="9"/>
      <c r="B571" s="12"/>
      <c r="C571" s="44"/>
      <c r="D571" s="278" t="str">
        <f>Asset14</f>
        <v>Substation assets - medium life (45)</v>
      </c>
      <c r="E571" s="12"/>
      <c r="F571" s="12"/>
      <c r="G571" s="207">
        <f t="shared" si="32"/>
        <v>0</v>
      </c>
      <c r="H571" s="156">
        <f t="shared" si="34"/>
        <v>11.773281557407312</v>
      </c>
      <c r="I571" s="156">
        <f t="shared" si="34"/>
        <v>68.138150236946572</v>
      </c>
      <c r="J571" s="156">
        <f t="shared" si="34"/>
        <v>116.1198333782651</v>
      </c>
      <c r="K571" s="156">
        <f t="shared" si="34"/>
        <v>155.57377865500885</v>
      </c>
      <c r="L571" s="156">
        <f t="shared" si="34"/>
        <v>187.24014483773325</v>
      </c>
      <c r="M571" s="156">
        <f>IF(COUNT($H571:L571)&gt;=Input!$W$7,0, M409+M441+M473)</f>
        <v>0</v>
      </c>
      <c r="N571" s="156">
        <f>IF(COUNT($H571:M571)&gt;=Input!$W$7,0, N409+N441+N473)</f>
        <v>0</v>
      </c>
      <c r="O571" s="156">
        <f>IF(COUNT($H571:N571)&gt;=Input!$W$7,0, O409+O441+O473)</f>
        <v>0</v>
      </c>
      <c r="P571" s="156">
        <f>IF(COUNT($H571:O571)&gt;=Input!$W$7,0, P409+P441+P473)</f>
        <v>0</v>
      </c>
      <c r="Q571" s="156">
        <f>IF(COUNT($H571:P571)&gt;=Input!$W$7,0, Q409+Q441+Q473)</f>
        <v>0</v>
      </c>
      <c r="R571" s="104"/>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235"/>
      <c r="BE571" s="235"/>
      <c r="BF571" s="235"/>
      <c r="BG571" s="235"/>
      <c r="BH571" s="235"/>
      <c r="BI571" s="235"/>
      <c r="BJ571" s="235"/>
      <c r="BK571" s="227"/>
      <c r="BL571" s="227"/>
    </row>
    <row r="572" spans="1:64" hidden="1" outlineLevel="1">
      <c r="A572" s="9"/>
      <c r="B572" s="12"/>
      <c r="C572" s="44"/>
      <c r="D572" s="278" t="str">
        <f>Asset15</f>
        <v>Substation assets - short life (15)</v>
      </c>
      <c r="E572" s="12"/>
      <c r="F572" s="12"/>
      <c r="G572" s="207">
        <f t="shared" si="32"/>
        <v>0</v>
      </c>
      <c r="H572" s="156">
        <f t="shared" si="34"/>
        <v>12.356977989299727</v>
      </c>
      <c r="I572" s="156">
        <f t="shared" si="34"/>
        <v>13.539022919660617</v>
      </c>
      <c r="J572" s="156">
        <f t="shared" si="34"/>
        <v>13.89199194165994</v>
      </c>
      <c r="K572" s="156">
        <f t="shared" si="34"/>
        <v>17.404607077787567</v>
      </c>
      <c r="L572" s="156">
        <f t="shared" si="34"/>
        <v>21.700033489063532</v>
      </c>
      <c r="M572" s="156">
        <f>IF(COUNT($H572:L572)&gt;=Input!$W$7,0, M410+M442+M474)</f>
        <v>0</v>
      </c>
      <c r="N572" s="156">
        <f>IF(COUNT($H572:M572)&gt;=Input!$W$7,0, N410+N442+N474)</f>
        <v>0</v>
      </c>
      <c r="O572" s="156">
        <f>IF(COUNT($H572:N572)&gt;=Input!$W$7,0, O410+O442+O474)</f>
        <v>0</v>
      </c>
      <c r="P572" s="156">
        <f>IF(COUNT($H572:O572)&gt;=Input!$W$7,0, P410+P442+P474)</f>
        <v>0</v>
      </c>
      <c r="Q572" s="156">
        <f>IF(COUNT($H572:P572)&gt;=Input!$W$7,0, Q410+Q442+Q474)</f>
        <v>0</v>
      </c>
      <c r="R572" s="104"/>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235"/>
      <c r="BE572" s="235"/>
      <c r="BF572" s="235"/>
      <c r="BG572" s="235"/>
      <c r="BH572" s="235"/>
      <c r="BI572" s="235"/>
      <c r="BJ572" s="235"/>
      <c r="BK572" s="227"/>
      <c r="BL572" s="227"/>
    </row>
    <row r="573" spans="1:64" hidden="1" outlineLevel="1">
      <c r="A573" s="9"/>
      <c r="B573" s="12"/>
      <c r="C573" s="44"/>
      <c r="D573" s="278" t="str">
        <f>Asset16</f>
        <v>Protection and control - short life (15)</v>
      </c>
      <c r="E573" s="12"/>
      <c r="F573" s="12"/>
      <c r="G573" s="207">
        <f t="shared" si="32"/>
        <v>0</v>
      </c>
      <c r="H573" s="156">
        <f t="shared" si="34"/>
        <v>11.011252851229447</v>
      </c>
      <c r="I573" s="156">
        <f t="shared" si="34"/>
        <v>24.923545464605517</v>
      </c>
      <c r="J573" s="156">
        <f t="shared" si="34"/>
        <v>44.109209914820063</v>
      </c>
      <c r="K573" s="156">
        <f t="shared" si="34"/>
        <v>61.016842487301105</v>
      </c>
      <c r="L573" s="156">
        <f t="shared" si="34"/>
        <v>78.989744924493067</v>
      </c>
      <c r="M573" s="156">
        <f>IF(COUNT($H573:L573)&gt;=Input!$W$7,0, M411+M443+M475)</f>
        <v>0</v>
      </c>
      <c r="N573" s="156">
        <f>IF(COUNT($H573:M573)&gt;=Input!$W$7,0, N411+N443+N475)</f>
        <v>0</v>
      </c>
      <c r="O573" s="156">
        <f>IF(COUNT($H573:N573)&gt;=Input!$W$7,0, O411+O443+O475)</f>
        <v>0</v>
      </c>
      <c r="P573" s="156">
        <f>IF(COUNT($H573:O573)&gt;=Input!$W$7,0, P411+P443+P475)</f>
        <v>0</v>
      </c>
      <c r="Q573" s="156">
        <f>IF(COUNT($H573:P573)&gt;=Input!$W$7,0, Q411+Q443+Q475)</f>
        <v>0</v>
      </c>
      <c r="R573" s="104"/>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235"/>
      <c r="BE573" s="235"/>
      <c r="BF573" s="235"/>
      <c r="BG573" s="235"/>
      <c r="BH573" s="235"/>
      <c r="BI573" s="235"/>
      <c r="BJ573" s="235"/>
      <c r="BK573" s="227"/>
      <c r="BL573" s="227"/>
    </row>
    <row r="574" spans="1:64" hidden="1" outlineLevel="1">
      <c r="A574" s="9"/>
      <c r="B574" s="12"/>
      <c r="C574" s="44"/>
      <c r="D574" s="278" t="str">
        <f>Asset17</f>
        <v>Protection and control - short life (4)</v>
      </c>
      <c r="E574" s="12"/>
      <c r="F574" s="12"/>
      <c r="G574" s="207">
        <f t="shared" si="32"/>
        <v>0</v>
      </c>
      <c r="H574" s="156">
        <f t="shared" si="34"/>
        <v>4.3349262468330943E-2</v>
      </c>
      <c r="I574" s="156">
        <f t="shared" si="34"/>
        <v>0.11052852982183174</v>
      </c>
      <c r="J574" s="156">
        <f t="shared" si="34"/>
        <v>1.4008455781082494</v>
      </c>
      <c r="K574" s="156">
        <f t="shared" si="34"/>
        <v>1.3845445509600567</v>
      </c>
      <c r="L574" s="156">
        <f t="shared" si="34"/>
        <v>0.96196360464478337</v>
      </c>
      <c r="M574" s="156">
        <f>IF(COUNT($H574:L574)&gt;=Input!$W$7,0, M412+M444+M476)</f>
        <v>0</v>
      </c>
      <c r="N574" s="156">
        <f>IF(COUNT($H574:M574)&gt;=Input!$W$7,0, N412+N444+N476)</f>
        <v>0</v>
      </c>
      <c r="O574" s="156">
        <f>IF(COUNT($H574:N574)&gt;=Input!$W$7,0, O412+O444+O476)</f>
        <v>0</v>
      </c>
      <c r="P574" s="156">
        <f>IF(COUNT($H574:O574)&gt;=Input!$W$7,0, P412+P444+P476)</f>
        <v>0</v>
      </c>
      <c r="Q574" s="156">
        <f>IF(COUNT($H574:P574)&gt;=Input!$W$7,0, Q412+Q444+Q476)</f>
        <v>0</v>
      </c>
      <c r="R574" s="104"/>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235"/>
      <c r="BE574" s="235"/>
      <c r="BF574" s="235"/>
      <c r="BG574" s="235"/>
      <c r="BH574" s="235"/>
      <c r="BI574" s="235"/>
      <c r="BJ574" s="235"/>
      <c r="BK574" s="227"/>
      <c r="BL574" s="227"/>
    </row>
    <row r="575" spans="1:64" hidden="1" outlineLevel="1">
      <c r="A575" s="9"/>
      <c r="B575" s="12"/>
      <c r="C575" s="44"/>
      <c r="D575" s="278" t="str">
        <f>Asset18</f>
        <v>Transmission operations - short life (10)</v>
      </c>
      <c r="E575" s="12"/>
      <c r="F575" s="12"/>
      <c r="G575" s="207">
        <f t="shared" si="32"/>
        <v>0</v>
      </c>
      <c r="H575" s="156">
        <f t="shared" si="34"/>
        <v>1.1914825601167549</v>
      </c>
      <c r="I575" s="156">
        <f t="shared" si="34"/>
        <v>2.783219035333953</v>
      </c>
      <c r="J575" s="156">
        <f t="shared" si="34"/>
        <v>5.1946531764348123</v>
      </c>
      <c r="K575" s="156">
        <f t="shared" si="34"/>
        <v>6.6573286151847322</v>
      </c>
      <c r="L575" s="156">
        <f t="shared" si="34"/>
        <v>7.6111988859128124</v>
      </c>
      <c r="M575" s="156">
        <f>IF(COUNT($H575:L575)&gt;=Input!$W$7,0, M413+M445+M477)</f>
        <v>0</v>
      </c>
      <c r="N575" s="156">
        <f>IF(COUNT($H575:M575)&gt;=Input!$W$7,0, N413+N445+N477)</f>
        <v>0</v>
      </c>
      <c r="O575" s="156">
        <f>IF(COUNT($H575:N575)&gt;=Input!$W$7,0, O413+O445+O477)</f>
        <v>0</v>
      </c>
      <c r="P575" s="156">
        <f>IF(COUNT($H575:O575)&gt;=Input!$W$7,0, P413+P445+P477)</f>
        <v>0</v>
      </c>
      <c r="Q575" s="156">
        <f>IF(COUNT($H575:P575)&gt;=Input!$W$7,0, Q413+Q445+Q477)</f>
        <v>0</v>
      </c>
      <c r="R575" s="104"/>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235"/>
      <c r="BE575" s="235"/>
      <c r="BF575" s="235"/>
      <c r="BG575" s="235"/>
      <c r="BH575" s="235"/>
      <c r="BI575" s="235"/>
      <c r="BJ575" s="235"/>
      <c r="BK575" s="227"/>
      <c r="BL575" s="227"/>
    </row>
    <row r="576" spans="1:64" hidden="1" outlineLevel="1">
      <c r="A576" s="9"/>
      <c r="B576" s="12"/>
      <c r="C576" s="44"/>
      <c r="D576" s="278" t="str">
        <f>Asset19</f>
        <v>Transmission operations - short life (4)</v>
      </c>
      <c r="E576" s="12"/>
      <c r="F576" s="12"/>
      <c r="G576" s="207">
        <f t="shared" si="32"/>
        <v>0</v>
      </c>
      <c r="H576" s="156">
        <f t="shared" si="34"/>
        <v>4.6783741467227996E-2</v>
      </c>
      <c r="I576" s="156">
        <f t="shared" si="34"/>
        <v>0.10371515090449816</v>
      </c>
      <c r="J576" s="156">
        <f t="shared" si="34"/>
        <v>7.551064702274693E-2</v>
      </c>
      <c r="K576" s="156">
        <f t="shared" si="34"/>
        <v>0.21386574695123262</v>
      </c>
      <c r="L576" s="156">
        <f t="shared" si="34"/>
        <v>0.14539259577728286</v>
      </c>
      <c r="M576" s="156">
        <f>IF(COUNT($H576:L576)&gt;=Input!$W$7,0, M414+M446+M478)</f>
        <v>0</v>
      </c>
      <c r="N576" s="156">
        <f>IF(COUNT($H576:M576)&gt;=Input!$W$7,0, N414+N446+N478)</f>
        <v>0</v>
      </c>
      <c r="O576" s="156">
        <f>IF(COUNT($H576:N576)&gt;=Input!$W$7,0, O414+O446+O478)</f>
        <v>0</v>
      </c>
      <c r="P576" s="156">
        <f>IF(COUNT($H576:O576)&gt;=Input!$W$7,0, P414+P446+P478)</f>
        <v>0</v>
      </c>
      <c r="Q576" s="156">
        <f>IF(COUNT($H576:P576)&gt;=Input!$W$7,0, Q414+Q446+Q478)</f>
        <v>0</v>
      </c>
      <c r="R576" s="104"/>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235"/>
      <c r="BE576" s="235"/>
      <c r="BF576" s="235"/>
      <c r="BG576" s="235"/>
      <c r="BH576" s="235"/>
      <c r="BI576" s="235"/>
      <c r="BJ576" s="235"/>
      <c r="BK576" s="227"/>
      <c r="BL576" s="227"/>
    </row>
    <row r="577" spans="1:64" hidden="1" outlineLevel="1">
      <c r="A577" s="9"/>
      <c r="B577" s="12"/>
      <c r="C577" s="44"/>
      <c r="D577" s="278" t="str">
        <f>Asset20</f>
        <v>Other - medium life (40)</v>
      </c>
      <c r="E577" s="12"/>
      <c r="F577" s="12"/>
      <c r="G577" s="207">
        <f t="shared" si="32"/>
        <v>0</v>
      </c>
      <c r="H577" s="156">
        <f t="shared" si="34"/>
        <v>8.5042071932102044</v>
      </c>
      <c r="I577" s="156">
        <f t="shared" si="34"/>
        <v>23.634103839434172</v>
      </c>
      <c r="J577" s="156">
        <f t="shared" si="34"/>
        <v>25.098673779687388</v>
      </c>
      <c r="K577" s="156">
        <f t="shared" si="34"/>
        <v>25.185417338872437</v>
      </c>
      <c r="L577" s="156">
        <f t="shared" si="34"/>
        <v>28.803918489884531</v>
      </c>
      <c r="M577" s="156">
        <f>IF(COUNT($H577:L577)&gt;=Input!$W$7,0, M415+M447+M479)</f>
        <v>0</v>
      </c>
      <c r="N577" s="156">
        <f>IF(COUNT($H577:M577)&gt;=Input!$W$7,0, N415+N447+N479)</f>
        <v>0</v>
      </c>
      <c r="O577" s="156">
        <f>IF(COUNT($H577:N577)&gt;=Input!$W$7,0, O415+O447+O479)</f>
        <v>0</v>
      </c>
      <c r="P577" s="156">
        <f>IF(COUNT($H577:O577)&gt;=Input!$W$7,0, P415+P447+P479)</f>
        <v>0</v>
      </c>
      <c r="Q577" s="156">
        <f>IF(COUNT($H577:P577)&gt;=Input!$W$7,0, Q415+Q447+Q479)</f>
        <v>0</v>
      </c>
      <c r="R577" s="104"/>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235"/>
      <c r="BE577" s="235"/>
      <c r="BF577" s="235"/>
      <c r="BG577" s="235"/>
      <c r="BH577" s="235"/>
      <c r="BI577" s="235"/>
      <c r="BJ577" s="235"/>
      <c r="BK577" s="227"/>
      <c r="BL577" s="227"/>
    </row>
    <row r="578" spans="1:64" hidden="1" outlineLevel="1">
      <c r="A578" s="9"/>
      <c r="B578" s="12"/>
      <c r="C578" s="44"/>
      <c r="D578" s="278" t="str">
        <f>Asset21</f>
        <v>Other - short life (9)</v>
      </c>
      <c r="E578" s="12"/>
      <c r="F578" s="12"/>
      <c r="G578" s="207">
        <f t="shared" ref="G578:G586" si="35">G416+G448+G480+G512+G544</f>
        <v>0</v>
      </c>
      <c r="H578" s="156">
        <f t="shared" ref="H578:L586" si="36">H416+H448+H480</f>
        <v>0.72703233204589635</v>
      </c>
      <c r="I578" s="156">
        <f t="shared" si="36"/>
        <v>1.7213660166457985</v>
      </c>
      <c r="J578" s="156">
        <f t="shared" si="36"/>
        <v>2.7030548238393339</v>
      </c>
      <c r="K578" s="156">
        <f t="shared" si="36"/>
        <v>2.6718554906981526</v>
      </c>
      <c r="L578" s="156">
        <f t="shared" si="36"/>
        <v>2.8901245049736608</v>
      </c>
      <c r="M578" s="156">
        <f>IF(COUNT($H578:L578)&gt;=Input!$W$7,0, M416+M448+M480)</f>
        <v>0</v>
      </c>
      <c r="N578" s="156">
        <f>IF(COUNT($H578:M578)&gt;=Input!$W$7,0, N416+N448+N480)</f>
        <v>0</v>
      </c>
      <c r="O578" s="156">
        <f>IF(COUNT($H578:N578)&gt;=Input!$W$7,0, O416+O448+O480)</f>
        <v>0</v>
      </c>
      <c r="P578" s="156">
        <f>IF(COUNT($H578:O578)&gt;=Input!$W$7,0, P416+P448+P480)</f>
        <v>0</v>
      </c>
      <c r="Q578" s="156">
        <f>IF(COUNT($H578:P578)&gt;=Input!$W$7,0, Q416+Q448+Q480)</f>
        <v>0</v>
      </c>
      <c r="R578" s="104"/>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235"/>
      <c r="BE578" s="235"/>
      <c r="BF578" s="235"/>
      <c r="BG578" s="235"/>
      <c r="BH578" s="235"/>
      <c r="BI578" s="235"/>
      <c r="BJ578" s="235"/>
      <c r="BK578" s="227"/>
      <c r="BL578" s="227"/>
    </row>
    <row r="579" spans="1:64" hidden="1" outlineLevel="1">
      <c r="A579" s="9"/>
      <c r="B579" s="12"/>
      <c r="C579" s="44"/>
      <c r="D579" s="278" t="str">
        <f>Asset22</f>
        <v>Other - short life (4)</v>
      </c>
      <c r="E579" s="12"/>
      <c r="F579" s="12"/>
      <c r="G579" s="207">
        <f t="shared" si="35"/>
        <v>0</v>
      </c>
      <c r="H579" s="156">
        <f t="shared" si="36"/>
        <v>2.6090448499525216</v>
      </c>
      <c r="I579" s="156">
        <f t="shared" si="36"/>
        <v>4.1229155801835145</v>
      </c>
      <c r="J579" s="156">
        <f t="shared" si="36"/>
        <v>4.8794614776084133</v>
      </c>
      <c r="K579" s="156">
        <f t="shared" si="36"/>
        <v>8.7265761432160716</v>
      </c>
      <c r="L579" s="156">
        <f t="shared" si="36"/>
        <v>8.2661121698126649</v>
      </c>
      <c r="M579" s="156">
        <f>IF(COUNT($H579:L579)&gt;=Input!$W$7,0, M417+M449+M481)</f>
        <v>0</v>
      </c>
      <c r="N579" s="156">
        <f>IF(COUNT($H579:M579)&gt;=Input!$W$7,0, N417+N449+N481)</f>
        <v>0</v>
      </c>
      <c r="O579" s="156">
        <f>IF(COUNT($H579:N579)&gt;=Input!$W$7,0, O417+O449+O481)</f>
        <v>0</v>
      </c>
      <c r="P579" s="156">
        <f>IF(COUNT($H579:O579)&gt;=Input!$W$7,0, P417+P449+P481)</f>
        <v>0</v>
      </c>
      <c r="Q579" s="156">
        <f>IF(COUNT($H579:P579)&gt;=Input!$W$7,0, Q417+Q449+Q481)</f>
        <v>0</v>
      </c>
      <c r="R579" s="104"/>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235"/>
      <c r="BE579" s="235"/>
      <c r="BF579" s="235"/>
      <c r="BG579" s="235"/>
      <c r="BH579" s="235"/>
      <c r="BI579" s="235"/>
      <c r="BJ579" s="235"/>
      <c r="BK579" s="227"/>
      <c r="BL579" s="227"/>
    </row>
    <row r="580" spans="1:64" hidden="1" outlineLevel="1">
      <c r="A580" s="9"/>
      <c r="B580" s="12"/>
      <c r="C580" s="44"/>
      <c r="D580" s="278" t="str">
        <f>Asset23</f>
        <v>Land and Easements</v>
      </c>
      <c r="E580" s="12"/>
      <c r="F580" s="12"/>
      <c r="G580" s="207">
        <f t="shared" si="35"/>
        <v>0</v>
      </c>
      <c r="H580" s="156">
        <f t="shared" si="36"/>
        <v>0</v>
      </c>
      <c r="I580" s="156">
        <f t="shared" si="36"/>
        <v>1.743068639940359</v>
      </c>
      <c r="J580" s="156">
        <f t="shared" si="36"/>
        <v>2.2531392979164462</v>
      </c>
      <c r="K580" s="156">
        <f t="shared" si="36"/>
        <v>3.6658437437602203</v>
      </c>
      <c r="L580" s="156">
        <f t="shared" si="36"/>
        <v>4.8160160086349917</v>
      </c>
      <c r="M580" s="156">
        <f>IF(COUNT($H580:L580)&gt;=Input!$W$7,0, M418+M450+M482)</f>
        <v>0</v>
      </c>
      <c r="N580" s="156">
        <f>IF(COUNT($H580:M580)&gt;=Input!$W$7,0, N418+N450+N482)</f>
        <v>0</v>
      </c>
      <c r="O580" s="156">
        <f>IF(COUNT($H580:N580)&gt;=Input!$W$7,0, O418+O450+O482)</f>
        <v>0</v>
      </c>
      <c r="P580" s="156">
        <f>IF(COUNT($H580:O580)&gt;=Input!$W$7,0, P418+P450+P482)</f>
        <v>0</v>
      </c>
      <c r="Q580" s="156">
        <f>IF(COUNT($H580:P580)&gt;=Input!$W$7,0, Q418+Q450+Q482)</f>
        <v>0</v>
      </c>
      <c r="R580" s="104"/>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235"/>
      <c r="BE580" s="235"/>
      <c r="BF580" s="235"/>
      <c r="BG580" s="235"/>
      <c r="BH580" s="235"/>
      <c r="BI580" s="235"/>
      <c r="BJ580" s="235"/>
      <c r="BK580" s="227"/>
      <c r="BL580" s="227"/>
    </row>
    <row r="581" spans="1:64" hidden="1" outlineLevel="1">
      <c r="A581" s="9"/>
      <c r="B581" s="12"/>
      <c r="C581" s="44"/>
      <c r="D581" s="278" t="str">
        <f>Asset24</f>
        <v>Equity Raising</v>
      </c>
      <c r="E581" s="12"/>
      <c r="F581" s="12"/>
      <c r="G581" s="207">
        <f t="shared" si="35"/>
        <v>0</v>
      </c>
      <c r="H581" s="156">
        <f t="shared" si="36"/>
        <v>0.44485041313161061</v>
      </c>
      <c r="I581" s="156">
        <f t="shared" si="36"/>
        <v>0.44870168372209202</v>
      </c>
      <c r="J581" s="156">
        <f t="shared" si="36"/>
        <v>0.44446886150221571</v>
      </c>
      <c r="K581" s="156">
        <f t="shared" si="36"/>
        <v>0.44406898521604748</v>
      </c>
      <c r="L581" s="156">
        <f t="shared" si="36"/>
        <v>0.44335963280526741</v>
      </c>
      <c r="M581" s="156">
        <f>IF(COUNT($H581:L581)&gt;=Input!$W$7,0, M419+M451+M483)</f>
        <v>0</v>
      </c>
      <c r="N581" s="156">
        <f>IF(COUNT($H581:M581)&gt;=Input!$W$7,0, N419+N451+N483)</f>
        <v>0</v>
      </c>
      <c r="O581" s="156">
        <f>IF(COUNT($H581:N581)&gt;=Input!$W$7,0, O419+O451+O483)</f>
        <v>0</v>
      </c>
      <c r="P581" s="156">
        <f>IF(COUNT($H581:O581)&gt;=Input!$W$7,0, P419+P451+P483)</f>
        <v>0</v>
      </c>
      <c r="Q581" s="156">
        <f>IF(COUNT($H581:P581)&gt;=Input!$W$7,0, Q419+Q451+Q483)</f>
        <v>0</v>
      </c>
      <c r="R581" s="104"/>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235"/>
      <c r="BE581" s="235"/>
      <c r="BF581" s="235"/>
      <c r="BG581" s="235"/>
      <c r="BH581" s="235"/>
      <c r="BI581" s="235"/>
      <c r="BJ581" s="235"/>
      <c r="BK581" s="227"/>
      <c r="BL581" s="227"/>
    </row>
    <row r="582" spans="1:64" hidden="1" outlineLevel="1">
      <c r="A582" s="9"/>
      <c r="B582" s="12"/>
      <c r="C582" s="44"/>
      <c r="D582" s="278">
        <f>Asset25</f>
        <v>0</v>
      </c>
      <c r="E582" s="12"/>
      <c r="F582" s="12"/>
      <c r="G582" s="207">
        <f t="shared" si="35"/>
        <v>0</v>
      </c>
      <c r="H582" s="156">
        <f t="shared" si="36"/>
        <v>0</v>
      </c>
      <c r="I582" s="156">
        <f t="shared" si="36"/>
        <v>0</v>
      </c>
      <c r="J582" s="156">
        <f t="shared" si="36"/>
        <v>0</v>
      </c>
      <c r="K582" s="156">
        <f t="shared" si="36"/>
        <v>0</v>
      </c>
      <c r="L582" s="156">
        <f t="shared" si="36"/>
        <v>0</v>
      </c>
      <c r="M582" s="156">
        <f>IF(COUNT($H582:L582)&gt;=Input!$W$7,0, M420+M452+M484)</f>
        <v>0</v>
      </c>
      <c r="N582" s="156">
        <f>IF(COUNT($H582:M582)&gt;=Input!$W$7,0, N420+N452+N484)</f>
        <v>0</v>
      </c>
      <c r="O582" s="156">
        <f>IF(COUNT($H582:N582)&gt;=Input!$W$7,0, O420+O452+O484)</f>
        <v>0</v>
      </c>
      <c r="P582" s="156">
        <f>IF(COUNT($H582:O582)&gt;=Input!$W$7,0, P420+P452+P484)</f>
        <v>0</v>
      </c>
      <c r="Q582" s="156">
        <f>IF(COUNT($H582:P582)&gt;=Input!$W$7,0, Q420+Q452+Q484)</f>
        <v>0</v>
      </c>
      <c r="R582" s="104"/>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235"/>
      <c r="BE582" s="235"/>
      <c r="BF582" s="235"/>
      <c r="BG582" s="235"/>
      <c r="BH582" s="235"/>
      <c r="BI582" s="235"/>
      <c r="BJ582" s="235"/>
      <c r="BK582" s="227"/>
      <c r="BL582" s="227"/>
    </row>
    <row r="583" spans="1:64" hidden="1" outlineLevel="1">
      <c r="A583" s="9"/>
      <c r="B583" s="12"/>
      <c r="C583" s="44"/>
      <c r="D583" s="278">
        <f>Asset26</f>
        <v>0</v>
      </c>
      <c r="E583" s="12"/>
      <c r="F583" s="12"/>
      <c r="G583" s="207">
        <f t="shared" si="35"/>
        <v>0</v>
      </c>
      <c r="H583" s="156">
        <f t="shared" si="36"/>
        <v>0</v>
      </c>
      <c r="I583" s="156">
        <f t="shared" si="36"/>
        <v>0</v>
      </c>
      <c r="J583" s="156">
        <f t="shared" si="36"/>
        <v>0</v>
      </c>
      <c r="K583" s="156">
        <f t="shared" si="36"/>
        <v>0</v>
      </c>
      <c r="L583" s="156">
        <f t="shared" si="36"/>
        <v>0</v>
      </c>
      <c r="M583" s="156">
        <f>IF(COUNT($H583:L583)&gt;=Input!$W$7,0, M421+M453+M485)</f>
        <v>0</v>
      </c>
      <c r="N583" s="156">
        <f>IF(COUNT($H583:M583)&gt;=Input!$W$7,0, N421+N453+N485)</f>
        <v>0</v>
      </c>
      <c r="O583" s="156">
        <f>IF(COUNT($H583:N583)&gt;=Input!$W$7,0, O421+O453+O485)</f>
        <v>0</v>
      </c>
      <c r="P583" s="156">
        <f>IF(COUNT($H583:O583)&gt;=Input!$W$7,0, P421+P453+P485)</f>
        <v>0</v>
      </c>
      <c r="Q583" s="156">
        <f>IF(COUNT($H583:P583)&gt;=Input!$W$7,0, Q421+Q453+Q485)</f>
        <v>0</v>
      </c>
      <c r="R583" s="104"/>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235"/>
      <c r="BE583" s="235"/>
      <c r="BF583" s="235"/>
      <c r="BG583" s="235"/>
      <c r="BH583" s="235"/>
      <c r="BI583" s="235"/>
      <c r="BJ583" s="235"/>
      <c r="BK583" s="227"/>
      <c r="BL583" s="227"/>
    </row>
    <row r="584" spans="1:64" hidden="1" outlineLevel="1">
      <c r="A584" s="9"/>
      <c r="B584" s="12"/>
      <c r="C584" s="44"/>
      <c r="D584" s="278">
        <f>Asset27</f>
        <v>0</v>
      </c>
      <c r="E584" s="12"/>
      <c r="F584" s="12"/>
      <c r="G584" s="207">
        <f t="shared" si="35"/>
        <v>0</v>
      </c>
      <c r="H584" s="156">
        <f t="shared" si="36"/>
        <v>0</v>
      </c>
      <c r="I584" s="156">
        <f t="shared" si="36"/>
        <v>0</v>
      </c>
      <c r="J584" s="156">
        <f t="shared" si="36"/>
        <v>0</v>
      </c>
      <c r="K584" s="156">
        <f t="shared" si="36"/>
        <v>0</v>
      </c>
      <c r="L584" s="156">
        <f t="shared" si="36"/>
        <v>0</v>
      </c>
      <c r="M584" s="156">
        <f>IF(COUNT($H584:L584)&gt;=Input!$W$7,0, M422+M454+M486)</f>
        <v>0</v>
      </c>
      <c r="N584" s="156">
        <f>IF(COUNT($H584:M584)&gt;=Input!$W$7,0, N422+N454+N486)</f>
        <v>0</v>
      </c>
      <c r="O584" s="156">
        <f>IF(COUNT($H584:N584)&gt;=Input!$W$7,0, O422+O454+O486)</f>
        <v>0</v>
      </c>
      <c r="P584" s="156">
        <f>IF(COUNT($H584:O584)&gt;=Input!$W$7,0, P422+P454+P486)</f>
        <v>0</v>
      </c>
      <c r="Q584" s="156">
        <f>IF(COUNT($H584:P584)&gt;=Input!$W$7,0, Q422+Q454+Q486)</f>
        <v>0</v>
      </c>
      <c r="R584" s="104"/>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235"/>
      <c r="BE584" s="235"/>
      <c r="BF584" s="235"/>
      <c r="BG584" s="235"/>
      <c r="BH584" s="235"/>
      <c r="BI584" s="235"/>
      <c r="BJ584" s="235"/>
      <c r="BK584" s="227"/>
      <c r="BL584" s="227"/>
    </row>
    <row r="585" spans="1:64" hidden="1" outlineLevel="1">
      <c r="A585" s="9"/>
      <c r="B585" s="12"/>
      <c r="C585" s="44"/>
      <c r="D585" s="278">
        <f>Asset28</f>
        <v>0</v>
      </c>
      <c r="E585" s="12"/>
      <c r="F585" s="12"/>
      <c r="G585" s="207">
        <f t="shared" si="35"/>
        <v>0</v>
      </c>
      <c r="H585" s="156">
        <f t="shared" si="36"/>
        <v>0</v>
      </c>
      <c r="I585" s="156">
        <f t="shared" si="36"/>
        <v>0</v>
      </c>
      <c r="J585" s="156">
        <f t="shared" si="36"/>
        <v>0</v>
      </c>
      <c r="K585" s="156">
        <f t="shared" si="36"/>
        <v>0</v>
      </c>
      <c r="L585" s="156">
        <f t="shared" si="36"/>
        <v>0</v>
      </c>
      <c r="M585" s="156">
        <f>IF(COUNT($H585:L585)&gt;=Input!$W$7,0, M423+M455+M487)</f>
        <v>0</v>
      </c>
      <c r="N585" s="156">
        <f>IF(COUNT($H585:M585)&gt;=Input!$W$7,0, N423+N455+N487)</f>
        <v>0</v>
      </c>
      <c r="O585" s="156">
        <f>IF(COUNT($H585:N585)&gt;=Input!$W$7,0, O423+O455+O487)</f>
        <v>0</v>
      </c>
      <c r="P585" s="156">
        <f>IF(COUNT($H585:O585)&gt;=Input!$W$7,0, P423+P455+P487)</f>
        <v>0</v>
      </c>
      <c r="Q585" s="156">
        <f>IF(COUNT($H585:P585)&gt;=Input!$W$7,0, Q423+Q455+Q487)</f>
        <v>0</v>
      </c>
      <c r="R585" s="104"/>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235"/>
      <c r="BE585" s="235"/>
      <c r="BF585" s="235"/>
      <c r="BG585" s="235"/>
      <c r="BH585" s="235"/>
      <c r="BI585" s="235"/>
      <c r="BJ585" s="235"/>
      <c r="BK585" s="227"/>
      <c r="BL585" s="227"/>
    </row>
    <row r="586" spans="1:64" hidden="1" outlineLevel="1">
      <c r="A586" s="9"/>
      <c r="B586" s="12"/>
      <c r="C586" s="44"/>
      <c r="D586" s="278">
        <f>Asset29</f>
        <v>0</v>
      </c>
      <c r="E586" s="12"/>
      <c r="F586" s="12"/>
      <c r="G586" s="207">
        <f t="shared" si="35"/>
        <v>0</v>
      </c>
      <c r="H586" s="156">
        <f t="shared" si="36"/>
        <v>0</v>
      </c>
      <c r="I586" s="156">
        <f t="shared" si="36"/>
        <v>0</v>
      </c>
      <c r="J586" s="156">
        <f t="shared" si="36"/>
        <v>0</v>
      </c>
      <c r="K586" s="156">
        <f t="shared" si="36"/>
        <v>0</v>
      </c>
      <c r="L586" s="156">
        <f t="shared" si="36"/>
        <v>0</v>
      </c>
      <c r="M586" s="156">
        <f>IF(COUNT($H586:L586)&gt;=Input!$W$7,0, M424+M456+M488)</f>
        <v>0</v>
      </c>
      <c r="N586" s="156">
        <f>IF(COUNT($H586:M586)&gt;=Input!$W$7,0, N424+N456+N488)</f>
        <v>0</v>
      </c>
      <c r="O586" s="156">
        <f>IF(COUNT($H586:N586)&gt;=Input!$W$7,0, O424+O456+O488)</f>
        <v>0</v>
      </c>
      <c r="P586" s="156">
        <f>IF(COUNT($H586:O586)&gt;=Input!$W$7,0, P424+P456+P488)</f>
        <v>0</v>
      </c>
      <c r="Q586" s="156">
        <f>IF(COUNT($H586:P586)&gt;=Input!$W$7,0, Q424+Q456+Q488)</f>
        <v>0</v>
      </c>
      <c r="R586" s="104"/>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235"/>
      <c r="BE586" s="235"/>
      <c r="BF586" s="235"/>
      <c r="BG586" s="235"/>
      <c r="BH586" s="235"/>
      <c r="BI586" s="235"/>
      <c r="BJ586" s="235"/>
      <c r="BK586" s="227"/>
      <c r="BL586" s="227"/>
    </row>
    <row r="587" spans="1:64" hidden="1" outlineLevel="1">
      <c r="A587" s="9"/>
      <c r="B587" s="12"/>
      <c r="C587" s="44"/>
      <c r="D587" s="278">
        <f>Asset30</f>
        <v>0</v>
      </c>
      <c r="E587" s="12"/>
      <c r="F587" s="12"/>
      <c r="G587" s="207">
        <f>G425+G457+G489+G521+G553</f>
        <v>0</v>
      </c>
      <c r="H587" s="156">
        <f>H425+H457+H489</f>
        <v>0</v>
      </c>
      <c r="I587" s="156">
        <f>I425+I457+I489</f>
        <v>0</v>
      </c>
      <c r="J587" s="156">
        <f>J425+J457+J489</f>
        <v>0</v>
      </c>
      <c r="K587" s="156">
        <f>K425+K457+K489</f>
        <v>0</v>
      </c>
      <c r="L587" s="156">
        <f>L425+L457+L489</f>
        <v>0</v>
      </c>
      <c r="M587" s="156">
        <f>IF(COUNT($H587:L587)&gt;=Input!$W$7,0, M425+M457+M489)</f>
        <v>0</v>
      </c>
      <c r="N587" s="156">
        <f>IF(COUNT($H587:M587)&gt;=Input!$W$7,0, N425+N457+N489)</f>
        <v>0</v>
      </c>
      <c r="O587" s="156">
        <f>IF(COUNT($H587:N587)&gt;=Input!$W$7,0, O425+O457+O489)</f>
        <v>0</v>
      </c>
      <c r="P587" s="156">
        <f>IF(COUNT($H587:O587)&gt;=Input!$W$7,0, P425+P457+P489)</f>
        <v>0</v>
      </c>
      <c r="Q587" s="156">
        <f>IF(COUNT($H587:P587)&gt;=Input!$W$7,0, Q425+Q457+Q489)</f>
        <v>0</v>
      </c>
      <c r="R587" s="104"/>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235"/>
      <c r="BE587" s="235"/>
      <c r="BF587" s="235"/>
      <c r="BG587" s="235"/>
      <c r="BH587" s="235"/>
      <c r="BI587" s="235"/>
      <c r="BJ587" s="235"/>
      <c r="BK587" s="227"/>
      <c r="BL587" s="227"/>
    </row>
    <row r="588" spans="1:64" collapsed="1">
      <c r="A588" s="9"/>
      <c r="B588" s="12"/>
      <c r="C588" s="94"/>
      <c r="D588" s="116"/>
      <c r="E588" s="12"/>
      <c r="F588" s="12"/>
      <c r="G588" s="155"/>
      <c r="H588" s="144"/>
      <c r="I588" s="144"/>
      <c r="J588" s="144"/>
      <c r="K588" s="144"/>
      <c r="L588" s="144"/>
      <c r="M588" s="144"/>
      <c r="N588" s="104"/>
      <c r="O588" s="104"/>
      <c r="P588" s="104"/>
      <c r="Q588" s="104"/>
      <c r="R588" s="104"/>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235"/>
      <c r="BE588" s="235"/>
      <c r="BF588" s="235"/>
      <c r="BG588" s="235"/>
      <c r="BH588" s="235"/>
      <c r="BI588" s="235"/>
      <c r="BJ588" s="235"/>
      <c r="BK588" s="227"/>
      <c r="BL588" s="227"/>
    </row>
    <row r="589" spans="1:64" s="9" customFormat="1">
      <c r="B589" s="12"/>
      <c r="C589" s="94" t="s">
        <v>33</v>
      </c>
      <c r="D589" s="12"/>
      <c r="E589" s="12"/>
      <c r="F589" s="12"/>
      <c r="G589" s="117"/>
      <c r="H589" s="118"/>
      <c r="I589" s="118"/>
      <c r="J589" s="118"/>
      <c r="K589" s="118"/>
      <c r="L589" s="118">
        <f t="shared" ref="L589:Q589" si="37">SUM(L590:L619)</f>
        <v>-12.423265146332945</v>
      </c>
      <c r="M589" s="118">
        <f t="shared" si="37"/>
        <v>0</v>
      </c>
      <c r="N589" s="118">
        <f t="shared" si="37"/>
        <v>0</v>
      </c>
      <c r="O589" s="118">
        <f t="shared" si="37"/>
        <v>0</v>
      </c>
      <c r="P589" s="118">
        <f t="shared" si="37"/>
        <v>0</v>
      </c>
      <c r="Q589" s="118">
        <f t="shared" si="37"/>
        <v>0</v>
      </c>
      <c r="R589" s="110"/>
      <c r="S589" s="110"/>
      <c r="T589" s="110"/>
      <c r="U589" s="110"/>
      <c r="V589" s="110"/>
      <c r="W589" s="110"/>
      <c r="X589" s="110"/>
      <c r="Y589" s="110"/>
      <c r="Z589" s="110"/>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221"/>
      <c r="BE589" s="221"/>
      <c r="BF589" s="221"/>
      <c r="BG589" s="221"/>
      <c r="BH589" s="221"/>
      <c r="BI589" s="221"/>
      <c r="BJ589" s="221"/>
      <c r="BK589" s="227"/>
      <c r="BL589" s="227"/>
    </row>
    <row r="590" spans="1:64" ht="12" hidden="1" customHeight="1" outlineLevel="1">
      <c r="A590" s="9"/>
      <c r="B590" s="9"/>
      <c r="C590" s="9"/>
      <c r="D590" s="278" t="str">
        <f>Asset1</f>
        <v>Transmission Lines and Cables</v>
      </c>
      <c r="E590" s="9"/>
      <c r="F590" s="9"/>
      <c r="G590" s="9"/>
      <c r="H590" s="114"/>
      <c r="I590" s="114"/>
      <c r="J590" s="114"/>
      <c r="K590" s="114"/>
      <c r="L590" s="114">
        <f>IF(L$557&gt;0, IF(M$557=0, 'Adjustment for previous period'!$G76, 0), 0)</f>
        <v>2.1655132429431734</v>
      </c>
      <c r="M590" s="114">
        <f>IF(M$557&gt;0, IF(N$557=0, 'Adjustment for previous period'!$G76, 0), 0)</f>
        <v>0</v>
      </c>
      <c r="N590" s="114">
        <f>IF(N$557&gt;0, IF(O$557=0, 'Adjustment for previous period'!$G76, 0), 0)</f>
        <v>0</v>
      </c>
      <c r="O590" s="114">
        <f>IF(O$557&gt;0, IF(P$557=0, 'Adjustment for previous period'!$G76, 0), 0)</f>
        <v>0</v>
      </c>
      <c r="P590" s="114">
        <f>IF(P$557&gt;0, IF(Q$557=0, 'Adjustment for previous period'!$G76, 0), 0)</f>
        <v>0</v>
      </c>
      <c r="Q590" s="114">
        <f>IF(Q$557&gt;0, IF(R$557=0, 'Adjustment for previous period'!$G76, 0), 0)</f>
        <v>0</v>
      </c>
      <c r="R590" s="9"/>
      <c r="S590" s="12"/>
      <c r="T590" s="12"/>
      <c r="U590" s="12"/>
      <c r="V590" s="12"/>
      <c r="W590" s="12"/>
      <c r="X590" s="12"/>
      <c r="Y590" s="12"/>
      <c r="Z590" s="12"/>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7"/>
      <c r="BL590" s="227"/>
    </row>
    <row r="591" spans="1:64" ht="12" hidden="1" customHeight="1" outlineLevel="1">
      <c r="A591" s="9"/>
      <c r="B591" s="9"/>
      <c r="C591" s="9"/>
      <c r="D591" s="278" t="str">
        <f>Asset2</f>
        <v>Transmission Substations</v>
      </c>
      <c r="E591" s="9"/>
      <c r="F591" s="9"/>
      <c r="G591" s="9"/>
      <c r="H591" s="114"/>
      <c r="I591" s="114"/>
      <c r="J591" s="114"/>
      <c r="K591" s="114"/>
      <c r="L591" s="114">
        <f>IF(L$557&gt;0, IF(M$557=0, 'Adjustment for previous period'!$G77, 0), 0)</f>
        <v>-22.546581633919459</v>
      </c>
      <c r="M591" s="114">
        <f>IF(M$557&gt;0, IF(N$557=0, 'Adjustment for previous period'!$G77, 0), 0)</f>
        <v>0</v>
      </c>
      <c r="N591" s="114">
        <f>IF(N$557&gt;0, IF(O$557=0, 'Adjustment for previous period'!$G77, 0), 0)</f>
        <v>0</v>
      </c>
      <c r="O591" s="114">
        <f>IF(O$557&gt;0, IF(P$557=0, 'Adjustment for previous period'!$G77, 0), 0)</f>
        <v>0</v>
      </c>
      <c r="P591" s="114">
        <f>IF(P$557&gt;0, IF(Q$557=0, 'Adjustment for previous period'!$G77, 0), 0)</f>
        <v>0</v>
      </c>
      <c r="Q591" s="114">
        <f>IF(Q$557&gt;0, IF(R$557=0, 'Adjustment for previous period'!$G77, 0), 0)</f>
        <v>0</v>
      </c>
      <c r="R591" s="9"/>
      <c r="S591" s="12"/>
      <c r="T591" s="12"/>
      <c r="U591" s="12"/>
      <c r="V591" s="12"/>
      <c r="W591" s="12"/>
      <c r="X591" s="12"/>
      <c r="Y591" s="12"/>
      <c r="Z591" s="12"/>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7"/>
      <c r="BL591" s="227"/>
    </row>
    <row r="592" spans="1:64" ht="12" hidden="1" customHeight="1" outlineLevel="1">
      <c r="A592" s="9"/>
      <c r="B592" s="9"/>
      <c r="C592" s="9"/>
      <c r="D592" s="278" t="str">
        <f>Asset3</f>
        <v>Protection and Control</v>
      </c>
      <c r="E592" s="9"/>
      <c r="F592" s="9"/>
      <c r="G592" s="9"/>
      <c r="H592" s="114"/>
      <c r="I592" s="114"/>
      <c r="J592" s="114"/>
      <c r="K592" s="114"/>
      <c r="L592" s="114">
        <f>IF(L$557&gt;0, IF(M$557=0, 'Adjustment for previous period'!$G78, 0), 0)</f>
        <v>-2.4716748656327692</v>
      </c>
      <c r="M592" s="114">
        <f>IF(M$557&gt;0, IF(N$557=0, 'Adjustment for previous period'!$G78, 0), 0)</f>
        <v>0</v>
      </c>
      <c r="N592" s="114">
        <f>IF(N$557&gt;0, IF(O$557=0, 'Adjustment for previous period'!$G78, 0), 0)</f>
        <v>0</v>
      </c>
      <c r="O592" s="114">
        <f>IF(O$557&gt;0, IF(P$557=0, 'Adjustment for previous period'!$G78, 0), 0)</f>
        <v>0</v>
      </c>
      <c r="P592" s="114">
        <f>IF(P$557&gt;0, IF(Q$557=0, 'Adjustment for previous period'!$G78, 0), 0)</f>
        <v>0</v>
      </c>
      <c r="Q592" s="114">
        <f>IF(Q$557&gt;0, IF(R$557=0, 'Adjustment for previous period'!$G78, 0), 0)</f>
        <v>0</v>
      </c>
      <c r="R592" s="9"/>
      <c r="S592" s="12"/>
      <c r="T592" s="12"/>
      <c r="U592" s="12"/>
      <c r="V592" s="12"/>
      <c r="W592" s="12"/>
      <c r="X592" s="12"/>
      <c r="Y592" s="12"/>
      <c r="Z592" s="12"/>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7"/>
      <c r="BL592" s="227"/>
    </row>
    <row r="593" spans="1:64" ht="12" hidden="1" customHeight="1" outlineLevel="1">
      <c r="A593" s="9"/>
      <c r="B593" s="9"/>
      <c r="C593" s="9"/>
      <c r="D593" s="278" t="str">
        <f>Asset4</f>
        <v>Refurbishment</v>
      </c>
      <c r="E593" s="9"/>
      <c r="F593" s="9"/>
      <c r="G593" s="9"/>
      <c r="H593" s="114"/>
      <c r="I593" s="114"/>
      <c r="J593" s="114"/>
      <c r="K593" s="114"/>
      <c r="L593" s="114">
        <f>IF(L$557&gt;0, IF(M$557=0, 'Adjustment for previous period'!$G79, 0), 0)</f>
        <v>0</v>
      </c>
      <c r="M593" s="114">
        <f>IF(M$557&gt;0, IF(N$557=0, 'Adjustment for previous period'!$G79, 0), 0)</f>
        <v>0</v>
      </c>
      <c r="N593" s="114">
        <f>IF(N$557&gt;0, IF(O$557=0, 'Adjustment for previous period'!$G79, 0), 0)</f>
        <v>0</v>
      </c>
      <c r="O593" s="114">
        <f>IF(O$557&gt;0, IF(P$557=0, 'Adjustment for previous period'!$G79, 0), 0)</f>
        <v>0</v>
      </c>
      <c r="P593" s="114">
        <f>IF(P$557&gt;0, IF(Q$557=0, 'Adjustment for previous period'!$G79, 0), 0)</f>
        <v>0</v>
      </c>
      <c r="Q593" s="114">
        <f>IF(Q$557&gt;0, IF(R$557=0, 'Adjustment for previous period'!$G79, 0), 0)</f>
        <v>0</v>
      </c>
      <c r="R593" s="9"/>
      <c r="S593" s="12"/>
      <c r="T593" s="12"/>
      <c r="U593" s="12"/>
      <c r="V593" s="12"/>
      <c r="W593" s="12"/>
      <c r="X593" s="12"/>
      <c r="Y593" s="12"/>
      <c r="Z593" s="12"/>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7"/>
      <c r="BL593" s="227"/>
    </row>
    <row r="594" spans="1:64" ht="12" hidden="1" customHeight="1" outlineLevel="1">
      <c r="A594" s="9"/>
      <c r="B594" s="9"/>
      <c r="C594" s="9"/>
      <c r="D594" s="278" t="str">
        <f>Asset5</f>
        <v>Other</v>
      </c>
      <c r="E594" s="9"/>
      <c r="F594" s="9"/>
      <c r="G594" s="9"/>
      <c r="H594" s="114"/>
      <c r="I594" s="114"/>
      <c r="J594" s="114"/>
      <c r="K594" s="114"/>
      <c r="L594" s="114">
        <f>IF(L$557&gt;0, IF(M$557=0, 'Adjustment for previous period'!$G80, 0), 0)</f>
        <v>-5.3108439045954818E-3</v>
      </c>
      <c r="M594" s="114">
        <f>IF(M$557&gt;0, IF(N$557=0, 'Adjustment for previous period'!$G80, 0), 0)</f>
        <v>0</v>
      </c>
      <c r="N594" s="114">
        <f>IF(N$557&gt;0, IF(O$557=0, 'Adjustment for previous period'!$G80, 0), 0)</f>
        <v>0</v>
      </c>
      <c r="O594" s="114">
        <f>IF(O$557&gt;0, IF(P$557=0, 'Adjustment for previous period'!$G80, 0), 0)</f>
        <v>0</v>
      </c>
      <c r="P594" s="114">
        <f>IF(P$557&gt;0, IF(Q$557=0, 'Adjustment for previous period'!$G80, 0), 0)</f>
        <v>0</v>
      </c>
      <c r="Q594" s="114">
        <f>IF(Q$557&gt;0, IF(R$557=0, 'Adjustment for previous period'!$G80, 0), 0)</f>
        <v>0</v>
      </c>
      <c r="R594" s="9"/>
      <c r="S594" s="12"/>
      <c r="T594" s="12"/>
      <c r="U594" s="12"/>
      <c r="V594" s="12"/>
      <c r="W594" s="12"/>
      <c r="X594" s="12"/>
      <c r="Y594" s="12"/>
      <c r="Z594" s="12"/>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7"/>
      <c r="BL594" s="227"/>
    </row>
    <row r="595" spans="1:64" ht="12" hidden="1" customHeight="1" outlineLevel="1">
      <c r="A595" s="9"/>
      <c r="B595" s="9"/>
      <c r="C595" s="9"/>
      <c r="D595" s="278" t="str">
        <f>Asset6</f>
        <v>Other - IT</v>
      </c>
      <c r="E595" s="9"/>
      <c r="F595" s="9"/>
      <c r="G595" s="9"/>
      <c r="H595" s="114"/>
      <c r="I595" s="114"/>
      <c r="J595" s="114"/>
      <c r="K595" s="114"/>
      <c r="L595" s="114">
        <f>IF(L$557&gt;0, IF(M$557=0, 'Adjustment for previous period'!$G81, 0), 0)</f>
        <v>5.5838574307631035</v>
      </c>
      <c r="M595" s="114">
        <f>IF(M$557&gt;0, IF(N$557=0, 'Adjustment for previous period'!$G81, 0), 0)</f>
        <v>0</v>
      </c>
      <c r="N595" s="114">
        <f>IF(N$557&gt;0, IF(O$557=0, 'Adjustment for previous period'!$G81, 0), 0)</f>
        <v>0</v>
      </c>
      <c r="O595" s="114">
        <f>IF(O$557&gt;0, IF(P$557=0, 'Adjustment for previous period'!$G81, 0), 0)</f>
        <v>0</v>
      </c>
      <c r="P595" s="114">
        <f>IF(P$557&gt;0, IF(Q$557=0, 'Adjustment for previous period'!$G81, 0), 0)</f>
        <v>0</v>
      </c>
      <c r="Q595" s="114">
        <f>IF(Q$557&gt;0, IF(R$557=0, 'Adjustment for previous period'!$G81, 0), 0)</f>
        <v>0</v>
      </c>
      <c r="R595" s="9"/>
      <c r="S595" s="12"/>
      <c r="T595" s="12"/>
      <c r="U595" s="12"/>
      <c r="V595" s="12"/>
      <c r="W595" s="12"/>
      <c r="X595" s="12"/>
      <c r="Y595" s="12"/>
      <c r="Z595" s="12"/>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7"/>
      <c r="BL595" s="227"/>
    </row>
    <row r="596" spans="1:64" ht="12" hidden="1" customHeight="1" outlineLevel="1">
      <c r="A596" s="9"/>
      <c r="B596" s="9"/>
      <c r="C596" s="9"/>
      <c r="D596" s="278" t="str">
        <f>Asset7</f>
        <v>Other - General</v>
      </c>
      <c r="E596" s="9"/>
      <c r="F596" s="9"/>
      <c r="G596" s="9"/>
      <c r="H596" s="114"/>
      <c r="I596" s="114"/>
      <c r="J596" s="114"/>
      <c r="K596" s="114"/>
      <c r="L596" s="114">
        <f>IF(L$557&gt;0, IF(M$557=0, 'Adjustment for previous period'!$G82, 0), 0)</f>
        <v>1.2884107312548645</v>
      </c>
      <c r="M596" s="114">
        <f>IF(M$557&gt;0, IF(N$557=0, 'Adjustment for previous period'!$G82, 0), 0)</f>
        <v>0</v>
      </c>
      <c r="N596" s="114">
        <f>IF(N$557&gt;0, IF(O$557=0, 'Adjustment for previous period'!$G82, 0), 0)</f>
        <v>0</v>
      </c>
      <c r="O596" s="114">
        <f>IF(O$557&gt;0, IF(P$557=0, 'Adjustment for previous period'!$G82, 0), 0)</f>
        <v>0</v>
      </c>
      <c r="P596" s="114">
        <f>IF(P$557&gt;0, IF(Q$557=0, 'Adjustment for previous period'!$G82, 0), 0)</f>
        <v>0</v>
      </c>
      <c r="Q596" s="114">
        <f>IF(Q$557&gt;0, IF(R$557=0, 'Adjustment for previous period'!$G82, 0), 0)</f>
        <v>0</v>
      </c>
      <c r="R596" s="9"/>
      <c r="S596" s="12"/>
      <c r="T596" s="12"/>
      <c r="U596" s="12"/>
      <c r="V596" s="12"/>
      <c r="W596" s="12"/>
      <c r="X596" s="12"/>
      <c r="Y596" s="12"/>
      <c r="Z596" s="12"/>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7"/>
      <c r="BL596" s="227"/>
    </row>
    <row r="597" spans="1:64" ht="12" hidden="1" customHeight="1" outlineLevel="1">
      <c r="A597" s="9"/>
      <c r="B597" s="9"/>
      <c r="C597" s="9"/>
      <c r="D597" s="278" t="str">
        <f>Asset8</f>
        <v>Other - Buildings</v>
      </c>
      <c r="E597" s="9"/>
      <c r="F597" s="9"/>
      <c r="G597" s="9"/>
      <c r="H597" s="114"/>
      <c r="I597" s="114"/>
      <c r="J597" s="114"/>
      <c r="K597" s="114"/>
      <c r="L597" s="114">
        <f>IF(L$557&gt;0, IF(M$557=0, 'Adjustment for previous period'!$G83, 0), 0)</f>
        <v>3.0102450134582917</v>
      </c>
      <c r="M597" s="114">
        <f>IF(M$557&gt;0, IF(N$557=0, 'Adjustment for previous period'!$G83, 0), 0)</f>
        <v>0</v>
      </c>
      <c r="N597" s="114">
        <f>IF(N$557&gt;0, IF(O$557=0, 'Adjustment for previous period'!$G83, 0), 0)</f>
        <v>0</v>
      </c>
      <c r="O597" s="114">
        <f>IF(O$557&gt;0, IF(P$557=0, 'Adjustment for previous period'!$G83, 0), 0)</f>
        <v>0</v>
      </c>
      <c r="P597" s="114">
        <f>IF(P$557&gt;0, IF(Q$557=0, 'Adjustment for previous period'!$G83, 0), 0)</f>
        <v>0</v>
      </c>
      <c r="Q597" s="114">
        <f>IF(Q$557&gt;0, IF(R$557=0, 'Adjustment for previous period'!$G83, 0), 0)</f>
        <v>0</v>
      </c>
      <c r="R597" s="9"/>
      <c r="S597" s="12"/>
      <c r="T597" s="12"/>
      <c r="U597" s="12"/>
      <c r="V597" s="12"/>
      <c r="W597" s="12"/>
      <c r="X597" s="12"/>
      <c r="Y597" s="12"/>
      <c r="Z597" s="12"/>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7"/>
      <c r="BL597" s="227"/>
    </row>
    <row r="598" spans="1:64" ht="12" hidden="1" customHeight="1" outlineLevel="1">
      <c r="A598" s="9"/>
      <c r="B598" s="9"/>
      <c r="C598" s="9"/>
      <c r="D598" s="278" t="str">
        <f>Asset9</f>
        <v>Land and Easements</v>
      </c>
      <c r="E598" s="9"/>
      <c r="F598" s="9"/>
      <c r="G598" s="9"/>
      <c r="H598" s="114"/>
      <c r="I598" s="114"/>
      <c r="J598" s="114"/>
      <c r="K598" s="114"/>
      <c r="L598" s="114">
        <f>IF(L$557&gt;0, IF(M$557=0, 'Adjustment for previous period'!$G84, 0), 0)</f>
        <v>0.55227577870444466</v>
      </c>
      <c r="M598" s="114">
        <f>IF(M$557&gt;0, IF(N$557=0, 'Adjustment for previous period'!$G84, 0), 0)</f>
        <v>0</v>
      </c>
      <c r="N598" s="114">
        <f>IF(N$557&gt;0, IF(O$557=0, 'Adjustment for previous period'!$G84, 0), 0)</f>
        <v>0</v>
      </c>
      <c r="O598" s="114">
        <f>IF(O$557&gt;0, IF(P$557=0, 'Adjustment for previous period'!$G84, 0), 0)</f>
        <v>0</v>
      </c>
      <c r="P598" s="114">
        <f>IF(P$557&gt;0, IF(Q$557=0, 'Adjustment for previous period'!$G84, 0), 0)</f>
        <v>0</v>
      </c>
      <c r="Q598" s="114">
        <f>IF(Q$557&gt;0, IF(R$557=0, 'Adjustment for previous period'!$G84, 0), 0)</f>
        <v>0</v>
      </c>
      <c r="R598" s="9"/>
      <c r="S598" s="12"/>
      <c r="T598" s="12"/>
      <c r="U598" s="12"/>
      <c r="V598" s="12"/>
      <c r="W598" s="12"/>
      <c r="X598" s="12"/>
      <c r="Y598" s="12"/>
      <c r="Z598" s="12"/>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7"/>
      <c r="BL598" s="227"/>
    </row>
    <row r="599" spans="1:64" ht="12" hidden="1" customHeight="1" outlineLevel="1">
      <c r="A599" s="9"/>
      <c r="B599" s="9"/>
      <c r="C599" s="9"/>
      <c r="D599" s="278" t="str">
        <f>Asset10</f>
        <v>Transmission line assets - long life (60)</v>
      </c>
      <c r="E599" s="9"/>
      <c r="F599" s="9"/>
      <c r="G599" s="9"/>
      <c r="H599" s="114"/>
      <c r="I599" s="114"/>
      <c r="J599" s="114"/>
      <c r="K599" s="114"/>
      <c r="L599" s="114">
        <f>IF(L$557&gt;0, IF(M$557=0, 'Adjustment for previous period'!$G85, 0), 0)</f>
        <v>0</v>
      </c>
      <c r="M599" s="114">
        <f>IF(M$557&gt;0, IF(N$557=0, 'Adjustment for previous period'!$G85, 0), 0)</f>
        <v>0</v>
      </c>
      <c r="N599" s="114">
        <f>IF(N$557&gt;0, IF(O$557=0, 'Adjustment for previous period'!$G85, 0), 0)</f>
        <v>0</v>
      </c>
      <c r="O599" s="114">
        <f>IF(O$557&gt;0, IF(P$557=0, 'Adjustment for previous period'!$G85, 0), 0)</f>
        <v>0</v>
      </c>
      <c r="P599" s="114">
        <f>IF(P$557&gt;0, IF(Q$557=0, 'Adjustment for previous period'!$G85, 0), 0)</f>
        <v>0</v>
      </c>
      <c r="Q599" s="114">
        <f>IF(Q$557&gt;0, IF(R$557=0, 'Adjustment for previous period'!$G85, 0), 0)</f>
        <v>0</v>
      </c>
      <c r="R599" s="9"/>
      <c r="S599" s="12"/>
      <c r="T599" s="12"/>
      <c r="U599" s="12"/>
      <c r="V599" s="12"/>
      <c r="W599" s="12"/>
      <c r="X599" s="12"/>
      <c r="Y599" s="12"/>
      <c r="Z599" s="12"/>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7"/>
      <c r="BL599" s="227"/>
    </row>
    <row r="600" spans="1:64" ht="12" hidden="1" customHeight="1" outlineLevel="1">
      <c r="A600" s="9"/>
      <c r="B600" s="9"/>
      <c r="C600" s="9"/>
      <c r="D600" s="278" t="str">
        <f>Asset11</f>
        <v>Transmission line assets - medium life (45)</v>
      </c>
      <c r="E600" s="9"/>
      <c r="F600" s="9"/>
      <c r="G600" s="9"/>
      <c r="H600" s="114"/>
      <c r="I600" s="114"/>
      <c r="J600" s="114"/>
      <c r="K600" s="114"/>
      <c r="L600" s="114">
        <f>IF(L$557&gt;0, IF(M$557=0, 'Adjustment for previous period'!$G86, 0), 0)</f>
        <v>0</v>
      </c>
      <c r="M600" s="114">
        <f>IF(M$557&gt;0, IF(N$557=0, 'Adjustment for previous period'!$G86, 0), 0)</f>
        <v>0</v>
      </c>
      <c r="N600" s="114">
        <f>IF(N$557&gt;0, IF(O$557=0, 'Adjustment for previous period'!$G86, 0), 0)</f>
        <v>0</v>
      </c>
      <c r="O600" s="114">
        <f>IF(O$557&gt;0, IF(P$557=0, 'Adjustment for previous period'!$G86, 0), 0)</f>
        <v>0</v>
      </c>
      <c r="P600" s="114">
        <f>IF(P$557&gt;0, IF(Q$557=0, 'Adjustment for previous period'!$G86, 0), 0)</f>
        <v>0</v>
      </c>
      <c r="Q600" s="114">
        <f>IF(Q$557&gt;0, IF(R$557=0, 'Adjustment for previous period'!$G86, 0), 0)</f>
        <v>0</v>
      </c>
      <c r="R600" s="9"/>
      <c r="S600" s="12"/>
      <c r="T600" s="12"/>
      <c r="U600" s="12"/>
      <c r="V600" s="12"/>
      <c r="W600" s="12"/>
      <c r="X600" s="12"/>
      <c r="Y600" s="12"/>
      <c r="Z600" s="12"/>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7"/>
      <c r="BL600" s="227"/>
    </row>
    <row r="601" spans="1:64" ht="12" hidden="1" customHeight="1" outlineLevel="1">
      <c r="A601" s="9"/>
      <c r="B601" s="9"/>
      <c r="C601" s="9"/>
      <c r="D601" s="278" t="str">
        <f>Asset12</f>
        <v>Transmission line assets - short life (10)</v>
      </c>
      <c r="E601" s="9"/>
      <c r="F601" s="9"/>
      <c r="G601" s="9"/>
      <c r="H601" s="114"/>
      <c r="I601" s="114"/>
      <c r="J601" s="114"/>
      <c r="K601" s="114"/>
      <c r="L601" s="114">
        <f>IF(L$557&gt;0, IF(M$557=0, 'Adjustment for previous period'!$G87, 0), 0)</f>
        <v>0</v>
      </c>
      <c r="M601" s="114">
        <f>IF(M$557&gt;0, IF(N$557=0, 'Adjustment for previous period'!$G87, 0), 0)</f>
        <v>0</v>
      </c>
      <c r="N601" s="114">
        <f>IF(N$557&gt;0, IF(O$557=0, 'Adjustment for previous period'!$G87, 0), 0)</f>
        <v>0</v>
      </c>
      <c r="O601" s="114">
        <f>IF(O$557&gt;0, IF(P$557=0, 'Adjustment for previous period'!$G87, 0), 0)</f>
        <v>0</v>
      </c>
      <c r="P601" s="114">
        <f>IF(P$557&gt;0, IF(Q$557=0, 'Adjustment for previous period'!$G87, 0), 0)</f>
        <v>0</v>
      </c>
      <c r="Q601" s="114">
        <f>IF(Q$557&gt;0, IF(R$557=0, 'Adjustment for previous period'!$G87, 0), 0)</f>
        <v>0</v>
      </c>
      <c r="R601" s="9"/>
      <c r="S601" s="12"/>
      <c r="T601" s="12"/>
      <c r="U601" s="12"/>
      <c r="V601" s="12"/>
      <c r="W601" s="12"/>
      <c r="X601" s="12"/>
      <c r="Y601" s="12"/>
      <c r="Z601" s="12"/>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7"/>
      <c r="BL601" s="227"/>
    </row>
    <row r="602" spans="1:64" ht="12" hidden="1" customHeight="1" outlineLevel="1">
      <c r="A602" s="9"/>
      <c r="B602" s="9"/>
      <c r="C602" s="9"/>
      <c r="D602" s="278" t="str">
        <f>Asset13</f>
        <v>Substation assets - long life (60)</v>
      </c>
      <c r="E602" s="9"/>
      <c r="F602" s="9"/>
      <c r="G602" s="9"/>
      <c r="H602" s="114"/>
      <c r="I602" s="114"/>
      <c r="J602" s="114"/>
      <c r="K602" s="114"/>
      <c r="L602" s="114">
        <f>IF(L$557&gt;0, IF(M$557=0, 'Adjustment for previous period'!$G88, 0), 0)</f>
        <v>0</v>
      </c>
      <c r="M602" s="114">
        <f>IF(M$557&gt;0, IF(N$557=0, 'Adjustment for previous period'!$G88, 0), 0)</f>
        <v>0</v>
      </c>
      <c r="N602" s="114">
        <f>IF(N$557&gt;0, IF(O$557=0, 'Adjustment for previous period'!$G88, 0), 0)</f>
        <v>0</v>
      </c>
      <c r="O602" s="114">
        <f>IF(O$557&gt;0, IF(P$557=0, 'Adjustment for previous period'!$G88, 0), 0)</f>
        <v>0</v>
      </c>
      <c r="P602" s="114">
        <f>IF(P$557&gt;0, IF(Q$557=0, 'Adjustment for previous period'!$G88, 0), 0)</f>
        <v>0</v>
      </c>
      <c r="Q602" s="114">
        <f>IF(Q$557&gt;0, IF(R$557=0, 'Adjustment for previous period'!$G88, 0), 0)</f>
        <v>0</v>
      </c>
      <c r="R602" s="9"/>
      <c r="S602" s="12"/>
      <c r="T602" s="12"/>
      <c r="U602" s="12"/>
      <c r="V602" s="12"/>
      <c r="W602" s="12"/>
      <c r="X602" s="12"/>
      <c r="Y602" s="12"/>
      <c r="Z602" s="12"/>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7"/>
      <c r="BL602" s="227"/>
    </row>
    <row r="603" spans="1:64" ht="12" hidden="1" customHeight="1" outlineLevel="1">
      <c r="A603" s="9"/>
      <c r="B603" s="9"/>
      <c r="C603" s="9"/>
      <c r="D603" s="278" t="str">
        <f>Asset14</f>
        <v>Substation assets - medium life (45)</v>
      </c>
      <c r="E603" s="9"/>
      <c r="F603" s="9"/>
      <c r="G603" s="9"/>
      <c r="H603" s="114"/>
      <c r="I603" s="114"/>
      <c r="J603" s="114"/>
      <c r="K603" s="114"/>
      <c r="L603" s="114">
        <f>IF(L$557&gt;0, IF(M$557=0, 'Adjustment for previous period'!$G89, 0), 0)</f>
        <v>0</v>
      </c>
      <c r="M603" s="114">
        <f>IF(M$557&gt;0, IF(N$557=0, 'Adjustment for previous period'!$G89, 0), 0)</f>
        <v>0</v>
      </c>
      <c r="N603" s="114">
        <f>IF(N$557&gt;0, IF(O$557=0, 'Adjustment for previous period'!$G89, 0), 0)</f>
        <v>0</v>
      </c>
      <c r="O603" s="114">
        <f>IF(O$557&gt;0, IF(P$557=0, 'Adjustment for previous period'!$G89, 0), 0)</f>
        <v>0</v>
      </c>
      <c r="P603" s="114">
        <f>IF(P$557&gt;0, IF(Q$557=0, 'Adjustment for previous period'!$G89, 0), 0)</f>
        <v>0</v>
      </c>
      <c r="Q603" s="114">
        <f>IF(Q$557&gt;0, IF(R$557=0, 'Adjustment for previous period'!$G89, 0), 0)</f>
        <v>0</v>
      </c>
      <c r="R603" s="9"/>
      <c r="S603" s="12"/>
      <c r="T603" s="12"/>
      <c r="U603" s="12"/>
      <c r="V603" s="12"/>
      <c r="W603" s="12"/>
      <c r="X603" s="12"/>
      <c r="Y603" s="12"/>
      <c r="Z603" s="12"/>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7"/>
      <c r="BL603" s="227"/>
    </row>
    <row r="604" spans="1:64" ht="12" hidden="1" customHeight="1" outlineLevel="1">
      <c r="A604" s="9"/>
      <c r="B604" s="9"/>
      <c r="C604" s="9"/>
      <c r="D604" s="278" t="str">
        <f>Asset15</f>
        <v>Substation assets - short life (15)</v>
      </c>
      <c r="E604" s="9"/>
      <c r="F604" s="9"/>
      <c r="G604" s="9"/>
      <c r="H604" s="114"/>
      <c r="I604" s="114"/>
      <c r="J604" s="114"/>
      <c r="K604" s="114"/>
      <c r="L604" s="114">
        <f>IF(L$557&gt;0, IF(M$557=0, 'Adjustment for previous period'!$G90, 0), 0)</f>
        <v>0</v>
      </c>
      <c r="M604" s="114">
        <f>IF(M$557&gt;0, IF(N$557=0, 'Adjustment for previous period'!$G90, 0), 0)</f>
        <v>0</v>
      </c>
      <c r="N604" s="114">
        <f>IF(N$557&gt;0, IF(O$557=0, 'Adjustment for previous period'!$G90, 0), 0)</f>
        <v>0</v>
      </c>
      <c r="O604" s="114">
        <f>IF(O$557&gt;0, IF(P$557=0, 'Adjustment for previous period'!$G90, 0), 0)</f>
        <v>0</v>
      </c>
      <c r="P604" s="114">
        <f>IF(P$557&gt;0, IF(Q$557=0, 'Adjustment for previous period'!$G90, 0), 0)</f>
        <v>0</v>
      </c>
      <c r="Q604" s="114">
        <f>IF(Q$557&gt;0, IF(R$557=0, 'Adjustment for previous period'!$G90, 0), 0)</f>
        <v>0</v>
      </c>
      <c r="R604" s="9"/>
      <c r="S604" s="12"/>
      <c r="T604" s="12"/>
      <c r="U604" s="12"/>
      <c r="V604" s="12"/>
      <c r="W604" s="12"/>
      <c r="X604" s="12"/>
      <c r="Y604" s="12"/>
      <c r="Z604" s="12"/>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7"/>
      <c r="BL604" s="227"/>
    </row>
    <row r="605" spans="1:64" ht="12" hidden="1" customHeight="1" outlineLevel="1">
      <c r="A605" s="9"/>
      <c r="B605" s="9"/>
      <c r="C605" s="9"/>
      <c r="D605" s="278" t="str">
        <f>Asset16</f>
        <v>Protection and control - short life (15)</v>
      </c>
      <c r="E605" s="9"/>
      <c r="F605" s="9"/>
      <c r="G605" s="9"/>
      <c r="H605" s="114"/>
      <c r="I605" s="114"/>
      <c r="J605" s="114"/>
      <c r="K605" s="114"/>
      <c r="L605" s="114">
        <f>IF(L$557&gt;0, IF(M$557=0, 'Adjustment for previous period'!$G91, 0), 0)</f>
        <v>0</v>
      </c>
      <c r="M605" s="114">
        <f>IF(M$557&gt;0, IF(N$557=0, 'Adjustment for previous period'!$G91, 0), 0)</f>
        <v>0</v>
      </c>
      <c r="N605" s="114">
        <f>IF(N$557&gt;0, IF(O$557=0, 'Adjustment for previous period'!$G91, 0), 0)</f>
        <v>0</v>
      </c>
      <c r="O605" s="114">
        <f>IF(O$557&gt;0, IF(P$557=0, 'Adjustment for previous period'!$G91, 0), 0)</f>
        <v>0</v>
      </c>
      <c r="P605" s="114">
        <f>IF(P$557&gt;0, IF(Q$557=0, 'Adjustment for previous period'!$G91, 0), 0)</f>
        <v>0</v>
      </c>
      <c r="Q605" s="114">
        <f>IF(Q$557&gt;0, IF(R$557=0, 'Adjustment for previous period'!$G91, 0), 0)</f>
        <v>0</v>
      </c>
      <c r="R605" s="9"/>
      <c r="S605" s="12"/>
      <c r="T605" s="12"/>
      <c r="U605" s="12"/>
      <c r="V605" s="12"/>
      <c r="W605" s="12"/>
      <c r="X605" s="12"/>
      <c r="Y605" s="12"/>
      <c r="Z605" s="12"/>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7"/>
      <c r="BL605" s="227"/>
    </row>
    <row r="606" spans="1:64" ht="12" hidden="1" customHeight="1" outlineLevel="1">
      <c r="A606" s="9"/>
      <c r="B606" s="9"/>
      <c r="C606" s="9"/>
      <c r="D606" s="278" t="str">
        <f>Asset17</f>
        <v>Protection and control - short life (4)</v>
      </c>
      <c r="E606" s="9"/>
      <c r="F606" s="9"/>
      <c r="G606" s="9"/>
      <c r="H606" s="114"/>
      <c r="I606" s="114"/>
      <c r="J606" s="114"/>
      <c r="K606" s="114"/>
      <c r="L606" s="114">
        <f>IF(L$557&gt;0, IF(M$557=0, 'Adjustment for previous period'!$G92, 0), 0)</f>
        <v>0</v>
      </c>
      <c r="M606" s="114">
        <f>IF(M$557&gt;0, IF(N$557=0, 'Adjustment for previous period'!$G92, 0), 0)</f>
        <v>0</v>
      </c>
      <c r="N606" s="114">
        <f>IF(N$557&gt;0, IF(O$557=0, 'Adjustment for previous period'!$G92, 0), 0)</f>
        <v>0</v>
      </c>
      <c r="O606" s="114">
        <f>IF(O$557&gt;0, IF(P$557=0, 'Adjustment for previous period'!$G92, 0), 0)</f>
        <v>0</v>
      </c>
      <c r="P606" s="114">
        <f>IF(P$557&gt;0, IF(Q$557=0, 'Adjustment for previous period'!$G92, 0), 0)</f>
        <v>0</v>
      </c>
      <c r="Q606" s="114">
        <f>IF(Q$557&gt;0, IF(R$557=0, 'Adjustment for previous period'!$G92, 0), 0)</f>
        <v>0</v>
      </c>
      <c r="R606" s="9"/>
      <c r="S606" s="12"/>
      <c r="T606" s="12"/>
      <c r="U606" s="12"/>
      <c r="V606" s="12"/>
      <c r="W606" s="12"/>
      <c r="X606" s="12"/>
      <c r="Y606" s="12"/>
      <c r="Z606" s="12"/>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7"/>
      <c r="BL606" s="227"/>
    </row>
    <row r="607" spans="1:64" ht="12" hidden="1" customHeight="1" outlineLevel="1">
      <c r="A607" s="9"/>
      <c r="B607" s="9"/>
      <c r="C607" s="9"/>
      <c r="D607" s="278" t="str">
        <f>Asset18</f>
        <v>Transmission operations - short life (10)</v>
      </c>
      <c r="E607" s="9"/>
      <c r="F607" s="9"/>
      <c r="G607" s="9"/>
      <c r="H607" s="114"/>
      <c r="I607" s="114"/>
      <c r="J607" s="114"/>
      <c r="K607" s="114"/>
      <c r="L607" s="114">
        <f>IF(L$557&gt;0, IF(M$557=0, 'Adjustment for previous period'!$G93, 0), 0)</f>
        <v>0</v>
      </c>
      <c r="M607" s="114">
        <f>IF(M$557&gt;0, IF(N$557=0, 'Adjustment for previous period'!$G93, 0), 0)</f>
        <v>0</v>
      </c>
      <c r="N607" s="114">
        <f>IF(N$557&gt;0, IF(O$557=0, 'Adjustment for previous period'!$G93, 0), 0)</f>
        <v>0</v>
      </c>
      <c r="O607" s="114">
        <f>IF(O$557&gt;0, IF(P$557=0, 'Adjustment for previous period'!$G93, 0), 0)</f>
        <v>0</v>
      </c>
      <c r="P607" s="114">
        <f>IF(P$557&gt;0, IF(Q$557=0, 'Adjustment for previous period'!$G93, 0), 0)</f>
        <v>0</v>
      </c>
      <c r="Q607" s="114">
        <f>IF(Q$557&gt;0, IF(R$557=0, 'Adjustment for previous period'!$G93, 0), 0)</f>
        <v>0</v>
      </c>
      <c r="R607" s="9"/>
      <c r="S607" s="12"/>
      <c r="T607" s="12"/>
      <c r="U607" s="12"/>
      <c r="V607" s="12"/>
      <c r="W607" s="12"/>
      <c r="X607" s="12"/>
      <c r="Y607" s="12"/>
      <c r="Z607" s="12"/>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7"/>
      <c r="BL607" s="227"/>
    </row>
    <row r="608" spans="1:64" ht="12" hidden="1" customHeight="1" outlineLevel="1">
      <c r="A608" s="9"/>
      <c r="B608" s="9"/>
      <c r="C608" s="9"/>
      <c r="D608" s="278" t="str">
        <f>Asset19</f>
        <v>Transmission operations - short life (4)</v>
      </c>
      <c r="E608" s="9"/>
      <c r="F608" s="9"/>
      <c r="G608" s="9"/>
      <c r="H608" s="114"/>
      <c r="I608" s="114"/>
      <c r="J608" s="114"/>
      <c r="K608" s="114"/>
      <c r="L608" s="114">
        <f>IF(L$557&gt;0, IF(M$557=0, 'Adjustment for previous period'!$G94, 0), 0)</f>
        <v>0</v>
      </c>
      <c r="M608" s="114">
        <f>IF(M$557&gt;0, IF(N$557=0, 'Adjustment for previous period'!$G94, 0), 0)</f>
        <v>0</v>
      </c>
      <c r="N608" s="114">
        <f>IF(N$557&gt;0, IF(O$557=0, 'Adjustment for previous period'!$G94, 0), 0)</f>
        <v>0</v>
      </c>
      <c r="O608" s="114">
        <f>IF(O$557&gt;0, IF(P$557=0, 'Adjustment for previous period'!$G94, 0), 0)</f>
        <v>0</v>
      </c>
      <c r="P608" s="114">
        <f>IF(P$557&gt;0, IF(Q$557=0, 'Adjustment for previous period'!$G94, 0), 0)</f>
        <v>0</v>
      </c>
      <c r="Q608" s="114">
        <f>IF(Q$557&gt;0, IF(R$557=0, 'Adjustment for previous period'!$G94, 0), 0)</f>
        <v>0</v>
      </c>
      <c r="R608" s="9"/>
      <c r="S608" s="12"/>
      <c r="T608" s="12"/>
      <c r="U608" s="12"/>
      <c r="V608" s="12"/>
      <c r="W608" s="12"/>
      <c r="X608" s="12"/>
      <c r="Y608" s="12"/>
      <c r="Z608" s="12"/>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7"/>
      <c r="BL608" s="227"/>
    </row>
    <row r="609" spans="1:64" ht="12" hidden="1" customHeight="1" outlineLevel="1">
      <c r="A609" s="9"/>
      <c r="B609" s="9"/>
      <c r="C609" s="9"/>
      <c r="D609" s="278" t="str">
        <f>Asset20</f>
        <v>Other - medium life (40)</v>
      </c>
      <c r="E609" s="9"/>
      <c r="F609" s="9"/>
      <c r="G609" s="9"/>
      <c r="H609" s="114"/>
      <c r="I609" s="114"/>
      <c r="J609" s="114"/>
      <c r="K609" s="114"/>
      <c r="L609" s="114">
        <f>IF(L$557&gt;0, IF(M$557=0, 'Adjustment for previous period'!$G95, 0), 0)</f>
        <v>0</v>
      </c>
      <c r="M609" s="114">
        <f>IF(M$557&gt;0, IF(N$557=0, 'Adjustment for previous period'!$G95, 0), 0)</f>
        <v>0</v>
      </c>
      <c r="N609" s="114">
        <f>IF(N$557&gt;0, IF(O$557=0, 'Adjustment for previous period'!$G95, 0), 0)</f>
        <v>0</v>
      </c>
      <c r="O609" s="114">
        <f>IF(O$557&gt;0, IF(P$557=0, 'Adjustment for previous period'!$G95, 0), 0)</f>
        <v>0</v>
      </c>
      <c r="P609" s="114">
        <f>IF(P$557&gt;0, IF(Q$557=0, 'Adjustment for previous period'!$G95, 0), 0)</f>
        <v>0</v>
      </c>
      <c r="Q609" s="114">
        <f>IF(Q$557&gt;0, IF(R$557=0, 'Adjustment for previous period'!$G95, 0), 0)</f>
        <v>0</v>
      </c>
      <c r="R609" s="9"/>
      <c r="S609" s="12"/>
      <c r="T609" s="12"/>
      <c r="U609" s="12"/>
      <c r="V609" s="12"/>
      <c r="W609" s="12"/>
      <c r="X609" s="12"/>
      <c r="Y609" s="12"/>
      <c r="Z609" s="12"/>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7"/>
      <c r="BL609" s="227"/>
    </row>
    <row r="610" spans="1:64" ht="12" hidden="1" customHeight="1" outlineLevel="1">
      <c r="A610" s="9"/>
      <c r="B610" s="9"/>
      <c r="C610" s="9"/>
      <c r="D610" s="278" t="str">
        <f>Asset21</f>
        <v>Other - short life (9)</v>
      </c>
      <c r="E610" s="9"/>
      <c r="F610" s="9"/>
      <c r="G610" s="9"/>
      <c r="H610" s="114"/>
      <c r="I610" s="114"/>
      <c r="J610" s="114"/>
      <c r="K610" s="114"/>
      <c r="L610" s="114">
        <f>IF(L$557&gt;0, IF(M$557=0, 'Adjustment for previous period'!$G96, 0), 0)</f>
        <v>0</v>
      </c>
      <c r="M610" s="114">
        <f>IF(M$557&gt;0, IF(N$557=0, 'Adjustment for previous period'!$G96, 0), 0)</f>
        <v>0</v>
      </c>
      <c r="N610" s="114">
        <f>IF(N$557&gt;0, IF(O$557=0, 'Adjustment for previous period'!$G96, 0), 0)</f>
        <v>0</v>
      </c>
      <c r="O610" s="114">
        <f>IF(O$557&gt;0, IF(P$557=0, 'Adjustment for previous period'!$G96, 0), 0)</f>
        <v>0</v>
      </c>
      <c r="P610" s="114">
        <f>IF(P$557&gt;0, IF(Q$557=0, 'Adjustment for previous period'!$G96, 0), 0)</f>
        <v>0</v>
      </c>
      <c r="Q610" s="114">
        <f>IF(Q$557&gt;0, IF(R$557=0, 'Adjustment for previous period'!$G96, 0), 0)</f>
        <v>0</v>
      </c>
      <c r="R610" s="9"/>
      <c r="S610" s="12"/>
      <c r="T610" s="12"/>
      <c r="U610" s="12"/>
      <c r="V610" s="12"/>
      <c r="W610" s="12"/>
      <c r="X610" s="12"/>
      <c r="Y610" s="12"/>
      <c r="Z610" s="12"/>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7"/>
      <c r="BL610" s="227"/>
    </row>
    <row r="611" spans="1:64" ht="12" hidden="1" customHeight="1" outlineLevel="1">
      <c r="A611" s="9"/>
      <c r="B611" s="9"/>
      <c r="C611" s="9"/>
      <c r="D611" s="278" t="str">
        <f>Asset22</f>
        <v>Other - short life (4)</v>
      </c>
      <c r="E611" s="9"/>
      <c r="F611" s="9"/>
      <c r="G611" s="9"/>
      <c r="H611" s="114"/>
      <c r="I611" s="114"/>
      <c r="J611" s="114"/>
      <c r="K611" s="114"/>
      <c r="L611" s="114">
        <f>IF(L$557&gt;0, IF(M$557=0, 'Adjustment for previous period'!$G97, 0), 0)</f>
        <v>0</v>
      </c>
      <c r="M611" s="114">
        <f>IF(M$557&gt;0, IF(N$557=0, 'Adjustment for previous period'!$G97, 0), 0)</f>
        <v>0</v>
      </c>
      <c r="N611" s="114">
        <f>IF(N$557&gt;0, IF(O$557=0, 'Adjustment for previous period'!$G97, 0), 0)</f>
        <v>0</v>
      </c>
      <c r="O611" s="114">
        <f>IF(O$557&gt;0, IF(P$557=0, 'Adjustment for previous period'!$G97, 0), 0)</f>
        <v>0</v>
      </c>
      <c r="P611" s="114">
        <f>IF(P$557&gt;0, IF(Q$557=0, 'Adjustment for previous period'!$G97, 0), 0)</f>
        <v>0</v>
      </c>
      <c r="Q611" s="114">
        <f>IF(Q$557&gt;0, IF(R$557=0, 'Adjustment for previous period'!$G97, 0), 0)</f>
        <v>0</v>
      </c>
      <c r="R611" s="9"/>
      <c r="S611" s="12"/>
      <c r="T611" s="12"/>
      <c r="U611" s="12"/>
      <c r="V611" s="12"/>
      <c r="W611" s="12"/>
      <c r="X611" s="12"/>
      <c r="Y611" s="12"/>
      <c r="Z611" s="12"/>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7"/>
      <c r="BL611" s="227"/>
    </row>
    <row r="612" spans="1:64" ht="12" hidden="1" customHeight="1" outlineLevel="1">
      <c r="A612" s="9"/>
      <c r="B612" s="9"/>
      <c r="C612" s="9"/>
      <c r="D612" s="278" t="str">
        <f>Asset23</f>
        <v>Land and Easements</v>
      </c>
      <c r="E612" s="9"/>
      <c r="F612" s="9"/>
      <c r="G612" s="9"/>
      <c r="H612" s="114"/>
      <c r="I612" s="114"/>
      <c r="J612" s="114"/>
      <c r="K612" s="114"/>
      <c r="L612" s="114">
        <f>IF(L$557&gt;0, IF(M$557=0, 'Adjustment for previous period'!$G98, 0), 0)</f>
        <v>0</v>
      </c>
      <c r="M612" s="114">
        <f>IF(M$557&gt;0, IF(N$557=0, 'Adjustment for previous period'!$G98, 0), 0)</f>
        <v>0</v>
      </c>
      <c r="N612" s="114">
        <f>IF(N$557&gt;0, IF(O$557=0, 'Adjustment for previous period'!$G98, 0), 0)</f>
        <v>0</v>
      </c>
      <c r="O612" s="114">
        <f>IF(O$557&gt;0, IF(P$557=0, 'Adjustment for previous period'!$G98, 0), 0)</f>
        <v>0</v>
      </c>
      <c r="P612" s="114">
        <f>IF(P$557&gt;0, IF(Q$557=0, 'Adjustment for previous period'!$G98, 0), 0)</f>
        <v>0</v>
      </c>
      <c r="Q612" s="114">
        <f>IF(Q$557&gt;0, IF(R$557=0, 'Adjustment for previous period'!$G98, 0), 0)</f>
        <v>0</v>
      </c>
      <c r="R612" s="9"/>
      <c r="S612" s="12"/>
      <c r="T612" s="12"/>
      <c r="U612" s="12"/>
      <c r="V612" s="12"/>
      <c r="W612" s="12"/>
      <c r="X612" s="12"/>
      <c r="Y612" s="12"/>
      <c r="Z612" s="12"/>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7"/>
      <c r="BL612" s="227"/>
    </row>
    <row r="613" spans="1:64" ht="12" hidden="1" customHeight="1" outlineLevel="1">
      <c r="A613" s="9"/>
      <c r="B613" s="9"/>
      <c r="C613" s="9"/>
      <c r="D613" s="278" t="str">
        <f>Asset24</f>
        <v>Equity Raising</v>
      </c>
      <c r="E613" s="9"/>
      <c r="F613" s="9"/>
      <c r="G613" s="9"/>
      <c r="H613" s="114"/>
      <c r="I613" s="114"/>
      <c r="J613" s="114"/>
      <c r="K613" s="114"/>
      <c r="L613" s="114">
        <f>IF(L$557&gt;0, IF(M$557=0, 'Adjustment for previous period'!$G99, 0), 0)</f>
        <v>0</v>
      </c>
      <c r="M613" s="114">
        <f>IF(M$557&gt;0, IF(N$557=0, 'Adjustment for previous period'!$G99, 0), 0)</f>
        <v>0</v>
      </c>
      <c r="N613" s="114">
        <f>IF(N$557&gt;0, IF(O$557=0, 'Adjustment for previous period'!$G99, 0), 0)</f>
        <v>0</v>
      </c>
      <c r="O613" s="114">
        <f>IF(O$557&gt;0, IF(P$557=0, 'Adjustment for previous period'!$G99, 0), 0)</f>
        <v>0</v>
      </c>
      <c r="P613" s="114">
        <f>IF(P$557&gt;0, IF(Q$557=0, 'Adjustment for previous period'!$G99, 0), 0)</f>
        <v>0</v>
      </c>
      <c r="Q613" s="114">
        <f>IF(Q$557&gt;0, IF(R$557=0, 'Adjustment for previous period'!$G99, 0), 0)</f>
        <v>0</v>
      </c>
      <c r="R613" s="9"/>
      <c r="S613" s="12"/>
      <c r="T613" s="12"/>
      <c r="U613" s="12"/>
      <c r="V613" s="12"/>
      <c r="W613" s="12"/>
      <c r="X613" s="12"/>
      <c r="Y613" s="12"/>
      <c r="Z613" s="12"/>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7"/>
      <c r="BL613" s="227"/>
    </row>
    <row r="614" spans="1:64" ht="12" hidden="1" customHeight="1" outlineLevel="1">
      <c r="A614" s="9"/>
      <c r="B614" s="9"/>
      <c r="C614" s="9"/>
      <c r="D614" s="278">
        <f>Asset25</f>
        <v>0</v>
      </c>
      <c r="E614" s="9"/>
      <c r="F614" s="9"/>
      <c r="G614" s="9"/>
      <c r="H614" s="114"/>
      <c r="I614" s="114"/>
      <c r="J614" s="114"/>
      <c r="K614" s="114"/>
      <c r="L614" s="114">
        <f>IF(L$557&gt;0, IF(M$557=0, 'Adjustment for previous period'!$G100, 0), 0)</f>
        <v>0</v>
      </c>
      <c r="M614" s="114">
        <f>IF(M$557&gt;0, IF(N$557=0, 'Adjustment for previous period'!$G100, 0), 0)</f>
        <v>0</v>
      </c>
      <c r="N614" s="114">
        <f>IF(N$557&gt;0, IF(O$557=0, 'Adjustment for previous period'!$G100, 0), 0)</f>
        <v>0</v>
      </c>
      <c r="O614" s="114">
        <f>IF(O$557&gt;0, IF(P$557=0, 'Adjustment for previous period'!$G100, 0), 0)</f>
        <v>0</v>
      </c>
      <c r="P614" s="114">
        <f>IF(P$557&gt;0, IF(Q$557=0, 'Adjustment for previous period'!$G100, 0), 0)</f>
        <v>0</v>
      </c>
      <c r="Q614" s="114">
        <f>IF(Q$557&gt;0, IF(R$557=0, 'Adjustment for previous period'!$G100, 0), 0)</f>
        <v>0</v>
      </c>
      <c r="R614" s="9"/>
      <c r="S614" s="12"/>
      <c r="T614" s="12"/>
      <c r="U614" s="12"/>
      <c r="V614" s="12"/>
      <c r="W614" s="12"/>
      <c r="X614" s="12"/>
      <c r="Y614" s="12"/>
      <c r="Z614" s="12"/>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7"/>
      <c r="BL614" s="227"/>
    </row>
    <row r="615" spans="1:64" ht="12" hidden="1" customHeight="1" outlineLevel="1">
      <c r="A615" s="9"/>
      <c r="B615" s="9"/>
      <c r="C615" s="9"/>
      <c r="D615" s="278">
        <f>Asset26</f>
        <v>0</v>
      </c>
      <c r="E615" s="9"/>
      <c r="F615" s="9"/>
      <c r="G615" s="9"/>
      <c r="H615" s="114"/>
      <c r="I615" s="114"/>
      <c r="J615" s="114"/>
      <c r="K615" s="114"/>
      <c r="L615" s="114">
        <f>IF(L$557&gt;0, IF(M$557=0, 'Adjustment for previous period'!$G101, 0), 0)</f>
        <v>0</v>
      </c>
      <c r="M615" s="114">
        <f>IF(M$557&gt;0, IF(N$557=0, 'Adjustment for previous period'!$G101, 0), 0)</f>
        <v>0</v>
      </c>
      <c r="N615" s="114">
        <f>IF(N$557&gt;0, IF(O$557=0, 'Adjustment for previous period'!$G101, 0), 0)</f>
        <v>0</v>
      </c>
      <c r="O615" s="114">
        <f>IF(O$557&gt;0, IF(P$557=0, 'Adjustment for previous period'!$G101, 0), 0)</f>
        <v>0</v>
      </c>
      <c r="P615" s="114">
        <f>IF(P$557&gt;0, IF(Q$557=0, 'Adjustment for previous period'!$G101, 0), 0)</f>
        <v>0</v>
      </c>
      <c r="Q615" s="114">
        <f>IF(Q$557&gt;0, IF(R$557=0, 'Adjustment for previous period'!$G101, 0), 0)</f>
        <v>0</v>
      </c>
      <c r="R615" s="9"/>
      <c r="S615" s="12"/>
      <c r="T615" s="12"/>
      <c r="U615" s="12"/>
      <c r="V615" s="12"/>
      <c r="W615" s="12"/>
      <c r="X615" s="12"/>
      <c r="Y615" s="12"/>
      <c r="Z615" s="12"/>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7"/>
      <c r="BL615" s="227"/>
    </row>
    <row r="616" spans="1:64" ht="12" hidden="1" customHeight="1" outlineLevel="1">
      <c r="A616" s="9"/>
      <c r="B616" s="9"/>
      <c r="C616" s="9"/>
      <c r="D616" s="278">
        <f>Asset27</f>
        <v>0</v>
      </c>
      <c r="E616" s="9"/>
      <c r="F616" s="9"/>
      <c r="G616" s="9"/>
      <c r="H616" s="114"/>
      <c r="I616" s="114"/>
      <c r="J616" s="114"/>
      <c r="K616" s="114"/>
      <c r="L616" s="114">
        <f>IF(L$557&gt;0, IF(M$557=0, 'Adjustment for previous period'!$G102, 0), 0)</f>
        <v>0</v>
      </c>
      <c r="M616" s="114">
        <f>IF(M$557&gt;0, IF(N$557=0, 'Adjustment for previous period'!$G102, 0), 0)</f>
        <v>0</v>
      </c>
      <c r="N616" s="114">
        <f>IF(N$557&gt;0, IF(O$557=0, 'Adjustment for previous period'!$G102, 0), 0)</f>
        <v>0</v>
      </c>
      <c r="O616" s="114">
        <f>IF(O$557&gt;0, IF(P$557=0, 'Adjustment for previous period'!$G102, 0), 0)</f>
        <v>0</v>
      </c>
      <c r="P616" s="114">
        <f>IF(P$557&gt;0, IF(Q$557=0, 'Adjustment for previous period'!$G102, 0), 0)</f>
        <v>0</v>
      </c>
      <c r="Q616" s="114">
        <f>IF(Q$557&gt;0, IF(R$557=0, 'Adjustment for previous period'!$G102, 0), 0)</f>
        <v>0</v>
      </c>
      <c r="R616" s="9"/>
      <c r="S616" s="12"/>
      <c r="T616" s="12"/>
      <c r="U616" s="12"/>
      <c r="V616" s="12"/>
      <c r="W616" s="12"/>
      <c r="X616" s="12"/>
      <c r="Y616" s="12"/>
      <c r="Z616" s="12"/>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7"/>
      <c r="BL616" s="227"/>
    </row>
    <row r="617" spans="1:64" ht="12" hidden="1" customHeight="1" outlineLevel="1">
      <c r="A617" s="9"/>
      <c r="B617" s="9"/>
      <c r="C617" s="9"/>
      <c r="D617" s="278">
        <f>Asset28</f>
        <v>0</v>
      </c>
      <c r="E617" s="9"/>
      <c r="F617" s="9"/>
      <c r="G617" s="9"/>
      <c r="H617" s="114"/>
      <c r="I617" s="114"/>
      <c r="J617" s="114"/>
      <c r="K617" s="114"/>
      <c r="L617" s="114">
        <f>IF(L$557&gt;0, IF(M$557=0, 'Adjustment for previous period'!$G103, 0), 0)</f>
        <v>0</v>
      </c>
      <c r="M617" s="114">
        <f>IF(M$557&gt;0, IF(N$557=0, 'Adjustment for previous period'!$G103, 0), 0)</f>
        <v>0</v>
      </c>
      <c r="N617" s="114">
        <f>IF(N$557&gt;0, IF(O$557=0, 'Adjustment for previous period'!$G103, 0), 0)</f>
        <v>0</v>
      </c>
      <c r="O617" s="114">
        <f>IF(O$557&gt;0, IF(P$557=0, 'Adjustment for previous period'!$G103, 0), 0)</f>
        <v>0</v>
      </c>
      <c r="P617" s="114">
        <f>IF(P$557&gt;0, IF(Q$557=0, 'Adjustment for previous period'!$G103, 0), 0)</f>
        <v>0</v>
      </c>
      <c r="Q617" s="114">
        <f>IF(Q$557&gt;0, IF(R$557=0, 'Adjustment for previous period'!$G103, 0), 0)</f>
        <v>0</v>
      </c>
      <c r="R617" s="9"/>
      <c r="S617" s="12"/>
      <c r="T617" s="12"/>
      <c r="U617" s="12"/>
      <c r="V617" s="12"/>
      <c r="W617" s="12"/>
      <c r="X617" s="12"/>
      <c r="Y617" s="12"/>
      <c r="Z617" s="12"/>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7"/>
      <c r="BL617" s="227"/>
    </row>
    <row r="618" spans="1:64" ht="12" hidden="1" customHeight="1" outlineLevel="1">
      <c r="A618" s="9"/>
      <c r="B618" s="9"/>
      <c r="C618" s="9"/>
      <c r="D618" s="278">
        <f>Asset29</f>
        <v>0</v>
      </c>
      <c r="E618" s="9"/>
      <c r="F618" s="9"/>
      <c r="G618" s="9"/>
      <c r="H618" s="114"/>
      <c r="I618" s="114"/>
      <c r="J618" s="114"/>
      <c r="K618" s="114"/>
      <c r="L618" s="114">
        <f>IF(L$557&gt;0, IF(M$557=0, 'Adjustment for previous period'!$G104, 0), 0)</f>
        <v>0</v>
      </c>
      <c r="M618" s="114">
        <f>IF(M$557&gt;0, IF(N$557=0, 'Adjustment for previous period'!$G104, 0), 0)</f>
        <v>0</v>
      </c>
      <c r="N618" s="114">
        <f>IF(N$557&gt;0, IF(O$557=0, 'Adjustment for previous period'!$G104, 0), 0)</f>
        <v>0</v>
      </c>
      <c r="O618" s="114">
        <f>IF(O$557&gt;0, IF(P$557=0, 'Adjustment for previous period'!$G104, 0), 0)</f>
        <v>0</v>
      </c>
      <c r="P618" s="114">
        <f>IF(P$557&gt;0, IF(Q$557=0, 'Adjustment for previous period'!$G104, 0), 0)</f>
        <v>0</v>
      </c>
      <c r="Q618" s="114">
        <f>IF(Q$557&gt;0, IF(R$557=0, 'Adjustment for previous period'!$G104, 0), 0)</f>
        <v>0</v>
      </c>
      <c r="R618" s="9"/>
      <c r="S618" s="12"/>
      <c r="T618" s="12"/>
      <c r="U618" s="12"/>
      <c r="V618" s="12"/>
      <c r="W618" s="12"/>
      <c r="X618" s="12"/>
      <c r="Y618" s="12"/>
      <c r="Z618" s="12"/>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227"/>
      <c r="BE618" s="227"/>
      <c r="BF618" s="227"/>
      <c r="BG618" s="227"/>
      <c r="BH618" s="227"/>
      <c r="BI618" s="227"/>
      <c r="BJ618" s="227"/>
      <c r="BK618" s="227"/>
      <c r="BL618" s="227"/>
    </row>
    <row r="619" spans="1:64" ht="12" hidden="1" customHeight="1" outlineLevel="1">
      <c r="A619" s="9"/>
      <c r="B619" s="9"/>
      <c r="C619" s="9"/>
      <c r="D619" s="278">
        <f>Asset30</f>
        <v>0</v>
      </c>
      <c r="E619" s="9"/>
      <c r="F619" s="9"/>
      <c r="G619" s="9"/>
      <c r="H619" s="114"/>
      <c r="I619" s="114"/>
      <c r="J619" s="114"/>
      <c r="K619" s="114"/>
      <c r="L619" s="114">
        <f>IF(L$557&gt;0, IF(M$557=0, 'Adjustment for previous period'!$G105, 0), 0)</f>
        <v>0</v>
      </c>
      <c r="M619" s="114">
        <f>IF(M$557&gt;0, IF(N$557=0, 'Adjustment for previous period'!$G105, 0), 0)</f>
        <v>0</v>
      </c>
      <c r="N619" s="114">
        <f>IF(N$557&gt;0, IF(O$557=0, 'Adjustment for previous period'!$G105, 0), 0)</f>
        <v>0</v>
      </c>
      <c r="O619" s="114">
        <f>IF(O$557&gt;0, IF(P$557=0, 'Adjustment for previous period'!$G105, 0), 0)</f>
        <v>0</v>
      </c>
      <c r="P619" s="114">
        <f>IF(P$557&gt;0, IF(Q$557=0, 'Adjustment for previous period'!$G105, 0), 0)</f>
        <v>0</v>
      </c>
      <c r="Q619" s="114">
        <f>IF(Q$557&gt;0, IF(R$557=0, 'Adjustment for previous period'!$G105, 0), 0)</f>
        <v>0</v>
      </c>
      <c r="R619" s="9"/>
      <c r="S619" s="12"/>
      <c r="T619" s="12"/>
      <c r="U619" s="12"/>
      <c r="V619" s="12"/>
      <c r="W619" s="12"/>
      <c r="X619" s="12"/>
      <c r="Y619" s="12"/>
      <c r="Z619" s="12"/>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7"/>
      <c r="BL619" s="227"/>
    </row>
    <row r="620" spans="1:64" ht="12" customHeight="1" collapsed="1">
      <c r="A620" s="9"/>
      <c r="B620" s="9"/>
      <c r="C620" s="9"/>
      <c r="D620" s="9"/>
      <c r="E620" s="9"/>
      <c r="F620" s="9"/>
      <c r="G620" s="9"/>
      <c r="H620" s="9"/>
      <c r="I620" s="9"/>
      <c r="J620" s="9"/>
      <c r="K620" s="9"/>
      <c r="L620" s="9"/>
      <c r="M620" s="9"/>
      <c r="N620" s="12"/>
      <c r="O620" s="9"/>
      <c r="P620" s="9"/>
      <c r="Q620" s="9"/>
      <c r="R620" s="9"/>
      <c r="S620" s="12"/>
      <c r="T620" s="12"/>
      <c r="U620" s="12"/>
      <c r="V620" s="12"/>
      <c r="W620" s="12"/>
      <c r="X620" s="12"/>
      <c r="Y620" s="12"/>
      <c r="Z620" s="12"/>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7"/>
      <c r="BL620" s="227"/>
    </row>
    <row r="621" spans="1:64" ht="12" customHeight="1">
      <c r="A621" s="9"/>
      <c r="B621" s="12"/>
      <c r="C621" s="94" t="s">
        <v>54</v>
      </c>
      <c r="D621" s="12"/>
      <c r="E621" s="12"/>
      <c r="F621" s="12"/>
      <c r="G621" s="117"/>
      <c r="H621" s="121"/>
      <c r="I621" s="121"/>
      <c r="J621" s="121"/>
      <c r="K621" s="121"/>
      <c r="L621" s="121">
        <f t="shared" ref="L621:Q621" si="38">SUM(L622:L651)</f>
        <v>-7.6718379813846251</v>
      </c>
      <c r="M621" s="121">
        <f t="shared" si="38"/>
        <v>0</v>
      </c>
      <c r="N621" s="121">
        <f t="shared" si="38"/>
        <v>0</v>
      </c>
      <c r="O621" s="121">
        <f t="shared" si="38"/>
        <v>0</v>
      </c>
      <c r="P621" s="121">
        <f t="shared" si="38"/>
        <v>0</v>
      </c>
      <c r="Q621" s="121">
        <f t="shared" si="38"/>
        <v>0</v>
      </c>
      <c r="R621" s="9"/>
      <c r="S621" s="12"/>
      <c r="T621" s="12"/>
      <c r="U621" s="12"/>
      <c r="V621" s="12"/>
      <c r="W621" s="12"/>
      <c r="X621" s="12"/>
      <c r="Y621" s="12"/>
      <c r="Z621" s="12"/>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7"/>
      <c r="BL621" s="227"/>
    </row>
    <row r="622" spans="1:64" ht="12" hidden="1" customHeight="1" outlineLevel="1">
      <c r="A622" s="9"/>
      <c r="B622" s="9"/>
      <c r="C622" s="9"/>
      <c r="D622" s="278" t="str">
        <f>Asset1</f>
        <v>Transmission Lines and Cables</v>
      </c>
      <c r="E622" s="9"/>
      <c r="F622" s="9"/>
      <c r="G622" s="9"/>
      <c r="H622" s="114"/>
      <c r="I622" s="114"/>
      <c r="J622" s="114"/>
      <c r="K622" s="114"/>
      <c r="L622" s="114">
        <f>IF(M$557=0, 'Adjustment for previous period'!L109, 0)</f>
        <v>1.3372866594018344</v>
      </c>
      <c r="M622" s="114">
        <f>IF(N$557=0, 'Adjustment for previous period'!M109, 0)</f>
        <v>0</v>
      </c>
      <c r="N622" s="114">
        <f>IF(O$557=0, 'Adjustment for previous period'!N109, 0)</f>
        <v>0</v>
      </c>
      <c r="O622" s="114">
        <f>IF(P$557=0, 'Adjustment for previous period'!O109, 0)</f>
        <v>0</v>
      </c>
      <c r="P622" s="114">
        <f>IF(Q$557=0, 'Adjustment for previous period'!P109, 0)</f>
        <v>0</v>
      </c>
      <c r="Q622" s="114">
        <f>IF(R$557=0, 'Adjustment for previous period'!Q109, 0)</f>
        <v>0</v>
      </c>
      <c r="R622" s="9"/>
      <c r="S622" s="12"/>
      <c r="T622" s="12"/>
      <c r="U622" s="12"/>
      <c r="V622" s="12"/>
      <c r="W622" s="12"/>
      <c r="X622" s="12"/>
      <c r="Y622" s="12"/>
      <c r="Z622" s="12"/>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7"/>
      <c r="BL622" s="227"/>
    </row>
    <row r="623" spans="1:64" hidden="1" outlineLevel="1">
      <c r="A623" s="9"/>
      <c r="B623" s="9"/>
      <c r="C623" s="9"/>
      <c r="D623" s="278" t="str">
        <f>Asset2</f>
        <v>Transmission Substations</v>
      </c>
      <c r="E623" s="9"/>
      <c r="F623" s="9"/>
      <c r="G623" s="9"/>
      <c r="H623" s="114"/>
      <c r="I623" s="114"/>
      <c r="J623" s="114"/>
      <c r="K623" s="114"/>
      <c r="L623" s="114">
        <f>IF(M$557=0, 'Adjustment for previous period'!L111, 0)</f>
        <v>-13.923370329140083</v>
      </c>
      <c r="M623" s="114">
        <f>IF(N$557=0, 'Adjustment for previous period'!M111, 0)</f>
        <v>0</v>
      </c>
      <c r="N623" s="114">
        <f>IF(O$557=0, 'Adjustment for previous period'!N111, 0)</f>
        <v>0</v>
      </c>
      <c r="O623" s="114">
        <f>IF(P$557=0, 'Adjustment for previous period'!O111, 0)</f>
        <v>0</v>
      </c>
      <c r="P623" s="114">
        <f>IF(Q$557=0, 'Adjustment for previous period'!P111, 0)</f>
        <v>0</v>
      </c>
      <c r="Q623" s="114">
        <f>IF(R$557=0, 'Adjustment for previous period'!Q111, 0)</f>
        <v>0</v>
      </c>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235"/>
      <c r="BE623" s="235"/>
      <c r="BF623" s="235"/>
      <c r="BG623" s="235"/>
      <c r="BH623" s="235"/>
      <c r="BI623" s="235"/>
      <c r="BJ623" s="235"/>
      <c r="BK623" s="227"/>
      <c r="BL623" s="227"/>
    </row>
    <row r="624" spans="1:64" ht="12" hidden="1" customHeight="1" outlineLevel="1">
      <c r="A624" s="9"/>
      <c r="B624" s="9"/>
      <c r="C624" s="9"/>
      <c r="D624" s="278" t="str">
        <f>Asset3</f>
        <v>Protection and Control</v>
      </c>
      <c r="E624" s="9"/>
      <c r="F624" s="9"/>
      <c r="G624" s="9"/>
      <c r="H624" s="114"/>
      <c r="I624" s="114"/>
      <c r="J624" s="114"/>
      <c r="K624" s="114"/>
      <c r="L624" s="114">
        <f>IF(M$557=0, 'Adjustment for previous period'!L113, 0)</f>
        <v>-1.5263530874081388</v>
      </c>
      <c r="M624" s="114">
        <f>IF(N$557=0, 'Adjustment for previous period'!M113, 0)</f>
        <v>0</v>
      </c>
      <c r="N624" s="114">
        <f>IF(O$557=0, 'Adjustment for previous period'!N113, 0)</f>
        <v>0</v>
      </c>
      <c r="O624" s="114">
        <f>IF(P$557=0, 'Adjustment for previous period'!O113, 0)</f>
        <v>0</v>
      </c>
      <c r="P624" s="114">
        <f>IF(Q$557=0, 'Adjustment for previous period'!P113, 0)</f>
        <v>0</v>
      </c>
      <c r="Q624" s="114">
        <f>IF(R$557=0, 'Adjustment for previous period'!Q113, 0)</f>
        <v>0</v>
      </c>
      <c r="R624" s="9"/>
      <c r="S624" s="12"/>
      <c r="T624" s="12"/>
      <c r="U624" s="12"/>
      <c r="V624" s="12"/>
      <c r="W624" s="12"/>
      <c r="X624" s="12"/>
      <c r="Y624" s="12"/>
      <c r="Z624" s="12"/>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7"/>
      <c r="BL624" s="227"/>
    </row>
    <row r="625" spans="1:64" ht="12" hidden="1" customHeight="1" outlineLevel="1">
      <c r="A625" s="9"/>
      <c r="B625" s="9"/>
      <c r="C625" s="9"/>
      <c r="D625" s="278" t="str">
        <f>Asset4</f>
        <v>Refurbishment</v>
      </c>
      <c r="E625" s="9"/>
      <c r="F625" s="9"/>
      <c r="G625" s="9"/>
      <c r="H625" s="114"/>
      <c r="I625" s="114"/>
      <c r="J625" s="114"/>
      <c r="K625" s="114"/>
      <c r="L625" s="114">
        <f>IF(M$557=0, 'Adjustment for previous period'!L115, 0)</f>
        <v>0</v>
      </c>
      <c r="M625" s="114">
        <f>IF(N$557=0, 'Adjustment for previous period'!M115, 0)</f>
        <v>0</v>
      </c>
      <c r="N625" s="114">
        <f>IF(O$557=0, 'Adjustment for previous period'!N115, 0)</f>
        <v>0</v>
      </c>
      <c r="O625" s="114">
        <f>IF(P$557=0, 'Adjustment for previous period'!O115, 0)</f>
        <v>0</v>
      </c>
      <c r="P625" s="114">
        <f>IF(Q$557=0, 'Adjustment for previous period'!P115, 0)</f>
        <v>0</v>
      </c>
      <c r="Q625" s="114">
        <f>IF(R$557=0, 'Adjustment for previous period'!Q115, 0)</f>
        <v>0</v>
      </c>
      <c r="R625" s="9"/>
      <c r="S625" s="12"/>
      <c r="T625" s="12"/>
      <c r="U625" s="12"/>
      <c r="V625" s="12"/>
      <c r="W625" s="12"/>
      <c r="X625" s="12"/>
      <c r="Y625" s="12"/>
      <c r="Z625" s="12"/>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7"/>
      <c r="BL625" s="227"/>
    </row>
    <row r="626" spans="1:64" ht="12" hidden="1" customHeight="1" outlineLevel="1">
      <c r="A626" s="9"/>
      <c r="B626" s="9"/>
      <c r="C626" s="9"/>
      <c r="D626" s="278" t="str">
        <f>Asset5</f>
        <v>Other</v>
      </c>
      <c r="E626" s="9"/>
      <c r="F626" s="9"/>
      <c r="G626" s="9"/>
      <c r="H626" s="114"/>
      <c r="I626" s="114"/>
      <c r="J626" s="114"/>
      <c r="K626" s="114"/>
      <c r="L626" s="114">
        <f>IF(M$557=0, 'Adjustment for previous period'!L117, 0)</f>
        <v>-3.279647781848017E-3</v>
      </c>
      <c r="M626" s="114">
        <f>IF(N$557=0, 'Adjustment for previous period'!M117, 0)</f>
        <v>0</v>
      </c>
      <c r="N626" s="114">
        <f>IF(O$557=0, 'Adjustment for previous period'!N117, 0)</f>
        <v>0</v>
      </c>
      <c r="O626" s="114">
        <f>IF(P$557=0, 'Adjustment for previous period'!O117, 0)</f>
        <v>0</v>
      </c>
      <c r="P626" s="114">
        <f>IF(Q$557=0, 'Adjustment for previous period'!P117, 0)</f>
        <v>0</v>
      </c>
      <c r="Q626" s="114">
        <f>IF(R$557=0, 'Adjustment for previous period'!Q117, 0)</f>
        <v>0</v>
      </c>
      <c r="R626" s="9"/>
      <c r="S626" s="12"/>
      <c r="T626" s="12"/>
      <c r="U626" s="12"/>
      <c r="V626" s="12"/>
      <c r="W626" s="12"/>
      <c r="X626" s="12"/>
      <c r="Y626" s="12"/>
      <c r="Z626" s="12"/>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7"/>
      <c r="BL626" s="227"/>
    </row>
    <row r="627" spans="1:64" hidden="1" outlineLevel="1">
      <c r="A627" s="9"/>
      <c r="B627" s="9"/>
      <c r="C627" s="9"/>
      <c r="D627" s="278" t="str">
        <f>Asset6</f>
        <v>Other - IT</v>
      </c>
      <c r="E627" s="9"/>
      <c r="F627" s="9"/>
      <c r="G627" s="9"/>
      <c r="H627" s="114"/>
      <c r="I627" s="114"/>
      <c r="J627" s="114"/>
      <c r="K627" s="114"/>
      <c r="L627" s="114">
        <f>IF(M$557=0, 'Adjustment for previous period'!L119, 0)</f>
        <v>3.4482440015063216</v>
      </c>
      <c r="M627" s="114">
        <f>IF(N$557=0, 'Adjustment for previous period'!M119, 0)</f>
        <v>0</v>
      </c>
      <c r="N627" s="114">
        <f>IF(O$557=0, 'Adjustment for previous period'!N119, 0)</f>
        <v>0</v>
      </c>
      <c r="O627" s="114">
        <f>IF(P$557=0, 'Adjustment for previous period'!O119, 0)</f>
        <v>0</v>
      </c>
      <c r="P627" s="114">
        <f>IF(Q$557=0, 'Adjustment for previous period'!P119, 0)</f>
        <v>0</v>
      </c>
      <c r="Q627" s="114">
        <f>IF(R$557=0, 'Adjustment for previous period'!Q119, 0)</f>
        <v>0</v>
      </c>
      <c r="R627" s="9"/>
      <c r="S627" s="12"/>
      <c r="T627" s="12"/>
      <c r="U627" s="12"/>
      <c r="V627" s="12"/>
      <c r="W627" s="12"/>
      <c r="X627" s="12"/>
      <c r="Y627" s="12"/>
      <c r="Z627" s="12"/>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7"/>
      <c r="BL627" s="227"/>
    </row>
    <row r="628" spans="1:64" hidden="1" outlineLevel="1">
      <c r="A628" s="9"/>
      <c r="B628" s="9"/>
      <c r="C628" s="9"/>
      <c r="D628" s="278" t="str">
        <f>Asset7</f>
        <v>Other - General</v>
      </c>
      <c r="E628" s="9"/>
      <c r="F628" s="9"/>
      <c r="G628" s="9"/>
      <c r="H628" s="114"/>
      <c r="I628" s="114"/>
      <c r="J628" s="114"/>
      <c r="K628" s="114"/>
      <c r="L628" s="114">
        <f>IF(M$557=0, 'Adjustment for previous period'!L121, 0)</f>
        <v>0.79564255187632937</v>
      </c>
      <c r="M628" s="114">
        <f>IF(N$557=0, 'Adjustment for previous period'!M121, 0)</f>
        <v>0</v>
      </c>
      <c r="N628" s="114">
        <f>IF(O$557=0, 'Adjustment for previous period'!N121, 0)</f>
        <v>0</v>
      </c>
      <c r="O628" s="114">
        <f>IF(P$557=0, 'Adjustment for previous period'!O121, 0)</f>
        <v>0</v>
      </c>
      <c r="P628" s="114">
        <f>IF(Q$557=0, 'Adjustment for previous period'!P121, 0)</f>
        <v>0</v>
      </c>
      <c r="Q628" s="114">
        <f>IF(R$557=0, 'Adjustment for previous period'!Q121, 0)</f>
        <v>0</v>
      </c>
      <c r="R628" s="9"/>
      <c r="S628" s="9"/>
      <c r="T628" s="9"/>
      <c r="U628" s="9"/>
      <c r="V628" s="9"/>
      <c r="W628" s="9"/>
      <c r="X628" s="9"/>
      <c r="Y628" s="9"/>
      <c r="Z628" s="9"/>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row>
    <row r="629" spans="1:64" hidden="1" outlineLevel="1">
      <c r="A629" s="9"/>
      <c r="B629" s="9"/>
      <c r="C629" s="9"/>
      <c r="D629" s="278" t="str">
        <f>Asset8</f>
        <v>Other - Buildings</v>
      </c>
      <c r="E629" s="9"/>
      <c r="F629" s="9"/>
      <c r="G629" s="9"/>
      <c r="H629" s="114"/>
      <c r="I629" s="114"/>
      <c r="J629" s="114"/>
      <c r="K629" s="114"/>
      <c r="L629" s="114">
        <f>IF(M$557=0, 'Adjustment for previous period'!L123, 0)</f>
        <v>1.858940605026032</v>
      </c>
      <c r="M629" s="114">
        <f>IF(N$557=0, 'Adjustment for previous period'!M123, 0)</f>
        <v>0</v>
      </c>
      <c r="N629" s="114">
        <f>IF(O$557=0, 'Adjustment for previous period'!N123, 0)</f>
        <v>0</v>
      </c>
      <c r="O629" s="114">
        <f>IF(P$557=0, 'Adjustment for previous period'!O123, 0)</f>
        <v>0</v>
      </c>
      <c r="P629" s="114">
        <f>IF(Q$557=0, 'Adjustment for previous period'!P123, 0)</f>
        <v>0</v>
      </c>
      <c r="Q629" s="114">
        <f>IF(R$557=0, 'Adjustment for previous period'!Q123, 0)</f>
        <v>0</v>
      </c>
      <c r="R629" s="9"/>
      <c r="S629" s="9"/>
      <c r="T629" s="9"/>
      <c r="U629" s="9"/>
      <c r="V629" s="9"/>
      <c r="W629" s="9"/>
      <c r="X629" s="9"/>
      <c r="Y629" s="9"/>
      <c r="Z629" s="9"/>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row>
    <row r="630" spans="1:64" hidden="1" outlineLevel="1">
      <c r="A630" s="9"/>
      <c r="B630" s="9"/>
      <c r="C630" s="9"/>
      <c r="D630" s="278" t="str">
        <f>Asset9</f>
        <v>Land and Easements</v>
      </c>
      <c r="E630" s="9"/>
      <c r="F630" s="9"/>
      <c r="G630" s="9"/>
      <c r="H630" s="114"/>
      <c r="I630" s="114"/>
      <c r="J630" s="114"/>
      <c r="K630" s="114"/>
      <c r="L630" s="114">
        <f>IF(M$557=0, 'Adjustment for previous period'!L125, 0)</f>
        <v>0.34105126513492962</v>
      </c>
      <c r="M630" s="114">
        <f>IF(N$557=0, 'Adjustment for previous period'!M125, 0)</f>
        <v>0</v>
      </c>
      <c r="N630" s="114">
        <f>IF(O$557=0, 'Adjustment for previous period'!N125, 0)</f>
        <v>0</v>
      </c>
      <c r="O630" s="114">
        <f>IF(P$557=0, 'Adjustment for previous period'!O125, 0)</f>
        <v>0</v>
      </c>
      <c r="P630" s="114">
        <f>IF(Q$557=0, 'Adjustment for previous period'!P125, 0)</f>
        <v>0</v>
      </c>
      <c r="Q630" s="114">
        <f>IF(R$557=0, 'Adjustment for previous period'!Q125, 0)</f>
        <v>0</v>
      </c>
      <c r="R630" s="9"/>
      <c r="S630" s="9"/>
      <c r="T630" s="9"/>
      <c r="U630" s="9"/>
      <c r="V630" s="9"/>
      <c r="W630" s="9"/>
      <c r="X630" s="9"/>
      <c r="Y630" s="9"/>
      <c r="Z630" s="9"/>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row>
    <row r="631" spans="1:64" hidden="1" outlineLevel="1">
      <c r="A631" s="9"/>
      <c r="B631" s="9"/>
      <c r="C631" s="9"/>
      <c r="D631" s="278" t="str">
        <f>Asset10</f>
        <v>Transmission line assets - long life (60)</v>
      </c>
      <c r="E631" s="9"/>
      <c r="F631" s="9"/>
      <c r="G631" s="9"/>
      <c r="H631" s="114"/>
      <c r="I631" s="114"/>
      <c r="J631" s="114"/>
      <c r="K631" s="114"/>
      <c r="L631" s="114">
        <f>IF(M$557=0, 'Adjustment for previous period'!L127, 0)</f>
        <v>0</v>
      </c>
      <c r="M631" s="114">
        <f>IF(N$557=0, 'Adjustment for previous period'!M127, 0)</f>
        <v>0</v>
      </c>
      <c r="N631" s="114">
        <f>IF(O$557=0, 'Adjustment for previous period'!N127, 0)</f>
        <v>0</v>
      </c>
      <c r="O631" s="114">
        <f>IF(P$557=0, 'Adjustment for previous period'!O127, 0)</f>
        <v>0</v>
      </c>
      <c r="P631" s="114">
        <f>IF(Q$557=0, 'Adjustment for previous period'!P127, 0)</f>
        <v>0</v>
      </c>
      <c r="Q631" s="114">
        <f>IF(R$557=0, 'Adjustment for previous period'!Q127, 0)</f>
        <v>0</v>
      </c>
      <c r="R631" s="9"/>
      <c r="S631" s="9"/>
      <c r="T631" s="9"/>
      <c r="U631" s="9"/>
      <c r="V631" s="9"/>
      <c r="W631" s="9"/>
      <c r="X631" s="9"/>
      <c r="Y631" s="9"/>
      <c r="Z631" s="9"/>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row>
    <row r="632" spans="1:64" hidden="1" outlineLevel="1">
      <c r="A632" s="9"/>
      <c r="B632" s="9"/>
      <c r="C632" s="9"/>
      <c r="D632" s="278" t="str">
        <f>Asset11</f>
        <v>Transmission line assets - medium life (45)</v>
      </c>
      <c r="E632" s="9"/>
      <c r="F632" s="9"/>
      <c r="G632" s="9"/>
      <c r="H632" s="114"/>
      <c r="I632" s="114"/>
      <c r="J632" s="114"/>
      <c r="K632" s="114"/>
      <c r="L632" s="114">
        <f>IF(M$557=0, 'Adjustment for previous period'!L129, 0)</f>
        <v>0</v>
      </c>
      <c r="M632" s="114">
        <f>IF(N$557=0, 'Adjustment for previous period'!M129, 0)</f>
        <v>0</v>
      </c>
      <c r="N632" s="114">
        <f>IF(O$557=0, 'Adjustment for previous period'!N129, 0)</f>
        <v>0</v>
      </c>
      <c r="O632" s="114">
        <f>IF(P$557=0, 'Adjustment for previous period'!O129, 0)</f>
        <v>0</v>
      </c>
      <c r="P632" s="114">
        <f>IF(Q$557=0, 'Adjustment for previous period'!P129, 0)</f>
        <v>0</v>
      </c>
      <c r="Q632" s="114">
        <f>IF(R$557=0, 'Adjustment for previous period'!Q129, 0)</f>
        <v>0</v>
      </c>
      <c r="R632" s="9"/>
      <c r="S632" s="9"/>
      <c r="T632" s="9"/>
      <c r="U632" s="9"/>
      <c r="V632" s="9"/>
      <c r="W632" s="9"/>
      <c r="X632" s="9"/>
      <c r="Y632" s="9"/>
      <c r="Z632" s="9"/>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row>
    <row r="633" spans="1:64" hidden="1" outlineLevel="1">
      <c r="A633" s="9"/>
      <c r="B633" s="9"/>
      <c r="C633" s="9"/>
      <c r="D633" s="278" t="str">
        <f>Asset12</f>
        <v>Transmission line assets - short life (10)</v>
      </c>
      <c r="E633" s="9"/>
      <c r="F633" s="9"/>
      <c r="G633" s="9"/>
      <c r="H633" s="114"/>
      <c r="I633" s="114"/>
      <c r="J633" s="114"/>
      <c r="K633" s="114"/>
      <c r="L633" s="114">
        <f>IF(M$557=0, 'Adjustment for previous period'!L131, 0)</f>
        <v>0</v>
      </c>
      <c r="M633" s="114">
        <f>IF(N$557=0, 'Adjustment for previous period'!M131, 0)</f>
        <v>0</v>
      </c>
      <c r="N633" s="114">
        <f>IF(O$557=0, 'Adjustment for previous period'!N131, 0)</f>
        <v>0</v>
      </c>
      <c r="O633" s="114">
        <f>IF(P$557=0, 'Adjustment for previous period'!O131, 0)</f>
        <v>0</v>
      </c>
      <c r="P633" s="114">
        <f>IF(Q$557=0, 'Adjustment for previous period'!P131, 0)</f>
        <v>0</v>
      </c>
      <c r="Q633" s="114">
        <f>IF(R$557=0, 'Adjustment for previous period'!Q131, 0)</f>
        <v>0</v>
      </c>
      <c r="R633" s="9"/>
      <c r="S633" s="9"/>
      <c r="T633" s="9"/>
      <c r="U633" s="9"/>
      <c r="V633" s="9"/>
      <c r="W633" s="9"/>
      <c r="X633" s="9"/>
      <c r="Y633" s="9"/>
      <c r="Z633" s="9"/>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row>
    <row r="634" spans="1:64" hidden="1" outlineLevel="1">
      <c r="A634" s="9"/>
      <c r="B634" s="9"/>
      <c r="C634" s="9"/>
      <c r="D634" s="278" t="str">
        <f>Asset13</f>
        <v>Substation assets - long life (60)</v>
      </c>
      <c r="E634" s="9"/>
      <c r="F634" s="9"/>
      <c r="G634" s="9"/>
      <c r="H634" s="114"/>
      <c r="I634" s="114"/>
      <c r="J634" s="114"/>
      <c r="K634" s="114"/>
      <c r="L634" s="114">
        <f>IF(M$557=0, 'Adjustment for previous period'!L133, 0)</f>
        <v>0</v>
      </c>
      <c r="M634" s="114">
        <f>IF(N$557=0, 'Adjustment for previous period'!M133, 0)</f>
        <v>0</v>
      </c>
      <c r="N634" s="114">
        <f>IF(O$557=0, 'Adjustment for previous period'!N133, 0)</f>
        <v>0</v>
      </c>
      <c r="O634" s="114">
        <f>IF(P$557=0, 'Adjustment for previous period'!O133, 0)</f>
        <v>0</v>
      </c>
      <c r="P634" s="114">
        <f>IF(Q$557=0, 'Adjustment for previous period'!P133, 0)</f>
        <v>0</v>
      </c>
      <c r="Q634" s="114">
        <f>IF(R$557=0, 'Adjustment for previous period'!Q133, 0)</f>
        <v>0</v>
      </c>
      <c r="R634" s="9"/>
      <c r="S634" s="9"/>
      <c r="T634" s="9"/>
      <c r="U634" s="9"/>
      <c r="V634" s="9"/>
      <c r="W634" s="9"/>
      <c r="X634" s="9"/>
      <c r="Y634" s="9"/>
      <c r="Z634" s="9"/>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row>
    <row r="635" spans="1:64" hidden="1" outlineLevel="1">
      <c r="A635" s="9"/>
      <c r="B635" s="9"/>
      <c r="C635" s="9"/>
      <c r="D635" s="278" t="str">
        <f>Asset14</f>
        <v>Substation assets - medium life (45)</v>
      </c>
      <c r="E635" s="9"/>
      <c r="F635" s="9"/>
      <c r="G635" s="9"/>
      <c r="H635" s="114"/>
      <c r="I635" s="114"/>
      <c r="J635" s="114"/>
      <c r="K635" s="114"/>
      <c r="L635" s="114">
        <f>IF(M$557=0, 'Adjustment for previous period'!L135, 0)</f>
        <v>0</v>
      </c>
      <c r="M635" s="114">
        <f>IF(N$557=0, 'Adjustment for previous period'!M135, 0)</f>
        <v>0</v>
      </c>
      <c r="N635" s="114">
        <f>IF(O$557=0, 'Adjustment for previous period'!N135, 0)</f>
        <v>0</v>
      </c>
      <c r="O635" s="114">
        <f>IF(P$557=0, 'Adjustment for previous period'!O135, 0)</f>
        <v>0</v>
      </c>
      <c r="P635" s="114">
        <f>IF(Q$557=0, 'Adjustment for previous period'!P135, 0)</f>
        <v>0</v>
      </c>
      <c r="Q635" s="114">
        <f>IF(R$557=0, 'Adjustment for previous period'!Q135, 0)</f>
        <v>0</v>
      </c>
      <c r="R635" s="9"/>
      <c r="S635" s="9"/>
      <c r="T635" s="9"/>
      <c r="U635" s="9"/>
      <c r="V635" s="9"/>
      <c r="W635" s="9"/>
      <c r="X635" s="9"/>
      <c r="Y635" s="9"/>
      <c r="Z635" s="9"/>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row>
    <row r="636" spans="1:64" hidden="1" outlineLevel="1">
      <c r="A636" s="9"/>
      <c r="B636" s="9"/>
      <c r="C636" s="9"/>
      <c r="D636" s="278" t="str">
        <f>Asset15</f>
        <v>Substation assets - short life (15)</v>
      </c>
      <c r="E636" s="9"/>
      <c r="F636" s="9"/>
      <c r="G636" s="9"/>
      <c r="H636" s="114"/>
      <c r="I636" s="114"/>
      <c r="J636" s="114"/>
      <c r="K636" s="114"/>
      <c r="L636" s="114">
        <f>IF(M$557=0, 'Adjustment for previous period'!L137, 0)</f>
        <v>0</v>
      </c>
      <c r="M636" s="114">
        <f>IF(N$557=0, 'Adjustment for previous period'!M137, 0)</f>
        <v>0</v>
      </c>
      <c r="N636" s="114">
        <f>IF(O$557=0, 'Adjustment for previous period'!N137, 0)</f>
        <v>0</v>
      </c>
      <c r="O636" s="114">
        <f>IF(P$557=0, 'Adjustment for previous period'!O137, 0)</f>
        <v>0</v>
      </c>
      <c r="P636" s="114">
        <f>IF(Q$557=0, 'Adjustment for previous period'!P137, 0)</f>
        <v>0</v>
      </c>
      <c r="Q636" s="114">
        <f>IF(R$557=0, 'Adjustment for previous period'!Q137, 0)</f>
        <v>0</v>
      </c>
      <c r="R636" s="9"/>
      <c r="S636" s="9"/>
      <c r="T636" s="9"/>
      <c r="U636" s="9"/>
      <c r="V636" s="9"/>
      <c r="W636" s="9"/>
      <c r="X636" s="9"/>
      <c r="Y636" s="9"/>
      <c r="Z636" s="9"/>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row>
    <row r="637" spans="1:64" hidden="1" outlineLevel="1">
      <c r="A637" s="9"/>
      <c r="B637" s="9"/>
      <c r="C637" s="9"/>
      <c r="D637" s="278" t="str">
        <f>Asset16</f>
        <v>Protection and control - short life (15)</v>
      </c>
      <c r="E637" s="9"/>
      <c r="F637" s="9"/>
      <c r="G637" s="9"/>
      <c r="H637" s="114"/>
      <c r="I637" s="114"/>
      <c r="J637" s="114"/>
      <c r="K637" s="114"/>
      <c r="L637" s="114">
        <f>IF(M$557=0, 'Adjustment for previous period'!L139, 0)</f>
        <v>0</v>
      </c>
      <c r="M637" s="114">
        <f>IF(N$557=0, 'Adjustment for previous period'!M139, 0)</f>
        <v>0</v>
      </c>
      <c r="N637" s="114">
        <f>IF(O$557=0, 'Adjustment for previous period'!N139, 0)</f>
        <v>0</v>
      </c>
      <c r="O637" s="114">
        <f>IF(P$557=0, 'Adjustment for previous period'!O139, 0)</f>
        <v>0</v>
      </c>
      <c r="P637" s="114">
        <f>IF(Q$557=0, 'Adjustment for previous period'!P139, 0)</f>
        <v>0</v>
      </c>
      <c r="Q637" s="114">
        <f>IF(R$557=0, 'Adjustment for previous period'!Q139, 0)</f>
        <v>0</v>
      </c>
      <c r="R637" s="9"/>
      <c r="S637" s="9"/>
      <c r="T637" s="9"/>
      <c r="U637" s="9"/>
      <c r="V637" s="9"/>
      <c r="W637" s="9"/>
      <c r="X637" s="9"/>
      <c r="Y637" s="9"/>
      <c r="Z637" s="9"/>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row>
    <row r="638" spans="1:64" hidden="1" outlineLevel="1">
      <c r="A638" s="9"/>
      <c r="B638" s="9"/>
      <c r="C638" s="9"/>
      <c r="D638" s="278" t="str">
        <f>Asset17</f>
        <v>Protection and control - short life (4)</v>
      </c>
      <c r="E638" s="9"/>
      <c r="F638" s="9"/>
      <c r="G638" s="9"/>
      <c r="H638" s="114"/>
      <c r="I638" s="114"/>
      <c r="J638" s="114"/>
      <c r="K638" s="114"/>
      <c r="L638" s="114">
        <f>IF(M$557=0, 'Adjustment for previous period'!L141, 0)</f>
        <v>0</v>
      </c>
      <c r="M638" s="114">
        <f>IF(N$557=0, 'Adjustment for previous period'!M141, 0)</f>
        <v>0</v>
      </c>
      <c r="N638" s="114">
        <f>IF(O$557=0, 'Adjustment for previous period'!N141, 0)</f>
        <v>0</v>
      </c>
      <c r="O638" s="114">
        <f>IF(P$557=0, 'Adjustment for previous period'!O141, 0)</f>
        <v>0</v>
      </c>
      <c r="P638" s="114">
        <f>IF(Q$557=0, 'Adjustment for previous period'!P141, 0)</f>
        <v>0</v>
      </c>
      <c r="Q638" s="114">
        <f>IF(R$557=0, 'Adjustment for previous period'!Q141, 0)</f>
        <v>0</v>
      </c>
      <c r="R638" s="9"/>
      <c r="S638" s="9"/>
      <c r="T638" s="9"/>
      <c r="U638" s="9"/>
      <c r="V638" s="9"/>
      <c r="W638" s="9"/>
      <c r="X638" s="9"/>
      <c r="Y638" s="9"/>
      <c r="Z638" s="9"/>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row>
    <row r="639" spans="1:64" hidden="1" outlineLevel="1">
      <c r="A639" s="9"/>
      <c r="B639" s="9"/>
      <c r="C639" s="9"/>
      <c r="D639" s="278" t="str">
        <f>Asset18</f>
        <v>Transmission operations - short life (10)</v>
      </c>
      <c r="E639" s="9"/>
      <c r="F639" s="9"/>
      <c r="G639" s="9"/>
      <c r="H639" s="114"/>
      <c r="I639" s="114"/>
      <c r="J639" s="114"/>
      <c r="K639" s="114"/>
      <c r="L639" s="114">
        <f>IF(M$557=0, 'Adjustment for previous period'!L143, 0)</f>
        <v>0</v>
      </c>
      <c r="M639" s="114">
        <f>IF(N$557=0, 'Adjustment for previous period'!M143, 0)</f>
        <v>0</v>
      </c>
      <c r="N639" s="114">
        <f>IF(O$557=0, 'Adjustment for previous period'!N143, 0)</f>
        <v>0</v>
      </c>
      <c r="O639" s="114">
        <f>IF(P$557=0, 'Adjustment for previous period'!O143, 0)</f>
        <v>0</v>
      </c>
      <c r="P639" s="114">
        <f>IF(Q$557=0, 'Adjustment for previous period'!P143, 0)</f>
        <v>0</v>
      </c>
      <c r="Q639" s="114">
        <f>IF(R$557=0, 'Adjustment for previous period'!Q143, 0)</f>
        <v>0</v>
      </c>
      <c r="R639" s="9"/>
      <c r="S639" s="9"/>
      <c r="T639" s="9"/>
      <c r="U639" s="9"/>
      <c r="V639" s="9"/>
      <c r="W639" s="9"/>
      <c r="X639" s="9"/>
      <c r="Y639" s="9"/>
      <c r="Z639" s="9"/>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row>
    <row r="640" spans="1:64" hidden="1" outlineLevel="1">
      <c r="A640" s="9"/>
      <c r="B640" s="9"/>
      <c r="C640" s="9"/>
      <c r="D640" s="278" t="str">
        <f>Asset19</f>
        <v>Transmission operations - short life (4)</v>
      </c>
      <c r="E640" s="9"/>
      <c r="F640" s="9"/>
      <c r="G640" s="9"/>
      <c r="H640" s="114"/>
      <c r="I640" s="114"/>
      <c r="J640" s="114"/>
      <c r="K640" s="114"/>
      <c r="L640" s="114">
        <f>IF(M$557=0, 'Adjustment for previous period'!L145, 0)</f>
        <v>0</v>
      </c>
      <c r="M640" s="114">
        <f>IF(N$557=0, 'Adjustment for previous period'!M145, 0)</f>
        <v>0</v>
      </c>
      <c r="N640" s="114">
        <f>IF(O$557=0, 'Adjustment for previous period'!N145, 0)</f>
        <v>0</v>
      </c>
      <c r="O640" s="114">
        <f>IF(P$557=0, 'Adjustment for previous period'!O145, 0)</f>
        <v>0</v>
      </c>
      <c r="P640" s="114">
        <f>IF(Q$557=0, 'Adjustment for previous period'!P145, 0)</f>
        <v>0</v>
      </c>
      <c r="Q640" s="114">
        <f>IF(R$557=0, 'Adjustment for previous period'!Q145, 0)</f>
        <v>0</v>
      </c>
      <c r="R640" s="9"/>
      <c r="S640" s="9"/>
      <c r="T640" s="9"/>
      <c r="U640" s="9"/>
      <c r="V640" s="9"/>
      <c r="W640" s="9"/>
      <c r="X640" s="9"/>
      <c r="Y640" s="9"/>
      <c r="Z640" s="9"/>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row>
    <row r="641" spans="1:64" hidden="1" outlineLevel="1">
      <c r="A641" s="9"/>
      <c r="B641" s="9"/>
      <c r="C641" s="9"/>
      <c r="D641" s="278" t="str">
        <f>Asset20</f>
        <v>Other - medium life (40)</v>
      </c>
      <c r="E641" s="9"/>
      <c r="F641" s="9"/>
      <c r="G641" s="9"/>
      <c r="H641" s="114"/>
      <c r="I641" s="114"/>
      <c r="J641" s="114"/>
      <c r="K641" s="114"/>
      <c r="L641" s="114">
        <f>IF(M$557=0, 'Adjustment for previous period'!L147, 0)</f>
        <v>0</v>
      </c>
      <c r="M641" s="114">
        <f>IF(N$557=0, 'Adjustment for previous period'!M147, 0)</f>
        <v>0</v>
      </c>
      <c r="N641" s="114">
        <f>IF(O$557=0, 'Adjustment for previous period'!N147, 0)</f>
        <v>0</v>
      </c>
      <c r="O641" s="114">
        <f>IF(P$557=0, 'Adjustment for previous period'!O147, 0)</f>
        <v>0</v>
      </c>
      <c r="P641" s="114">
        <f>IF(Q$557=0, 'Adjustment for previous period'!P147, 0)</f>
        <v>0</v>
      </c>
      <c r="Q641" s="114">
        <f>IF(R$557=0, 'Adjustment for previous period'!Q147, 0)</f>
        <v>0</v>
      </c>
      <c r="R641" s="9"/>
      <c r="S641" s="9"/>
      <c r="T641" s="9"/>
      <c r="U641" s="9"/>
      <c r="V641" s="9"/>
      <c r="W641" s="9"/>
      <c r="X641" s="9"/>
      <c r="Y641" s="9"/>
      <c r="Z641" s="9"/>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row>
    <row r="642" spans="1:64" hidden="1" outlineLevel="1">
      <c r="A642" s="9"/>
      <c r="B642" s="9"/>
      <c r="C642" s="9"/>
      <c r="D642" s="278" t="str">
        <f>Asset21</f>
        <v>Other - short life (9)</v>
      </c>
      <c r="E642" s="9"/>
      <c r="F642" s="9"/>
      <c r="G642" s="9"/>
      <c r="H642" s="114"/>
      <c r="I642" s="114"/>
      <c r="J642" s="114"/>
      <c r="K642" s="114"/>
      <c r="L642" s="114">
        <f>IF(M$557=0, 'Adjustment for previous period'!L149, 0)</f>
        <v>0</v>
      </c>
      <c r="M642" s="114">
        <f>IF(N$557=0, 'Adjustment for previous period'!M149, 0)</f>
        <v>0</v>
      </c>
      <c r="N642" s="114">
        <f>IF(O$557=0, 'Adjustment for previous period'!N149, 0)</f>
        <v>0</v>
      </c>
      <c r="O642" s="114">
        <f>IF(P$557=0, 'Adjustment for previous period'!O149, 0)</f>
        <v>0</v>
      </c>
      <c r="P642" s="114">
        <f>IF(Q$557=0, 'Adjustment for previous period'!P149, 0)</f>
        <v>0</v>
      </c>
      <c r="Q642" s="114">
        <f>IF(R$557=0, 'Adjustment for previous period'!Q149, 0)</f>
        <v>0</v>
      </c>
      <c r="R642" s="9"/>
      <c r="S642" s="9"/>
      <c r="T642" s="9"/>
      <c r="U642" s="9"/>
      <c r="V642" s="9"/>
      <c r="W642" s="9"/>
      <c r="X642" s="9"/>
      <c r="Y642" s="9"/>
      <c r="Z642" s="9"/>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row>
    <row r="643" spans="1:64" hidden="1" outlineLevel="1">
      <c r="A643" s="9"/>
      <c r="B643" s="9"/>
      <c r="C643" s="9"/>
      <c r="D643" s="278" t="str">
        <f>Asset22</f>
        <v>Other - short life (4)</v>
      </c>
      <c r="E643" s="9"/>
      <c r="F643" s="9"/>
      <c r="G643" s="9"/>
      <c r="H643" s="114"/>
      <c r="I643" s="114"/>
      <c r="J643" s="114"/>
      <c r="K643" s="114"/>
      <c r="L643" s="114">
        <f>IF(M$557=0, 'Adjustment for previous period'!L151, 0)</f>
        <v>0</v>
      </c>
      <c r="M643" s="114">
        <f>IF(N$557=0, 'Adjustment for previous period'!M151, 0)</f>
        <v>0</v>
      </c>
      <c r="N643" s="114">
        <f>IF(O$557=0, 'Adjustment for previous period'!N151, 0)</f>
        <v>0</v>
      </c>
      <c r="O643" s="114">
        <f>IF(P$557=0, 'Adjustment for previous period'!O151, 0)</f>
        <v>0</v>
      </c>
      <c r="P643" s="114">
        <f>IF(Q$557=0, 'Adjustment for previous period'!P151, 0)</f>
        <v>0</v>
      </c>
      <c r="Q643" s="114">
        <f>IF(R$557=0, 'Adjustment for previous period'!Q151, 0)</f>
        <v>0</v>
      </c>
      <c r="R643" s="9"/>
      <c r="S643" s="9"/>
      <c r="T643" s="9"/>
      <c r="U643" s="9"/>
      <c r="V643" s="9"/>
      <c r="W643" s="9"/>
      <c r="X643" s="9"/>
      <c r="Y643" s="9"/>
      <c r="Z643" s="9"/>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row>
    <row r="644" spans="1:64" hidden="1" outlineLevel="1">
      <c r="A644" s="9"/>
      <c r="B644" s="9"/>
      <c r="C644" s="9"/>
      <c r="D644" s="278" t="str">
        <f>Asset23</f>
        <v>Land and Easements</v>
      </c>
      <c r="E644" s="9"/>
      <c r="F644" s="9"/>
      <c r="G644" s="9"/>
      <c r="H644" s="114"/>
      <c r="I644" s="114"/>
      <c r="J644" s="114"/>
      <c r="K644" s="114"/>
      <c r="L644" s="114">
        <f>IF(M$557=0, 'Adjustment for previous period'!L153, 0)</f>
        <v>0</v>
      </c>
      <c r="M644" s="114">
        <f>IF(N$557=0, 'Adjustment for previous period'!M153, 0)</f>
        <v>0</v>
      </c>
      <c r="N644" s="114">
        <f>IF(O$557=0, 'Adjustment for previous period'!N153, 0)</f>
        <v>0</v>
      </c>
      <c r="O644" s="114">
        <f>IF(P$557=0, 'Adjustment for previous period'!O153, 0)</f>
        <v>0</v>
      </c>
      <c r="P644" s="114">
        <f>IF(Q$557=0, 'Adjustment for previous period'!P153, 0)</f>
        <v>0</v>
      </c>
      <c r="Q644" s="114">
        <f>IF(R$557=0, 'Adjustment for previous period'!Q153, 0)</f>
        <v>0</v>
      </c>
      <c r="R644" s="9"/>
      <c r="S644" s="9"/>
      <c r="T644" s="9"/>
      <c r="U644" s="9"/>
      <c r="V644" s="9"/>
      <c r="W644" s="9"/>
      <c r="X644" s="9"/>
      <c r="Y644" s="9"/>
      <c r="Z644" s="9"/>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row>
    <row r="645" spans="1:64" hidden="1" outlineLevel="1">
      <c r="A645" s="9"/>
      <c r="B645" s="9"/>
      <c r="C645" s="9"/>
      <c r="D645" s="278" t="str">
        <f>Asset24</f>
        <v>Equity Raising</v>
      </c>
      <c r="E645" s="9"/>
      <c r="F645" s="9"/>
      <c r="G645" s="9"/>
      <c r="H645" s="114"/>
      <c r="I645" s="114"/>
      <c r="J645" s="114"/>
      <c r="K645" s="114"/>
      <c r="L645" s="114">
        <f>IF(M$557=0, 'Adjustment for previous period'!L155, 0)</f>
        <v>0</v>
      </c>
      <c r="M645" s="114">
        <f>IF(N$557=0, 'Adjustment for previous period'!M155, 0)</f>
        <v>0</v>
      </c>
      <c r="N645" s="114">
        <f>IF(O$557=0, 'Adjustment for previous period'!N155, 0)</f>
        <v>0</v>
      </c>
      <c r="O645" s="114">
        <f>IF(P$557=0, 'Adjustment for previous period'!O155, 0)</f>
        <v>0</v>
      </c>
      <c r="P645" s="114">
        <f>IF(Q$557=0, 'Adjustment for previous period'!P155, 0)</f>
        <v>0</v>
      </c>
      <c r="Q645" s="114">
        <f>IF(R$557=0, 'Adjustment for previous period'!Q155, 0)</f>
        <v>0</v>
      </c>
      <c r="R645" s="9"/>
      <c r="S645" s="9"/>
      <c r="T645" s="9"/>
      <c r="U645" s="9"/>
      <c r="V645" s="9"/>
      <c r="W645" s="9"/>
      <c r="X645" s="9"/>
      <c r="Y645" s="9"/>
      <c r="Z645" s="9"/>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row>
    <row r="646" spans="1:64" hidden="1" outlineLevel="1">
      <c r="A646" s="9"/>
      <c r="B646" s="9"/>
      <c r="C646" s="9"/>
      <c r="D646" s="278">
        <f>Asset25</f>
        <v>0</v>
      </c>
      <c r="E646" s="9"/>
      <c r="F646" s="9"/>
      <c r="G646" s="9"/>
      <c r="H646" s="114"/>
      <c r="I646" s="114"/>
      <c r="J646" s="114"/>
      <c r="K646" s="114"/>
      <c r="L646" s="114">
        <f>IF(M$557=0, 'Adjustment for previous period'!L157, 0)</f>
        <v>0</v>
      </c>
      <c r="M646" s="114">
        <f>IF(N$557=0, 'Adjustment for previous period'!M157, 0)</f>
        <v>0</v>
      </c>
      <c r="N646" s="114">
        <f>IF(O$557=0, 'Adjustment for previous period'!N157, 0)</f>
        <v>0</v>
      </c>
      <c r="O646" s="114">
        <f>IF(P$557=0, 'Adjustment for previous period'!O157, 0)</f>
        <v>0</v>
      </c>
      <c r="P646" s="114">
        <f>IF(Q$557=0, 'Adjustment for previous period'!P157, 0)</f>
        <v>0</v>
      </c>
      <c r="Q646" s="114">
        <f>IF(R$557=0, 'Adjustment for previous period'!Q157, 0)</f>
        <v>0</v>
      </c>
      <c r="R646" s="9"/>
      <c r="S646" s="9"/>
      <c r="T646" s="9"/>
      <c r="U646" s="9"/>
      <c r="V646" s="9"/>
      <c r="W646" s="9"/>
      <c r="X646" s="9"/>
      <c r="Y646" s="9"/>
      <c r="Z646" s="9"/>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row>
    <row r="647" spans="1:64" hidden="1" outlineLevel="1">
      <c r="A647" s="9"/>
      <c r="B647" s="9"/>
      <c r="C647" s="9"/>
      <c r="D647" s="278">
        <f>Asset26</f>
        <v>0</v>
      </c>
      <c r="E647" s="9"/>
      <c r="F647" s="9"/>
      <c r="G647" s="9"/>
      <c r="H647" s="114"/>
      <c r="I647" s="114"/>
      <c r="J647" s="114"/>
      <c r="K647" s="114"/>
      <c r="L647" s="114">
        <f>IF(M$557=0, 'Adjustment for previous period'!L159, 0)</f>
        <v>0</v>
      </c>
      <c r="M647" s="114">
        <f>IF(N$557=0, 'Adjustment for previous period'!M159, 0)</f>
        <v>0</v>
      </c>
      <c r="N647" s="114">
        <f>IF(O$557=0, 'Adjustment for previous period'!N159, 0)</f>
        <v>0</v>
      </c>
      <c r="O647" s="114">
        <f>IF(P$557=0, 'Adjustment for previous period'!O159, 0)</f>
        <v>0</v>
      </c>
      <c r="P647" s="114">
        <f>IF(Q$557=0, 'Adjustment for previous period'!P159, 0)</f>
        <v>0</v>
      </c>
      <c r="Q647" s="114">
        <f>IF(R$557=0, 'Adjustment for previous period'!Q159, 0)</f>
        <v>0</v>
      </c>
      <c r="R647" s="9"/>
      <c r="S647" s="9"/>
      <c r="T647" s="9"/>
      <c r="U647" s="9"/>
      <c r="V647" s="9"/>
      <c r="W647" s="9"/>
      <c r="X647" s="9"/>
      <c r="Y647" s="9"/>
      <c r="Z647" s="9"/>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row>
    <row r="648" spans="1:64" hidden="1" outlineLevel="1">
      <c r="A648" s="9"/>
      <c r="B648" s="9"/>
      <c r="C648" s="9"/>
      <c r="D648" s="278">
        <f>Asset27</f>
        <v>0</v>
      </c>
      <c r="E648" s="9"/>
      <c r="F648" s="9"/>
      <c r="G648" s="9"/>
      <c r="H648" s="114"/>
      <c r="I648" s="114"/>
      <c r="J648" s="114"/>
      <c r="K648" s="114"/>
      <c r="L648" s="114">
        <f>IF(M$557=0, 'Adjustment for previous period'!L161, 0)</f>
        <v>0</v>
      </c>
      <c r="M648" s="114">
        <f>IF(N$557=0, 'Adjustment for previous period'!M161, 0)</f>
        <v>0</v>
      </c>
      <c r="N648" s="114">
        <f>IF(O$557=0, 'Adjustment for previous period'!N161, 0)</f>
        <v>0</v>
      </c>
      <c r="O648" s="114">
        <f>IF(P$557=0, 'Adjustment for previous period'!O161, 0)</f>
        <v>0</v>
      </c>
      <c r="P648" s="114">
        <f>IF(Q$557=0, 'Adjustment for previous period'!P161, 0)</f>
        <v>0</v>
      </c>
      <c r="Q648" s="114">
        <f>IF(R$557=0, 'Adjustment for previous period'!Q161, 0)</f>
        <v>0</v>
      </c>
      <c r="R648" s="9"/>
      <c r="S648" s="9"/>
      <c r="T648" s="9"/>
      <c r="U648" s="9"/>
      <c r="V648" s="9"/>
      <c r="W648" s="9"/>
      <c r="X648" s="9"/>
      <c r="Y648" s="9"/>
      <c r="Z648" s="9"/>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row>
    <row r="649" spans="1:64" hidden="1" outlineLevel="1">
      <c r="A649" s="9"/>
      <c r="B649" s="9"/>
      <c r="C649" s="9"/>
      <c r="D649" s="278">
        <f>Asset28</f>
        <v>0</v>
      </c>
      <c r="E649" s="9"/>
      <c r="F649" s="9"/>
      <c r="G649" s="9"/>
      <c r="H649" s="114"/>
      <c r="I649" s="114"/>
      <c r="J649" s="114"/>
      <c r="K649" s="114"/>
      <c r="L649" s="114">
        <f>IF(M$557=0, 'Adjustment for previous period'!L163, 0)</f>
        <v>0</v>
      </c>
      <c r="M649" s="114">
        <f>IF(N$557=0, 'Adjustment for previous period'!M163, 0)</f>
        <v>0</v>
      </c>
      <c r="N649" s="114">
        <f>IF(O$557=0, 'Adjustment for previous period'!N163, 0)</f>
        <v>0</v>
      </c>
      <c r="O649" s="114">
        <f>IF(P$557=0, 'Adjustment for previous period'!O163, 0)</f>
        <v>0</v>
      </c>
      <c r="P649" s="114">
        <f>IF(Q$557=0, 'Adjustment for previous period'!P163, 0)</f>
        <v>0</v>
      </c>
      <c r="Q649" s="114">
        <f>IF(R$557=0, 'Adjustment for previous period'!Q163, 0)</f>
        <v>0</v>
      </c>
      <c r="R649" s="9"/>
      <c r="S649" s="9"/>
      <c r="T649" s="9"/>
      <c r="U649" s="9"/>
      <c r="V649" s="9"/>
      <c r="W649" s="9"/>
      <c r="X649" s="9"/>
      <c r="Y649" s="9"/>
      <c r="Z649" s="9"/>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row>
    <row r="650" spans="1:64" hidden="1" outlineLevel="1">
      <c r="A650" s="9"/>
      <c r="B650" s="9"/>
      <c r="C650" s="9"/>
      <c r="D650" s="278">
        <f>Asset29</f>
        <v>0</v>
      </c>
      <c r="E650" s="9"/>
      <c r="F650" s="9"/>
      <c r="G650" s="9"/>
      <c r="H650" s="114"/>
      <c r="I650" s="114"/>
      <c r="J650" s="114"/>
      <c r="K650" s="114"/>
      <c r="L650" s="114">
        <f>IF(M$557=0, 'Adjustment for previous period'!L165, 0)</f>
        <v>0</v>
      </c>
      <c r="M650" s="114">
        <f>IF(N$557=0, 'Adjustment for previous period'!M165, 0)</f>
        <v>0</v>
      </c>
      <c r="N650" s="114">
        <f>IF(O$557=0, 'Adjustment for previous period'!N165, 0)</f>
        <v>0</v>
      </c>
      <c r="O650" s="114">
        <f>IF(P$557=0, 'Adjustment for previous period'!O165, 0)</f>
        <v>0</v>
      </c>
      <c r="P650" s="114">
        <f>IF(Q$557=0, 'Adjustment for previous period'!P165, 0)</f>
        <v>0</v>
      </c>
      <c r="Q650" s="114">
        <f>IF(R$557=0, 'Adjustment for previous period'!Q165, 0)</f>
        <v>0</v>
      </c>
      <c r="R650" s="9"/>
      <c r="S650" s="9"/>
      <c r="T650" s="9"/>
      <c r="U650" s="9"/>
      <c r="V650" s="9"/>
      <c r="W650" s="9"/>
      <c r="X650" s="9"/>
      <c r="Y650" s="9"/>
      <c r="Z650" s="9"/>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row>
    <row r="651" spans="1:64" hidden="1" outlineLevel="1">
      <c r="A651" s="9"/>
      <c r="B651" s="9"/>
      <c r="C651" s="9"/>
      <c r="D651" s="278">
        <f>Asset30</f>
        <v>0</v>
      </c>
      <c r="E651" s="9"/>
      <c r="F651" s="9"/>
      <c r="G651" s="9"/>
      <c r="H651" s="114"/>
      <c r="I651" s="114"/>
      <c r="J651" s="114"/>
      <c r="K651" s="114"/>
      <c r="L651" s="114">
        <f>IF(M$557=0, 'Adjustment for previous period'!L167, 0)</f>
        <v>0</v>
      </c>
      <c r="M651" s="114">
        <f>IF(N$557=0, 'Adjustment for previous period'!M167, 0)</f>
        <v>0</v>
      </c>
      <c r="N651" s="114">
        <f>IF(O$557=0, 'Adjustment for previous period'!N167, 0)</f>
        <v>0</v>
      </c>
      <c r="O651" s="114">
        <f>IF(P$557=0, 'Adjustment for previous period'!O167, 0)</f>
        <v>0</v>
      </c>
      <c r="P651" s="114">
        <f>IF(Q$557=0, 'Adjustment for previous period'!P167, 0)</f>
        <v>0</v>
      </c>
      <c r="Q651" s="114">
        <f>IF(R$557=0, 'Adjustment for previous period'!Q167, 0)</f>
        <v>0</v>
      </c>
      <c r="R651" s="9"/>
      <c r="S651" s="9"/>
      <c r="T651" s="9"/>
      <c r="U651" s="9"/>
      <c r="V651" s="9"/>
      <c r="W651" s="9"/>
      <c r="X651" s="9"/>
      <c r="Y651" s="9"/>
      <c r="Z651" s="9"/>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row>
    <row r="652" spans="1:64" collapsed="1">
      <c r="A652" s="9"/>
      <c r="B652" s="9"/>
      <c r="C652" s="9"/>
      <c r="D652" s="9"/>
      <c r="E652" s="9"/>
      <c r="F652" s="9"/>
      <c r="G652" s="9"/>
      <c r="H652" s="9"/>
      <c r="I652" s="9"/>
      <c r="J652" s="9"/>
      <c r="K652" s="9"/>
      <c r="L652" s="301">
        <v>5</v>
      </c>
      <c r="M652" s="301">
        <v>6</v>
      </c>
      <c r="N652" s="303">
        <v>7</v>
      </c>
      <c r="O652" s="301">
        <v>8</v>
      </c>
      <c r="P652" s="301">
        <v>9</v>
      </c>
      <c r="Q652" s="301">
        <v>10</v>
      </c>
      <c r="R652" s="9"/>
      <c r="S652" s="9"/>
      <c r="T652" s="9"/>
      <c r="U652" s="9"/>
      <c r="V652" s="9"/>
      <c r="W652" s="9"/>
      <c r="X652" s="9"/>
      <c r="Y652" s="9"/>
      <c r="Z652" s="9"/>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row>
    <row r="653" spans="1:64">
      <c r="A653" s="78"/>
      <c r="B653" s="78"/>
      <c r="C653" s="85" t="s">
        <v>90</v>
      </c>
      <c r="D653" s="78"/>
      <c r="E653" s="78"/>
      <c r="F653" s="78"/>
      <c r="G653" s="78"/>
      <c r="H653" s="78"/>
      <c r="I653" s="78"/>
      <c r="J653" s="78"/>
      <c r="K653" s="78"/>
      <c r="L653" s="157">
        <f t="shared" ref="L653:Q653" si="39">SUM(L654:L683)</f>
        <v>1352.6254197620999</v>
      </c>
      <c r="M653" s="157">
        <f t="shared" si="39"/>
        <v>0</v>
      </c>
      <c r="N653" s="157">
        <f t="shared" si="39"/>
        <v>0</v>
      </c>
      <c r="O653" s="157">
        <f t="shared" si="39"/>
        <v>0</v>
      </c>
      <c r="P653" s="157">
        <f t="shared" si="39"/>
        <v>0</v>
      </c>
      <c r="Q653" s="157">
        <f t="shared" si="39"/>
        <v>0</v>
      </c>
      <c r="R653" s="157"/>
      <c r="S653" s="9"/>
      <c r="T653" s="9"/>
      <c r="U653" s="9"/>
      <c r="V653" s="9"/>
      <c r="W653" s="9"/>
      <c r="X653" s="9"/>
      <c r="Y653" s="9"/>
      <c r="Z653" s="9"/>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row>
    <row r="654" spans="1:64" hidden="1" outlineLevel="1">
      <c r="A654" s="9"/>
      <c r="B654" s="9"/>
      <c r="C654" s="9"/>
      <c r="D654" s="278" t="str">
        <f>Asset1</f>
        <v>Transmission Lines and Cables</v>
      </c>
      <c r="E654" s="9"/>
      <c r="F654" s="9"/>
      <c r="G654" s="9"/>
      <c r="H654" s="9"/>
      <c r="I654" s="9"/>
      <c r="J654" s="9"/>
      <c r="K654" s="9"/>
      <c r="L654" s="114">
        <f t="shared" ref="L654:Q663" si="40">IF(M$557=0, L558+L590+L622, 0)</f>
        <v>257.40055900735848</v>
      </c>
      <c r="M654" s="114">
        <f t="shared" si="40"/>
        <v>0</v>
      </c>
      <c r="N654" s="114">
        <f t="shared" si="40"/>
        <v>0</v>
      </c>
      <c r="O654" s="114">
        <f t="shared" si="40"/>
        <v>0</v>
      </c>
      <c r="P654" s="114">
        <f t="shared" si="40"/>
        <v>0</v>
      </c>
      <c r="Q654" s="114">
        <f t="shared" si="40"/>
        <v>0</v>
      </c>
      <c r="R654" s="9"/>
      <c r="S654" s="9"/>
      <c r="T654" s="9"/>
      <c r="U654" s="9"/>
      <c r="V654" s="9"/>
      <c r="W654" s="9"/>
      <c r="X654" s="9"/>
      <c r="Y654" s="9"/>
      <c r="Z654" s="9"/>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row>
    <row r="655" spans="1:64" hidden="1" outlineLevel="1">
      <c r="A655" s="9"/>
      <c r="B655" s="9"/>
      <c r="C655" s="9"/>
      <c r="D655" s="278" t="str">
        <f>Asset2</f>
        <v>Transmission Substations</v>
      </c>
      <c r="E655" s="9"/>
      <c r="F655" s="9"/>
      <c r="G655" s="9"/>
      <c r="H655" s="9"/>
      <c r="I655" s="9"/>
      <c r="J655" s="9"/>
      <c r="K655" s="9"/>
      <c r="L655" s="114">
        <f t="shared" si="40"/>
        <v>328.4707375424947</v>
      </c>
      <c r="M655" s="114">
        <f t="shared" si="40"/>
        <v>0</v>
      </c>
      <c r="N655" s="114">
        <f t="shared" si="40"/>
        <v>0</v>
      </c>
      <c r="O655" s="114">
        <f t="shared" si="40"/>
        <v>0</v>
      </c>
      <c r="P655" s="114">
        <f t="shared" si="40"/>
        <v>0</v>
      </c>
      <c r="Q655" s="114">
        <f t="shared" si="40"/>
        <v>0</v>
      </c>
      <c r="R655" s="9"/>
      <c r="S655" s="9"/>
      <c r="T655" s="9"/>
      <c r="U655" s="9"/>
      <c r="V655" s="9"/>
      <c r="W655" s="9"/>
      <c r="X655" s="9"/>
      <c r="Y655" s="9"/>
      <c r="Z655" s="9"/>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row>
    <row r="656" spans="1:64" hidden="1" outlineLevel="1">
      <c r="A656" s="9"/>
      <c r="B656" s="9"/>
      <c r="C656" s="9"/>
      <c r="D656" s="278" t="str">
        <f>Asset3</f>
        <v>Protection and Control</v>
      </c>
      <c r="E656" s="9"/>
      <c r="F656" s="9"/>
      <c r="G656" s="9"/>
      <c r="H656" s="9"/>
      <c r="I656" s="9"/>
      <c r="J656" s="9"/>
      <c r="K656" s="9"/>
      <c r="L656" s="114">
        <f t="shared" si="40"/>
        <v>19.612015774939891</v>
      </c>
      <c r="M656" s="114">
        <f t="shared" si="40"/>
        <v>0</v>
      </c>
      <c r="N656" s="114">
        <f t="shared" si="40"/>
        <v>0</v>
      </c>
      <c r="O656" s="114">
        <f t="shared" si="40"/>
        <v>0</v>
      </c>
      <c r="P656" s="114">
        <f t="shared" si="40"/>
        <v>0</v>
      </c>
      <c r="Q656" s="114">
        <f t="shared" si="40"/>
        <v>0</v>
      </c>
      <c r="R656" s="9"/>
      <c r="S656" s="9"/>
      <c r="T656" s="9"/>
      <c r="U656" s="9"/>
      <c r="V656" s="9"/>
      <c r="W656" s="9"/>
      <c r="X656" s="9"/>
      <c r="Y656" s="9"/>
      <c r="Z656" s="9"/>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row>
    <row r="657" spans="1:64" hidden="1" outlineLevel="1">
      <c r="A657" s="9"/>
      <c r="B657" s="9"/>
      <c r="C657" s="9"/>
      <c r="D657" s="278" t="str">
        <f>Asset4</f>
        <v>Refurbishment</v>
      </c>
      <c r="E657" s="9"/>
      <c r="F657" s="9"/>
      <c r="G657" s="9"/>
      <c r="H657" s="9"/>
      <c r="I657" s="9"/>
      <c r="J657" s="9"/>
      <c r="K657" s="9"/>
      <c r="L657" s="114">
        <f t="shared" si="40"/>
        <v>12.891287351088824</v>
      </c>
      <c r="M657" s="114">
        <f t="shared" si="40"/>
        <v>0</v>
      </c>
      <c r="N657" s="114">
        <f t="shared" si="40"/>
        <v>0</v>
      </c>
      <c r="O657" s="114">
        <f t="shared" si="40"/>
        <v>0</v>
      </c>
      <c r="P657" s="114">
        <f t="shared" si="40"/>
        <v>0</v>
      </c>
      <c r="Q657" s="114">
        <f t="shared" si="40"/>
        <v>0</v>
      </c>
      <c r="R657" s="9"/>
      <c r="S657" s="9"/>
      <c r="T657" s="9"/>
      <c r="U657" s="9"/>
      <c r="V657" s="9"/>
      <c r="W657" s="9"/>
      <c r="X657" s="9"/>
      <c r="Y657" s="9"/>
      <c r="Z657" s="9"/>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row>
    <row r="658" spans="1:64" hidden="1" outlineLevel="1">
      <c r="A658" s="9"/>
      <c r="B658" s="9"/>
      <c r="C658" s="9"/>
      <c r="D658" s="278" t="str">
        <f>Asset5</f>
        <v>Other</v>
      </c>
      <c r="E658" s="9"/>
      <c r="F658" s="9"/>
      <c r="G658" s="9"/>
      <c r="H658" s="9"/>
      <c r="I658" s="9"/>
      <c r="J658" s="9"/>
      <c r="K658" s="9"/>
      <c r="L658" s="114">
        <f t="shared" si="40"/>
        <v>0.58543283790094502</v>
      </c>
      <c r="M658" s="114">
        <f t="shared" si="40"/>
        <v>0</v>
      </c>
      <c r="N658" s="114">
        <f t="shared" si="40"/>
        <v>0</v>
      </c>
      <c r="O658" s="114">
        <f t="shared" si="40"/>
        <v>0</v>
      </c>
      <c r="P658" s="114">
        <f t="shared" si="40"/>
        <v>0</v>
      </c>
      <c r="Q658" s="114">
        <f t="shared" si="40"/>
        <v>0</v>
      </c>
      <c r="R658" s="9"/>
      <c r="S658" s="9"/>
      <c r="T658" s="9"/>
      <c r="U658" s="9"/>
      <c r="V658" s="9"/>
      <c r="W658" s="9"/>
      <c r="X658" s="9"/>
      <c r="Y658" s="9"/>
      <c r="Z658" s="9"/>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row>
    <row r="659" spans="1:64" hidden="1" outlineLevel="1">
      <c r="A659" s="9"/>
      <c r="B659" s="9"/>
      <c r="C659" s="9"/>
      <c r="D659" s="278" t="str">
        <f>Asset6</f>
        <v>Other - IT</v>
      </c>
      <c r="E659" s="9"/>
      <c r="F659" s="9"/>
      <c r="G659" s="9"/>
      <c r="H659" s="9"/>
      <c r="I659" s="9"/>
      <c r="J659" s="9"/>
      <c r="K659" s="9"/>
      <c r="L659" s="114">
        <f t="shared" si="40"/>
        <v>9.1960647042548587</v>
      </c>
      <c r="M659" s="114">
        <f t="shared" si="40"/>
        <v>0</v>
      </c>
      <c r="N659" s="114">
        <f t="shared" si="40"/>
        <v>0</v>
      </c>
      <c r="O659" s="114">
        <f t="shared" si="40"/>
        <v>0</v>
      </c>
      <c r="P659" s="114">
        <f t="shared" si="40"/>
        <v>0</v>
      </c>
      <c r="Q659" s="114">
        <f t="shared" si="40"/>
        <v>0</v>
      </c>
      <c r="R659" s="9"/>
      <c r="S659" s="9"/>
      <c r="T659" s="9"/>
      <c r="U659" s="9"/>
      <c r="V659" s="9"/>
      <c r="W659" s="9"/>
      <c r="X659" s="9"/>
      <c r="Y659" s="9"/>
      <c r="Z659" s="9"/>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row>
    <row r="660" spans="1:64" hidden="1" outlineLevel="1">
      <c r="A660" s="9"/>
      <c r="B660" s="9"/>
      <c r="C660" s="9"/>
      <c r="D660" s="278" t="str">
        <f>Asset7</f>
        <v>Other - General</v>
      </c>
      <c r="E660" s="9"/>
      <c r="F660" s="9"/>
      <c r="G660" s="9"/>
      <c r="H660" s="9"/>
      <c r="I660" s="9"/>
      <c r="J660" s="9"/>
      <c r="K660" s="9"/>
      <c r="L660" s="114">
        <f t="shared" si="40"/>
        <v>2.0782940908430505</v>
      </c>
      <c r="M660" s="114">
        <f t="shared" si="40"/>
        <v>0</v>
      </c>
      <c r="N660" s="114">
        <f t="shared" si="40"/>
        <v>0</v>
      </c>
      <c r="O660" s="114">
        <f t="shared" si="40"/>
        <v>0</v>
      </c>
      <c r="P660" s="114">
        <f t="shared" si="40"/>
        <v>0</v>
      </c>
      <c r="Q660" s="114">
        <f t="shared" si="40"/>
        <v>0</v>
      </c>
      <c r="R660" s="9"/>
      <c r="S660" s="9"/>
      <c r="T660" s="9"/>
      <c r="U660" s="9"/>
      <c r="V660" s="9"/>
      <c r="W660" s="9"/>
      <c r="X660" s="9"/>
      <c r="Y660" s="9"/>
      <c r="Z660" s="9"/>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row>
    <row r="661" spans="1:64" hidden="1" outlineLevel="1">
      <c r="A661" s="9"/>
      <c r="B661" s="9"/>
      <c r="C661" s="9"/>
      <c r="D661" s="278" t="str">
        <f>Asset8</f>
        <v>Other - Buildings</v>
      </c>
      <c r="E661" s="9"/>
      <c r="F661" s="9"/>
      <c r="G661" s="9"/>
      <c r="H661" s="9"/>
      <c r="I661" s="9"/>
      <c r="J661" s="9"/>
      <c r="K661" s="9"/>
      <c r="L661" s="114">
        <f t="shared" si="40"/>
        <v>25.661977102838815</v>
      </c>
      <c r="M661" s="114">
        <f t="shared" si="40"/>
        <v>0</v>
      </c>
      <c r="N661" s="114">
        <f t="shared" si="40"/>
        <v>0</v>
      </c>
      <c r="O661" s="114">
        <f t="shared" si="40"/>
        <v>0</v>
      </c>
      <c r="P661" s="114">
        <f t="shared" si="40"/>
        <v>0</v>
      </c>
      <c r="Q661" s="114">
        <f t="shared" si="40"/>
        <v>0</v>
      </c>
      <c r="R661" s="9"/>
      <c r="S661" s="9"/>
      <c r="T661" s="9"/>
      <c r="U661" s="9"/>
      <c r="V661" s="9"/>
      <c r="W661" s="9"/>
      <c r="X661" s="9"/>
      <c r="Y661" s="9"/>
      <c r="Z661" s="9"/>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row>
    <row r="662" spans="1:64" hidden="1" outlineLevel="1">
      <c r="A662" s="9"/>
      <c r="B662" s="9"/>
      <c r="C662" s="9"/>
      <c r="D662" s="278" t="str">
        <f>Asset9</f>
        <v>Land and Easements</v>
      </c>
      <c r="E662" s="9"/>
      <c r="F662" s="9"/>
      <c r="G662" s="9"/>
      <c r="H662" s="9"/>
      <c r="I662" s="9"/>
      <c r="J662" s="9"/>
      <c r="K662" s="9"/>
      <c r="L662" s="114">
        <f t="shared" si="40"/>
        <v>100.75200477367551</v>
      </c>
      <c r="M662" s="114">
        <f t="shared" si="40"/>
        <v>0</v>
      </c>
      <c r="N662" s="114">
        <f t="shared" si="40"/>
        <v>0</v>
      </c>
      <c r="O662" s="114">
        <f t="shared" si="40"/>
        <v>0</v>
      </c>
      <c r="P662" s="114">
        <f t="shared" si="40"/>
        <v>0</v>
      </c>
      <c r="Q662" s="114">
        <f t="shared" si="40"/>
        <v>0</v>
      </c>
      <c r="R662" s="9"/>
      <c r="S662" s="9"/>
      <c r="T662" s="9"/>
      <c r="U662" s="9"/>
      <c r="V662" s="9"/>
      <c r="W662" s="9"/>
      <c r="X662" s="9"/>
      <c r="Y662" s="9"/>
      <c r="Z662" s="9"/>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row>
    <row r="663" spans="1:64" hidden="1" outlineLevel="1">
      <c r="A663" s="9"/>
      <c r="B663" s="9"/>
      <c r="C663" s="9"/>
      <c r="D663" s="278" t="str">
        <f>Asset10</f>
        <v>Transmission line assets - long life (60)</v>
      </c>
      <c r="E663" s="9"/>
      <c r="F663" s="9"/>
      <c r="G663" s="9"/>
      <c r="H663" s="9"/>
      <c r="I663" s="9"/>
      <c r="J663" s="9"/>
      <c r="K663" s="9"/>
      <c r="L663" s="114">
        <f t="shared" si="40"/>
        <v>191.71628498863174</v>
      </c>
      <c r="M663" s="114">
        <f t="shared" si="40"/>
        <v>0</v>
      </c>
      <c r="N663" s="114">
        <f t="shared" si="40"/>
        <v>0</v>
      </c>
      <c r="O663" s="114">
        <f t="shared" si="40"/>
        <v>0</v>
      </c>
      <c r="P663" s="114">
        <f t="shared" si="40"/>
        <v>0</v>
      </c>
      <c r="Q663" s="114">
        <f t="shared" si="40"/>
        <v>0</v>
      </c>
      <c r="R663" s="9"/>
      <c r="S663" s="9"/>
      <c r="T663" s="9"/>
      <c r="U663" s="9"/>
      <c r="V663" s="9"/>
      <c r="W663" s="9"/>
      <c r="X663" s="9"/>
      <c r="Y663" s="9"/>
      <c r="Z663" s="9"/>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row>
    <row r="664" spans="1:64" hidden="1" outlineLevel="1">
      <c r="A664" s="9"/>
      <c r="B664" s="9"/>
      <c r="C664" s="9"/>
      <c r="D664" s="278" t="str">
        <f>Asset11</f>
        <v>Transmission line assets - medium life (45)</v>
      </c>
      <c r="E664" s="9"/>
      <c r="F664" s="9"/>
      <c r="G664" s="9"/>
      <c r="H664" s="9"/>
      <c r="I664" s="9"/>
      <c r="J664" s="9"/>
      <c r="K664" s="9"/>
      <c r="L664" s="114">
        <f t="shared" ref="L664:Q671" si="41">IF(M$557=0, L568+L600+L632, 0)</f>
        <v>0.80306705758188679</v>
      </c>
      <c r="M664" s="114">
        <f t="shared" si="41"/>
        <v>0</v>
      </c>
      <c r="N664" s="114">
        <f t="shared" si="41"/>
        <v>0</v>
      </c>
      <c r="O664" s="114">
        <f t="shared" si="41"/>
        <v>0</v>
      </c>
      <c r="P664" s="114">
        <f t="shared" si="41"/>
        <v>0</v>
      </c>
      <c r="Q664" s="114">
        <f t="shared" si="41"/>
        <v>0</v>
      </c>
      <c r="R664" s="9"/>
      <c r="S664" s="9"/>
      <c r="T664" s="9"/>
      <c r="U664" s="9"/>
      <c r="V664" s="9"/>
      <c r="W664" s="9"/>
      <c r="X664" s="9"/>
      <c r="Y664" s="9"/>
      <c r="Z664" s="9"/>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row>
    <row r="665" spans="1:64" hidden="1" outlineLevel="1">
      <c r="A665" s="9"/>
      <c r="B665" s="9"/>
      <c r="C665" s="9"/>
      <c r="D665" s="278" t="str">
        <f>Asset12</f>
        <v>Transmission line assets - short life (10)</v>
      </c>
      <c r="E665" s="9"/>
      <c r="F665" s="9"/>
      <c r="G665" s="9"/>
      <c r="H665" s="9"/>
      <c r="I665" s="9"/>
      <c r="J665" s="9"/>
      <c r="K665" s="9"/>
      <c r="L665" s="114">
        <f t="shared" si="41"/>
        <v>5.3086605257542301</v>
      </c>
      <c r="M665" s="114">
        <f t="shared" si="41"/>
        <v>0</v>
      </c>
      <c r="N665" s="114">
        <f t="shared" si="41"/>
        <v>0</v>
      </c>
      <c r="O665" s="114">
        <f t="shared" si="41"/>
        <v>0</v>
      </c>
      <c r="P665" s="114">
        <f t="shared" si="41"/>
        <v>0</v>
      </c>
      <c r="Q665" s="114">
        <f t="shared" si="41"/>
        <v>0</v>
      </c>
      <c r="R665" s="9"/>
      <c r="S665" s="9"/>
      <c r="T665" s="9"/>
      <c r="U665" s="9"/>
      <c r="V665" s="9"/>
      <c r="W665" s="9"/>
      <c r="X665" s="9"/>
      <c r="Y665" s="9"/>
      <c r="Z665" s="9"/>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row>
    <row r="666" spans="1:64" hidden="1" outlineLevel="1">
      <c r="A666" s="9"/>
      <c r="B666" s="9"/>
      <c r="C666" s="9"/>
      <c r="D666" s="278" t="str">
        <f>Asset13</f>
        <v>Substation assets - long life (60)</v>
      </c>
      <c r="E666" s="9"/>
      <c r="F666" s="9"/>
      <c r="G666" s="9"/>
      <c r="H666" s="9"/>
      <c r="I666" s="9"/>
      <c r="J666" s="9"/>
      <c r="K666" s="9"/>
      <c r="L666" s="114">
        <f t="shared" si="41"/>
        <v>56.281024861000837</v>
      </c>
      <c r="M666" s="114">
        <f t="shared" si="41"/>
        <v>0</v>
      </c>
      <c r="N666" s="114">
        <f t="shared" si="41"/>
        <v>0</v>
      </c>
      <c r="O666" s="114">
        <f t="shared" si="41"/>
        <v>0</v>
      </c>
      <c r="P666" s="114">
        <f t="shared" si="41"/>
        <v>0</v>
      </c>
      <c r="Q666" s="114">
        <f t="shared" si="41"/>
        <v>0</v>
      </c>
      <c r="R666" s="9"/>
      <c r="S666" s="9"/>
      <c r="T666" s="9"/>
      <c r="U666" s="9"/>
      <c r="V666" s="9"/>
      <c r="W666" s="9"/>
      <c r="X666" s="9"/>
      <c r="Y666" s="9"/>
      <c r="Z666" s="9"/>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row>
    <row r="667" spans="1:64" hidden="1" outlineLevel="1">
      <c r="A667" s="9"/>
      <c r="B667" s="9"/>
      <c r="C667" s="9"/>
      <c r="D667" s="278" t="str">
        <f>Asset14</f>
        <v>Substation assets - medium life (45)</v>
      </c>
      <c r="E667" s="9"/>
      <c r="F667" s="9"/>
      <c r="G667" s="9"/>
      <c r="H667" s="9"/>
      <c r="I667" s="9"/>
      <c r="J667" s="9"/>
      <c r="K667" s="9"/>
      <c r="L667" s="114">
        <f t="shared" si="41"/>
        <v>187.24014483773325</v>
      </c>
      <c r="M667" s="114">
        <f t="shared" si="41"/>
        <v>0</v>
      </c>
      <c r="N667" s="114">
        <f t="shared" si="41"/>
        <v>0</v>
      </c>
      <c r="O667" s="114">
        <f t="shared" si="41"/>
        <v>0</v>
      </c>
      <c r="P667" s="114">
        <f t="shared" si="41"/>
        <v>0</v>
      </c>
      <c r="Q667" s="114">
        <f t="shared" si="41"/>
        <v>0</v>
      </c>
      <c r="R667" s="9"/>
      <c r="S667" s="9"/>
      <c r="T667" s="9"/>
      <c r="U667" s="9"/>
      <c r="V667" s="9"/>
      <c r="W667" s="9"/>
      <c r="X667" s="9"/>
      <c r="Y667" s="9"/>
      <c r="Z667" s="9"/>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row>
    <row r="668" spans="1:64" hidden="1" outlineLevel="1">
      <c r="A668" s="9"/>
      <c r="B668" s="9"/>
      <c r="C668" s="9"/>
      <c r="D668" s="278" t="str">
        <f>Asset15</f>
        <v>Substation assets - short life (15)</v>
      </c>
      <c r="E668" s="9"/>
      <c r="F668" s="9"/>
      <c r="G668" s="9"/>
      <c r="H668" s="9"/>
      <c r="I668" s="9"/>
      <c r="J668" s="9"/>
      <c r="K668" s="9"/>
      <c r="L668" s="114">
        <f t="shared" si="41"/>
        <v>21.700033489063532</v>
      </c>
      <c r="M668" s="114">
        <f t="shared" si="41"/>
        <v>0</v>
      </c>
      <c r="N668" s="114">
        <f t="shared" si="41"/>
        <v>0</v>
      </c>
      <c r="O668" s="114">
        <f t="shared" si="41"/>
        <v>0</v>
      </c>
      <c r="P668" s="114">
        <f t="shared" si="41"/>
        <v>0</v>
      </c>
      <c r="Q668" s="114">
        <f t="shared" si="41"/>
        <v>0</v>
      </c>
      <c r="R668" s="9"/>
      <c r="S668" s="9"/>
      <c r="T668" s="9"/>
      <c r="U668" s="9"/>
      <c r="V668" s="9"/>
      <c r="W668" s="9"/>
      <c r="X668" s="9"/>
      <c r="Y668" s="9"/>
      <c r="Z668" s="9"/>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row>
    <row r="669" spans="1:64" hidden="1" outlineLevel="1">
      <c r="A669" s="9"/>
      <c r="B669" s="9"/>
      <c r="C669" s="9"/>
      <c r="D669" s="278" t="str">
        <f>Asset16</f>
        <v>Protection and control - short life (15)</v>
      </c>
      <c r="E669" s="9"/>
      <c r="F669" s="9"/>
      <c r="G669" s="9"/>
      <c r="H669" s="9"/>
      <c r="I669" s="9"/>
      <c r="J669" s="9"/>
      <c r="K669" s="9"/>
      <c r="L669" s="114">
        <f t="shared" si="41"/>
        <v>78.989744924493067</v>
      </c>
      <c r="M669" s="114">
        <f t="shared" si="41"/>
        <v>0</v>
      </c>
      <c r="N669" s="114">
        <f t="shared" si="41"/>
        <v>0</v>
      </c>
      <c r="O669" s="114">
        <f t="shared" si="41"/>
        <v>0</v>
      </c>
      <c r="P669" s="114">
        <f t="shared" si="41"/>
        <v>0</v>
      </c>
      <c r="Q669" s="114">
        <f t="shared" si="41"/>
        <v>0</v>
      </c>
      <c r="R669" s="9"/>
      <c r="S669" s="9"/>
      <c r="T669" s="9"/>
      <c r="U669" s="9"/>
      <c r="V669" s="9"/>
      <c r="W669" s="9"/>
      <c r="X669" s="9"/>
      <c r="Y669" s="9"/>
      <c r="Z669" s="9"/>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row>
    <row r="670" spans="1:64" hidden="1" outlineLevel="1">
      <c r="A670" s="9"/>
      <c r="B670" s="9"/>
      <c r="C670" s="9"/>
      <c r="D670" s="278" t="str">
        <f>Asset17</f>
        <v>Protection and control - short life (4)</v>
      </c>
      <c r="E670" s="9"/>
      <c r="F670" s="9"/>
      <c r="G670" s="9"/>
      <c r="H670" s="9"/>
      <c r="I670" s="9"/>
      <c r="J670" s="9"/>
      <c r="K670" s="9"/>
      <c r="L670" s="114">
        <f t="shared" si="41"/>
        <v>0.96196360464478337</v>
      </c>
      <c r="M670" s="114">
        <f t="shared" si="41"/>
        <v>0</v>
      </c>
      <c r="N670" s="114">
        <f t="shared" si="41"/>
        <v>0</v>
      </c>
      <c r="O670" s="114">
        <f t="shared" si="41"/>
        <v>0</v>
      </c>
      <c r="P670" s="114">
        <f t="shared" si="41"/>
        <v>0</v>
      </c>
      <c r="Q670" s="114">
        <f t="shared" si="41"/>
        <v>0</v>
      </c>
      <c r="R670" s="9"/>
      <c r="S670" s="9"/>
      <c r="T670" s="9"/>
      <c r="U670" s="9"/>
      <c r="V670" s="9"/>
      <c r="W670" s="9"/>
      <c r="X670" s="9"/>
      <c r="Y670" s="9"/>
      <c r="Z670" s="9"/>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row>
    <row r="671" spans="1:64" hidden="1" outlineLevel="1">
      <c r="A671" s="9"/>
      <c r="B671" s="9"/>
      <c r="C671" s="9"/>
      <c r="D671" s="278" t="str">
        <f>Asset18</f>
        <v>Transmission operations - short life (10)</v>
      </c>
      <c r="E671" s="9"/>
      <c r="F671" s="9"/>
      <c r="G671" s="9"/>
      <c r="H671" s="9"/>
      <c r="I671" s="9"/>
      <c r="J671" s="9"/>
      <c r="K671" s="9"/>
      <c r="L671" s="114">
        <f t="shared" si="41"/>
        <v>7.6111988859128124</v>
      </c>
      <c r="M671" s="114">
        <f t="shared" si="41"/>
        <v>0</v>
      </c>
      <c r="N671" s="114">
        <f t="shared" si="41"/>
        <v>0</v>
      </c>
      <c r="O671" s="114">
        <f t="shared" si="41"/>
        <v>0</v>
      </c>
      <c r="P671" s="114">
        <f t="shared" si="41"/>
        <v>0</v>
      </c>
      <c r="Q671" s="114">
        <f t="shared" si="41"/>
        <v>0</v>
      </c>
      <c r="R671" s="9"/>
      <c r="S671" s="9"/>
      <c r="T671" s="9"/>
      <c r="U671" s="9"/>
      <c r="V671" s="9"/>
      <c r="W671" s="9"/>
      <c r="X671" s="9"/>
      <c r="Y671" s="9"/>
      <c r="Z671" s="9"/>
      <c r="AB671" s="204"/>
      <c r="AC671" s="204"/>
      <c r="AD671" s="204"/>
      <c r="AE671" s="204"/>
      <c r="AF671" s="204"/>
      <c r="AG671" s="204"/>
      <c r="AH671" s="204"/>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c r="BI671" s="204"/>
      <c r="BJ671" s="204"/>
      <c r="BK671" s="204"/>
      <c r="BL671" s="204"/>
    </row>
    <row r="672" spans="1:64" hidden="1" outlineLevel="1">
      <c r="A672" s="9"/>
      <c r="B672" s="9"/>
      <c r="C672" s="9"/>
      <c r="D672" s="278" t="str">
        <f>Asset19</f>
        <v>Transmission operations - short life (4)</v>
      </c>
      <c r="E672" s="9"/>
      <c r="F672" s="9"/>
      <c r="G672" s="9"/>
      <c r="H672" s="9"/>
      <c r="I672" s="9"/>
      <c r="J672" s="9"/>
      <c r="K672" s="9"/>
      <c r="L672" s="114">
        <f t="shared" ref="L672:Q672" si="42">IF(M$557=0, L576+L608+L640, 0)</f>
        <v>0.14539259577728286</v>
      </c>
      <c r="M672" s="114">
        <f t="shared" si="42"/>
        <v>0</v>
      </c>
      <c r="N672" s="114">
        <f t="shared" si="42"/>
        <v>0</v>
      </c>
      <c r="O672" s="114">
        <f t="shared" si="42"/>
        <v>0</v>
      </c>
      <c r="P672" s="114">
        <f t="shared" si="42"/>
        <v>0</v>
      </c>
      <c r="Q672" s="114">
        <f t="shared" si="42"/>
        <v>0</v>
      </c>
      <c r="R672" s="9"/>
      <c r="S672" s="9"/>
      <c r="T672" s="9"/>
      <c r="U672" s="9"/>
      <c r="V672" s="9"/>
      <c r="W672" s="9"/>
      <c r="X672" s="9"/>
      <c r="Y672" s="9"/>
      <c r="Z672" s="9"/>
      <c r="AB672" s="204"/>
      <c r="AC672" s="204"/>
      <c r="AD672" s="204"/>
      <c r="AE672" s="204"/>
      <c r="AF672" s="204"/>
      <c r="AG672" s="204"/>
      <c r="AH672" s="204"/>
      <c r="AI672" s="204"/>
      <c r="AJ672" s="204"/>
      <c r="AK672" s="204"/>
      <c r="AL672" s="204"/>
      <c r="AM672" s="204"/>
      <c r="AN672" s="204"/>
      <c r="AO672" s="204"/>
      <c r="AP672" s="204"/>
      <c r="AQ672" s="204"/>
      <c r="AR672" s="204"/>
      <c r="AS672" s="204"/>
      <c r="AT672" s="204"/>
      <c r="AU672" s="204"/>
      <c r="AV672" s="204"/>
      <c r="AW672" s="204"/>
      <c r="AX672" s="204"/>
      <c r="AY672" s="204"/>
      <c r="AZ672" s="204"/>
      <c r="BA672" s="204"/>
      <c r="BB672" s="204"/>
      <c r="BC672" s="204"/>
      <c r="BD672" s="204"/>
      <c r="BE672" s="204"/>
      <c r="BF672" s="204"/>
      <c r="BG672" s="204"/>
      <c r="BH672" s="204"/>
      <c r="BI672" s="204"/>
      <c r="BJ672" s="204"/>
      <c r="BK672" s="204"/>
      <c r="BL672" s="204"/>
    </row>
    <row r="673" spans="1:64" hidden="1" outlineLevel="1">
      <c r="B673" s="9"/>
      <c r="C673" s="9"/>
      <c r="D673" s="278" t="str">
        <f>Asset20</f>
        <v>Other - medium life (40)</v>
      </c>
      <c r="E673" s="9"/>
      <c r="F673" s="9"/>
      <c r="G673" s="9"/>
      <c r="H673" s="9"/>
      <c r="I673" s="9"/>
      <c r="J673" s="9"/>
      <c r="K673" s="9"/>
      <c r="L673" s="114">
        <f t="shared" ref="L673:Q673" si="43">IF(M$557=0, L577+L609+L641, 0)</f>
        <v>28.803918489884531</v>
      </c>
      <c r="M673" s="114">
        <f t="shared" si="43"/>
        <v>0</v>
      </c>
      <c r="N673" s="114">
        <f t="shared" si="43"/>
        <v>0</v>
      </c>
      <c r="O673" s="114">
        <f t="shared" si="43"/>
        <v>0</v>
      </c>
      <c r="P673" s="114">
        <f t="shared" si="43"/>
        <v>0</v>
      </c>
      <c r="Q673" s="114">
        <f t="shared" si="43"/>
        <v>0</v>
      </c>
      <c r="R673" s="9"/>
      <c r="S673" s="9"/>
      <c r="T673" s="9"/>
      <c r="U673" s="9"/>
      <c r="V673" s="9"/>
      <c r="W673" s="9"/>
      <c r="X673" s="9"/>
      <c r="Y673" s="9"/>
      <c r="Z673" s="9"/>
      <c r="AB673" s="204"/>
      <c r="AC673" s="204"/>
      <c r="AD673" s="204"/>
      <c r="AE673" s="204"/>
      <c r="AF673" s="204"/>
      <c r="AG673" s="204"/>
      <c r="AH673" s="204"/>
      <c r="AI673" s="204"/>
      <c r="AJ673" s="204"/>
      <c r="AK673" s="204"/>
      <c r="AL673" s="204"/>
      <c r="AM673" s="204"/>
      <c r="AN673" s="204"/>
      <c r="AO673" s="204"/>
      <c r="AP673" s="204"/>
      <c r="AQ673" s="204"/>
      <c r="AR673" s="204"/>
      <c r="AS673" s="204"/>
      <c r="AT673" s="204"/>
      <c r="AU673" s="204"/>
      <c r="AV673" s="204"/>
      <c r="AW673" s="204"/>
      <c r="AX673" s="204"/>
      <c r="AY673" s="204"/>
      <c r="AZ673" s="204"/>
      <c r="BA673" s="204"/>
      <c r="BB673" s="204"/>
      <c r="BC673" s="204"/>
      <c r="BD673" s="204"/>
      <c r="BE673" s="204"/>
      <c r="BF673" s="204"/>
      <c r="BG673" s="204"/>
      <c r="BH673" s="204"/>
      <c r="BI673" s="204"/>
      <c r="BJ673" s="204"/>
      <c r="BK673" s="204"/>
      <c r="BL673" s="204"/>
    </row>
    <row r="674" spans="1:64" hidden="1" outlineLevel="1">
      <c r="B674" s="9"/>
      <c r="C674" s="9"/>
      <c r="D674" s="278" t="str">
        <f>Asset21</f>
        <v>Other - short life (9)</v>
      </c>
      <c r="E674" s="9"/>
      <c r="F674" s="9"/>
      <c r="G674" s="9"/>
      <c r="H674" s="9"/>
      <c r="I674" s="9"/>
      <c r="J674" s="9"/>
      <c r="K674" s="9"/>
      <c r="L674" s="114">
        <f t="shared" ref="L674:Q682" si="44">IF(M$557=0, L578+L610+L642, 0)</f>
        <v>2.8901245049736608</v>
      </c>
      <c r="M674" s="114">
        <f t="shared" si="44"/>
        <v>0</v>
      </c>
      <c r="N674" s="114">
        <f t="shared" si="44"/>
        <v>0</v>
      </c>
      <c r="O674" s="114">
        <f t="shared" si="44"/>
        <v>0</v>
      </c>
      <c r="P674" s="114">
        <f t="shared" si="44"/>
        <v>0</v>
      </c>
      <c r="Q674" s="114">
        <f t="shared" si="44"/>
        <v>0</v>
      </c>
      <c r="R674" s="9"/>
      <c r="S674" s="9"/>
      <c r="T674" s="9"/>
      <c r="U674" s="9"/>
      <c r="V674" s="9"/>
      <c r="W674" s="9"/>
      <c r="X674" s="9"/>
      <c r="Y674" s="9"/>
      <c r="Z674" s="9"/>
      <c r="AB674" s="204"/>
      <c r="AC674" s="204"/>
      <c r="AD674" s="204"/>
      <c r="AE674" s="204"/>
      <c r="AF674" s="204"/>
      <c r="AG674" s="204"/>
      <c r="AH674" s="204"/>
      <c r="AI674" s="204"/>
      <c r="AJ674" s="204"/>
      <c r="AK674" s="204"/>
      <c r="AL674" s="204"/>
      <c r="AM674" s="204"/>
      <c r="AN674" s="204"/>
      <c r="AO674" s="204"/>
      <c r="AP674" s="204"/>
      <c r="AQ674" s="204"/>
      <c r="AR674" s="204"/>
      <c r="AS674" s="204"/>
      <c r="AT674" s="204"/>
      <c r="AU674" s="204"/>
      <c r="AV674" s="204"/>
      <c r="AW674" s="204"/>
      <c r="AX674" s="204"/>
      <c r="AY674" s="204"/>
      <c r="AZ674" s="204"/>
      <c r="BA674" s="204"/>
      <c r="BB674" s="204"/>
      <c r="BC674" s="204"/>
      <c r="BD674" s="204"/>
      <c r="BE674" s="204"/>
      <c r="BF674" s="204"/>
      <c r="BG674" s="204"/>
      <c r="BH674" s="204"/>
      <c r="BI674" s="204"/>
      <c r="BJ674" s="204"/>
      <c r="BK674" s="204"/>
      <c r="BL674" s="204"/>
    </row>
    <row r="675" spans="1:64" hidden="1" outlineLevel="1">
      <c r="B675" s="9"/>
      <c r="C675" s="9"/>
      <c r="D675" s="278" t="str">
        <f>Asset22</f>
        <v>Other - short life (4)</v>
      </c>
      <c r="E675" s="9"/>
      <c r="F675" s="9"/>
      <c r="G675" s="9"/>
      <c r="H675" s="9"/>
      <c r="I675" s="9"/>
      <c r="J675" s="9"/>
      <c r="K675" s="9"/>
      <c r="L675" s="114">
        <f t="shared" si="44"/>
        <v>8.2661121698126649</v>
      </c>
      <c r="M675" s="114">
        <f t="shared" si="44"/>
        <v>0</v>
      </c>
      <c r="N675" s="114">
        <f t="shared" si="44"/>
        <v>0</v>
      </c>
      <c r="O675" s="114">
        <f t="shared" si="44"/>
        <v>0</v>
      </c>
      <c r="P675" s="114">
        <f t="shared" si="44"/>
        <v>0</v>
      </c>
      <c r="Q675" s="114">
        <f t="shared" si="44"/>
        <v>0</v>
      </c>
      <c r="R675" s="9"/>
      <c r="S675" s="9"/>
      <c r="T675" s="9"/>
      <c r="U675" s="9"/>
      <c r="V675" s="9"/>
      <c r="W675" s="9"/>
      <c r="X675" s="9"/>
      <c r="Y675" s="9"/>
      <c r="Z675" s="9"/>
      <c r="AB675" s="204"/>
      <c r="AC675" s="204"/>
      <c r="AD675" s="204"/>
      <c r="AE675" s="204"/>
      <c r="AF675" s="204"/>
      <c r="AG675" s="204"/>
      <c r="AH675" s="204"/>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c r="BI675" s="204"/>
      <c r="BJ675" s="204"/>
      <c r="BK675" s="204"/>
      <c r="BL675" s="204"/>
    </row>
    <row r="676" spans="1:64" hidden="1" outlineLevel="1">
      <c r="B676" s="9"/>
      <c r="C676" s="9"/>
      <c r="D676" s="278" t="str">
        <f>Asset23</f>
        <v>Land and Easements</v>
      </c>
      <c r="E676" s="9"/>
      <c r="F676" s="9"/>
      <c r="G676" s="9"/>
      <c r="H676" s="9"/>
      <c r="I676" s="9"/>
      <c r="J676" s="9"/>
      <c r="K676" s="9"/>
      <c r="L676" s="114">
        <f t="shared" si="44"/>
        <v>4.8160160086349917</v>
      </c>
      <c r="M676" s="114">
        <f t="shared" si="44"/>
        <v>0</v>
      </c>
      <c r="N676" s="114">
        <f t="shared" si="44"/>
        <v>0</v>
      </c>
      <c r="O676" s="114">
        <f t="shared" si="44"/>
        <v>0</v>
      </c>
      <c r="P676" s="114">
        <f t="shared" si="44"/>
        <v>0</v>
      </c>
      <c r="Q676" s="114">
        <f t="shared" si="44"/>
        <v>0</v>
      </c>
      <c r="R676" s="9"/>
      <c r="S676" s="9"/>
      <c r="T676" s="9"/>
      <c r="U676" s="9"/>
      <c r="V676" s="9"/>
      <c r="W676" s="9"/>
      <c r="X676" s="9"/>
      <c r="Y676" s="9"/>
      <c r="Z676" s="9"/>
      <c r="AB676" s="204"/>
      <c r="AC676" s="204"/>
      <c r="AD676" s="204"/>
      <c r="AE676" s="204"/>
      <c r="AF676" s="204"/>
      <c r="AG676" s="204"/>
      <c r="AH676" s="204"/>
      <c r="AI676" s="204"/>
      <c r="AJ676" s="204"/>
      <c r="AK676" s="204"/>
      <c r="AL676" s="204"/>
      <c r="AM676" s="204"/>
      <c r="AN676" s="204"/>
      <c r="AO676" s="204"/>
      <c r="AP676" s="204"/>
      <c r="AQ676" s="204"/>
      <c r="AR676" s="204"/>
      <c r="AS676" s="204"/>
      <c r="AT676" s="204"/>
      <c r="AU676" s="204"/>
      <c r="AV676" s="204"/>
      <c r="AW676" s="204"/>
      <c r="AX676" s="204"/>
      <c r="AY676" s="204"/>
      <c r="AZ676" s="204"/>
      <c r="BA676" s="204"/>
      <c r="BB676" s="204"/>
      <c r="BC676" s="204"/>
      <c r="BD676" s="204"/>
      <c r="BE676" s="204"/>
      <c r="BF676" s="204"/>
      <c r="BG676" s="204"/>
      <c r="BH676" s="204"/>
      <c r="BI676" s="204"/>
      <c r="BJ676" s="204"/>
      <c r="BK676" s="204"/>
      <c r="BL676" s="204"/>
    </row>
    <row r="677" spans="1:64" hidden="1" outlineLevel="1">
      <c r="B677" s="9"/>
      <c r="C677" s="9"/>
      <c r="D677" s="278" t="str">
        <f>Asset24</f>
        <v>Equity Raising</v>
      </c>
      <c r="E677" s="9"/>
      <c r="F677" s="9"/>
      <c r="G677" s="9"/>
      <c r="H677" s="9"/>
      <c r="I677" s="9"/>
      <c r="J677" s="9"/>
      <c r="K677" s="9"/>
      <c r="L677" s="114">
        <f t="shared" si="44"/>
        <v>0.44335963280526741</v>
      </c>
      <c r="M677" s="114">
        <f t="shared" si="44"/>
        <v>0</v>
      </c>
      <c r="N677" s="114">
        <f t="shared" si="44"/>
        <v>0</v>
      </c>
      <c r="O677" s="114">
        <f t="shared" si="44"/>
        <v>0</v>
      </c>
      <c r="P677" s="114">
        <f t="shared" si="44"/>
        <v>0</v>
      </c>
      <c r="Q677" s="114">
        <f t="shared" si="44"/>
        <v>0</v>
      </c>
      <c r="R677" s="9"/>
      <c r="S677" s="9"/>
      <c r="T677" s="9"/>
      <c r="U677" s="9"/>
      <c r="V677" s="9"/>
      <c r="W677" s="9"/>
      <c r="X677" s="9"/>
      <c r="Y677" s="9"/>
      <c r="Z677" s="9"/>
      <c r="AB677" s="204"/>
      <c r="AC677" s="204"/>
      <c r="AD677" s="204"/>
      <c r="AE677" s="204"/>
      <c r="AF677" s="204"/>
      <c r="AG677" s="204"/>
      <c r="AH677" s="204"/>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c r="BH677" s="204"/>
      <c r="BI677" s="204"/>
      <c r="BJ677" s="204"/>
      <c r="BK677" s="204"/>
      <c r="BL677" s="204"/>
    </row>
    <row r="678" spans="1:64" hidden="1" outlineLevel="1">
      <c r="B678" s="9"/>
      <c r="C678" s="9"/>
      <c r="D678" s="278">
        <f>Asset25</f>
        <v>0</v>
      </c>
      <c r="E678" s="9"/>
      <c r="F678" s="9"/>
      <c r="G678" s="9"/>
      <c r="H678" s="9"/>
      <c r="I678" s="9"/>
      <c r="J678" s="9"/>
      <c r="K678" s="9"/>
      <c r="L678" s="114">
        <f t="shared" si="44"/>
        <v>0</v>
      </c>
      <c r="M678" s="114">
        <f t="shared" si="44"/>
        <v>0</v>
      </c>
      <c r="N678" s="114">
        <f t="shared" si="44"/>
        <v>0</v>
      </c>
      <c r="O678" s="114">
        <f t="shared" si="44"/>
        <v>0</v>
      </c>
      <c r="P678" s="114">
        <f t="shared" si="44"/>
        <v>0</v>
      </c>
      <c r="Q678" s="114">
        <f t="shared" si="44"/>
        <v>0</v>
      </c>
      <c r="R678" s="9"/>
      <c r="S678" s="9"/>
      <c r="T678" s="9"/>
      <c r="U678" s="9"/>
      <c r="V678" s="9"/>
      <c r="W678" s="9"/>
      <c r="X678" s="9"/>
      <c r="Y678" s="9"/>
      <c r="Z678" s="9"/>
      <c r="AB678" s="204"/>
      <c r="AC678" s="204"/>
      <c r="AD678" s="204"/>
      <c r="AE678" s="204"/>
      <c r="AF678" s="204"/>
      <c r="AG678" s="204"/>
      <c r="AH678" s="204"/>
      <c r="AI678" s="204"/>
      <c r="AJ678" s="204"/>
      <c r="AK678" s="204"/>
      <c r="AL678" s="204"/>
      <c r="AM678" s="204"/>
      <c r="AN678" s="204"/>
      <c r="AO678" s="204"/>
      <c r="AP678" s="204"/>
      <c r="AQ678" s="204"/>
      <c r="AR678" s="204"/>
      <c r="AS678" s="204"/>
      <c r="AT678" s="204"/>
      <c r="AU678" s="204"/>
      <c r="AV678" s="204"/>
      <c r="AW678" s="204"/>
      <c r="AX678" s="204"/>
      <c r="AY678" s="204"/>
      <c r="AZ678" s="204"/>
      <c r="BA678" s="204"/>
      <c r="BB678" s="204"/>
      <c r="BC678" s="204"/>
      <c r="BD678" s="204"/>
      <c r="BE678" s="204"/>
      <c r="BF678" s="204"/>
      <c r="BG678" s="204"/>
      <c r="BH678" s="204"/>
      <c r="BI678" s="204"/>
      <c r="BJ678" s="204"/>
      <c r="BK678" s="204"/>
      <c r="BL678" s="204"/>
    </row>
    <row r="679" spans="1:64" hidden="1" outlineLevel="1">
      <c r="B679" s="9"/>
      <c r="C679" s="9"/>
      <c r="D679" s="278">
        <f>Asset26</f>
        <v>0</v>
      </c>
      <c r="E679" s="9"/>
      <c r="F679" s="9"/>
      <c r="G679" s="9"/>
      <c r="H679" s="9"/>
      <c r="I679" s="9"/>
      <c r="J679" s="9"/>
      <c r="K679" s="9"/>
      <c r="L679" s="114">
        <f t="shared" si="44"/>
        <v>0</v>
      </c>
      <c r="M679" s="114">
        <f t="shared" si="44"/>
        <v>0</v>
      </c>
      <c r="N679" s="114">
        <f t="shared" si="44"/>
        <v>0</v>
      </c>
      <c r="O679" s="114">
        <f t="shared" si="44"/>
        <v>0</v>
      </c>
      <c r="P679" s="114">
        <f t="shared" si="44"/>
        <v>0</v>
      </c>
      <c r="Q679" s="114">
        <f t="shared" si="44"/>
        <v>0</v>
      </c>
      <c r="R679" s="9"/>
      <c r="S679" s="9"/>
      <c r="T679" s="9"/>
      <c r="U679" s="9"/>
      <c r="V679" s="9"/>
      <c r="W679" s="9"/>
      <c r="X679" s="9"/>
      <c r="Y679" s="9"/>
      <c r="Z679" s="9"/>
      <c r="AB679" s="204"/>
      <c r="AC679" s="204"/>
      <c r="AD679" s="204"/>
      <c r="AE679" s="204"/>
      <c r="AF679" s="204"/>
      <c r="AG679" s="204"/>
      <c r="AH679" s="204"/>
      <c r="AI679" s="204"/>
      <c r="AJ679" s="204"/>
      <c r="AK679" s="204"/>
      <c r="AL679" s="204"/>
      <c r="AM679" s="204"/>
      <c r="AN679" s="204"/>
      <c r="AO679" s="204"/>
      <c r="AP679" s="204"/>
      <c r="AQ679" s="204"/>
      <c r="AR679" s="204"/>
      <c r="AS679" s="204"/>
      <c r="AT679" s="204"/>
      <c r="AU679" s="204"/>
      <c r="AV679" s="204"/>
      <c r="AW679" s="204"/>
      <c r="AX679" s="204"/>
      <c r="AY679" s="204"/>
      <c r="AZ679" s="204"/>
      <c r="BA679" s="204"/>
      <c r="BB679" s="204"/>
      <c r="BC679" s="204"/>
      <c r="BD679" s="204"/>
      <c r="BE679" s="204"/>
      <c r="BF679" s="204"/>
      <c r="BG679" s="204"/>
      <c r="BH679" s="204"/>
      <c r="BI679" s="204"/>
      <c r="BJ679" s="204"/>
      <c r="BK679" s="204"/>
      <c r="BL679" s="204"/>
    </row>
    <row r="680" spans="1:64" hidden="1" outlineLevel="1">
      <c r="B680" s="9"/>
      <c r="C680" s="9"/>
      <c r="D680" s="278">
        <f>Asset27</f>
        <v>0</v>
      </c>
      <c r="E680" s="9"/>
      <c r="F680" s="9"/>
      <c r="G680" s="9"/>
      <c r="H680" s="9"/>
      <c r="I680" s="9"/>
      <c r="J680" s="9"/>
      <c r="K680" s="9"/>
      <c r="L680" s="114">
        <f t="shared" si="44"/>
        <v>0</v>
      </c>
      <c r="M680" s="114">
        <f t="shared" si="44"/>
        <v>0</v>
      </c>
      <c r="N680" s="114">
        <f t="shared" si="44"/>
        <v>0</v>
      </c>
      <c r="O680" s="114">
        <f t="shared" si="44"/>
        <v>0</v>
      </c>
      <c r="P680" s="114">
        <f t="shared" si="44"/>
        <v>0</v>
      </c>
      <c r="Q680" s="114">
        <f t="shared" si="44"/>
        <v>0</v>
      </c>
      <c r="R680" s="9"/>
      <c r="S680" s="9"/>
      <c r="T680" s="9"/>
      <c r="U680" s="9"/>
      <c r="V680" s="9"/>
      <c r="W680" s="9"/>
      <c r="X680" s="9"/>
      <c r="Y680" s="9"/>
      <c r="Z680" s="9"/>
      <c r="AB680" s="204"/>
      <c r="AC680" s="204"/>
      <c r="AD680" s="204"/>
      <c r="AE680" s="204"/>
      <c r="AF680" s="204"/>
      <c r="AG680" s="204"/>
      <c r="AH680" s="204"/>
      <c r="AI680" s="204"/>
      <c r="AJ680" s="204"/>
      <c r="AK680" s="204"/>
      <c r="AL680" s="204"/>
      <c r="AM680" s="204"/>
      <c r="AN680" s="204"/>
      <c r="AO680" s="204"/>
      <c r="AP680" s="204"/>
      <c r="AQ680" s="204"/>
      <c r="AR680" s="204"/>
      <c r="AS680" s="204"/>
      <c r="AT680" s="204"/>
      <c r="AU680" s="204"/>
      <c r="AV680" s="204"/>
      <c r="AW680" s="204"/>
      <c r="AX680" s="204"/>
      <c r="AY680" s="204"/>
      <c r="AZ680" s="204"/>
      <c r="BA680" s="204"/>
      <c r="BB680" s="204"/>
      <c r="BC680" s="204"/>
      <c r="BD680" s="204"/>
      <c r="BE680" s="204"/>
      <c r="BF680" s="204"/>
      <c r="BG680" s="204"/>
      <c r="BH680" s="204"/>
      <c r="BI680" s="204"/>
      <c r="BJ680" s="204"/>
      <c r="BK680" s="204"/>
      <c r="BL680" s="204"/>
    </row>
    <row r="681" spans="1:64" hidden="1" outlineLevel="1">
      <c r="B681" s="9"/>
      <c r="C681" s="9"/>
      <c r="D681" s="278">
        <f>Asset28</f>
        <v>0</v>
      </c>
      <c r="E681" s="9"/>
      <c r="F681" s="9"/>
      <c r="G681" s="9"/>
      <c r="H681" s="9"/>
      <c r="I681" s="9"/>
      <c r="J681" s="9"/>
      <c r="K681" s="9"/>
      <c r="L681" s="114">
        <f t="shared" si="44"/>
        <v>0</v>
      </c>
      <c r="M681" s="114">
        <f t="shared" si="44"/>
        <v>0</v>
      </c>
      <c r="N681" s="114">
        <f t="shared" si="44"/>
        <v>0</v>
      </c>
      <c r="O681" s="114">
        <f t="shared" si="44"/>
        <v>0</v>
      </c>
      <c r="P681" s="114">
        <f t="shared" si="44"/>
        <v>0</v>
      </c>
      <c r="Q681" s="114">
        <f t="shared" si="44"/>
        <v>0</v>
      </c>
      <c r="R681" s="9"/>
      <c r="S681" s="9"/>
      <c r="T681" s="9"/>
      <c r="U681" s="9"/>
      <c r="V681" s="9"/>
      <c r="W681" s="9"/>
      <c r="X681" s="9"/>
      <c r="Y681" s="9"/>
      <c r="Z681" s="9"/>
      <c r="AB681" s="204"/>
      <c r="AC681" s="204"/>
      <c r="AD681" s="204"/>
      <c r="AE681" s="204"/>
      <c r="AF681" s="204"/>
      <c r="AG681" s="204"/>
      <c r="AH681" s="204"/>
      <c r="AI681" s="204"/>
      <c r="AJ681" s="204"/>
      <c r="AK681" s="204"/>
      <c r="AL681" s="204"/>
      <c r="AM681" s="204"/>
      <c r="AN681" s="204"/>
      <c r="AO681" s="204"/>
      <c r="AP681" s="204"/>
      <c r="AQ681" s="204"/>
      <c r="AR681" s="204"/>
      <c r="AS681" s="204"/>
      <c r="AT681" s="204"/>
      <c r="AU681" s="204"/>
      <c r="AV681" s="204"/>
      <c r="AW681" s="204"/>
      <c r="AX681" s="204"/>
      <c r="AY681" s="204"/>
      <c r="AZ681" s="204"/>
      <c r="BA681" s="204"/>
      <c r="BB681" s="204"/>
      <c r="BC681" s="204"/>
      <c r="BD681" s="204"/>
      <c r="BE681" s="204"/>
      <c r="BF681" s="204"/>
      <c r="BG681" s="204"/>
      <c r="BH681" s="204"/>
      <c r="BI681" s="204"/>
      <c r="BJ681" s="204"/>
      <c r="BK681" s="204"/>
      <c r="BL681" s="204"/>
    </row>
    <row r="682" spans="1:64" hidden="1" outlineLevel="1">
      <c r="B682" s="9"/>
      <c r="C682" s="9"/>
      <c r="D682" s="278">
        <f>Asset29</f>
        <v>0</v>
      </c>
      <c r="E682" s="9"/>
      <c r="F682" s="9"/>
      <c r="G682" s="9"/>
      <c r="H682" s="9"/>
      <c r="I682" s="9"/>
      <c r="J682" s="9"/>
      <c r="K682" s="9"/>
      <c r="L682" s="114">
        <f t="shared" si="44"/>
        <v>0</v>
      </c>
      <c r="M682" s="114">
        <f t="shared" si="44"/>
        <v>0</v>
      </c>
      <c r="N682" s="114">
        <f t="shared" si="44"/>
        <v>0</v>
      </c>
      <c r="O682" s="114">
        <f t="shared" si="44"/>
        <v>0</v>
      </c>
      <c r="P682" s="114">
        <f t="shared" si="44"/>
        <v>0</v>
      </c>
      <c r="Q682" s="114">
        <f t="shared" si="44"/>
        <v>0</v>
      </c>
      <c r="R682" s="9"/>
      <c r="S682" s="9"/>
      <c r="T682" s="9"/>
      <c r="U682" s="9"/>
      <c r="V682" s="9"/>
      <c r="W682" s="9"/>
      <c r="X682" s="9"/>
      <c r="Y682" s="9"/>
      <c r="Z682" s="9"/>
      <c r="AB682" s="204"/>
      <c r="AC682" s="204"/>
      <c r="AD682" s="204"/>
      <c r="AE682" s="204"/>
      <c r="AF682" s="204"/>
      <c r="AG682" s="204"/>
      <c r="AH682" s="204"/>
      <c r="AI682" s="204"/>
      <c r="AJ682" s="204"/>
      <c r="AK682" s="204"/>
      <c r="AL682" s="204"/>
      <c r="AM682" s="204"/>
      <c r="AN682" s="204"/>
      <c r="AO682" s="204"/>
      <c r="AP682" s="204"/>
      <c r="AQ682" s="204"/>
      <c r="AR682" s="204"/>
      <c r="AS682" s="204"/>
      <c r="AT682" s="204"/>
      <c r="AU682" s="204"/>
      <c r="AV682" s="204"/>
      <c r="AW682" s="204"/>
      <c r="AX682" s="204"/>
      <c r="AY682" s="204"/>
      <c r="AZ682" s="204"/>
      <c r="BA682" s="204"/>
      <c r="BB682" s="204"/>
      <c r="BC682" s="204"/>
      <c r="BD682" s="204"/>
      <c r="BE682" s="204"/>
      <c r="BF682" s="204"/>
      <c r="BG682" s="204"/>
      <c r="BH682" s="204"/>
      <c r="BI682" s="204"/>
      <c r="BJ682" s="204"/>
      <c r="BK682" s="204"/>
      <c r="BL682" s="204"/>
    </row>
    <row r="683" spans="1:64" hidden="1" outlineLevel="1">
      <c r="B683" s="9"/>
      <c r="C683" s="9"/>
      <c r="D683" s="278">
        <f>Asset30</f>
        <v>0</v>
      </c>
      <c r="E683" s="9"/>
      <c r="F683" s="9"/>
      <c r="G683" s="9"/>
      <c r="H683" s="9"/>
      <c r="I683" s="9"/>
      <c r="J683" s="9"/>
      <c r="K683" s="9"/>
      <c r="L683" s="114">
        <f t="shared" ref="L683:Q683" si="45">IF(M$557=0, L587+L619+L651, 0)</f>
        <v>0</v>
      </c>
      <c r="M683" s="114">
        <f t="shared" si="45"/>
        <v>0</v>
      </c>
      <c r="N683" s="114">
        <f t="shared" si="45"/>
        <v>0</v>
      </c>
      <c r="O683" s="114">
        <f t="shared" si="45"/>
        <v>0</v>
      </c>
      <c r="P683" s="114">
        <f t="shared" si="45"/>
        <v>0</v>
      </c>
      <c r="Q683" s="114">
        <f t="shared" si="45"/>
        <v>0</v>
      </c>
      <c r="R683" s="9"/>
      <c r="S683" s="9"/>
      <c r="T683" s="9"/>
      <c r="U683" s="9"/>
      <c r="V683" s="9"/>
      <c r="W683" s="9"/>
      <c r="X683" s="9"/>
      <c r="Y683" s="9"/>
      <c r="Z683" s="9"/>
      <c r="AB683" s="204"/>
      <c r="AC683" s="204"/>
      <c r="AD683" s="204"/>
      <c r="AE683" s="204"/>
      <c r="AF683" s="204"/>
      <c r="AG683" s="204"/>
      <c r="AH683" s="204"/>
      <c r="AI683" s="204"/>
      <c r="AJ683" s="204"/>
      <c r="AK683" s="204"/>
      <c r="AL683" s="204"/>
      <c r="AM683" s="204"/>
      <c r="AN683" s="204"/>
      <c r="AO683" s="204"/>
      <c r="AP683" s="204"/>
      <c r="AQ683" s="204"/>
      <c r="AR683" s="204"/>
      <c r="AS683" s="204"/>
      <c r="AT683" s="204"/>
      <c r="AU683" s="204"/>
      <c r="AV683" s="204"/>
      <c r="AW683" s="204"/>
      <c r="AX683" s="204"/>
      <c r="AY683" s="204"/>
      <c r="AZ683" s="204"/>
      <c r="BA683" s="204"/>
      <c r="BB683" s="204"/>
      <c r="BC683" s="204"/>
      <c r="BD683" s="204"/>
      <c r="BE683" s="204"/>
      <c r="BF683" s="204"/>
      <c r="BG683" s="204"/>
      <c r="BH683" s="204"/>
      <c r="BI683" s="204"/>
      <c r="BJ683" s="204"/>
      <c r="BK683" s="204"/>
      <c r="BL683" s="204"/>
    </row>
    <row r="684" spans="1:64" collapsed="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64">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64">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64">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64">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sheetData>
  <phoneticPr fontId="0" type="noConversion"/>
  <printOptions headings="1"/>
  <pageMargins left="0.75" right="0.75" top="1" bottom="1" header="0.5" footer="0.5"/>
  <pageSetup paperSize="9" scale="65" orientation="landscape" horizontalDpi="4294967292" r:id="rId1"/>
  <headerFooter alignWithMargins="0"/>
  <rowBreaks count="1" manualBreakCount="1">
    <brk id="684" max="1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567"/>
  <sheetViews>
    <sheetView zoomScaleNormal="100" workbookViewId="0">
      <pane ySplit="4" topLeftCell="A5" activePane="bottomLeft" state="frozen"/>
      <selection pane="bottomLeft" activeCell="B3" sqref="B3"/>
    </sheetView>
  </sheetViews>
  <sheetFormatPr defaultRowHeight="13.2" outlineLevelRow="2"/>
  <cols>
    <col min="1" max="1" width="3.5546875" customWidth="1"/>
    <col min="2" max="2" width="22.88671875" customWidth="1"/>
    <col min="3" max="3" width="12.44140625" customWidth="1"/>
    <col min="4" max="4" width="10.33203125" customWidth="1"/>
    <col min="5" max="5" width="3.5546875" customWidth="1"/>
    <col min="6" max="6" width="6" customWidth="1"/>
    <col min="7" max="7" width="6.44140625" customWidth="1"/>
    <col min="8" max="8" width="10" customWidth="1"/>
    <col min="9" max="9" width="10.109375" customWidth="1"/>
    <col min="10" max="11" width="10" customWidth="1"/>
    <col min="12" max="12" width="11.109375" bestFit="1" customWidth="1"/>
    <col min="13" max="13" width="11.33203125" bestFit="1" customWidth="1"/>
    <col min="14" max="14" width="11.109375" bestFit="1" customWidth="1"/>
    <col min="15" max="15" width="9.6640625" bestFit="1" customWidth="1"/>
    <col min="16" max="60" width="9.5546875" bestFit="1" customWidth="1"/>
  </cols>
  <sheetData>
    <row r="1" spans="1:255">
      <c r="A1" s="9"/>
      <c r="B1" s="9"/>
      <c r="C1" s="9"/>
      <c r="D1" s="9"/>
      <c r="E1" s="9"/>
      <c r="F1" s="53"/>
      <c r="G1" s="53"/>
      <c r="H1" s="53"/>
      <c r="I1" s="53"/>
      <c r="J1" s="53"/>
      <c r="K1" s="53"/>
      <c r="L1" s="53"/>
      <c r="M1" s="53"/>
      <c r="N1" s="53"/>
      <c r="O1" s="53"/>
      <c r="P1" s="53"/>
      <c r="Q1" s="53"/>
      <c r="R1" s="53"/>
      <c r="S1" s="53"/>
      <c r="T1" s="53"/>
      <c r="U1" s="53"/>
      <c r="V1" s="53"/>
      <c r="W1" s="53"/>
      <c r="X1" s="53"/>
      <c r="Y1" s="53"/>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04"/>
      <c r="BJ1" s="204"/>
      <c r="BK1" s="204"/>
      <c r="BL1" s="204"/>
      <c r="BM1" s="204"/>
      <c r="BN1" s="204"/>
    </row>
    <row r="2" spans="1:255" ht="15.6">
      <c r="A2" s="9"/>
      <c r="B2" s="58" t="str">
        <f>"Tax Asset Value Roll Forward - RFM "&amp;Intro!L4</f>
        <v>Tax Asset Value Roll Forward - RFM Version: 2.0</v>
      </c>
      <c r="C2" s="9"/>
      <c r="D2" s="9"/>
      <c r="E2" s="9"/>
      <c r="F2" s="9"/>
      <c r="H2" s="9"/>
      <c r="I2" s="309">
        <v>1</v>
      </c>
      <c r="J2" s="309">
        <v>2</v>
      </c>
      <c r="K2" s="309">
        <v>3</v>
      </c>
      <c r="L2" s="309">
        <v>4</v>
      </c>
      <c r="M2" s="309">
        <v>5</v>
      </c>
      <c r="N2" s="309">
        <v>6</v>
      </c>
      <c r="O2" s="309">
        <v>7</v>
      </c>
      <c r="P2" s="309">
        <v>8</v>
      </c>
      <c r="Q2" s="309">
        <v>9</v>
      </c>
      <c r="R2" s="309">
        <v>10</v>
      </c>
      <c r="S2" s="9"/>
      <c r="T2" s="9"/>
      <c r="U2" s="9"/>
      <c r="V2" s="9"/>
      <c r="W2" s="9"/>
      <c r="X2" s="9"/>
      <c r="Y2" s="9"/>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row>
    <row r="3" spans="1:255" s="1" customFormat="1">
      <c r="A3" s="59"/>
      <c r="B3" s="60"/>
      <c r="C3" s="59"/>
      <c r="D3" s="59"/>
      <c r="E3" s="59"/>
      <c r="F3" s="9"/>
      <c r="G3" s="61">
        <v>0</v>
      </c>
      <c r="H3" s="61">
        <f t="shared" ref="H3:R3" si="0">G3+1</f>
        <v>1</v>
      </c>
      <c r="I3" s="61">
        <f t="shared" si="0"/>
        <v>2</v>
      </c>
      <c r="J3" s="61">
        <f t="shared" si="0"/>
        <v>3</v>
      </c>
      <c r="K3" s="61">
        <f t="shared" si="0"/>
        <v>4</v>
      </c>
      <c r="L3" s="61">
        <f t="shared" si="0"/>
        <v>5</v>
      </c>
      <c r="M3" s="61">
        <f t="shared" si="0"/>
        <v>6</v>
      </c>
      <c r="N3" s="61">
        <f t="shared" si="0"/>
        <v>7</v>
      </c>
      <c r="O3" s="61">
        <f t="shared" si="0"/>
        <v>8</v>
      </c>
      <c r="P3" s="61">
        <f t="shared" si="0"/>
        <v>9</v>
      </c>
      <c r="Q3" s="61">
        <f t="shared" si="0"/>
        <v>10</v>
      </c>
      <c r="R3" s="61">
        <f t="shared" si="0"/>
        <v>11</v>
      </c>
      <c r="S3" s="53"/>
      <c r="T3" s="53"/>
      <c r="U3" s="53"/>
      <c r="V3" s="53"/>
      <c r="W3" s="53"/>
      <c r="X3" s="53"/>
      <c r="Y3" s="53"/>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8"/>
      <c r="BJ3" s="218"/>
      <c r="BK3" s="218"/>
      <c r="BL3" s="218"/>
      <c r="BM3" s="218"/>
      <c r="BN3" s="218"/>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row>
    <row r="4" spans="1:255" s="24" customFormat="1" ht="15.6">
      <c r="A4" s="86"/>
      <c r="B4" s="87" t="s">
        <v>3</v>
      </c>
      <c r="C4" s="86"/>
      <c r="D4" s="86"/>
      <c r="E4" s="86"/>
      <c r="F4" s="86"/>
      <c r="G4" s="86"/>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7"/>
      <c r="T4" s="17"/>
      <c r="U4" s="17"/>
      <c r="V4" s="17"/>
      <c r="W4" s="17"/>
      <c r="X4" s="17"/>
      <c r="Y4" s="17"/>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04"/>
      <c r="BJ4" s="204"/>
      <c r="BK4" s="204"/>
      <c r="BL4" s="204"/>
      <c r="BM4" s="204"/>
      <c r="BN4" s="20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204" customFormat="1">
      <c r="A5" s="78"/>
      <c r="B5" s="85" t="s">
        <v>97</v>
      </c>
      <c r="C5" s="78"/>
      <c r="D5" s="78"/>
      <c r="E5" s="78"/>
      <c r="F5" s="88"/>
      <c r="G5" s="88"/>
      <c r="H5" s="89"/>
      <c r="I5" s="89"/>
      <c r="J5" s="89"/>
      <c r="K5" s="89"/>
      <c r="L5" s="89"/>
      <c r="M5" s="89"/>
      <c r="N5" s="89"/>
      <c r="O5" s="89"/>
      <c r="P5" s="89"/>
      <c r="Q5" s="89"/>
      <c r="R5" s="89"/>
      <c r="S5" s="110"/>
      <c r="T5" s="110"/>
      <c r="U5" s="110"/>
      <c r="V5" s="110"/>
      <c r="W5" s="110"/>
      <c r="X5" s="110"/>
      <c r="Y5" s="110"/>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row>
    <row r="6" spans="1:255" s="204" customFormat="1">
      <c r="A6" s="12"/>
      <c r="B6" s="17"/>
      <c r="C6" s="12"/>
      <c r="D6" s="12"/>
      <c r="E6" s="12"/>
      <c r="F6" s="117"/>
      <c r="G6" s="117"/>
      <c r="H6" s="110"/>
      <c r="I6" s="110"/>
      <c r="J6" s="110"/>
      <c r="K6" s="110"/>
      <c r="L6" s="110"/>
      <c r="M6" s="110"/>
      <c r="N6" s="110"/>
      <c r="O6" s="110"/>
      <c r="P6" s="110"/>
      <c r="Q6" s="110"/>
      <c r="R6" s="110"/>
      <c r="S6" s="110"/>
      <c r="T6" s="110"/>
      <c r="U6" s="110"/>
      <c r="V6" s="110"/>
      <c r="W6" s="110"/>
      <c r="X6" s="110"/>
      <c r="Y6" s="110"/>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row>
    <row r="7" spans="1:255" s="204" customFormat="1">
      <c r="A7" s="9"/>
      <c r="B7" s="44" t="s">
        <v>67</v>
      </c>
      <c r="C7" s="9"/>
      <c r="D7" s="9"/>
      <c r="E7" s="9"/>
      <c r="F7" s="9"/>
      <c r="G7" s="9"/>
      <c r="H7" s="323">
        <f>SUM(H8:H37)</f>
        <v>777.51956594412695</v>
      </c>
      <c r="I7" s="319">
        <f>SUM(I8:I37)</f>
        <v>784.0661295929707</v>
      </c>
      <c r="J7" s="319">
        <f t="shared" ref="J7:Q7" si="1">SUM(J8:J37)</f>
        <v>959.05052616445346</v>
      </c>
      <c r="K7" s="319">
        <f t="shared" si="1"/>
        <v>1023.4129666752722</v>
      </c>
      <c r="L7" s="319">
        <f t="shared" si="1"/>
        <v>1064.4317733487071</v>
      </c>
      <c r="M7" s="319">
        <f t="shared" si="1"/>
        <v>1132.679082998975</v>
      </c>
      <c r="N7" s="319">
        <f t="shared" si="1"/>
        <v>0</v>
      </c>
      <c r="O7" s="319">
        <f t="shared" si="1"/>
        <v>0</v>
      </c>
      <c r="P7" s="319">
        <f t="shared" si="1"/>
        <v>0</v>
      </c>
      <c r="Q7" s="319">
        <f t="shared" si="1"/>
        <v>0</v>
      </c>
      <c r="R7" s="319">
        <f>SUM(R8:R37)</f>
        <v>0</v>
      </c>
      <c r="S7" s="110"/>
      <c r="T7" s="110"/>
      <c r="U7" s="110"/>
      <c r="V7" s="110"/>
      <c r="W7" s="110"/>
      <c r="X7" s="110"/>
      <c r="Y7" s="110"/>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row>
    <row r="8" spans="1:255" s="204" customFormat="1" hidden="1" outlineLevel="1">
      <c r="A8" s="9"/>
      <c r="B8" s="9"/>
      <c r="C8" s="278" t="str">
        <f>Asset1</f>
        <v>Transmission Lines and Cables</v>
      </c>
      <c r="D8" s="9"/>
      <c r="E8" s="9"/>
      <c r="F8" s="9"/>
      <c r="G8" s="9"/>
      <c r="H8" s="156">
        <f>A1taxvalue-Input!M7+(Input!G143-Input!G177)</f>
        <v>255.11902523709423</v>
      </c>
      <c r="I8" s="114">
        <f>H8+H40+H84</f>
        <v>243.32417413944333</v>
      </c>
      <c r="J8" s="114">
        <f>I8+I40+I84</f>
        <v>231.52932304179242</v>
      </c>
      <c r="K8" s="114">
        <f>J8+J40+J84</f>
        <v>219.73447194414152</v>
      </c>
      <c r="L8" s="114">
        <f>K8+K40+K84</f>
        <v>207.7166208464906</v>
      </c>
      <c r="M8" s="114">
        <f>L8+L40+L84</f>
        <v>195.92548641550636</v>
      </c>
      <c r="N8" s="114">
        <f>IF(COUNT($H8:M8)&gt;Input!$W$7,0, M8+M40+M84)</f>
        <v>0</v>
      </c>
      <c r="O8" s="114">
        <f>IF(COUNT($H8:N8)&gt;Input!$W$7,0, N8+N40+N84)</f>
        <v>0</v>
      </c>
      <c r="P8" s="114">
        <f>IF(COUNT($H8:O8)&gt;Input!$W$7,0, O8+O40+O84)</f>
        <v>0</v>
      </c>
      <c r="Q8" s="114">
        <f>IF(COUNT($H8:P8)&gt;Input!$W$7,0, P8+P40+P84)</f>
        <v>0</v>
      </c>
      <c r="R8" s="114">
        <f>IF(COUNT($H8:Q8)&gt;Input!$W$7,0, Q8+Q40+Q84)</f>
        <v>0</v>
      </c>
      <c r="S8" s="110"/>
      <c r="T8" s="110"/>
      <c r="U8" s="110"/>
      <c r="V8" s="110"/>
      <c r="W8" s="110"/>
      <c r="X8" s="110"/>
      <c r="Y8" s="110"/>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row>
    <row r="9" spans="1:255" s="204" customFormat="1" hidden="1" outlineLevel="1">
      <c r="A9" s="9"/>
      <c r="B9" s="44"/>
      <c r="C9" s="278" t="str">
        <f>Asset2</f>
        <v>Transmission Substations</v>
      </c>
      <c r="D9" s="9"/>
      <c r="E9" s="9"/>
      <c r="F9" s="9"/>
      <c r="G9" s="9"/>
      <c r="H9" s="156">
        <f>A2taxvalue-Input!M8+(Input!G144-Input!G178)</f>
        <v>323.31186734942565</v>
      </c>
      <c r="I9" s="114">
        <f>H9+H41+H97</f>
        <v>311.20536832244846</v>
      </c>
      <c r="J9" s="114">
        <f>I9+I41+I97</f>
        <v>298.56786929547127</v>
      </c>
      <c r="K9" s="114">
        <f>J9+J41+J97</f>
        <v>286.47199026849404</v>
      </c>
      <c r="L9" s="114">
        <f>K9+K41+K97</f>
        <v>274.37611124151681</v>
      </c>
      <c r="M9" s="114">
        <f>L9+L41+L97</f>
        <v>262.28023221453958</v>
      </c>
      <c r="N9" s="114">
        <f>IF(COUNT($H9:M9)&gt;Input!$W$7,0, M9+M41+M97)</f>
        <v>0</v>
      </c>
      <c r="O9" s="114">
        <f>IF(COUNT($H9:N9)&gt;Input!$W$7,0, N9+N41+N97)</f>
        <v>0</v>
      </c>
      <c r="P9" s="114">
        <f>IF(COUNT($H9:O9)&gt;Input!$W$7,0, O9+O41+O97)</f>
        <v>0</v>
      </c>
      <c r="Q9" s="114">
        <f>IF(COUNT($H9:P9)&gt;Input!$W$7,0, P9+P41+P97)</f>
        <v>0</v>
      </c>
      <c r="R9" s="114">
        <f>IF(COUNT($H9:Q9)&gt;Input!$W$7,0, Q9+Q41+Q97)</f>
        <v>0</v>
      </c>
      <c r="S9" s="110"/>
      <c r="T9" s="110"/>
      <c r="U9" s="110"/>
      <c r="V9" s="110"/>
      <c r="W9" s="110"/>
      <c r="X9" s="110"/>
      <c r="Y9" s="110"/>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row>
    <row r="10" spans="1:255" s="204" customFormat="1" hidden="1" outlineLevel="1">
      <c r="A10" s="9"/>
      <c r="B10" s="44"/>
      <c r="C10" s="278" t="str">
        <f>Asset3</f>
        <v>Protection and Control</v>
      </c>
      <c r="D10" s="9"/>
      <c r="E10" s="9"/>
      <c r="F10" s="9"/>
      <c r="G10" s="9"/>
      <c r="H10" s="156">
        <f>A3taxvalue-Input!M9+(Input!G145-Input!G179)</f>
        <v>43.69904784094669</v>
      </c>
      <c r="I10" s="114">
        <f>H10+H42+H110</f>
        <v>38.391033372718297</v>
      </c>
      <c r="J10" s="114">
        <f>I10+I42+I110</f>
        <v>33.039018904489907</v>
      </c>
      <c r="K10" s="114">
        <f>J10+J42+J110</f>
        <v>27.733937769594846</v>
      </c>
      <c r="L10" s="114">
        <f>K10+K42+K110</f>
        <v>22.428856634699784</v>
      </c>
      <c r="M10" s="114">
        <f>L10+L42+L110</f>
        <v>17.123775499804722</v>
      </c>
      <c r="N10" s="114">
        <f>IF(COUNT($H10:M10)&gt;Input!$W$7,0, M10+M42+M110)</f>
        <v>0</v>
      </c>
      <c r="O10" s="114">
        <f>IF(COUNT($H10:N10)&gt;Input!$W$7,0, N10+N42+N110)</f>
        <v>0</v>
      </c>
      <c r="P10" s="114">
        <f>IF(COUNT($H10:O10)&gt;Input!$W$7,0, O10+O42+O110)</f>
        <v>0</v>
      </c>
      <c r="Q10" s="114">
        <f>IF(COUNT($H10:P10)&gt;Input!$W$7,0, P10+P42+P110)</f>
        <v>0</v>
      </c>
      <c r="R10" s="114">
        <f>IF(COUNT($H10:Q10)&gt;Input!$W$7,0, Q10+Q42+Q110)</f>
        <v>0</v>
      </c>
      <c r="S10" s="110"/>
      <c r="T10" s="110"/>
      <c r="U10" s="110"/>
      <c r="V10" s="110"/>
      <c r="W10" s="110"/>
      <c r="X10" s="110"/>
      <c r="Y10" s="110"/>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row>
    <row r="11" spans="1:255" s="204" customFormat="1" hidden="1" outlineLevel="1">
      <c r="A11" s="9"/>
      <c r="B11" s="44"/>
      <c r="C11" s="278" t="str">
        <f>Asset4</f>
        <v>Refurbishment</v>
      </c>
      <c r="D11" s="9"/>
      <c r="E11" s="9"/>
      <c r="F11" s="9"/>
      <c r="G11" s="9"/>
      <c r="H11" s="156">
        <f>A4taxvalue-Input!M10+(Input!G146-Input!G180)</f>
        <v>22.450144020096239</v>
      </c>
      <c r="I11" s="114">
        <f>H11+H43+H123</f>
        <v>20.214753074092794</v>
      </c>
      <c r="J11" s="114">
        <f>I11+I43+I123</f>
        <v>17.979362128089349</v>
      </c>
      <c r="K11" s="114">
        <f>J11+J43+J123</f>
        <v>15.743971182085904</v>
      </c>
      <c r="L11" s="114">
        <f>K11+K43+K123</f>
        <v>13.508580236082459</v>
      </c>
      <c r="M11" s="114">
        <f>L11+L43+L123</f>
        <v>11.273189290079014</v>
      </c>
      <c r="N11" s="114">
        <f>IF(COUNT($H11:M11)&gt;Input!$W$7,0, M11+M43+M123)</f>
        <v>0</v>
      </c>
      <c r="O11" s="114">
        <f>IF(COUNT($H11:N11)&gt;Input!$W$7,0, N11+N43+N123)</f>
        <v>0</v>
      </c>
      <c r="P11" s="114">
        <f>IF(COUNT($H11:O11)&gt;Input!$W$7,0, O11+O43+O123)</f>
        <v>0</v>
      </c>
      <c r="Q11" s="114">
        <f>IF(COUNT($H11:P11)&gt;Input!$W$7,0, P11+P43+P123)</f>
        <v>0</v>
      </c>
      <c r="R11" s="114">
        <f>IF(COUNT($H11:Q11)&gt;Input!$W$7,0, Q11+Q43+Q123)</f>
        <v>0</v>
      </c>
      <c r="S11" s="110"/>
      <c r="T11" s="110"/>
      <c r="U11" s="110"/>
      <c r="V11" s="110"/>
      <c r="W11" s="110"/>
      <c r="X11" s="110"/>
      <c r="Y11" s="110"/>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row>
    <row r="12" spans="1:255" s="204" customFormat="1" hidden="1" outlineLevel="1">
      <c r="A12" s="9"/>
      <c r="B12" s="44"/>
      <c r="C12" s="278" t="str">
        <f>Asset5</f>
        <v>Other</v>
      </c>
      <c r="D12" s="9"/>
      <c r="E12" s="9"/>
      <c r="F12" s="9"/>
      <c r="G12" s="9"/>
      <c r="H12" s="156">
        <f>A5taxvalue-Input!M11+(Input!G147-Input!G181)</f>
        <v>8.2367774902089561</v>
      </c>
      <c r="I12" s="114">
        <f>H12+H44+H136</f>
        <v>6.6730482092077352</v>
      </c>
      <c r="J12" s="114">
        <f>I12+I44+I136</f>
        <v>5.1093189282065143</v>
      </c>
      <c r="K12" s="114">
        <f>J12+J44+J136</f>
        <v>3.5455896472052935</v>
      </c>
      <c r="L12" s="114">
        <f>K12+K44+K136</f>
        <v>1.9818603662040724</v>
      </c>
      <c r="M12" s="114">
        <f>L12+L44+L136</f>
        <v>0.41813108520285125</v>
      </c>
      <c r="N12" s="114">
        <f>IF(COUNT($H12:M12)&gt;Input!$W$7,0, M12+M44+M136)</f>
        <v>0</v>
      </c>
      <c r="O12" s="114">
        <f>IF(COUNT($H12:N12)&gt;Input!$W$7,0, N12+N44+N136)</f>
        <v>0</v>
      </c>
      <c r="P12" s="114">
        <f>IF(COUNT($H12:O12)&gt;Input!$W$7,0, O12+O44+O136)</f>
        <v>0</v>
      </c>
      <c r="Q12" s="114">
        <f>IF(COUNT($H12:P12)&gt;Input!$W$7,0, P12+P44+P136)</f>
        <v>0</v>
      </c>
      <c r="R12" s="114">
        <f>IF(COUNT($H12:Q12)&gt;Input!$W$7,0, Q12+Q44+Q136)</f>
        <v>0</v>
      </c>
      <c r="S12" s="110"/>
      <c r="T12" s="110"/>
      <c r="U12" s="110"/>
      <c r="V12" s="110"/>
      <c r="W12" s="110"/>
      <c r="X12" s="110"/>
      <c r="Y12" s="110"/>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row>
    <row r="13" spans="1:255" s="204" customFormat="1" hidden="1" outlineLevel="1">
      <c r="A13" s="9"/>
      <c r="B13" s="44"/>
      <c r="C13" s="278" t="str">
        <f>Asset6</f>
        <v>Other - IT</v>
      </c>
      <c r="D13" s="9"/>
      <c r="E13" s="9"/>
      <c r="F13" s="9"/>
      <c r="G13" s="9"/>
      <c r="H13" s="156">
        <f>A6taxvalue-Input!M12+(Input!G148-Input!G182)</f>
        <v>27.572818390570291</v>
      </c>
      <c r="I13" s="114">
        <f>H13+H45+H149</f>
        <v>16.277316673456429</v>
      </c>
      <c r="J13" s="114">
        <f>I13+I45+I149</f>
        <v>4.9768149563425688</v>
      </c>
      <c r="K13" s="114">
        <f>J13+J45+J149</f>
        <v>4.9784816230092357</v>
      </c>
      <c r="L13" s="114">
        <f>K13+K45+K149</f>
        <v>4.9801482896759026</v>
      </c>
      <c r="M13" s="114">
        <f>L13+L45+L149</f>
        <v>4.9818149563425695</v>
      </c>
      <c r="N13" s="114">
        <f>IF(COUNT($H13:M13)&gt;Input!$W$7,0, M13+M45+M149)</f>
        <v>0</v>
      </c>
      <c r="O13" s="114">
        <f>IF(COUNT($H13:N13)&gt;Input!$W$7,0, N13+N45+N149)</f>
        <v>0</v>
      </c>
      <c r="P13" s="114">
        <f>IF(COUNT($H13:O13)&gt;Input!$W$7,0, O13+O45+O149)</f>
        <v>0</v>
      </c>
      <c r="Q13" s="114">
        <f>IF(COUNT($H13:P13)&gt;Input!$W$7,0, P13+P45+P149)</f>
        <v>0</v>
      </c>
      <c r="R13" s="114">
        <f>IF(COUNT($H13:Q13)&gt;Input!$W$7,0, Q13+Q45+Q149)</f>
        <v>0</v>
      </c>
      <c r="S13" s="110"/>
      <c r="T13" s="110"/>
      <c r="U13" s="110"/>
      <c r="V13" s="110"/>
      <c r="W13" s="110"/>
      <c r="X13" s="110"/>
      <c r="Y13" s="110"/>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1:255" s="204" customFormat="1" hidden="1" outlineLevel="1">
      <c r="A14" s="9"/>
      <c r="B14" s="44"/>
      <c r="C14" s="278" t="str">
        <f>Asset7</f>
        <v>Other - General</v>
      </c>
      <c r="D14" s="9"/>
      <c r="E14" s="9"/>
      <c r="F14" s="9"/>
      <c r="G14" s="9"/>
      <c r="H14" s="156">
        <f>A7taxvalue-Input!M13+(Input!G149-Input!G183)</f>
        <v>-2.2246431788191883</v>
      </c>
      <c r="I14" s="114">
        <f>H14+H46+H162</f>
        <v>-1.0787621192127921</v>
      </c>
      <c r="J14" s="114">
        <f>I14+I46+I162</f>
        <v>6.711894039360411E-2</v>
      </c>
      <c r="K14" s="114">
        <f>J14+J46+J162</f>
        <v>1.2130000000000003</v>
      </c>
      <c r="L14" s="114">
        <f>K14+K46+K162</f>
        <v>1.2130000000000003</v>
      </c>
      <c r="M14" s="114">
        <f>L14+L46+L162</f>
        <v>1.2130000000000003</v>
      </c>
      <c r="N14" s="114">
        <f>IF(COUNT($H14:M14)&gt;Input!$W$7,0, M14+M46+M162)</f>
        <v>0</v>
      </c>
      <c r="O14" s="114">
        <f>IF(COUNT($H14:N14)&gt;Input!$W$7,0, N14+N46+N162)</f>
        <v>0</v>
      </c>
      <c r="P14" s="114">
        <f>IF(COUNT($H14:O14)&gt;Input!$W$7,0, O14+O46+O162)</f>
        <v>0</v>
      </c>
      <c r="Q14" s="114">
        <f>IF(COUNT($H14:P14)&gt;Input!$W$7,0, P14+P46+P162)</f>
        <v>0</v>
      </c>
      <c r="R14" s="114">
        <f>IF(COUNT($H14:Q14)&gt;Input!$W$7,0, Q14+Q46+Q162)</f>
        <v>0</v>
      </c>
      <c r="S14" s="110"/>
      <c r="T14" s="110"/>
      <c r="U14" s="110"/>
      <c r="V14" s="110"/>
      <c r="W14" s="110"/>
      <c r="X14" s="110"/>
      <c r="Y14" s="110"/>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row>
    <row r="15" spans="1:255" s="204" customFormat="1" hidden="1" outlineLevel="1">
      <c r="A15" s="9"/>
      <c r="B15" s="44"/>
      <c r="C15" s="278" t="str">
        <f>Asset8</f>
        <v>Other - Buildings</v>
      </c>
      <c r="D15" s="9"/>
      <c r="E15" s="9"/>
      <c r="F15" s="9"/>
      <c r="G15" s="9"/>
      <c r="H15" s="156">
        <f>A8taxvalue-Input!M14+(Input!G150-Input!G184)</f>
        <v>24.055372907375279</v>
      </c>
      <c r="I15" s="114">
        <f>H15+H47+H175</f>
        <v>23.465691789560065</v>
      </c>
      <c r="J15" s="114">
        <f>I15+I47+I175</f>
        <v>22.876010671744851</v>
      </c>
      <c r="K15" s="114">
        <f>J15+J47+J175</f>
        <v>22.286329553929637</v>
      </c>
      <c r="L15" s="114">
        <f>K15+K47+K175</f>
        <v>21.696648436114423</v>
      </c>
      <c r="M15" s="114">
        <f>L15+L47+L175</f>
        <v>21.106967318299208</v>
      </c>
      <c r="N15" s="114">
        <f>IF(COUNT($H15:M15)&gt;Input!$W$7,0, M15+M47+M175)</f>
        <v>0</v>
      </c>
      <c r="O15" s="114">
        <f>IF(COUNT($H15:N15)&gt;Input!$W$7,0, N15+N47+N175)</f>
        <v>0</v>
      </c>
      <c r="P15" s="114">
        <f>IF(COUNT($H15:O15)&gt;Input!$W$7,0, O15+O47+O175)</f>
        <v>0</v>
      </c>
      <c r="Q15" s="114">
        <f>IF(COUNT($H15:P15)&gt;Input!$W$7,0, P15+P47+P175)</f>
        <v>0</v>
      </c>
      <c r="R15" s="114">
        <f>IF(COUNT($H15:Q15)&gt;Input!$W$7,0, Q15+Q47+Q175)</f>
        <v>0</v>
      </c>
      <c r="S15" s="110"/>
      <c r="T15" s="110"/>
      <c r="U15" s="110"/>
      <c r="V15" s="110"/>
      <c r="W15" s="110"/>
      <c r="X15" s="110"/>
      <c r="Y15" s="110"/>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row>
    <row r="16" spans="1:255" s="204" customFormat="1" hidden="1" outlineLevel="1">
      <c r="A16" s="9"/>
      <c r="B16" s="44"/>
      <c r="C16" s="278" t="str">
        <f>Asset9</f>
        <v>Land and Easements</v>
      </c>
      <c r="D16" s="9"/>
      <c r="E16" s="9"/>
      <c r="F16" s="9"/>
      <c r="G16" s="9"/>
      <c r="H16" s="156">
        <f>A9taxvalue-Input!M15+(Input!G151-Input!G185)</f>
        <v>75.299155887228679</v>
      </c>
      <c r="I16" s="114">
        <f>H16+H48+H188</f>
        <v>75.299155887228679</v>
      </c>
      <c r="J16" s="114">
        <f>I16+I48+I188</f>
        <v>75.299155887228679</v>
      </c>
      <c r="K16" s="114">
        <f>J16+J48+J188</f>
        <v>75.299155887228679</v>
      </c>
      <c r="L16" s="114">
        <f>K16+K48+K188</f>
        <v>75.299155887228679</v>
      </c>
      <c r="M16" s="114">
        <f>L16+L48+L188</f>
        <v>75.299155887228679</v>
      </c>
      <c r="N16" s="114">
        <f>IF(COUNT($H16:M16)&gt;Input!$W$7,0, M16+M48+M188)</f>
        <v>0</v>
      </c>
      <c r="O16" s="114">
        <f>IF(COUNT($H16:N16)&gt;Input!$W$7,0, N16+N48+N188)</f>
        <v>0</v>
      </c>
      <c r="P16" s="114">
        <f>IF(COUNT($H16:O16)&gt;Input!$W$7,0, O16+O48+O188)</f>
        <v>0</v>
      </c>
      <c r="Q16" s="114">
        <f>IF(COUNT($H16:P16)&gt;Input!$W$7,0, P16+P48+P188)</f>
        <v>0</v>
      </c>
      <c r="R16" s="114">
        <f>IF(COUNT($H16:Q16)&gt;Input!$W$7,0, Q16+Q48+Q188)</f>
        <v>0</v>
      </c>
      <c r="S16" s="110"/>
      <c r="T16" s="110"/>
      <c r="U16" s="110"/>
      <c r="V16" s="110"/>
      <c r="W16" s="110"/>
      <c r="X16" s="110"/>
      <c r="Y16" s="110"/>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s="204" customFormat="1" hidden="1" outlineLevel="1">
      <c r="A17" s="9"/>
      <c r="B17" s="44"/>
      <c r="C17" s="278" t="str">
        <f>Asset10</f>
        <v>Transmission line assets - long life (60)</v>
      </c>
      <c r="D17" s="9"/>
      <c r="E17" s="9"/>
      <c r="F17" s="9"/>
      <c r="G17" s="9"/>
      <c r="H17" s="156">
        <f>A10taxvalue-Input!M16+(Input!G152-Input!G186)</f>
        <v>0</v>
      </c>
      <c r="I17" s="114">
        <f>H17+H49+H201</f>
        <v>1.197678</v>
      </c>
      <c r="J17" s="114">
        <f>I17+I49+I201</f>
        <v>111.83771669999999</v>
      </c>
      <c r="K17" s="114">
        <f>J17+J49+J201</f>
        <v>127.59142206666665</v>
      </c>
      <c r="L17" s="114">
        <f>K17+K49+K201</f>
        <v>135.17149409999999</v>
      </c>
      <c r="M17" s="114">
        <f>L17+L49+L201</f>
        <v>174.15970719901276</v>
      </c>
      <c r="N17" s="114">
        <f>IF(COUNT($H17:M17)&gt;Input!$W$7,0, M17+M49+M201)</f>
        <v>0</v>
      </c>
      <c r="O17" s="114">
        <f>IF(COUNT($H17:N17)&gt;Input!$W$7,0, N17+N49+N201)</f>
        <v>0</v>
      </c>
      <c r="P17" s="114">
        <f>IF(COUNT($H17:O17)&gt;Input!$W$7,0, O17+O49+O201)</f>
        <v>0</v>
      </c>
      <c r="Q17" s="114">
        <f>IF(COUNT($H17:P17)&gt;Input!$W$7,0, P17+P49+P201)</f>
        <v>0</v>
      </c>
      <c r="R17" s="114">
        <f>IF(COUNT($H17:Q17)&gt;Input!$W$7,0, Q17+Q49+Q201)</f>
        <v>0</v>
      </c>
      <c r="S17" s="110"/>
      <c r="T17" s="110"/>
      <c r="U17" s="110"/>
      <c r="V17" s="110"/>
      <c r="W17" s="110"/>
      <c r="X17" s="110"/>
      <c r="Y17" s="110"/>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row>
    <row r="18" spans="1:60" s="204" customFormat="1" hidden="1" outlineLevel="1">
      <c r="A18" s="9"/>
      <c r="B18" s="44"/>
      <c r="C18" s="278" t="str">
        <f>Asset11</f>
        <v>Transmission line assets - medium life (45)</v>
      </c>
      <c r="D18" s="9"/>
      <c r="E18" s="9"/>
      <c r="F18" s="9"/>
      <c r="G18" s="9"/>
      <c r="H18" s="156">
        <f>A11taxvalue-Input!M17+(Input!G153-Input!G187)</f>
        <v>0</v>
      </c>
      <c r="I18" s="114">
        <f>H18+H50+H214</f>
        <v>1.2855E-2</v>
      </c>
      <c r="J18" s="114">
        <f>I18+I50+I214</f>
        <v>4.2569333333333334E-2</v>
      </c>
      <c r="K18" s="114">
        <f>J18+J50+J214</f>
        <v>0.23061700000000002</v>
      </c>
      <c r="L18" s="114">
        <f>K18+K50+K214</f>
        <v>0.60646466666666676</v>
      </c>
      <c r="M18" s="114">
        <f>L18+L50+L214</f>
        <v>0.74468466666666666</v>
      </c>
      <c r="N18" s="114">
        <f>IF(COUNT($H18:M18)&gt;Input!$W$7,0, M18+M50+M214)</f>
        <v>0</v>
      </c>
      <c r="O18" s="114">
        <f>IF(COUNT($H18:N18)&gt;Input!$W$7,0, N18+N50+N214)</f>
        <v>0</v>
      </c>
      <c r="P18" s="114">
        <f>IF(COUNT($H18:O18)&gt;Input!$W$7,0, O18+O50+O214)</f>
        <v>0</v>
      </c>
      <c r="Q18" s="114">
        <f>IF(COUNT($H18:P18)&gt;Input!$W$7,0, P18+P50+P214)</f>
        <v>0</v>
      </c>
      <c r="R18" s="114">
        <f>IF(COUNT($H18:Q18)&gt;Input!$W$7,0, Q18+Q50+Q214)</f>
        <v>0</v>
      </c>
      <c r="S18" s="110"/>
      <c r="T18" s="110"/>
      <c r="U18" s="110"/>
      <c r="V18" s="110"/>
      <c r="W18" s="110"/>
      <c r="X18" s="110"/>
      <c r="Y18" s="110"/>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row>
    <row r="19" spans="1:60" s="204" customFormat="1" hidden="1" outlineLevel="1">
      <c r="A19" s="9"/>
      <c r="B19" s="44"/>
      <c r="C19" s="278" t="str">
        <f>Asset12</f>
        <v>Transmission line assets - short life (10)</v>
      </c>
      <c r="D19" s="9"/>
      <c r="E19" s="9"/>
      <c r="F19" s="9"/>
      <c r="G19" s="9"/>
      <c r="H19" s="156">
        <f>A12taxvalue-Input!M18+(Input!G154-Input!G188)</f>
        <v>0</v>
      </c>
      <c r="I19" s="114">
        <f>H19+H51+H227</f>
        <v>0.36027799999999999</v>
      </c>
      <c r="J19" s="114">
        <f>I19+I51+I227</f>
        <v>0.70725020000000005</v>
      </c>
      <c r="K19" s="114">
        <f>J19+J51+J227</f>
        <v>1.1499224000000001</v>
      </c>
      <c r="L19" s="114">
        <f>K19+K51+K227</f>
        <v>1.6618946000000003</v>
      </c>
      <c r="M19" s="114">
        <f>L19+L51+L227</f>
        <v>4.9866757782399507</v>
      </c>
      <c r="N19" s="114">
        <f>IF(COUNT($H19:M19)&gt;Input!$W$7,0, M19+M51+M227)</f>
        <v>0</v>
      </c>
      <c r="O19" s="114">
        <f>IF(COUNT($H19:N19)&gt;Input!$W$7,0, N19+N51+N227)</f>
        <v>0</v>
      </c>
      <c r="P19" s="114">
        <f>IF(COUNT($H19:O19)&gt;Input!$W$7,0, O19+O51+O227)</f>
        <v>0</v>
      </c>
      <c r="Q19" s="114">
        <f>IF(COUNT($H19:P19)&gt;Input!$W$7,0, P19+P51+P227)</f>
        <v>0</v>
      </c>
      <c r="R19" s="114">
        <f>IF(COUNT($H19:Q19)&gt;Input!$W$7,0, Q19+Q51+Q227)</f>
        <v>0</v>
      </c>
      <c r="S19" s="110"/>
      <c r="T19" s="110"/>
      <c r="U19" s="110"/>
      <c r="V19" s="110"/>
      <c r="W19" s="110"/>
      <c r="X19" s="110"/>
      <c r="Y19" s="110"/>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row>
    <row r="20" spans="1:60" s="204" customFormat="1" hidden="1" outlineLevel="1">
      <c r="A20" s="9"/>
      <c r="B20" s="44"/>
      <c r="C20" s="278" t="str">
        <f>Asset13</f>
        <v>Substation assets - long life (60)</v>
      </c>
      <c r="D20" s="9"/>
      <c r="E20" s="9"/>
      <c r="F20" s="9"/>
      <c r="G20" s="9"/>
      <c r="H20" s="156">
        <f>A13taxvalue-Input!M19+(Input!G155-Input!G189)</f>
        <v>0</v>
      </c>
      <c r="I20" s="114">
        <f>H20+H52+H240</f>
        <v>2.3763049999999999</v>
      </c>
      <c r="J20" s="114">
        <f>I20+I52+I240</f>
        <v>24.245699916666663</v>
      </c>
      <c r="K20" s="114">
        <f>J20+J52+J240</f>
        <v>34.730944833333332</v>
      </c>
      <c r="L20" s="114">
        <f>K20+K52+K240</f>
        <v>42.128689749999999</v>
      </c>
      <c r="M20" s="114">
        <f>L20+L52+L240</f>
        <v>51.260885711245344</v>
      </c>
      <c r="N20" s="114">
        <f>IF(COUNT($H20:M20)&gt;Input!$W$7,0, M20+M52+M240)</f>
        <v>0</v>
      </c>
      <c r="O20" s="114">
        <f>IF(COUNT($H20:N20)&gt;Input!$W$7,0, N20+N52+N240)</f>
        <v>0</v>
      </c>
      <c r="P20" s="114">
        <f>IF(COUNT($H20:O20)&gt;Input!$W$7,0, O20+O52+O240)</f>
        <v>0</v>
      </c>
      <c r="Q20" s="114">
        <f>IF(COUNT($H20:P20)&gt;Input!$W$7,0, P20+P52+P240)</f>
        <v>0</v>
      </c>
      <c r="R20" s="114">
        <f>IF(COUNT($H20:Q20)&gt;Input!$W$7,0, Q20+Q52+Q240)</f>
        <v>0</v>
      </c>
      <c r="S20" s="110"/>
      <c r="T20" s="110"/>
      <c r="U20" s="110"/>
      <c r="V20" s="110"/>
      <c r="W20" s="110"/>
      <c r="X20" s="110"/>
      <c r="Y20" s="110"/>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1:60" s="204" customFormat="1" hidden="1" outlineLevel="1">
      <c r="A21" s="9"/>
      <c r="B21" s="44"/>
      <c r="C21" s="278" t="str">
        <f>Asset14</f>
        <v>Substation assets - medium life (45)</v>
      </c>
      <c r="D21" s="9"/>
      <c r="E21" s="9"/>
      <c r="F21" s="9"/>
      <c r="G21" s="9"/>
      <c r="H21" s="156">
        <f>A14taxvalue-Input!M20+(Input!G156-Input!G190)</f>
        <v>0</v>
      </c>
      <c r="I21" s="114">
        <f>H21+H53+H253</f>
        <v>11.202597000000001</v>
      </c>
      <c r="J21" s="114">
        <f>I21+I53+I253</f>
        <v>64.353650400000006</v>
      </c>
      <c r="K21" s="114">
        <f>J21+J53+J253</f>
        <v>109.33503713333334</v>
      </c>
      <c r="L21" s="114">
        <f>K21+K53+K253</f>
        <v>144.27293497777779</v>
      </c>
      <c r="M21" s="114">
        <f>L21+L53+L253</f>
        <v>170.9345959891711</v>
      </c>
      <c r="N21" s="114">
        <f>IF(COUNT($H21:M21)&gt;Input!$W$7,0, M21+M53+M253)</f>
        <v>0</v>
      </c>
      <c r="O21" s="114">
        <f>IF(COUNT($H21:N21)&gt;Input!$W$7,0, N21+N53+N253)</f>
        <v>0</v>
      </c>
      <c r="P21" s="114">
        <f>IF(COUNT($H21:O21)&gt;Input!$W$7,0, O21+O53+O253)</f>
        <v>0</v>
      </c>
      <c r="Q21" s="114">
        <f>IF(COUNT($H21:P21)&gt;Input!$W$7,0, P21+P53+P253)</f>
        <v>0</v>
      </c>
      <c r="R21" s="114">
        <f>IF(COUNT($H21:Q21)&gt;Input!$W$7,0, Q21+Q53+Q253)</f>
        <v>0</v>
      </c>
      <c r="S21" s="110"/>
      <c r="T21" s="110"/>
      <c r="U21" s="110"/>
      <c r="V21" s="110"/>
      <c r="W21" s="110"/>
      <c r="X21" s="110"/>
      <c r="Y21" s="11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row>
    <row r="22" spans="1:60" s="204" customFormat="1" hidden="1" outlineLevel="1">
      <c r="A22" s="9"/>
      <c r="B22" s="44"/>
      <c r="C22" s="278" t="str">
        <f>Asset15</f>
        <v>Substation assets - short life (15)</v>
      </c>
      <c r="D22" s="9"/>
      <c r="E22" s="9"/>
      <c r="F22" s="9"/>
      <c r="G22" s="9"/>
      <c r="H22" s="156">
        <f>A15taxvalue-Input!M21+(Input!G157-Input!G191)</f>
        <v>0</v>
      </c>
      <c r="I22" s="114">
        <f>H22+H54+H266</f>
        <v>11.757999999999999</v>
      </c>
      <c r="J22" s="114">
        <f>I22+I54+I266</f>
        <v>12.510133333333332</v>
      </c>
      <c r="K22" s="114">
        <f>J22+J54+J266</f>
        <v>12.701866666666666</v>
      </c>
      <c r="L22" s="114">
        <f>K22+K54+K266</f>
        <v>15.789733333333334</v>
      </c>
      <c r="M22" s="114">
        <f>L22+L54+L266</f>
        <v>19.573038243583447</v>
      </c>
      <c r="N22" s="114">
        <f>IF(COUNT($H22:M22)&gt;Input!$W$7,0, M22+M54+M266)</f>
        <v>0</v>
      </c>
      <c r="O22" s="114">
        <f>IF(COUNT($H22:N22)&gt;Input!$W$7,0, N22+N54+N266)</f>
        <v>0</v>
      </c>
      <c r="P22" s="114">
        <f>IF(COUNT($H22:O22)&gt;Input!$W$7,0, O22+O54+O266)</f>
        <v>0</v>
      </c>
      <c r="Q22" s="114">
        <f>IF(COUNT($H22:P22)&gt;Input!$W$7,0, P22+P54+P266)</f>
        <v>0</v>
      </c>
      <c r="R22" s="114">
        <f>IF(COUNT($H22:Q22)&gt;Input!$W$7,0, Q22+Q54+Q266)</f>
        <v>0</v>
      </c>
      <c r="S22" s="110"/>
      <c r="T22" s="110"/>
      <c r="U22" s="110"/>
      <c r="V22" s="110"/>
      <c r="W22" s="110"/>
      <c r="X22" s="110"/>
      <c r="Y22" s="11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row>
    <row r="23" spans="1:60" s="204" customFormat="1" hidden="1" outlineLevel="1">
      <c r="A23" s="9"/>
      <c r="B23" s="44"/>
      <c r="C23" s="278" t="str">
        <f>Asset16</f>
        <v>Protection and control - short life (15)</v>
      </c>
      <c r="D23" s="9"/>
      <c r="E23" s="9"/>
      <c r="F23" s="9"/>
      <c r="G23" s="9"/>
      <c r="H23" s="156">
        <f>A16taxvalue-Input!M22+(Input!G158-Input!G192)</f>
        <v>0</v>
      </c>
      <c r="I23" s="114">
        <f>H23+H55+H279</f>
        <v>10.477506</v>
      </c>
      <c r="J23" s="114">
        <f>I23+I55+I279</f>
        <v>23.357005600000001</v>
      </c>
      <c r="K23" s="114">
        <f>J23+J55+J279</f>
        <v>41.438305199999995</v>
      </c>
      <c r="L23" s="114">
        <f>K23+K55+K279</f>
        <v>56.625271466666661</v>
      </c>
      <c r="M23" s="114">
        <f>L23+L55+L279</f>
        <v>72.532317742441904</v>
      </c>
      <c r="N23" s="114">
        <f>IF(COUNT($H23:M23)&gt;Input!$W$7,0, M23+M55+M279)</f>
        <v>0</v>
      </c>
      <c r="O23" s="114">
        <f>IF(COUNT($H23:N23)&gt;Input!$W$7,0, N23+N55+N279)</f>
        <v>0</v>
      </c>
      <c r="P23" s="114">
        <f>IF(COUNT($H23:O23)&gt;Input!$W$7,0, O23+O55+O279)</f>
        <v>0</v>
      </c>
      <c r="Q23" s="114">
        <f>IF(COUNT($H23:P23)&gt;Input!$W$7,0, P23+P55+P279)</f>
        <v>0</v>
      </c>
      <c r="R23" s="114">
        <f>IF(COUNT($H23:Q23)&gt;Input!$W$7,0, Q23+Q55+Q279)</f>
        <v>0</v>
      </c>
      <c r="S23" s="110"/>
      <c r="T23" s="110"/>
      <c r="U23" s="110"/>
      <c r="V23" s="110"/>
      <c r="W23" s="110"/>
      <c r="X23" s="110"/>
      <c r="Y23" s="110"/>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row>
    <row r="24" spans="1:60" s="204" customFormat="1" hidden="1" outlineLevel="1">
      <c r="A24" s="9"/>
      <c r="B24" s="44"/>
      <c r="C24" s="278" t="str">
        <f>Asset17</f>
        <v>Protection and control - short life (4)</v>
      </c>
      <c r="D24" s="9"/>
      <c r="E24" s="9"/>
      <c r="F24" s="9"/>
      <c r="G24" s="9"/>
      <c r="H24" s="156">
        <f>A17taxvalue-Input!M23+(Input!G159-Input!G193)</f>
        <v>0</v>
      </c>
      <c r="I24" s="114">
        <f>H24+H56+H292</f>
        <v>4.1248E-2</v>
      </c>
      <c r="J24" s="114">
        <f>I24+I56+I292</f>
        <v>0.10393599999999999</v>
      </c>
      <c r="K24" s="114">
        <f>J24+J56+J292</f>
        <v>1.3393740000000001</v>
      </c>
      <c r="L24" s="114">
        <f>K24+K56+K292</f>
        <v>1.295812</v>
      </c>
      <c r="M24" s="114">
        <f>L24+L56+L292</f>
        <v>0.876</v>
      </c>
      <c r="N24" s="114">
        <f>IF(COUNT($H24:M24)&gt;Input!$W$7,0, M24+M56+M292)</f>
        <v>0</v>
      </c>
      <c r="O24" s="114">
        <f>IF(COUNT($H24:N24)&gt;Input!$W$7,0, N24+N56+N292)</f>
        <v>0</v>
      </c>
      <c r="P24" s="114">
        <f>IF(COUNT($H24:O24)&gt;Input!$W$7,0, O24+O56+O292)</f>
        <v>0</v>
      </c>
      <c r="Q24" s="114">
        <f>IF(COUNT($H24:P24)&gt;Input!$W$7,0, P24+P56+P292)</f>
        <v>0</v>
      </c>
      <c r="R24" s="114">
        <f>IF(COUNT($H24:Q24)&gt;Input!$W$7,0, Q24+Q56+Q292)</f>
        <v>0</v>
      </c>
      <c r="S24" s="110"/>
      <c r="T24" s="110"/>
      <c r="U24" s="110"/>
      <c r="V24" s="110"/>
      <c r="W24" s="110"/>
      <c r="X24" s="110"/>
      <c r="Y24" s="110"/>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row>
    <row r="25" spans="1:60" s="204" customFormat="1" hidden="1" outlineLevel="1">
      <c r="A25" s="9"/>
      <c r="B25" s="44"/>
      <c r="C25" s="278" t="str">
        <f>Asset18</f>
        <v>Transmission operations - short life (10)</v>
      </c>
      <c r="D25" s="9"/>
      <c r="E25" s="9"/>
      <c r="F25" s="9"/>
      <c r="G25" s="9"/>
      <c r="H25" s="156">
        <f>A18taxvalue-Input!M24+(Input!G160-Input!G194)</f>
        <v>0</v>
      </c>
      <c r="I25" s="114">
        <f>H25+H57+H305</f>
        <v>1.1337280000000001</v>
      </c>
      <c r="J25" s="114">
        <f>I25+I57+I305</f>
        <v>2.6103552000000003</v>
      </c>
      <c r="K25" s="114">
        <f>J25+J57+J305</f>
        <v>4.8919823999999998</v>
      </c>
      <c r="L25" s="114">
        <f>K25+K57+K305</f>
        <v>6.1832095999999996</v>
      </c>
      <c r="M25" s="114">
        <f>L25+L57+L305</f>
        <v>6.97294679</v>
      </c>
      <c r="N25" s="114">
        <f>IF(COUNT($H25:M25)&gt;Input!$W$7,0, M25+M57+M305)</f>
        <v>0</v>
      </c>
      <c r="O25" s="114">
        <f>IF(COUNT($H25:N25)&gt;Input!$W$7,0, N25+N57+N305)</f>
        <v>0</v>
      </c>
      <c r="P25" s="114">
        <f>IF(COUNT($H25:O25)&gt;Input!$W$7,0, O25+O57+O305)</f>
        <v>0</v>
      </c>
      <c r="Q25" s="114">
        <f>IF(COUNT($H25:P25)&gt;Input!$W$7,0, P25+P57+P305)</f>
        <v>0</v>
      </c>
      <c r="R25" s="114">
        <f>IF(COUNT($H25:Q25)&gt;Input!$W$7,0, Q25+Q57+Q305)</f>
        <v>0</v>
      </c>
      <c r="S25" s="110"/>
      <c r="T25" s="110"/>
      <c r="U25" s="110"/>
      <c r="V25" s="110"/>
      <c r="W25" s="110"/>
      <c r="X25" s="110"/>
      <c r="Y25" s="110"/>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row>
    <row r="26" spans="1:60" s="204" customFormat="1" hidden="1" outlineLevel="1">
      <c r="A26" s="9"/>
      <c r="B26" s="44"/>
      <c r="C26" s="278" t="str">
        <f>Asset19</f>
        <v>Transmission operations - short life (4)</v>
      </c>
      <c r="D26" s="9"/>
      <c r="E26" s="9"/>
      <c r="F26" s="9"/>
      <c r="G26" s="9"/>
      <c r="H26" s="156">
        <f>A19taxvalue-Input!M25+(Input!G161-Input!G195)</f>
        <v>0</v>
      </c>
      <c r="I26" s="114">
        <f>H26+H58+H318</f>
        <v>4.4516E-2</v>
      </c>
      <c r="J26" s="114">
        <f>I26+I58+I318</f>
        <v>9.7387000000000001E-2</v>
      </c>
      <c r="K26" s="114">
        <f>J26+J58+J318</f>
        <v>7.0258000000000001E-2</v>
      </c>
      <c r="L26" s="114">
        <f>K26+K58+K318</f>
        <v>0.202129</v>
      </c>
      <c r="M26" s="114">
        <f>L26+L58+L318</f>
        <v>0.13525000000000001</v>
      </c>
      <c r="N26" s="114">
        <f>IF(COUNT($H26:M26)&gt;Input!$W$7,0, M26+M58+M318)</f>
        <v>0</v>
      </c>
      <c r="O26" s="114">
        <f>IF(COUNT($H26:N26)&gt;Input!$W$7,0, N26+N58+N318)</f>
        <v>0</v>
      </c>
      <c r="P26" s="114">
        <f>IF(COUNT($H26:O26)&gt;Input!$W$7,0, O26+O58+O318)</f>
        <v>0</v>
      </c>
      <c r="Q26" s="114">
        <f>IF(COUNT($H26:P26)&gt;Input!$W$7,0, P26+P58+P318)</f>
        <v>0</v>
      </c>
      <c r="R26" s="114">
        <f>IF(COUNT($H26:Q26)&gt;Input!$W$7,0, Q26+Q58+Q318)</f>
        <v>0</v>
      </c>
      <c r="S26" s="110"/>
      <c r="T26" s="110"/>
      <c r="U26" s="110"/>
      <c r="V26" s="110"/>
      <c r="W26" s="110"/>
      <c r="X26" s="110"/>
      <c r="Y26" s="110"/>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1:60" s="204" customFormat="1" hidden="1" outlineLevel="1">
      <c r="A27" s="9"/>
      <c r="B27" s="44"/>
      <c r="C27" s="278" t="str">
        <f>Asset20</f>
        <v>Other - medium life (40)</v>
      </c>
      <c r="D27" s="9"/>
      <c r="E27" s="9"/>
      <c r="F27" s="9"/>
      <c r="G27" s="9"/>
      <c r="H27" s="156">
        <f>A20taxvalue-Input!M26+(Input!G162-Input!G196)</f>
        <v>0</v>
      </c>
      <c r="I27" s="114">
        <f>H27+H59+H331</f>
        <v>8.0919840000000001</v>
      </c>
      <c r="J27" s="114">
        <f>I27+I59+I331</f>
        <v>22.193684399999999</v>
      </c>
      <c r="K27" s="114">
        <f>J27+J59+J331</f>
        <v>23.266784799999996</v>
      </c>
      <c r="L27" s="114">
        <f>K27+K59+K331</f>
        <v>22.787060199999996</v>
      </c>
      <c r="M27" s="114">
        <f>L27+L59+L331</f>
        <v>25.688806433070734</v>
      </c>
      <c r="N27" s="114">
        <f>IF(COUNT($H27:M27)&gt;Input!$W$7,0, M27+M59+M331)</f>
        <v>0</v>
      </c>
      <c r="O27" s="114">
        <f>IF(COUNT($H27:N27)&gt;Input!$W$7,0, N27+N59+N331)</f>
        <v>0</v>
      </c>
      <c r="P27" s="114">
        <f>IF(COUNT($H27:O27)&gt;Input!$W$7,0, O27+O59+O331)</f>
        <v>0</v>
      </c>
      <c r="Q27" s="114">
        <f>IF(COUNT($H27:P27)&gt;Input!$W$7,0, P27+P59+P331)</f>
        <v>0</v>
      </c>
      <c r="R27" s="114">
        <f>IF(COUNT($H27:Q27)&gt;Input!$W$7,0, Q27+Q59+Q331)</f>
        <v>0</v>
      </c>
      <c r="S27" s="110"/>
      <c r="T27" s="110"/>
      <c r="U27" s="110"/>
      <c r="V27" s="110"/>
      <c r="W27" s="110"/>
      <c r="X27" s="110"/>
      <c r="Y27" s="110"/>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row>
    <row r="28" spans="1:60" s="204" customFormat="1" hidden="1" outlineLevel="1">
      <c r="A28" s="9"/>
      <c r="B28" s="44"/>
      <c r="C28" s="278" t="str">
        <f>Asset21</f>
        <v>Other - short life (9)</v>
      </c>
      <c r="D28" s="9"/>
      <c r="E28" s="9"/>
      <c r="F28" s="9"/>
      <c r="G28" s="9"/>
      <c r="H28" s="156">
        <f>A21taxvalue-Input!M27+(Input!G163-Input!G197)</f>
        <v>0</v>
      </c>
      <c r="I28" s="114">
        <f>H28+H60+H344</f>
        <v>0.69179100000000004</v>
      </c>
      <c r="J28" s="114">
        <f>I28+I60+I344</f>
        <v>1.6149253333333333</v>
      </c>
      <c r="K28" s="114">
        <f>J28+J60+J344</f>
        <v>2.5389485555555558</v>
      </c>
      <c r="L28" s="114">
        <f>K28+K60+K344</f>
        <v>2.4584162222222221</v>
      </c>
      <c r="M28" s="114">
        <f>L28+L60+L344</f>
        <v>2.6253012222222223</v>
      </c>
      <c r="N28" s="114">
        <f>IF(COUNT($H28:M28)&gt;Input!$W$7,0, M28+M60+M344)</f>
        <v>0</v>
      </c>
      <c r="O28" s="114">
        <f>IF(COUNT($H28:N28)&gt;Input!$W$7,0, N28+N60+N344)</f>
        <v>0</v>
      </c>
      <c r="P28" s="114">
        <f>IF(COUNT($H28:O28)&gt;Input!$W$7,0, O28+O60+O344)</f>
        <v>0</v>
      </c>
      <c r="Q28" s="114">
        <f>IF(COUNT($H28:P28)&gt;Input!$W$7,0, P28+P60+P344)</f>
        <v>0</v>
      </c>
      <c r="R28" s="114">
        <f>IF(COUNT($H28:Q28)&gt;Input!$W$7,0, Q28+Q60+Q344)</f>
        <v>0</v>
      </c>
      <c r="S28" s="110"/>
      <c r="T28" s="110"/>
      <c r="U28" s="110"/>
      <c r="V28" s="110"/>
      <c r="W28" s="110"/>
      <c r="X28" s="110"/>
      <c r="Y28" s="110"/>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row>
    <row r="29" spans="1:60" s="204" customFormat="1" hidden="1" outlineLevel="1">
      <c r="A29" s="9"/>
      <c r="B29" s="44"/>
      <c r="C29" s="278" t="str">
        <f>Asset22</f>
        <v>Other - short life (4)</v>
      </c>
      <c r="D29" s="9"/>
      <c r="E29" s="9"/>
      <c r="F29" s="9"/>
      <c r="G29" s="9"/>
      <c r="H29" s="156">
        <f>A22taxvalue-Input!M28+(Input!G164-Input!G198)</f>
        <v>0</v>
      </c>
      <c r="I29" s="114">
        <f>H29+H61+H357</f>
        <v>2.482577</v>
      </c>
      <c r="J29" s="114">
        <f>I29+I61+I357</f>
        <v>3.8539327500000002</v>
      </c>
      <c r="K29" s="114">
        <f>J29+J61+J357</f>
        <v>4.5802885</v>
      </c>
      <c r="L29" s="114">
        <f>K29+K61+K357</f>
        <v>8.2143942499999998</v>
      </c>
      <c r="M29" s="114">
        <f>L29+L61+L357</f>
        <v>7.7247119599999987</v>
      </c>
      <c r="N29" s="114">
        <f>IF(COUNT($H29:M29)&gt;Input!$W$7,0, M29+M61+M357)</f>
        <v>0</v>
      </c>
      <c r="O29" s="114">
        <f>IF(COUNT($H29:N29)&gt;Input!$W$7,0, N29+N61+N357)</f>
        <v>0</v>
      </c>
      <c r="P29" s="114">
        <f>IF(COUNT($H29:O29)&gt;Input!$W$7,0, O29+O61+O357)</f>
        <v>0</v>
      </c>
      <c r="Q29" s="114">
        <f>IF(COUNT($H29:P29)&gt;Input!$W$7,0, P29+P61+P357)</f>
        <v>0</v>
      </c>
      <c r="R29" s="114">
        <f>IF(COUNT($H29:Q29)&gt;Input!$W$7,0, Q29+Q61+Q357)</f>
        <v>0</v>
      </c>
      <c r="S29" s="110"/>
      <c r="T29" s="110"/>
      <c r="U29" s="110"/>
      <c r="V29" s="110"/>
      <c r="W29" s="110"/>
      <c r="X29" s="110"/>
      <c r="Y29" s="110"/>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row>
    <row r="30" spans="1:60" s="204" customFormat="1" hidden="1" outlineLevel="1">
      <c r="A30" s="9"/>
      <c r="B30" s="44"/>
      <c r="C30" s="278" t="str">
        <f>Asset23</f>
        <v>Land and Easements</v>
      </c>
      <c r="D30" s="9"/>
      <c r="E30" s="9"/>
      <c r="F30" s="9"/>
      <c r="G30" s="9"/>
      <c r="H30" s="156">
        <f>A23taxvalue-Input!M29+(Input!G165-Input!G199)</f>
        <v>0</v>
      </c>
      <c r="I30" s="114">
        <f>H30+H62+H370</f>
        <v>0</v>
      </c>
      <c r="J30" s="114">
        <f>I30+I62+I370</f>
        <v>1.655</v>
      </c>
      <c r="K30" s="114">
        <f>J30+J62+J370</f>
        <v>2.117</v>
      </c>
      <c r="L30" s="114">
        <f>K30+K62+K370</f>
        <v>3.41</v>
      </c>
      <c r="M30" s="114">
        <f>L30+L62+L370</f>
        <v>4.419121352290194</v>
      </c>
      <c r="N30" s="114">
        <f>IF(COUNT($H30:M30)&gt;Input!$W$7,0, M30+M62+M370)</f>
        <v>0</v>
      </c>
      <c r="O30" s="114">
        <f>IF(COUNT($H30:N30)&gt;Input!$W$7,0, N30+N62+N370)</f>
        <v>0</v>
      </c>
      <c r="P30" s="114">
        <f>IF(COUNT($H30:O30)&gt;Input!$W$7,0, O30+O62+O370)</f>
        <v>0</v>
      </c>
      <c r="Q30" s="114">
        <f>IF(COUNT($H30:P30)&gt;Input!$W$7,0, P30+P62+P370)</f>
        <v>0</v>
      </c>
      <c r="R30" s="114">
        <f>IF(COUNT($H30:Q30)&gt;Input!$W$7,0, Q30+Q62+Q370)</f>
        <v>0</v>
      </c>
      <c r="S30" s="110"/>
      <c r="T30" s="110"/>
      <c r="U30" s="110"/>
      <c r="V30" s="110"/>
      <c r="W30" s="110"/>
      <c r="X30" s="110"/>
      <c r="Y30" s="11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row>
    <row r="31" spans="1:60" s="204" customFormat="1" hidden="1" outlineLevel="1">
      <c r="A31" s="9"/>
      <c r="B31" s="44"/>
      <c r="C31" s="278" t="str">
        <f>Asset24</f>
        <v>Equity Raising</v>
      </c>
      <c r="D31" s="9"/>
      <c r="E31" s="9"/>
      <c r="F31" s="9"/>
      <c r="G31" s="9"/>
      <c r="H31" s="156">
        <f>A24taxvalue-Input!M30+(Input!G166-Input!G200)</f>
        <v>0</v>
      </c>
      <c r="I31" s="114">
        <f>H31+H63+H383</f>
        <v>0.42328724402768747</v>
      </c>
      <c r="J31" s="114">
        <f>I31+I63+I383</f>
        <v>0.42328724402768747</v>
      </c>
      <c r="K31" s="114">
        <f>J31+J63+J383</f>
        <v>0.42328724402768747</v>
      </c>
      <c r="L31" s="114">
        <f>K31+K63+K383</f>
        <v>0.42328724402768747</v>
      </c>
      <c r="M31" s="114">
        <f>L31+L63+L383</f>
        <v>0.42328724402768747</v>
      </c>
      <c r="N31" s="114">
        <f>IF(COUNT($H31:M31)&gt;Input!$W$7,0, M31+M63+M383)</f>
        <v>0</v>
      </c>
      <c r="O31" s="114">
        <f>IF(COUNT($H31:N31)&gt;Input!$W$7,0, N31+N63+N383)</f>
        <v>0</v>
      </c>
      <c r="P31" s="114">
        <f>IF(COUNT($H31:O31)&gt;Input!$W$7,0, O31+O63+O383)</f>
        <v>0</v>
      </c>
      <c r="Q31" s="114">
        <f>IF(COUNT($H31:P31)&gt;Input!$W$7,0, P31+P63+P383)</f>
        <v>0</v>
      </c>
      <c r="R31" s="114">
        <f>IF(COUNT($H31:Q31)&gt;Input!$W$7,0, Q31+Q63+Q383)</f>
        <v>0</v>
      </c>
      <c r="S31" s="110"/>
      <c r="T31" s="110"/>
      <c r="U31" s="110"/>
      <c r="V31" s="110"/>
      <c r="W31" s="110"/>
      <c r="X31" s="110"/>
      <c r="Y31" s="110"/>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1:60" s="204" customFormat="1" hidden="1" outlineLevel="1">
      <c r="A32" s="9"/>
      <c r="B32" s="44"/>
      <c r="C32" s="278">
        <f>Asset25</f>
        <v>0</v>
      </c>
      <c r="D32" s="9"/>
      <c r="E32" s="9"/>
      <c r="F32" s="9"/>
      <c r="G32" s="9"/>
      <c r="H32" s="156">
        <f>A25taxvalue-Input!M31+(Input!G167-Input!G201)</f>
        <v>0</v>
      </c>
      <c r="I32" s="114">
        <f>H32+H64+H396</f>
        <v>0</v>
      </c>
      <c r="J32" s="114">
        <f>I32+I64+I396</f>
        <v>0</v>
      </c>
      <c r="K32" s="114">
        <f>J32+J64+J396</f>
        <v>0</v>
      </c>
      <c r="L32" s="114">
        <f>K32+K64+K396</f>
        <v>0</v>
      </c>
      <c r="M32" s="114">
        <f>L32+L64+L396</f>
        <v>0</v>
      </c>
      <c r="N32" s="114">
        <f>IF(COUNT($H32:M32)&gt;Input!$W$7,0, M32+M64+M396)</f>
        <v>0</v>
      </c>
      <c r="O32" s="114">
        <f>IF(COUNT($H32:N32)&gt;Input!$W$7,0, N32+N64+N396)</f>
        <v>0</v>
      </c>
      <c r="P32" s="114">
        <f>IF(COUNT($H32:O32)&gt;Input!$W$7,0, O32+O64+O396)</f>
        <v>0</v>
      </c>
      <c r="Q32" s="114">
        <f>IF(COUNT($H32:P32)&gt;Input!$W$7,0, P32+P64+P396)</f>
        <v>0</v>
      </c>
      <c r="R32" s="114">
        <f>IF(COUNT($H32:Q32)&gt;Input!$W$7,0, Q32+Q64+Q396)</f>
        <v>0</v>
      </c>
      <c r="S32" s="110"/>
      <c r="T32" s="110"/>
      <c r="U32" s="110"/>
      <c r="V32" s="110"/>
      <c r="W32" s="110"/>
      <c r="X32" s="110"/>
      <c r="Y32" s="11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row>
    <row r="33" spans="1:60" s="204" customFormat="1" hidden="1" outlineLevel="1">
      <c r="A33" s="9"/>
      <c r="B33" s="44"/>
      <c r="C33" s="278">
        <f>Asset26</f>
        <v>0</v>
      </c>
      <c r="D33" s="9"/>
      <c r="E33" s="9"/>
      <c r="F33" s="9"/>
      <c r="G33" s="9"/>
      <c r="H33" s="156">
        <f>A26taxvalue-Input!M32+(Input!G168-Input!G202)</f>
        <v>0</v>
      </c>
      <c r="I33" s="114">
        <f>H33+H65+H409</f>
        <v>0</v>
      </c>
      <c r="J33" s="114">
        <f>I33+I65+I409</f>
        <v>0</v>
      </c>
      <c r="K33" s="114">
        <f>J33+J65+J409</f>
        <v>0</v>
      </c>
      <c r="L33" s="114">
        <f>K33+K65+K409</f>
        <v>0</v>
      </c>
      <c r="M33" s="114">
        <f>L33+L65+L409</f>
        <v>0</v>
      </c>
      <c r="N33" s="114">
        <f>IF(COUNT($H33:M33)&gt;Input!$W$7,0, M33+M65+M409)</f>
        <v>0</v>
      </c>
      <c r="O33" s="114">
        <f>IF(COUNT($H33:N33)&gt;Input!$W$7,0, N33+N65+N409)</f>
        <v>0</v>
      </c>
      <c r="P33" s="114">
        <f>IF(COUNT($H33:O33)&gt;Input!$W$7,0, O33+O65+O409)</f>
        <v>0</v>
      </c>
      <c r="Q33" s="114">
        <f>IF(COUNT($H33:P33)&gt;Input!$W$7,0, P33+P65+P409)</f>
        <v>0</v>
      </c>
      <c r="R33" s="114">
        <f>IF(COUNT($H33:Q33)&gt;Input!$W$7,0, Q33+Q65+Q409)</f>
        <v>0</v>
      </c>
      <c r="S33" s="110"/>
      <c r="T33" s="110"/>
      <c r="U33" s="110"/>
      <c r="V33" s="110"/>
      <c r="W33" s="110"/>
      <c r="X33" s="110"/>
      <c r="Y33" s="11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row>
    <row r="34" spans="1:60" s="204" customFormat="1" hidden="1" outlineLevel="1">
      <c r="A34" s="9"/>
      <c r="B34" s="44"/>
      <c r="C34" s="278">
        <f>Asset27</f>
        <v>0</v>
      </c>
      <c r="D34" s="9"/>
      <c r="E34" s="9"/>
      <c r="F34" s="9"/>
      <c r="G34" s="9"/>
      <c r="H34" s="156">
        <f>A27taxvalue-Input!M33+(Input!G169-Input!G203)</f>
        <v>0</v>
      </c>
      <c r="I34" s="114">
        <f>H34+H66+H422</f>
        <v>0</v>
      </c>
      <c r="J34" s="114">
        <f>I34+I66+I422</f>
        <v>0</v>
      </c>
      <c r="K34" s="114">
        <f>J34+J66+J422</f>
        <v>0</v>
      </c>
      <c r="L34" s="114">
        <f>K34+K66+K422</f>
        <v>0</v>
      </c>
      <c r="M34" s="114">
        <f>L34+L66+L422</f>
        <v>0</v>
      </c>
      <c r="N34" s="114">
        <f>IF(COUNT($H34:M34)&gt;Input!$W$7,0, M34+M66+M422)</f>
        <v>0</v>
      </c>
      <c r="O34" s="114">
        <f>IF(COUNT($H34:N34)&gt;Input!$W$7,0, N34+N66+N422)</f>
        <v>0</v>
      </c>
      <c r="P34" s="114">
        <f>IF(COUNT($H34:O34)&gt;Input!$W$7,0, O34+O66+O422)</f>
        <v>0</v>
      </c>
      <c r="Q34" s="114">
        <f>IF(COUNT($H34:P34)&gt;Input!$W$7,0, P34+P66+P422)</f>
        <v>0</v>
      </c>
      <c r="R34" s="114">
        <f>IF(COUNT($H34:Q34)&gt;Input!$W$7,0, Q34+Q66+Q422)</f>
        <v>0</v>
      </c>
      <c r="S34" s="110"/>
      <c r="T34" s="110"/>
      <c r="U34" s="110"/>
      <c r="V34" s="110"/>
      <c r="W34" s="110"/>
      <c r="X34" s="110"/>
      <c r="Y34" s="110"/>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1:60" s="204" customFormat="1" hidden="1" outlineLevel="1">
      <c r="A35" s="9"/>
      <c r="B35" s="44"/>
      <c r="C35" s="278">
        <f>Asset28</f>
        <v>0</v>
      </c>
      <c r="D35" s="9"/>
      <c r="E35" s="9"/>
      <c r="F35" s="9"/>
      <c r="G35" s="9"/>
      <c r="H35" s="156">
        <f>A28taxvalue-Input!M34+(Input!G170-Input!G204)</f>
        <v>0</v>
      </c>
      <c r="I35" s="114">
        <f>H35+H67+H435</f>
        <v>0</v>
      </c>
      <c r="J35" s="114">
        <f>I35+I67+I435</f>
        <v>0</v>
      </c>
      <c r="K35" s="114">
        <f>J35+J67+J435</f>
        <v>0</v>
      </c>
      <c r="L35" s="114">
        <f>K35+K67+K435</f>
        <v>0</v>
      </c>
      <c r="M35" s="114">
        <f>L35+L67+L435</f>
        <v>0</v>
      </c>
      <c r="N35" s="114">
        <f>IF(COUNT($H35:M35)&gt;Input!$W$7,0, M35+M67+M435)</f>
        <v>0</v>
      </c>
      <c r="O35" s="114">
        <f>IF(COUNT($H35:N35)&gt;Input!$W$7,0, N35+N67+N435)</f>
        <v>0</v>
      </c>
      <c r="P35" s="114">
        <f>IF(COUNT($H35:O35)&gt;Input!$W$7,0, O35+O67+O435)</f>
        <v>0</v>
      </c>
      <c r="Q35" s="114">
        <f>IF(COUNT($H35:P35)&gt;Input!$W$7,0, P35+P67+P435)</f>
        <v>0</v>
      </c>
      <c r="R35" s="114">
        <f>IF(COUNT($H35:Q35)&gt;Input!$W$7,0, Q35+Q67+Q435)</f>
        <v>0</v>
      </c>
      <c r="S35" s="110"/>
      <c r="T35" s="110"/>
      <c r="U35" s="110"/>
      <c r="V35" s="110"/>
      <c r="W35" s="110"/>
      <c r="X35" s="110"/>
      <c r="Y35" s="110"/>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row>
    <row r="36" spans="1:60" s="204" customFormat="1" hidden="1" outlineLevel="1">
      <c r="A36" s="9"/>
      <c r="B36" s="44"/>
      <c r="C36" s="278">
        <f>Asset29</f>
        <v>0</v>
      </c>
      <c r="D36" s="9"/>
      <c r="E36" s="9"/>
      <c r="F36" s="9"/>
      <c r="G36" s="9"/>
      <c r="H36" s="156">
        <f>A29taxvalue-Input!M35+(Input!G171-Input!G205)</f>
        <v>0</v>
      </c>
      <c r="I36" s="114">
        <f>H36+H68+H448</f>
        <v>0</v>
      </c>
      <c r="J36" s="114">
        <f>I36+I68+I448</f>
        <v>0</v>
      </c>
      <c r="K36" s="114">
        <f>J36+J68+J448</f>
        <v>0</v>
      </c>
      <c r="L36" s="114">
        <f>K36+K68+K448</f>
        <v>0</v>
      </c>
      <c r="M36" s="114">
        <f>L36+L68+L448</f>
        <v>0</v>
      </c>
      <c r="N36" s="114">
        <f>IF(COUNT($H36:M36)&gt;Input!$W$7,0, M36+M68+M448)</f>
        <v>0</v>
      </c>
      <c r="O36" s="114">
        <f>IF(COUNT($H36:N36)&gt;Input!$W$7,0, N36+N68+N448)</f>
        <v>0</v>
      </c>
      <c r="P36" s="114">
        <f>IF(COUNT($H36:O36)&gt;Input!$W$7,0, O36+O68+O448)</f>
        <v>0</v>
      </c>
      <c r="Q36" s="114">
        <f>IF(COUNT($H36:P36)&gt;Input!$W$7,0, P36+P68+P448)</f>
        <v>0</v>
      </c>
      <c r="R36" s="114">
        <f>IF(COUNT($H36:Q36)&gt;Input!$W$7,0, Q36+Q68+Q448)</f>
        <v>0</v>
      </c>
      <c r="S36" s="110"/>
      <c r="T36" s="110"/>
      <c r="U36" s="110"/>
      <c r="V36" s="110"/>
      <c r="W36" s="110"/>
      <c r="X36" s="110"/>
      <c r="Y36" s="110"/>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s="204" customFormat="1" hidden="1" outlineLevel="1">
      <c r="A37" s="9"/>
      <c r="B37" s="44"/>
      <c r="C37" s="278">
        <f>Asset30</f>
        <v>0</v>
      </c>
      <c r="D37" s="9"/>
      <c r="E37" s="9"/>
      <c r="F37" s="9"/>
      <c r="G37" s="9"/>
      <c r="H37" s="156">
        <f>A30taxvalue-Input!M36+(Input!G172-Input!G206)</f>
        <v>0</v>
      </c>
      <c r="I37" s="114">
        <f>H37+H69+H461</f>
        <v>0</v>
      </c>
      <c r="J37" s="114">
        <f>I37+I69+I461</f>
        <v>0</v>
      </c>
      <c r="K37" s="114">
        <f>J37+J69+J461</f>
        <v>0</v>
      </c>
      <c r="L37" s="114">
        <f>K37+K69+K461</f>
        <v>0</v>
      </c>
      <c r="M37" s="114">
        <f>L37+L69+L461</f>
        <v>0</v>
      </c>
      <c r="N37" s="114">
        <f>IF(COUNT($H37:M37)&gt;Input!$W$7,0, M37+M69+M461)</f>
        <v>0</v>
      </c>
      <c r="O37" s="114">
        <f>IF(COUNT($H37:N37)&gt;Input!$W$7,0, N37+N69+N461)</f>
        <v>0</v>
      </c>
      <c r="P37" s="114">
        <f>IF(COUNT($H37:O37)&gt;Input!$W$7,0, O37+O69+O461)</f>
        <v>0</v>
      </c>
      <c r="Q37" s="114">
        <f>IF(COUNT($H37:P37)&gt;Input!$W$7,0, P37+P69+P461)</f>
        <v>0</v>
      </c>
      <c r="R37" s="114">
        <f>IF(COUNT($H37:Q37)&gt;Input!$W$7,0, Q37+Q69+Q461)</f>
        <v>0</v>
      </c>
      <c r="S37" s="110"/>
      <c r="T37" s="110"/>
      <c r="U37" s="110"/>
      <c r="V37" s="110"/>
      <c r="W37" s="110"/>
      <c r="X37" s="110"/>
      <c r="Y37" s="110"/>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1:60" s="204" customFormat="1" collapsed="1">
      <c r="A38" s="12"/>
      <c r="B38" s="17"/>
      <c r="C38" s="12"/>
      <c r="D38" s="12"/>
      <c r="E38" s="12"/>
      <c r="F38" s="117"/>
      <c r="G38" s="117"/>
      <c r="H38" s="110"/>
      <c r="I38" s="110"/>
      <c r="J38" s="110"/>
      <c r="K38" s="110"/>
      <c r="L38" s="110"/>
      <c r="M38" s="110"/>
      <c r="N38" s="110"/>
      <c r="O38" s="110"/>
      <c r="P38" s="110"/>
      <c r="Q38" s="110"/>
      <c r="R38" s="110"/>
      <c r="S38" s="110"/>
      <c r="T38" s="110"/>
      <c r="U38" s="110"/>
      <c r="V38" s="110"/>
      <c r="W38" s="110"/>
      <c r="X38" s="110"/>
      <c r="Y38" s="110"/>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row>
    <row r="39" spans="1:60" s="204" customFormat="1">
      <c r="A39" s="12"/>
      <c r="B39" s="44" t="s">
        <v>66</v>
      </c>
      <c r="C39" s="9"/>
      <c r="D39" s="12"/>
      <c r="E39" s="12"/>
      <c r="F39" s="117"/>
      <c r="G39" s="117"/>
      <c r="H39" s="110">
        <f>SUM(H40:H69)</f>
        <v>50.294350244027697</v>
      </c>
      <c r="I39" s="110">
        <f>SUM(I40:I69)</f>
        <v>221.59399999999999</v>
      </c>
      <c r="J39" s="110">
        <f t="shared" ref="J39:Q39" si="2">SUM(J40:J69)</f>
        <v>105.264</v>
      </c>
      <c r="K39" s="110">
        <f t="shared" si="2"/>
        <v>87.210000000000008</v>
      </c>
      <c r="L39" s="110">
        <f>SUM(L40:L69)</f>
        <v>118.73933353238878</v>
      </c>
      <c r="M39" s="110">
        <f t="shared" si="2"/>
        <v>0</v>
      </c>
      <c r="N39" s="110">
        <f t="shared" si="2"/>
        <v>0</v>
      </c>
      <c r="O39" s="110">
        <f t="shared" si="2"/>
        <v>0</v>
      </c>
      <c r="P39" s="110">
        <f t="shared" si="2"/>
        <v>0</v>
      </c>
      <c r="Q39" s="110">
        <f t="shared" si="2"/>
        <v>0</v>
      </c>
      <c r="R39" s="110"/>
      <c r="S39" s="110"/>
      <c r="T39" s="110"/>
      <c r="U39" s="110"/>
      <c r="V39" s="110"/>
      <c r="W39" s="110"/>
      <c r="X39" s="110"/>
      <c r="Y39" s="110"/>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row>
    <row r="40" spans="1:60" s="204" customFormat="1" ht="12.75" hidden="1" customHeight="1" outlineLevel="1">
      <c r="A40" s="12"/>
      <c r="B40" s="9"/>
      <c r="C40" s="278" t="str">
        <f>Asset1</f>
        <v>Transmission Lines and Cables</v>
      </c>
      <c r="D40" s="12"/>
      <c r="E40" s="12"/>
      <c r="F40" s="117"/>
      <c r="G40" s="117"/>
      <c r="H40" s="110">
        <f>Input!H143-Input!H177</f>
        <v>0</v>
      </c>
      <c r="I40" s="110">
        <f>Input!I143-Input!I177</f>
        <v>0</v>
      </c>
      <c r="J40" s="110">
        <f>Input!J143-Input!J177</f>
        <v>0</v>
      </c>
      <c r="K40" s="110">
        <f>Input!K143-Input!K177</f>
        <v>-0.223</v>
      </c>
      <c r="L40" s="110">
        <f>Input!L143-Input!L177</f>
        <v>0</v>
      </c>
      <c r="M40" s="110">
        <f>Input!M143-Input!M177</f>
        <v>0</v>
      </c>
      <c r="N40" s="110">
        <f>Input!N143-Input!N177</f>
        <v>0</v>
      </c>
      <c r="O40" s="110">
        <f>Input!O143-Input!O177</f>
        <v>0</v>
      </c>
      <c r="P40" s="110">
        <f>Input!P143-Input!P177</f>
        <v>0</v>
      </c>
      <c r="Q40" s="110">
        <f>Input!Q143-Input!Q177</f>
        <v>0</v>
      </c>
      <c r="R40" s="110"/>
      <c r="S40" s="110"/>
      <c r="T40" s="110"/>
      <c r="U40" s="110"/>
      <c r="V40" s="110"/>
      <c r="W40" s="110"/>
      <c r="X40" s="110"/>
      <c r="Y40" s="110"/>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1:60" s="204" customFormat="1" ht="12.75" hidden="1" customHeight="1" outlineLevel="1">
      <c r="A41" s="12"/>
      <c r="B41" s="44"/>
      <c r="C41" s="278" t="str">
        <f>Asset2</f>
        <v>Transmission Substations</v>
      </c>
      <c r="D41" s="12"/>
      <c r="E41" s="12"/>
      <c r="F41" s="117"/>
      <c r="G41" s="117"/>
      <c r="H41" s="110">
        <f>Input!H144-Input!H178</f>
        <v>0</v>
      </c>
      <c r="I41" s="110">
        <f>Input!I144-Input!I178</f>
        <v>-0.53100000000000003</v>
      </c>
      <c r="J41" s="110">
        <f>Input!J144-Input!J178</f>
        <v>0</v>
      </c>
      <c r="K41" s="110">
        <f>Input!K144-Input!K178</f>
        <v>0</v>
      </c>
      <c r="L41" s="110">
        <f>Input!L144-Input!L178</f>
        <v>0</v>
      </c>
      <c r="M41" s="110">
        <f>Input!M144-Input!M178</f>
        <v>0</v>
      </c>
      <c r="N41" s="110">
        <f>Input!N144-Input!N178</f>
        <v>0</v>
      </c>
      <c r="O41" s="110">
        <f>Input!O144-Input!O178</f>
        <v>0</v>
      </c>
      <c r="P41" s="110">
        <f>Input!P144-Input!P178</f>
        <v>0</v>
      </c>
      <c r="Q41" s="110">
        <f>Input!Q144-Input!Q178</f>
        <v>0</v>
      </c>
      <c r="R41" s="110"/>
      <c r="S41" s="110"/>
      <c r="T41" s="110"/>
      <c r="U41" s="110"/>
      <c r="V41" s="110"/>
      <c r="W41" s="110"/>
      <c r="X41" s="110"/>
      <c r="Y41" s="110"/>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1:60" s="204" customFormat="1" ht="12.75" hidden="1" customHeight="1" outlineLevel="1">
      <c r="A42" s="12"/>
      <c r="B42" s="44"/>
      <c r="C42" s="278" t="str">
        <f>Asset3</f>
        <v>Protection and Control</v>
      </c>
      <c r="D42" s="12"/>
      <c r="E42" s="12"/>
      <c r="F42" s="117"/>
      <c r="G42" s="117"/>
      <c r="H42" s="110">
        <f>Input!H145-Input!H179</f>
        <v>0</v>
      </c>
      <c r="I42" s="110">
        <f>Input!I145-Input!I179</f>
        <v>-4.4000000000000011E-2</v>
      </c>
      <c r="J42" s="110">
        <f>Input!J145-Input!J179</f>
        <v>0</v>
      </c>
      <c r="K42" s="110">
        <f>Input!K145-Input!K179</f>
        <v>0</v>
      </c>
      <c r="L42" s="110">
        <f>Input!L145-Input!L179</f>
        <v>0</v>
      </c>
      <c r="M42" s="110">
        <f>Input!M145-Input!M179</f>
        <v>0</v>
      </c>
      <c r="N42" s="110">
        <f>Input!N145-Input!N179</f>
        <v>0</v>
      </c>
      <c r="O42" s="110">
        <f>Input!O145-Input!O179</f>
        <v>0</v>
      </c>
      <c r="P42" s="110">
        <f>Input!P145-Input!P179</f>
        <v>0</v>
      </c>
      <c r="Q42" s="110">
        <f>Input!Q145-Input!Q179</f>
        <v>0</v>
      </c>
      <c r="R42" s="110"/>
      <c r="S42" s="110"/>
      <c r="T42" s="110"/>
      <c r="U42" s="110"/>
      <c r="V42" s="110"/>
      <c r="W42" s="110"/>
      <c r="X42" s="110"/>
      <c r="Y42" s="110"/>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row>
    <row r="43" spans="1:60" s="204" customFormat="1" ht="12.75" hidden="1" customHeight="1" outlineLevel="1">
      <c r="A43" s="12"/>
      <c r="B43" s="44"/>
      <c r="C43" s="278" t="str">
        <f>Asset4</f>
        <v>Refurbishment</v>
      </c>
      <c r="D43" s="12"/>
      <c r="E43" s="12"/>
      <c r="F43" s="117"/>
      <c r="G43" s="117"/>
      <c r="H43" s="110">
        <f>Input!H146-Input!H180</f>
        <v>0</v>
      </c>
      <c r="I43" s="110">
        <f>Input!I146-Input!I180</f>
        <v>0</v>
      </c>
      <c r="J43" s="110">
        <f>Input!J146-Input!J180</f>
        <v>0</v>
      </c>
      <c r="K43" s="110">
        <f>Input!K146-Input!K180</f>
        <v>0</v>
      </c>
      <c r="L43" s="110">
        <f>Input!L146-Input!L180</f>
        <v>0</v>
      </c>
      <c r="M43" s="110">
        <f>Input!M146-Input!M180</f>
        <v>0</v>
      </c>
      <c r="N43" s="110">
        <f>Input!N146-Input!N180</f>
        <v>0</v>
      </c>
      <c r="O43" s="110">
        <f>Input!O146-Input!O180</f>
        <v>0</v>
      </c>
      <c r="P43" s="110">
        <f>Input!P146-Input!P180</f>
        <v>0</v>
      </c>
      <c r="Q43" s="110">
        <f>Input!Q146-Input!Q180</f>
        <v>0</v>
      </c>
      <c r="R43" s="110"/>
      <c r="S43" s="110"/>
      <c r="T43" s="110"/>
      <c r="U43" s="110"/>
      <c r="V43" s="110"/>
      <c r="W43" s="110"/>
      <c r="X43" s="110"/>
      <c r="Y43" s="110"/>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1:60" s="204" customFormat="1" ht="12.75" hidden="1" customHeight="1" outlineLevel="1">
      <c r="A44" s="12"/>
      <c r="B44" s="44"/>
      <c r="C44" s="278" t="str">
        <f>Asset5</f>
        <v>Other</v>
      </c>
      <c r="D44" s="12"/>
      <c r="E44" s="12"/>
      <c r="F44" s="117"/>
      <c r="G44" s="117"/>
      <c r="H44" s="110">
        <f>Input!H147-Input!H181</f>
        <v>0</v>
      </c>
      <c r="I44" s="110">
        <f>Input!I147-Input!I181</f>
        <v>0</v>
      </c>
      <c r="J44" s="110">
        <f>Input!J147-Input!J181</f>
        <v>0</v>
      </c>
      <c r="K44" s="110">
        <f>Input!K147-Input!K181</f>
        <v>0</v>
      </c>
      <c r="L44" s="110">
        <f>Input!L147-Input!L181</f>
        <v>0</v>
      </c>
      <c r="M44" s="110">
        <f>Input!M147-Input!M181</f>
        <v>0</v>
      </c>
      <c r="N44" s="110">
        <f>Input!N147-Input!N181</f>
        <v>0</v>
      </c>
      <c r="O44" s="110">
        <f>Input!O147-Input!O181</f>
        <v>0</v>
      </c>
      <c r="P44" s="110">
        <f>Input!P147-Input!P181</f>
        <v>0</v>
      </c>
      <c r="Q44" s="110">
        <f>Input!Q147-Input!Q181</f>
        <v>0</v>
      </c>
      <c r="R44" s="110"/>
      <c r="S44" s="110"/>
      <c r="T44" s="110"/>
      <c r="U44" s="110"/>
      <c r="V44" s="110"/>
      <c r="W44" s="110"/>
      <c r="X44" s="110"/>
      <c r="Y44" s="110"/>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row>
    <row r="45" spans="1:60" s="204" customFormat="1" ht="12.75" hidden="1" customHeight="1" outlineLevel="1">
      <c r="A45" s="12"/>
      <c r="B45" s="44"/>
      <c r="C45" s="278" t="str">
        <f>Asset6</f>
        <v>Other - IT</v>
      </c>
      <c r="D45" s="12"/>
      <c r="E45" s="12"/>
      <c r="F45" s="117"/>
      <c r="G45" s="117"/>
      <c r="H45" s="110">
        <f>Input!H148-Input!H182</f>
        <v>0</v>
      </c>
      <c r="I45" s="110">
        <f>Input!I148-Input!I182</f>
        <v>-5.0000000000000001E-3</v>
      </c>
      <c r="J45" s="110">
        <f>Input!J148-Input!J182</f>
        <v>0</v>
      </c>
      <c r="K45" s="110">
        <f>Input!K148-Input!K182</f>
        <v>0</v>
      </c>
      <c r="L45" s="110">
        <f>Input!L148-Input!L182</f>
        <v>0</v>
      </c>
      <c r="M45" s="110">
        <f>Input!M148-Input!M182</f>
        <v>0</v>
      </c>
      <c r="N45" s="110">
        <f>Input!N148-Input!N182</f>
        <v>0</v>
      </c>
      <c r="O45" s="110">
        <f>Input!O148-Input!O182</f>
        <v>0</v>
      </c>
      <c r="P45" s="110">
        <f>Input!P148-Input!P182</f>
        <v>0</v>
      </c>
      <c r="Q45" s="110">
        <f>Input!Q148-Input!Q182</f>
        <v>0</v>
      </c>
      <c r="R45" s="110"/>
      <c r="S45" s="110"/>
      <c r="T45" s="110"/>
      <c r="U45" s="110"/>
      <c r="V45" s="110"/>
      <c r="W45" s="110"/>
      <c r="X45" s="110"/>
      <c r="Y45" s="110"/>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row>
    <row r="46" spans="1:60" s="204" customFormat="1" ht="12.75" hidden="1" customHeight="1" outlineLevel="1">
      <c r="A46" s="12"/>
      <c r="B46" s="44"/>
      <c r="C46" s="278" t="str">
        <f>Asset7</f>
        <v>Other - General</v>
      </c>
      <c r="D46" s="12"/>
      <c r="E46" s="12"/>
      <c r="F46" s="117"/>
      <c r="G46" s="117"/>
      <c r="H46" s="110">
        <f>Input!H149-Input!H183</f>
        <v>0</v>
      </c>
      <c r="I46" s="110">
        <f>Input!I149-Input!I183</f>
        <v>0</v>
      </c>
      <c r="J46" s="110">
        <f>Input!J149-Input!J183</f>
        <v>0</v>
      </c>
      <c r="K46" s="110">
        <f>Input!K149-Input!K183</f>
        <v>0</v>
      </c>
      <c r="L46" s="110">
        <f>Input!L149-Input!L183</f>
        <v>0</v>
      </c>
      <c r="M46" s="110">
        <f>Input!M149-Input!M183</f>
        <v>0</v>
      </c>
      <c r="N46" s="110">
        <f>Input!N149-Input!N183</f>
        <v>0</v>
      </c>
      <c r="O46" s="110">
        <f>Input!O149-Input!O183</f>
        <v>0</v>
      </c>
      <c r="P46" s="110">
        <f>Input!P149-Input!P183</f>
        <v>0</v>
      </c>
      <c r="Q46" s="110">
        <f>Input!Q149-Input!Q183</f>
        <v>0</v>
      </c>
      <c r="R46" s="110"/>
      <c r="S46" s="110"/>
      <c r="T46" s="110"/>
      <c r="U46" s="110"/>
      <c r="V46" s="110"/>
      <c r="W46" s="110"/>
      <c r="X46" s="110"/>
      <c r="Y46" s="110"/>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row>
    <row r="47" spans="1:60" s="204" customFormat="1" ht="12.75" hidden="1" customHeight="1" outlineLevel="1">
      <c r="A47" s="12"/>
      <c r="B47" s="44"/>
      <c r="C47" s="278" t="str">
        <f>Asset8</f>
        <v>Other - Buildings</v>
      </c>
      <c r="D47" s="12"/>
      <c r="E47" s="12"/>
      <c r="F47" s="117"/>
      <c r="G47" s="117"/>
      <c r="H47" s="110">
        <f>Input!H150-Input!H184</f>
        <v>0</v>
      </c>
      <c r="I47" s="110">
        <f>Input!I150-Input!I184</f>
        <v>0</v>
      </c>
      <c r="J47" s="110">
        <f>Input!J150-Input!J184</f>
        <v>0</v>
      </c>
      <c r="K47" s="110">
        <f>Input!K150-Input!K184</f>
        <v>0</v>
      </c>
      <c r="L47" s="110">
        <f>Input!L150-Input!L184</f>
        <v>0</v>
      </c>
      <c r="M47" s="110">
        <f>Input!M150-Input!M184</f>
        <v>0</v>
      </c>
      <c r="N47" s="110">
        <f>Input!N150-Input!N184</f>
        <v>0</v>
      </c>
      <c r="O47" s="110">
        <f>Input!O150-Input!O184</f>
        <v>0</v>
      </c>
      <c r="P47" s="110">
        <f>Input!P150-Input!P184</f>
        <v>0</v>
      </c>
      <c r="Q47" s="110">
        <f>Input!Q150-Input!Q184</f>
        <v>0</v>
      </c>
      <c r="R47" s="110"/>
      <c r="S47" s="110"/>
      <c r="T47" s="110"/>
      <c r="U47" s="110"/>
      <c r="V47" s="110"/>
      <c r="W47" s="110"/>
      <c r="X47" s="110"/>
      <c r="Y47" s="110"/>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row>
    <row r="48" spans="1:60" s="204" customFormat="1" ht="12.75" hidden="1" customHeight="1" outlineLevel="1">
      <c r="A48" s="12"/>
      <c r="B48" s="44"/>
      <c r="C48" s="278" t="str">
        <f>Asset9</f>
        <v>Land and Easements</v>
      </c>
      <c r="D48" s="12"/>
      <c r="E48" s="12"/>
      <c r="F48" s="117"/>
      <c r="G48" s="117"/>
      <c r="H48" s="110">
        <f>Input!H151-Input!H185</f>
        <v>0</v>
      </c>
      <c r="I48" s="110">
        <f>Input!I151-Input!I185</f>
        <v>0</v>
      </c>
      <c r="J48" s="110">
        <f>Input!J151-Input!J185</f>
        <v>0</v>
      </c>
      <c r="K48" s="110">
        <f>Input!K151-Input!K185</f>
        <v>0</v>
      </c>
      <c r="L48" s="110">
        <f>Input!L151-Input!L185</f>
        <v>0</v>
      </c>
      <c r="M48" s="110">
        <f>Input!M151-Input!M185</f>
        <v>0</v>
      </c>
      <c r="N48" s="110">
        <f>Input!N151-Input!N185</f>
        <v>0</v>
      </c>
      <c r="O48" s="110">
        <f>Input!O151-Input!O185</f>
        <v>0</v>
      </c>
      <c r="P48" s="110">
        <f>Input!P151-Input!P185</f>
        <v>0</v>
      </c>
      <c r="Q48" s="110">
        <f>Input!Q151-Input!Q185</f>
        <v>0</v>
      </c>
      <c r="R48" s="110"/>
      <c r="S48" s="110"/>
      <c r="T48" s="110"/>
      <c r="U48" s="110"/>
      <c r="V48" s="110"/>
      <c r="W48" s="110"/>
      <c r="X48" s="110"/>
      <c r="Y48" s="110"/>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row>
    <row r="49" spans="1:60" s="204" customFormat="1" ht="12.75" hidden="1" customHeight="1" outlineLevel="1">
      <c r="A49" s="12"/>
      <c r="B49" s="44"/>
      <c r="C49" s="278" t="str">
        <f>Asset10</f>
        <v>Transmission line assets - long life (60)</v>
      </c>
      <c r="D49" s="12"/>
      <c r="E49" s="12"/>
      <c r="F49" s="117"/>
      <c r="G49" s="117"/>
      <c r="H49" s="110">
        <f>Input!H152-Input!H186</f>
        <v>1.197678</v>
      </c>
      <c r="I49" s="110">
        <f>Input!I152-Input!I186</f>
        <v>110.66</v>
      </c>
      <c r="J49" s="110">
        <f>Input!J152-Input!J186</f>
        <v>17.617999999999999</v>
      </c>
      <c r="K49" s="110">
        <f>Input!K152-Input!K186</f>
        <v>9.7379999999999995</v>
      </c>
      <c r="L49" s="110">
        <f>Input!L152-Input!L186</f>
        <v>41.308441065679425</v>
      </c>
      <c r="M49" s="110">
        <f>Input!M152-Input!M186</f>
        <v>0</v>
      </c>
      <c r="N49" s="110">
        <f>Input!N152-Input!N186</f>
        <v>0</v>
      </c>
      <c r="O49" s="110">
        <f>Input!O152-Input!O186</f>
        <v>0</v>
      </c>
      <c r="P49" s="110">
        <f>Input!P152-Input!P186</f>
        <v>0</v>
      </c>
      <c r="Q49" s="110">
        <f>Input!Q152-Input!Q186</f>
        <v>0</v>
      </c>
      <c r="R49" s="110"/>
      <c r="S49" s="110"/>
      <c r="T49" s="110"/>
      <c r="U49" s="110"/>
      <c r="V49" s="110"/>
      <c r="W49" s="110"/>
      <c r="X49" s="110"/>
      <c r="Y49" s="110"/>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row>
    <row r="50" spans="1:60" s="204" customFormat="1" ht="12.75" hidden="1" customHeight="1" outlineLevel="1">
      <c r="A50" s="12"/>
      <c r="B50" s="44"/>
      <c r="C50" s="278" t="str">
        <f>Asset11</f>
        <v>Transmission line assets - medium life (45)</v>
      </c>
      <c r="D50" s="12"/>
      <c r="E50" s="12"/>
      <c r="F50" s="117"/>
      <c r="G50" s="117"/>
      <c r="H50" s="110">
        <f>Input!H153-Input!H187</f>
        <v>1.2855E-2</v>
      </c>
      <c r="I50" s="110">
        <f>Input!I153-Input!I187</f>
        <v>0.03</v>
      </c>
      <c r="J50" s="110">
        <f>Input!J153-Input!J187</f>
        <v>0.189</v>
      </c>
      <c r="K50" s="110">
        <f>Input!K153-Input!K187</f>
        <v>0.38100000000000001</v>
      </c>
      <c r="L50" s="110">
        <f>Input!L153-Input!L187</f>
        <v>0.151839</v>
      </c>
      <c r="M50" s="110">
        <f>Input!M153-Input!M187</f>
        <v>0</v>
      </c>
      <c r="N50" s="110">
        <f>Input!N153-Input!N187</f>
        <v>0</v>
      </c>
      <c r="O50" s="110">
        <f>Input!O153-Input!O187</f>
        <v>0</v>
      </c>
      <c r="P50" s="110">
        <f>Input!P153-Input!P187</f>
        <v>0</v>
      </c>
      <c r="Q50" s="110">
        <f>Input!Q153-Input!Q187</f>
        <v>0</v>
      </c>
      <c r="R50" s="110"/>
      <c r="S50" s="110"/>
      <c r="T50" s="110"/>
      <c r="U50" s="110"/>
      <c r="V50" s="110"/>
      <c r="W50" s="110"/>
      <c r="X50" s="110"/>
      <c r="Y50" s="110"/>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row>
    <row r="51" spans="1:60" s="204" customFormat="1" ht="12.75" hidden="1" customHeight="1" outlineLevel="1">
      <c r="A51" s="12"/>
      <c r="B51" s="44"/>
      <c r="C51" s="278" t="str">
        <f>Asset12</f>
        <v>Transmission line assets - short life (10)</v>
      </c>
      <c r="D51" s="12"/>
      <c r="E51" s="12"/>
      <c r="F51" s="117"/>
      <c r="G51" s="117"/>
      <c r="H51" s="110">
        <f>Input!H154-Input!H188</f>
        <v>0.36027799999999999</v>
      </c>
      <c r="I51" s="110">
        <f>Input!I154-Input!I188</f>
        <v>0.38300000000000001</v>
      </c>
      <c r="J51" s="110">
        <f>Input!J154-Input!J188</f>
        <v>0.51700000000000002</v>
      </c>
      <c r="K51" s="110">
        <f>Input!K154-Input!K188</f>
        <v>0.63800000000000001</v>
      </c>
      <c r="L51" s="110">
        <f>Input!L154-Input!L188</f>
        <v>3.5146089782399499</v>
      </c>
      <c r="M51" s="110">
        <f>Input!M154-Input!M188</f>
        <v>0</v>
      </c>
      <c r="N51" s="110">
        <f>Input!N154-Input!N188</f>
        <v>0</v>
      </c>
      <c r="O51" s="110">
        <f>Input!O154-Input!O188</f>
        <v>0</v>
      </c>
      <c r="P51" s="110">
        <f>Input!P154-Input!P188</f>
        <v>0</v>
      </c>
      <c r="Q51" s="110">
        <f>Input!Q154-Input!Q188</f>
        <v>0</v>
      </c>
      <c r="R51" s="110"/>
      <c r="S51" s="110"/>
      <c r="T51" s="110"/>
      <c r="U51" s="110"/>
      <c r="V51" s="110"/>
      <c r="W51" s="110"/>
      <c r="X51" s="110"/>
      <c r="Y51" s="110"/>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row>
    <row r="52" spans="1:60" s="204" customFormat="1" ht="12.75" hidden="1" customHeight="1" outlineLevel="1">
      <c r="A52" s="12"/>
      <c r="B52" s="44"/>
      <c r="C52" s="278" t="str">
        <f>Asset13</f>
        <v>Substation assets - long life (60)</v>
      </c>
      <c r="D52" s="12"/>
      <c r="E52" s="12"/>
      <c r="F52" s="117"/>
      <c r="G52" s="117"/>
      <c r="H52" s="110">
        <f>Input!H155-Input!H189</f>
        <v>2.3763049999999999</v>
      </c>
      <c r="I52" s="110">
        <f>Input!I155-Input!I189</f>
        <v>21.908999999999999</v>
      </c>
      <c r="J52" s="110">
        <f>Input!J155-Input!J189</f>
        <v>10.89</v>
      </c>
      <c r="K52" s="110">
        <f>Input!K155-Input!K189</f>
        <v>7.984</v>
      </c>
      <c r="L52" s="110">
        <f>Input!L155-Input!L189</f>
        <v>9.8515177112453429</v>
      </c>
      <c r="M52" s="110">
        <f>Input!M155-Input!M189</f>
        <v>0</v>
      </c>
      <c r="N52" s="110">
        <f>Input!N155-Input!N189</f>
        <v>0</v>
      </c>
      <c r="O52" s="110">
        <f>Input!O155-Input!O189</f>
        <v>0</v>
      </c>
      <c r="P52" s="110">
        <f>Input!P155-Input!P189</f>
        <v>0</v>
      </c>
      <c r="Q52" s="110">
        <f>Input!Q155-Input!Q189</f>
        <v>0</v>
      </c>
      <c r="R52" s="110"/>
      <c r="S52" s="110"/>
      <c r="T52" s="110"/>
      <c r="U52" s="110"/>
      <c r="V52" s="110"/>
      <c r="W52" s="110"/>
      <c r="X52" s="110"/>
      <c r="Y52" s="110"/>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row>
    <row r="53" spans="1:60" s="204" customFormat="1" ht="12.75" hidden="1" customHeight="1" outlineLevel="1">
      <c r="A53" s="12"/>
      <c r="B53" s="44"/>
      <c r="C53" s="278" t="str">
        <f>Asset14</f>
        <v>Substation assets - medium life (45)</v>
      </c>
      <c r="D53" s="12"/>
      <c r="E53" s="12"/>
      <c r="F53" s="117"/>
      <c r="G53" s="117"/>
      <c r="H53" s="110">
        <f>Input!H156-Input!H190</f>
        <v>11.202597000000001</v>
      </c>
      <c r="I53" s="110">
        <f>Input!I156-Input!I190</f>
        <v>53.4</v>
      </c>
      <c r="J53" s="110">
        <f>Input!J156-Input!J190</f>
        <v>46.417000000000002</v>
      </c>
      <c r="K53" s="110">
        <f>Input!K156-Input!K190</f>
        <v>37.405000000000001</v>
      </c>
      <c r="L53" s="110">
        <f>Input!L156-Input!L190</f>
        <v>29.959985389171088</v>
      </c>
      <c r="M53" s="110">
        <f>Input!M156-Input!M190</f>
        <v>0</v>
      </c>
      <c r="N53" s="110">
        <f>Input!N156-Input!N190</f>
        <v>0</v>
      </c>
      <c r="O53" s="110">
        <f>Input!O156-Input!O190</f>
        <v>0</v>
      </c>
      <c r="P53" s="110">
        <f>Input!P156-Input!P190</f>
        <v>0</v>
      </c>
      <c r="Q53" s="110">
        <f>Input!Q156-Input!Q190</f>
        <v>0</v>
      </c>
      <c r="R53" s="110"/>
      <c r="S53" s="110"/>
      <c r="T53" s="110"/>
      <c r="U53" s="110"/>
      <c r="V53" s="110"/>
      <c r="W53" s="110"/>
      <c r="X53" s="110"/>
      <c r="Y53" s="110"/>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row>
    <row r="54" spans="1:60" s="204" customFormat="1" ht="12.75" hidden="1" customHeight="1" outlineLevel="1">
      <c r="A54" s="12"/>
      <c r="B54" s="44"/>
      <c r="C54" s="278" t="str">
        <f>Asset15</f>
        <v>Substation assets - short life (15)</v>
      </c>
      <c r="D54" s="12"/>
      <c r="E54" s="12"/>
      <c r="F54" s="117"/>
      <c r="G54" s="117"/>
      <c r="H54" s="110">
        <f>Input!H157-Input!H191</f>
        <v>11.757999999999999</v>
      </c>
      <c r="I54" s="110">
        <f>Input!I157-Input!I191</f>
        <v>1.536</v>
      </c>
      <c r="J54" s="110">
        <f>Input!J157-Input!J191</f>
        <v>1.0780000000000001</v>
      </c>
      <c r="K54" s="110">
        <f>Input!K157-Input!K191</f>
        <v>4.0460000000000003</v>
      </c>
      <c r="L54" s="110">
        <f>Input!L157-Input!L191</f>
        <v>5.0111715769167811</v>
      </c>
      <c r="M54" s="110">
        <f>Input!M157-Input!M191</f>
        <v>0</v>
      </c>
      <c r="N54" s="110">
        <f>Input!N157-Input!N191</f>
        <v>0</v>
      </c>
      <c r="O54" s="110">
        <f>Input!O157-Input!O191</f>
        <v>0</v>
      </c>
      <c r="P54" s="110">
        <f>Input!P157-Input!P191</f>
        <v>0</v>
      </c>
      <c r="Q54" s="110">
        <f>Input!Q157-Input!Q191</f>
        <v>0</v>
      </c>
      <c r="R54" s="110"/>
      <c r="S54" s="110"/>
      <c r="T54" s="110"/>
      <c r="U54" s="110"/>
      <c r="V54" s="110"/>
      <c r="W54" s="110"/>
      <c r="X54" s="110"/>
      <c r="Y54" s="110"/>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row>
    <row r="55" spans="1:60" s="204" customFormat="1" ht="12.75" hidden="1" customHeight="1" outlineLevel="1">
      <c r="A55" s="12"/>
      <c r="B55" s="44"/>
      <c r="C55" s="278" t="str">
        <f>Asset16</f>
        <v>Protection and control - short life (15)</v>
      </c>
      <c r="D55" s="12"/>
      <c r="E55" s="12"/>
      <c r="F55" s="117"/>
      <c r="G55" s="117"/>
      <c r="H55" s="110">
        <f>Input!H158-Input!H192</f>
        <v>10.477506</v>
      </c>
      <c r="I55" s="110">
        <f>Input!I158-Input!I192</f>
        <v>13.577999999999999</v>
      </c>
      <c r="J55" s="110">
        <f>Input!J158-Input!J192</f>
        <v>19.684999999999999</v>
      </c>
      <c r="K55" s="110">
        <f>Input!K158-Input!K192</f>
        <v>18.103000000000002</v>
      </c>
      <c r="L55" s="110">
        <f>Input!L158-Input!L192</f>
        <v>20.029946675775253</v>
      </c>
      <c r="M55" s="110">
        <f>Input!M158-Input!M192</f>
        <v>0</v>
      </c>
      <c r="N55" s="110">
        <f>Input!N158-Input!N192</f>
        <v>0</v>
      </c>
      <c r="O55" s="110">
        <f>Input!O158-Input!O192</f>
        <v>0</v>
      </c>
      <c r="P55" s="110">
        <f>Input!P158-Input!P192</f>
        <v>0</v>
      </c>
      <c r="Q55" s="110">
        <f>Input!Q158-Input!Q192</f>
        <v>0</v>
      </c>
      <c r="R55" s="110"/>
      <c r="S55" s="110"/>
      <c r="T55" s="110"/>
      <c r="U55" s="110"/>
      <c r="V55" s="110"/>
      <c r="W55" s="110"/>
      <c r="X55" s="110"/>
      <c r="Y55" s="110"/>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row>
    <row r="56" spans="1:60" s="204" customFormat="1" ht="12.75" hidden="1" customHeight="1" outlineLevel="1">
      <c r="A56" s="12"/>
      <c r="B56" s="44"/>
      <c r="C56" s="278" t="str">
        <f>Asset17</f>
        <v>Protection and control - short life (4)</v>
      </c>
      <c r="D56" s="12"/>
      <c r="E56" s="12"/>
      <c r="F56" s="117"/>
      <c r="G56" s="117"/>
      <c r="H56" s="110">
        <f>Input!H159-Input!H193</f>
        <v>4.1248E-2</v>
      </c>
      <c r="I56" s="110">
        <f>Input!I159-Input!I193</f>
        <v>7.2999999999999995E-2</v>
      </c>
      <c r="J56" s="110">
        <f>Input!J159-Input!J193</f>
        <v>1.264</v>
      </c>
      <c r="K56" s="110">
        <f>Input!K159-Input!K193</f>
        <v>0.30099999999999999</v>
      </c>
      <c r="L56" s="110">
        <f>Input!L159-Input!L193</f>
        <v>0</v>
      </c>
      <c r="M56" s="110">
        <f>Input!M159-Input!M193</f>
        <v>0</v>
      </c>
      <c r="N56" s="110">
        <f>Input!N159-Input!N193</f>
        <v>0</v>
      </c>
      <c r="O56" s="110">
        <f>Input!O159-Input!O193</f>
        <v>0</v>
      </c>
      <c r="P56" s="110">
        <f>Input!P159-Input!P193</f>
        <v>0</v>
      </c>
      <c r="Q56" s="110">
        <f>Input!Q159-Input!Q193</f>
        <v>0</v>
      </c>
      <c r="R56" s="110"/>
      <c r="S56" s="110"/>
      <c r="T56" s="110"/>
      <c r="U56" s="110"/>
      <c r="V56" s="110"/>
      <c r="W56" s="110"/>
      <c r="X56" s="110"/>
      <c r="Y56" s="110"/>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row>
    <row r="57" spans="1:60" s="204" customFormat="1" ht="12.75" hidden="1" customHeight="1" outlineLevel="1">
      <c r="A57" s="12"/>
      <c r="B57" s="44"/>
      <c r="C57" s="278" t="str">
        <f>Asset18</f>
        <v>Transmission operations - short life (10)</v>
      </c>
      <c r="D57" s="12"/>
      <c r="E57" s="12"/>
      <c r="F57" s="117"/>
      <c r="G57" s="117"/>
      <c r="H57" s="110">
        <f>Input!H160-Input!H194</f>
        <v>1.1337280000000001</v>
      </c>
      <c r="I57" s="110">
        <f>Input!I160-Input!I194</f>
        <v>1.59</v>
      </c>
      <c r="J57" s="110">
        <f>Input!J160-Input!J194</f>
        <v>2.5539999999999998</v>
      </c>
      <c r="K57" s="110">
        <f>Input!K160-Input!K194</f>
        <v>1.819</v>
      </c>
      <c r="L57" s="110">
        <f>Input!L160-Input!L194</f>
        <v>1.49940999</v>
      </c>
      <c r="M57" s="110">
        <f>Input!M160-Input!M194</f>
        <v>0</v>
      </c>
      <c r="N57" s="110">
        <f>Input!N160-Input!N194</f>
        <v>0</v>
      </c>
      <c r="O57" s="110">
        <f>Input!O160-Input!O194</f>
        <v>0</v>
      </c>
      <c r="P57" s="110">
        <f>Input!P160-Input!P194</f>
        <v>0</v>
      </c>
      <c r="Q57" s="110">
        <f>Input!Q160-Input!Q194</f>
        <v>0</v>
      </c>
      <c r="R57" s="110"/>
      <c r="S57" s="110"/>
      <c r="T57" s="110"/>
      <c r="U57" s="110"/>
      <c r="V57" s="110"/>
      <c r="W57" s="110"/>
      <c r="X57" s="110"/>
      <c r="Y57" s="110"/>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row>
    <row r="58" spans="1:60" s="204" customFormat="1" ht="12.75" hidden="1" customHeight="1" outlineLevel="1">
      <c r="A58" s="12"/>
      <c r="B58" s="44"/>
      <c r="C58" s="278" t="str">
        <f>Asset19</f>
        <v>Transmission operations - short life (4)</v>
      </c>
      <c r="D58" s="12"/>
      <c r="E58" s="12"/>
      <c r="F58" s="117"/>
      <c r="G58" s="117"/>
      <c r="H58" s="110">
        <f>Input!H161-Input!H195</f>
        <v>4.4516E-2</v>
      </c>
      <c r="I58" s="110">
        <f>Input!I161-Input!I195</f>
        <v>6.4000000000000001E-2</v>
      </c>
      <c r="J58" s="110">
        <f>Input!J161-Input!J195</f>
        <v>0</v>
      </c>
      <c r="K58" s="110">
        <f>Input!K161-Input!K195</f>
        <v>0.159</v>
      </c>
      <c r="L58" s="110">
        <f>Input!L161-Input!L195</f>
        <v>0</v>
      </c>
      <c r="M58" s="110">
        <f>Input!M161-Input!M195</f>
        <v>0</v>
      </c>
      <c r="N58" s="110">
        <f>Input!N161-Input!N195</f>
        <v>0</v>
      </c>
      <c r="O58" s="110">
        <f>Input!O161-Input!O195</f>
        <v>0</v>
      </c>
      <c r="P58" s="110">
        <f>Input!P161-Input!P195</f>
        <v>0</v>
      </c>
      <c r="Q58" s="110">
        <f>Input!Q161-Input!Q195</f>
        <v>0</v>
      </c>
      <c r="R58" s="110"/>
      <c r="S58" s="110"/>
      <c r="T58" s="110"/>
      <c r="U58" s="110"/>
      <c r="V58" s="110"/>
      <c r="W58" s="110"/>
      <c r="X58" s="110"/>
      <c r="Y58" s="110"/>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row>
    <row r="59" spans="1:60" s="204" customFormat="1" ht="12.75" hidden="1" customHeight="1" outlineLevel="1">
      <c r="A59" s="12"/>
      <c r="B59" s="44"/>
      <c r="C59" s="278" t="str">
        <f>Asset20</f>
        <v>Other - medium life (40)</v>
      </c>
      <c r="D59" s="12"/>
      <c r="E59" s="12"/>
      <c r="F59" s="117"/>
      <c r="G59" s="117"/>
      <c r="H59" s="110">
        <f>Input!H162-Input!H196</f>
        <v>8.0919840000000001</v>
      </c>
      <c r="I59" s="110">
        <f>Input!I162-Input!I196</f>
        <v>14.304</v>
      </c>
      <c r="J59" s="110">
        <f>Input!J162-Input!J196</f>
        <v>1.633</v>
      </c>
      <c r="K59" s="110">
        <f>Input!K162-Input!K196</f>
        <v>0.121</v>
      </c>
      <c r="L59" s="110">
        <f>Input!L162-Input!L196</f>
        <v>3.5054958330707402</v>
      </c>
      <c r="M59" s="110">
        <f>Input!M162-Input!M196</f>
        <v>0</v>
      </c>
      <c r="N59" s="110">
        <f>Input!N162-Input!N196</f>
        <v>0</v>
      </c>
      <c r="O59" s="110">
        <f>Input!O162-Input!O196</f>
        <v>0</v>
      </c>
      <c r="P59" s="110">
        <f>Input!P162-Input!P196</f>
        <v>0</v>
      </c>
      <c r="Q59" s="110">
        <f>Input!Q162-Input!Q196</f>
        <v>0</v>
      </c>
      <c r="R59" s="110"/>
      <c r="S59" s="110"/>
      <c r="T59" s="110"/>
      <c r="U59" s="110"/>
      <c r="V59" s="110"/>
      <c r="W59" s="110"/>
      <c r="X59" s="110"/>
      <c r="Y59" s="110"/>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row>
    <row r="60" spans="1:60" s="204" customFormat="1" ht="12.75" hidden="1" customHeight="1" outlineLevel="1">
      <c r="A60" s="12"/>
      <c r="B60" s="44"/>
      <c r="C60" s="278" t="str">
        <f>Asset21</f>
        <v>Other - short life (9)</v>
      </c>
      <c r="D60" s="12"/>
      <c r="E60" s="12"/>
      <c r="F60" s="117"/>
      <c r="G60" s="117"/>
      <c r="H60" s="110">
        <f>Input!H163-Input!H197</f>
        <v>0.69179100000000004</v>
      </c>
      <c r="I60" s="110">
        <f>Input!I163-Input!I197</f>
        <v>1</v>
      </c>
      <c r="J60" s="110">
        <f>Input!J163-Input!J197</f>
        <v>1.1120000000000001</v>
      </c>
      <c r="K60" s="110">
        <f>Input!K163-Input!K197</f>
        <v>0.23099999999999998</v>
      </c>
      <c r="L60" s="110">
        <f>Input!L163-Input!L197</f>
        <v>0.50408399999999998</v>
      </c>
      <c r="M60" s="110">
        <f>Input!M163-Input!M197</f>
        <v>0</v>
      </c>
      <c r="N60" s="110">
        <f>Input!N163-Input!N197</f>
        <v>0</v>
      </c>
      <c r="O60" s="110">
        <f>Input!O163-Input!O197</f>
        <v>0</v>
      </c>
      <c r="P60" s="110">
        <f>Input!P163-Input!P197</f>
        <v>0</v>
      </c>
      <c r="Q60" s="110">
        <f>Input!Q163-Input!Q197</f>
        <v>0</v>
      </c>
      <c r="R60" s="110"/>
      <c r="S60" s="110"/>
      <c r="T60" s="110"/>
      <c r="U60" s="110"/>
      <c r="V60" s="110"/>
      <c r="W60" s="110"/>
      <c r="X60" s="110"/>
      <c r="Y60" s="110"/>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row>
    <row r="61" spans="1:60" s="204" customFormat="1" ht="12.75" hidden="1" customHeight="1" outlineLevel="1">
      <c r="A61" s="12"/>
      <c r="B61" s="44"/>
      <c r="C61" s="278" t="str">
        <f>Asset22</f>
        <v>Other - short life (4)</v>
      </c>
      <c r="D61" s="12"/>
      <c r="E61" s="12"/>
      <c r="F61" s="117"/>
      <c r="G61" s="117"/>
      <c r="H61" s="110">
        <f>Input!H164-Input!H198</f>
        <v>2.482577</v>
      </c>
      <c r="I61" s="110">
        <f>Input!I164-Input!I198</f>
        <v>1.992</v>
      </c>
      <c r="J61" s="110">
        <f>Input!J164-Input!J198</f>
        <v>1.845</v>
      </c>
      <c r="K61" s="110">
        <f>Input!K164-Input!K198</f>
        <v>5.2140000000000004</v>
      </c>
      <c r="L61" s="110">
        <f>Input!L164-Input!L198</f>
        <v>2.3937119600000001</v>
      </c>
      <c r="M61" s="110">
        <f>Input!M164-Input!M198</f>
        <v>0</v>
      </c>
      <c r="N61" s="110">
        <f>Input!N164-Input!N198</f>
        <v>0</v>
      </c>
      <c r="O61" s="110">
        <f>Input!O164-Input!O198</f>
        <v>0</v>
      </c>
      <c r="P61" s="110">
        <f>Input!P164-Input!P198</f>
        <v>0</v>
      </c>
      <c r="Q61" s="110">
        <f>Input!Q164-Input!Q198</f>
        <v>0</v>
      </c>
      <c r="R61" s="110"/>
      <c r="S61" s="110"/>
      <c r="T61" s="110"/>
      <c r="U61" s="110"/>
      <c r="V61" s="110"/>
      <c r="W61" s="110"/>
      <c r="X61" s="110"/>
      <c r="Y61" s="110"/>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row>
    <row r="62" spans="1:60" s="204" customFormat="1" ht="12.75" hidden="1" customHeight="1" outlineLevel="1">
      <c r="A62" s="12"/>
      <c r="B62" s="44"/>
      <c r="C62" s="278" t="str">
        <f>Asset23</f>
        <v>Land and Easements</v>
      </c>
      <c r="D62" s="12"/>
      <c r="E62" s="12"/>
      <c r="F62" s="117"/>
      <c r="G62" s="117"/>
      <c r="H62" s="110">
        <f>Input!H165-Input!H199</f>
        <v>0</v>
      </c>
      <c r="I62" s="110">
        <f>Input!I165-Input!I199</f>
        <v>1.655</v>
      </c>
      <c r="J62" s="110">
        <f>Input!J165-Input!J199</f>
        <v>0.46200000000000002</v>
      </c>
      <c r="K62" s="110">
        <f>Input!K165-Input!K199</f>
        <v>1.2929999999999999</v>
      </c>
      <c r="L62" s="110">
        <f>Input!L165-Input!L199</f>
        <v>1.0091213522901934</v>
      </c>
      <c r="M62" s="110">
        <f>Input!M165-Input!M199</f>
        <v>0</v>
      </c>
      <c r="N62" s="110">
        <f>Input!N165-Input!N199</f>
        <v>0</v>
      </c>
      <c r="O62" s="110">
        <f>Input!O165-Input!O199</f>
        <v>0</v>
      </c>
      <c r="P62" s="110">
        <f>Input!P165-Input!P199</f>
        <v>0</v>
      </c>
      <c r="Q62" s="110">
        <f>Input!Q165-Input!Q199</f>
        <v>0</v>
      </c>
      <c r="R62" s="110"/>
      <c r="S62" s="110"/>
      <c r="T62" s="110"/>
      <c r="U62" s="110"/>
      <c r="V62" s="110"/>
      <c r="W62" s="110"/>
      <c r="X62" s="110"/>
      <c r="Y62" s="110"/>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row>
    <row r="63" spans="1:60" s="204" customFormat="1" ht="12.75" hidden="1" customHeight="1" outlineLevel="1">
      <c r="A63" s="12"/>
      <c r="B63" s="44"/>
      <c r="C63" s="278" t="str">
        <f>Asset24</f>
        <v>Equity Raising</v>
      </c>
      <c r="D63" s="12"/>
      <c r="E63" s="12"/>
      <c r="F63" s="117"/>
      <c r="G63" s="117"/>
      <c r="H63" s="110">
        <f>Input!H166-Input!H200</f>
        <v>0.42328724402768747</v>
      </c>
      <c r="I63" s="110">
        <f>Input!I166-Input!I200</f>
        <v>0</v>
      </c>
      <c r="J63" s="110">
        <f>Input!J166-Input!J200</f>
        <v>0</v>
      </c>
      <c r="K63" s="110">
        <f>Input!K166-Input!K200</f>
        <v>0</v>
      </c>
      <c r="L63" s="110">
        <f>Input!L166-Input!L200</f>
        <v>0</v>
      </c>
      <c r="M63" s="110">
        <f>Input!M166-Input!M200</f>
        <v>0</v>
      </c>
      <c r="N63" s="110">
        <f>Input!N166-Input!N200</f>
        <v>0</v>
      </c>
      <c r="O63" s="110">
        <f>Input!O166-Input!O200</f>
        <v>0</v>
      </c>
      <c r="P63" s="110">
        <f>Input!P166-Input!P200</f>
        <v>0</v>
      </c>
      <c r="Q63" s="110">
        <f>Input!Q166-Input!Q200</f>
        <v>0</v>
      </c>
      <c r="R63" s="110"/>
      <c r="S63" s="110"/>
      <c r="T63" s="110"/>
      <c r="U63" s="110"/>
      <c r="V63" s="110"/>
      <c r="W63" s="110"/>
      <c r="X63" s="110"/>
      <c r="Y63" s="110"/>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row>
    <row r="64" spans="1:60" s="204" customFormat="1" ht="12.75" hidden="1" customHeight="1" outlineLevel="1">
      <c r="A64" s="12"/>
      <c r="B64" s="44"/>
      <c r="C64" s="278">
        <f>Asset25</f>
        <v>0</v>
      </c>
      <c r="D64" s="12"/>
      <c r="E64" s="12"/>
      <c r="F64" s="117"/>
      <c r="G64" s="117"/>
      <c r="H64" s="110">
        <f>Input!H167-Input!H201</f>
        <v>0</v>
      </c>
      <c r="I64" s="110">
        <f>Input!I167-Input!I201</f>
        <v>0</v>
      </c>
      <c r="J64" s="110">
        <f>Input!J167-Input!J201</f>
        <v>0</v>
      </c>
      <c r="K64" s="110">
        <f>Input!K167-Input!K201</f>
        <v>0</v>
      </c>
      <c r="L64" s="110">
        <f>Input!L167-Input!L201</f>
        <v>0</v>
      </c>
      <c r="M64" s="110">
        <f>Input!M167-Input!M201</f>
        <v>0</v>
      </c>
      <c r="N64" s="110">
        <f>Input!N167-Input!N201</f>
        <v>0</v>
      </c>
      <c r="O64" s="110">
        <f>Input!O167-Input!O201</f>
        <v>0</v>
      </c>
      <c r="P64" s="110">
        <f>Input!P167-Input!P201</f>
        <v>0</v>
      </c>
      <c r="Q64" s="110">
        <f>Input!Q167-Input!Q201</f>
        <v>0</v>
      </c>
      <c r="R64" s="110"/>
      <c r="S64" s="110"/>
      <c r="T64" s="110"/>
      <c r="U64" s="110"/>
      <c r="V64" s="110"/>
      <c r="W64" s="110"/>
      <c r="X64" s="110"/>
      <c r="Y64" s="110"/>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row>
    <row r="65" spans="1:60" s="204" customFormat="1" ht="12.75" hidden="1" customHeight="1" outlineLevel="1">
      <c r="A65" s="12"/>
      <c r="B65" s="44"/>
      <c r="C65" s="278">
        <f>Asset26</f>
        <v>0</v>
      </c>
      <c r="D65" s="12"/>
      <c r="E65" s="12"/>
      <c r="F65" s="117"/>
      <c r="G65" s="117"/>
      <c r="H65" s="110">
        <f>Input!H168-Input!H202</f>
        <v>0</v>
      </c>
      <c r="I65" s="110">
        <f>Input!I168-Input!I202</f>
        <v>0</v>
      </c>
      <c r="J65" s="110">
        <f>Input!J168-Input!J202</f>
        <v>0</v>
      </c>
      <c r="K65" s="110">
        <f>Input!K168-Input!K202</f>
        <v>0</v>
      </c>
      <c r="L65" s="110">
        <f>Input!L168-Input!L202</f>
        <v>0</v>
      </c>
      <c r="M65" s="110">
        <f>Input!M168-Input!M202</f>
        <v>0</v>
      </c>
      <c r="N65" s="110">
        <f>Input!N168-Input!N202</f>
        <v>0</v>
      </c>
      <c r="O65" s="110">
        <f>Input!O168-Input!O202</f>
        <v>0</v>
      </c>
      <c r="P65" s="110">
        <f>Input!P168-Input!P202</f>
        <v>0</v>
      </c>
      <c r="Q65" s="110">
        <f>Input!Q168-Input!Q202</f>
        <v>0</v>
      </c>
      <c r="R65" s="110"/>
      <c r="S65" s="110"/>
      <c r="T65" s="110"/>
      <c r="U65" s="110"/>
      <c r="V65" s="110"/>
      <c r="W65" s="110"/>
      <c r="X65" s="110"/>
      <c r="Y65" s="110"/>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row>
    <row r="66" spans="1:60" s="204" customFormat="1" ht="12.75" hidden="1" customHeight="1" outlineLevel="1">
      <c r="A66" s="12"/>
      <c r="B66" s="44"/>
      <c r="C66" s="278">
        <f>Asset27</f>
        <v>0</v>
      </c>
      <c r="D66" s="12"/>
      <c r="E66" s="12"/>
      <c r="F66" s="117"/>
      <c r="G66" s="117"/>
      <c r="H66" s="110">
        <f>Input!H169-Input!H203</f>
        <v>0</v>
      </c>
      <c r="I66" s="110">
        <f>Input!I169-Input!I203</f>
        <v>0</v>
      </c>
      <c r="J66" s="110">
        <f>Input!J169-Input!J203</f>
        <v>0</v>
      </c>
      <c r="K66" s="110">
        <f>Input!K169-Input!K203</f>
        <v>0</v>
      </c>
      <c r="L66" s="110">
        <f>Input!L169-Input!L203</f>
        <v>0</v>
      </c>
      <c r="M66" s="110">
        <f>Input!M169-Input!M203</f>
        <v>0</v>
      </c>
      <c r="N66" s="110">
        <f>Input!N169-Input!N203</f>
        <v>0</v>
      </c>
      <c r="O66" s="110">
        <f>Input!O169-Input!O203</f>
        <v>0</v>
      </c>
      <c r="P66" s="110">
        <f>Input!P169-Input!P203</f>
        <v>0</v>
      </c>
      <c r="Q66" s="110">
        <f>Input!Q169-Input!Q203</f>
        <v>0</v>
      </c>
      <c r="R66" s="110"/>
      <c r="S66" s="110"/>
      <c r="T66" s="110"/>
      <c r="U66" s="110"/>
      <c r="V66" s="110"/>
      <c r="W66" s="110"/>
      <c r="X66" s="110"/>
      <c r="Y66" s="110"/>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row>
    <row r="67" spans="1:60" s="204" customFormat="1" ht="12.75" hidden="1" customHeight="1" outlineLevel="1">
      <c r="A67" s="12"/>
      <c r="B67" s="44"/>
      <c r="C67" s="278">
        <f>Asset28</f>
        <v>0</v>
      </c>
      <c r="D67" s="12"/>
      <c r="E67" s="12"/>
      <c r="F67" s="117"/>
      <c r="G67" s="117"/>
      <c r="H67" s="110">
        <f>Input!H170-Input!H204</f>
        <v>0</v>
      </c>
      <c r="I67" s="110">
        <f>Input!I170-Input!I204</f>
        <v>0</v>
      </c>
      <c r="J67" s="110">
        <f>Input!J170-Input!J204</f>
        <v>0</v>
      </c>
      <c r="K67" s="110">
        <f>Input!K170-Input!K204</f>
        <v>0</v>
      </c>
      <c r="L67" s="110">
        <f>Input!L170-Input!L204</f>
        <v>0</v>
      </c>
      <c r="M67" s="110">
        <f>Input!M170-Input!M204</f>
        <v>0</v>
      </c>
      <c r="N67" s="110">
        <f>Input!N170-Input!N204</f>
        <v>0</v>
      </c>
      <c r="O67" s="110">
        <f>Input!O170-Input!O204</f>
        <v>0</v>
      </c>
      <c r="P67" s="110">
        <f>Input!P170-Input!P204</f>
        <v>0</v>
      </c>
      <c r="Q67" s="110">
        <f>Input!Q170-Input!Q204</f>
        <v>0</v>
      </c>
      <c r="R67" s="110"/>
      <c r="S67" s="110"/>
      <c r="T67" s="110"/>
      <c r="U67" s="110"/>
      <c r="V67" s="110"/>
      <c r="W67" s="110"/>
      <c r="X67" s="110"/>
      <c r="Y67" s="110"/>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row>
    <row r="68" spans="1:60" s="204" customFormat="1" ht="12.75" hidden="1" customHeight="1" outlineLevel="1">
      <c r="A68" s="12"/>
      <c r="B68" s="44"/>
      <c r="C68" s="278">
        <f>Asset29</f>
        <v>0</v>
      </c>
      <c r="D68" s="12"/>
      <c r="E68" s="12"/>
      <c r="F68" s="117"/>
      <c r="G68" s="117"/>
      <c r="H68" s="110">
        <f>Input!H171-Input!H205</f>
        <v>0</v>
      </c>
      <c r="I68" s="110">
        <f>Input!I171-Input!I205</f>
        <v>0</v>
      </c>
      <c r="J68" s="110">
        <f>Input!J171-Input!J205</f>
        <v>0</v>
      </c>
      <c r="K68" s="110">
        <f>Input!K171-Input!K205</f>
        <v>0</v>
      </c>
      <c r="L68" s="110">
        <f>Input!L171-Input!L205</f>
        <v>0</v>
      </c>
      <c r="M68" s="110">
        <f>Input!M171-Input!M205</f>
        <v>0</v>
      </c>
      <c r="N68" s="110">
        <f>Input!N171-Input!N205</f>
        <v>0</v>
      </c>
      <c r="O68" s="110">
        <f>Input!O171-Input!O205</f>
        <v>0</v>
      </c>
      <c r="P68" s="110">
        <f>Input!P171-Input!P205</f>
        <v>0</v>
      </c>
      <c r="Q68" s="110">
        <f>Input!Q171-Input!Q205</f>
        <v>0</v>
      </c>
      <c r="R68" s="110"/>
      <c r="S68" s="110"/>
      <c r="T68" s="110"/>
      <c r="U68" s="110"/>
      <c r="V68" s="110"/>
      <c r="W68" s="110"/>
      <c r="X68" s="110"/>
      <c r="Y68" s="110"/>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row>
    <row r="69" spans="1:60" s="204" customFormat="1" ht="12.75" hidden="1" customHeight="1" outlineLevel="1">
      <c r="A69" s="12"/>
      <c r="B69" s="44"/>
      <c r="C69" s="278">
        <f>Asset30</f>
        <v>0</v>
      </c>
      <c r="D69" s="12"/>
      <c r="E69" s="12"/>
      <c r="F69" s="117"/>
      <c r="G69" s="117"/>
      <c r="H69" s="110">
        <f>Input!H172-Input!H206</f>
        <v>0</v>
      </c>
      <c r="I69" s="110">
        <f>Input!I172-Input!I206</f>
        <v>0</v>
      </c>
      <c r="J69" s="110">
        <f>Input!J172-Input!J206</f>
        <v>0</v>
      </c>
      <c r="K69" s="110">
        <f>Input!K172-Input!K206</f>
        <v>0</v>
      </c>
      <c r="L69" s="110">
        <f>Input!L172-Input!L206</f>
        <v>0</v>
      </c>
      <c r="M69" s="110">
        <f>Input!M172-Input!M206</f>
        <v>0</v>
      </c>
      <c r="N69" s="110">
        <f>Input!N172-Input!N206</f>
        <v>0</v>
      </c>
      <c r="O69" s="110">
        <f>Input!O172-Input!O206</f>
        <v>0</v>
      </c>
      <c r="P69" s="110">
        <f>Input!P172-Input!P206</f>
        <v>0</v>
      </c>
      <c r="Q69" s="110">
        <f>Input!Q172-Input!Q206</f>
        <v>0</v>
      </c>
      <c r="R69" s="110"/>
      <c r="S69" s="110"/>
      <c r="T69" s="110"/>
      <c r="U69" s="110"/>
      <c r="V69" s="110"/>
      <c r="W69" s="110"/>
      <c r="X69" s="110"/>
      <c r="Y69" s="110"/>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row>
    <row r="70" spans="1:60" s="204" customFormat="1" collapsed="1">
      <c r="A70" s="12"/>
      <c r="B70" s="17"/>
      <c r="C70" s="12"/>
      <c r="D70" s="12"/>
      <c r="E70" s="12"/>
      <c r="F70" s="117"/>
      <c r="G70" s="117"/>
      <c r="H70" s="110"/>
      <c r="I70" s="110"/>
      <c r="J70" s="110"/>
      <c r="K70" s="110"/>
      <c r="L70" s="110"/>
      <c r="M70" s="110"/>
      <c r="N70" s="110"/>
      <c r="O70" s="110"/>
      <c r="P70" s="110"/>
      <c r="Q70" s="110"/>
      <c r="R70" s="110"/>
      <c r="S70" s="110"/>
      <c r="T70" s="110"/>
      <c r="U70" s="110"/>
      <c r="V70" s="110"/>
      <c r="W70" s="110"/>
      <c r="X70" s="110"/>
      <c r="Y70" s="110"/>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row>
    <row r="71" spans="1:60" s="204" customFormat="1">
      <c r="A71" s="9"/>
      <c r="B71" s="9" t="s">
        <v>68</v>
      </c>
      <c r="C71" s="9"/>
      <c r="D71" s="9"/>
      <c r="E71" s="9"/>
      <c r="F71" s="23"/>
      <c r="G71" s="23"/>
      <c r="H71" s="121">
        <f t="shared" ref="H71:Q71" si="3">H84+H97+H110+H123+H136+H149+H162+H175+H188+H201+H214+H227+H240+H253+H266+H279+H292+H305+H318+H331+H344+H357+H370+H383+H396+H409+H422+H435+H448+H461</f>
        <v>-43.747786595183861</v>
      </c>
      <c r="I71" s="121">
        <f t="shared" si="3"/>
        <v>-46.609603428517204</v>
      </c>
      <c r="J71" s="121">
        <f t="shared" si="3"/>
        <v>-40.901559489181111</v>
      </c>
      <c r="K71" s="121">
        <f t="shared" si="3"/>
        <v>-46.191193326565305</v>
      </c>
      <c r="L71" s="121">
        <f t="shared" si="3"/>
        <v>-50.492023882120826</v>
      </c>
      <c r="M71" s="121">
        <f t="shared" si="3"/>
        <v>0</v>
      </c>
      <c r="N71" s="121">
        <f t="shared" si="3"/>
        <v>0</v>
      </c>
      <c r="O71" s="121">
        <f t="shared" si="3"/>
        <v>0</v>
      </c>
      <c r="P71" s="121">
        <f t="shared" si="3"/>
        <v>0</v>
      </c>
      <c r="Q71" s="121">
        <f t="shared" si="3"/>
        <v>0</v>
      </c>
      <c r="R71" s="324"/>
      <c r="S71" s="205"/>
      <c r="T71" s="205"/>
      <c r="U71" s="205"/>
      <c r="V71" s="205"/>
      <c r="W71" s="205"/>
      <c r="X71" s="205"/>
      <c r="Y71" s="205"/>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row>
    <row r="72" spans="1:60" s="204" customFormat="1" hidden="1" outlineLevel="2">
      <c r="A72" s="9"/>
      <c r="B72" s="280" t="str">
        <f>Asset1</f>
        <v>Transmission Lines and Cables</v>
      </c>
      <c r="C72" s="31"/>
      <c r="D72" s="32" t="s">
        <v>65</v>
      </c>
      <c r="E72" s="31"/>
      <c r="F72" s="31"/>
      <c r="G72" s="31"/>
      <c r="H72" s="72">
        <f>IF(H$3&gt;A1taxremlife,A1taxvalue-SUM($F72:F72),IF(A1taxremlife="N/A","n/a",A1taxvalue/A1taxremlife))</f>
        <v>11.794851097650909</v>
      </c>
      <c r="I72" s="72">
        <f>IF(I$3&gt;A1taxremlife,A1taxvalue-SUM($F72:H72),IF(A1taxremlife="N/A","n/a",A1taxvalue/A1taxremlife))</f>
        <v>11.794851097650909</v>
      </c>
      <c r="J72" s="72">
        <f>IF(J$3&gt;A1taxremlife,A1taxvalue-SUM($F72:I72),IF(A1taxremlife="N/A","n/a",A1taxvalue/A1taxremlife))</f>
        <v>11.794851097650909</v>
      </c>
      <c r="K72" s="72">
        <f>IF(K$3&gt;A1taxremlife,A1taxvalue-SUM($F72:J72),IF(A1taxremlife="N/A","n/a",A1taxvalue/A1taxremlife))</f>
        <v>11.794851097650909</v>
      </c>
      <c r="L72" s="72">
        <f>IF(L$3&gt;A1taxremlife,A1taxvalue-SUM($F72:K72),IF(A1taxremlife="N/A","n/a",A1taxvalue/A1taxremlife))</f>
        <v>11.794851097650909</v>
      </c>
      <c r="M72" s="72">
        <f>IF(M$3&gt;A1taxremlife,A1taxvalue-SUM($F72:L72),IF(A1taxremlife="N/A","n/a",A1taxvalue/A1taxremlife))</f>
        <v>11.794851097650909</v>
      </c>
      <c r="N72" s="72">
        <f>IF(N$3&gt;A1taxremlife,A1taxvalue-SUM($F72:M72),IF(A1taxremlife="N/A","n/a",A1taxvalue/A1taxremlife))</f>
        <v>11.794851097650909</v>
      </c>
      <c r="O72" s="72">
        <f>IF(O$3&gt;A1taxremlife,A1taxvalue-SUM($F72:N72),IF(A1taxremlife="N/A","n/a",A1taxvalue/A1taxremlife))</f>
        <v>11.794851097650909</v>
      </c>
      <c r="P72" s="72">
        <f>IF(P$3&gt;A1taxremlife,A1taxvalue-SUM($F72:O72),IF(A1taxremlife="N/A","n/a",A1taxvalue/A1taxremlife))</f>
        <v>11.794851097650909</v>
      </c>
      <c r="Q72" s="72">
        <f>IF(Q$3&gt;A1taxremlife,A1taxvalue-SUM($F72:P72),IF(A1taxremlife="N/A","n/a",A1taxvalue/A1taxremlife))</f>
        <v>11.794851097650909</v>
      </c>
      <c r="R72" s="72"/>
      <c r="S72" s="107"/>
      <c r="T72" s="107"/>
      <c r="U72" s="107"/>
      <c r="V72" s="107"/>
      <c r="W72" s="107"/>
      <c r="X72" s="107"/>
      <c r="Y72" s="107"/>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row>
    <row r="73" spans="1:60" s="204" customFormat="1" ht="12.75" hidden="1" customHeight="1" outlineLevel="2">
      <c r="A73" s="9"/>
      <c r="B73" s="26"/>
      <c r="C73" s="25"/>
      <c r="D73" s="391" t="s">
        <v>81</v>
      </c>
      <c r="E73" s="91"/>
      <c r="F73" s="27"/>
      <c r="G73" s="27"/>
      <c r="H73" s="107"/>
      <c r="I73" s="73"/>
      <c r="J73" s="73"/>
      <c r="K73" s="73"/>
      <c r="L73" s="73"/>
      <c r="M73" s="73"/>
      <c r="N73" s="73"/>
      <c r="O73" s="73"/>
      <c r="P73" s="73"/>
      <c r="Q73" s="73"/>
      <c r="R73" s="73"/>
      <c r="S73" s="107"/>
      <c r="T73" s="107"/>
      <c r="U73" s="107"/>
      <c r="V73" s="107"/>
      <c r="W73" s="107"/>
      <c r="X73" s="107"/>
      <c r="Y73" s="107"/>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1:60" s="204" customFormat="1" hidden="1" outlineLevel="2">
      <c r="A74" s="9"/>
      <c r="B74" s="26"/>
      <c r="C74" s="25"/>
      <c r="D74" s="392"/>
      <c r="E74" s="91">
        <v>1</v>
      </c>
      <c r="F74" s="27"/>
      <c r="G74" s="27"/>
      <c r="H74" s="148"/>
      <c r="I74" s="73">
        <f>IF(A1taxstdlife="n/a","n/a",IF(I$3&gt;(A1taxstdlife+$E74),(Input!$H$143-Input!$H$177)-SUM($H74:H74),(Input!$H$143-Input!$H$177)/A1taxstdlife))</f>
        <v>0</v>
      </c>
      <c r="J74" s="73">
        <f>IF(A1taxstdlife="n/a","n/a",IF(J$3&gt;(A1taxstdlife+$E74),(Input!$H$143-Input!$H$177)-SUM($H74:I74),(Input!$H$143-Input!$H$177)/A1taxstdlife))</f>
        <v>0</v>
      </c>
      <c r="K74" s="73">
        <f>IF(A1taxstdlife="n/a","n/a",IF(K$3&gt;(A1taxstdlife+$E74),(Input!$H$143-Input!$H$177)-SUM($H74:J74),(Input!$H$143-Input!$H$177)/A1taxstdlife))</f>
        <v>0</v>
      </c>
      <c r="L74" s="73">
        <f>IF(A1taxstdlife="n/a","n/a",IF(L$3&gt;(A1taxstdlife+$E74),(Input!$H$143-Input!$H$177)-SUM($H74:K74),(Input!$H$143-Input!$H$177)/A1taxstdlife))</f>
        <v>0</v>
      </c>
      <c r="M74" s="73">
        <f>IF(A1taxstdlife="n/a","n/a",IF(M$3&gt;(A1taxstdlife+$E74),(Input!$H$143-Input!$H$177)-SUM($H74:L74),(Input!$H$143-Input!$H$177)/A1taxstdlife))</f>
        <v>0</v>
      </c>
      <c r="N74" s="73">
        <f>IF(A1taxstdlife="n/a","n/a",IF(N$3&gt;(A1taxstdlife+$E74),(Input!$H$143-Input!$H$177)-SUM($H74:M74),(Input!$H$143-Input!$H$177)/A1taxstdlife))</f>
        <v>0</v>
      </c>
      <c r="O74" s="73">
        <f>IF(A1taxstdlife="n/a","n/a",IF(O$3&gt;(A1taxstdlife+$E74),(Input!$H$143-Input!$H$177)-SUM($H74:N74),(Input!$H$143-Input!$H$177)/A1taxstdlife))</f>
        <v>0</v>
      </c>
      <c r="P74" s="73">
        <f>IF(A1taxstdlife="n/a","n/a",IF(P$3&gt;(A1taxstdlife+$E74),(Input!$H$143-Input!$H$177)-SUM($H74:O74),(Input!$H$143-Input!$H$177)/A1taxstdlife))</f>
        <v>0</v>
      </c>
      <c r="Q74" s="73">
        <f>IF(A1taxstdlife="n/a","n/a",IF(Q$3&gt;(A1taxstdlife+$E74),(Input!$H$143-Input!$H$177)-SUM($H74:P74),(Input!$H$143-Input!$H$177)/A1taxstdlife))</f>
        <v>0</v>
      </c>
      <c r="R74" s="73"/>
      <c r="S74" s="107"/>
      <c r="T74" s="107"/>
      <c r="U74" s="107"/>
      <c r="V74" s="107"/>
      <c r="W74" s="107"/>
      <c r="X74" s="107"/>
      <c r="Y74" s="107"/>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row>
    <row r="75" spans="1:60" s="204" customFormat="1" hidden="1" outlineLevel="2">
      <c r="A75" s="9"/>
      <c r="B75" s="26"/>
      <c r="C75" s="25"/>
      <c r="D75" s="392"/>
      <c r="E75" s="91">
        <v>2</v>
      </c>
      <c r="F75" s="27"/>
      <c r="G75" s="27"/>
      <c r="H75" s="149"/>
      <c r="I75" s="150"/>
      <c r="J75" s="73">
        <f>IF(A1taxstdlife="n/a","n/a",IF(J$3&gt;(A1taxstdlife+$E75),(Input!$I$143-Input!$I$177)-SUM($I75:I75),(Input!$I$143-Input!$I$177)/A1taxstdlife))</f>
        <v>0</v>
      </c>
      <c r="K75" s="73">
        <f>IF(A1taxstdlife="n/a","n/a",IF(K$3&gt;(A1taxstdlife+$E75),(Input!$I$143-Input!$I$177)-SUM($I75:J75),(Input!$I$143-Input!$I$177)/A1taxstdlife))</f>
        <v>0</v>
      </c>
      <c r="L75" s="73">
        <f>IF(A1taxstdlife="n/a","n/a",IF(L$3&gt;(A1taxstdlife+$E75),(Input!$I$143-Input!$I$177)-SUM($I75:K75),(Input!$I$143-Input!$I$177)/A1taxstdlife))</f>
        <v>0</v>
      </c>
      <c r="M75" s="73">
        <f>IF(A1taxstdlife="n/a","n/a",IF(M$3&gt;(A1taxstdlife+$E75),(Input!$I$143-Input!$I$177)-SUM($I75:L75),(Input!$I$143-Input!$I$177)/A1taxstdlife))</f>
        <v>0</v>
      </c>
      <c r="N75" s="73">
        <f>IF(A1taxstdlife="n/a","n/a",IF(N$3&gt;(A1taxstdlife+$E75),(Input!$I$143-Input!$I$177)-SUM($I75:M75),(Input!$I$143-Input!$I$177)/A1taxstdlife))</f>
        <v>0</v>
      </c>
      <c r="O75" s="73">
        <f>IF(A1taxstdlife="n/a","n/a",IF(O$3&gt;(A1taxstdlife+$E75),(Input!$I$143-Input!$I$177)-SUM($I75:N75),(Input!$I$143-Input!$I$177)/A1taxstdlife))</f>
        <v>0</v>
      </c>
      <c r="P75" s="73">
        <f>IF(A1taxstdlife="n/a","n/a",IF(P$3&gt;(A1taxstdlife+$E75),(Input!$I$143-Input!$I$177)-SUM($I75:O75),(Input!$I$143-Input!$I$177)/A1taxstdlife))</f>
        <v>0</v>
      </c>
      <c r="Q75" s="73">
        <f>IF(A1taxstdlife="n/a","n/a",IF(Q$3&gt;(A1taxstdlife+$E75),(Input!$I$143-Input!$I$177)-SUM($I75:P75),(Input!$I$143-Input!$I$177)/A1taxstdlife))</f>
        <v>0</v>
      </c>
      <c r="R75" s="73"/>
      <c r="S75" s="107"/>
      <c r="T75" s="107"/>
      <c r="U75" s="107"/>
      <c r="V75" s="107"/>
      <c r="W75" s="107"/>
      <c r="X75" s="107"/>
      <c r="Y75" s="107"/>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row>
    <row r="76" spans="1:60" s="204" customFormat="1" hidden="1" outlineLevel="2">
      <c r="A76" s="9"/>
      <c r="B76" s="26"/>
      <c r="C76" s="25"/>
      <c r="D76" s="392"/>
      <c r="E76" s="91">
        <v>3</v>
      </c>
      <c r="F76" s="27"/>
      <c r="G76" s="27"/>
      <c r="H76" s="149"/>
      <c r="I76" s="151"/>
      <c r="J76" s="150"/>
      <c r="K76" s="73">
        <f>IF(A1taxstdlife="n/a","n/a",IF(K$3&gt;(A1taxstdlife+$E76),(Input!$J$143-Input!$J$177)-SUM($J76:J76),(Input!$J$143-Input!$J$177)/A1taxstdlife))</f>
        <v>0</v>
      </c>
      <c r="L76" s="73">
        <f>IF(A1taxstdlife="n/a","n/a",IF(L$3&gt;(A1taxstdlife+$E76),(Input!$J$143-Input!$J$177)-SUM($J76:K76),(Input!$J$143-Input!$J$177)/A1taxstdlife))</f>
        <v>0</v>
      </c>
      <c r="M76" s="73">
        <f>IF(A1taxstdlife="n/a","n/a",IF(M$3&gt;(A1taxstdlife+$E76),(Input!$J$143-Input!$J$177)-SUM($J76:L76),(Input!$J$143-Input!$J$177)/A1taxstdlife))</f>
        <v>0</v>
      </c>
      <c r="N76" s="73">
        <f>IF(A1taxstdlife="n/a","n/a",IF(N$3&gt;(A1taxstdlife+$E76),(Input!$J$143-Input!$J$177)-SUM($J76:M76),(Input!$J$143-Input!$J$177)/A1taxstdlife))</f>
        <v>0</v>
      </c>
      <c r="O76" s="73">
        <f>IF(A1taxstdlife="n/a","n/a",IF(O$3&gt;(A1taxstdlife+$E76),(Input!$J$143-Input!$J$177)-SUM($J76:N76),(Input!$J$143-Input!$J$177)/A1taxstdlife))</f>
        <v>0</v>
      </c>
      <c r="P76" s="73">
        <f>IF(A1taxstdlife="n/a","n/a",IF(P$3&gt;(A1taxstdlife+$E76),(Input!$J$143-Input!$J$177)-SUM($J76:O76),(Input!$J$143-Input!$J$177)/A1taxstdlife))</f>
        <v>0</v>
      </c>
      <c r="Q76" s="73">
        <f>IF(A1taxstdlife="n/a","n/a",IF(Q$3&gt;(A1taxstdlife+$E76),(Input!$J$143-Input!$J$177)-SUM($J76:P76),(Input!$J$143-Input!$J$177)/A1taxstdlife))</f>
        <v>0</v>
      </c>
      <c r="R76" s="73"/>
      <c r="S76" s="107"/>
      <c r="T76" s="107"/>
      <c r="U76" s="107"/>
      <c r="V76" s="107"/>
      <c r="W76" s="107"/>
      <c r="X76" s="107"/>
      <c r="Y76" s="107"/>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row>
    <row r="77" spans="1:60" s="204" customFormat="1" hidden="1" outlineLevel="2">
      <c r="A77" s="9"/>
      <c r="B77" s="26"/>
      <c r="C77" s="25"/>
      <c r="D77" s="392"/>
      <c r="E77" s="91">
        <v>4</v>
      </c>
      <c r="F77" s="27"/>
      <c r="G77" s="27"/>
      <c r="H77" s="149"/>
      <c r="I77" s="151"/>
      <c r="J77" s="151"/>
      <c r="K77" s="150"/>
      <c r="L77" s="73">
        <f>IF(A1taxstdlife="n/a","n/a",IF(L$3&gt;(A1taxstdlife+$E77),(Input!$K$143-Input!$K$177)-SUM($K77:K77),(Input!$K$143-Input!$K$177)/A1taxstdlife))</f>
        <v>-3.7166666666666667E-3</v>
      </c>
      <c r="M77" s="73">
        <f>IF(A1taxstdlife="n/a","n/a",IF(M$3&gt;(A1taxstdlife+$E77),(Input!$K$143-Input!$K$177)-SUM($K77:L77),(Input!$K$143-Input!$K$177)/A1taxstdlife))</f>
        <v>-3.7166666666666667E-3</v>
      </c>
      <c r="N77" s="73">
        <f>IF(A1taxstdlife="n/a","n/a",IF(N$3&gt;(A1taxstdlife+$E77),(Input!$K$143-Input!$K$177)-SUM($K77:M77),(Input!$K$143-Input!$K$177)/A1taxstdlife))</f>
        <v>-3.7166666666666667E-3</v>
      </c>
      <c r="O77" s="73">
        <f>IF(A1taxstdlife="n/a","n/a",IF(O$3&gt;(A1taxstdlife+$E77),(Input!$K$143-Input!$K$177)-SUM($K77:N77),(Input!$K$143-Input!$K$177)/A1taxstdlife))</f>
        <v>-3.7166666666666667E-3</v>
      </c>
      <c r="P77" s="73">
        <f>IF(A1taxstdlife="n/a","n/a",IF(P$3&gt;(A1taxstdlife+$E77),(Input!$K$143-Input!$K$177)-SUM($K77:O77),(Input!$K$143-Input!$K$177)/A1taxstdlife))</f>
        <v>-3.7166666666666667E-3</v>
      </c>
      <c r="Q77" s="73">
        <f>IF(A1taxstdlife="n/a","n/a",IF(Q$3&gt;(A1taxstdlife+$E77),(Input!$K$143-Input!$K$177)-SUM($K77:P77),(Input!$K$143-Input!$K$177)/A1taxstdlife))</f>
        <v>-3.7166666666666667E-3</v>
      </c>
      <c r="R77" s="73"/>
      <c r="S77" s="107"/>
      <c r="T77" s="107"/>
      <c r="U77" s="107"/>
      <c r="V77" s="107"/>
      <c r="W77" s="107"/>
      <c r="X77" s="107"/>
      <c r="Y77" s="107"/>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row>
    <row r="78" spans="1:60" s="204" customFormat="1" hidden="1" outlineLevel="2">
      <c r="A78" s="9"/>
      <c r="B78" s="26"/>
      <c r="C78" s="25"/>
      <c r="D78" s="392"/>
      <c r="E78" s="91">
        <v>5</v>
      </c>
      <c r="F78" s="27"/>
      <c r="G78" s="27"/>
      <c r="H78" s="149"/>
      <c r="I78" s="151"/>
      <c r="J78" s="151"/>
      <c r="K78" s="151"/>
      <c r="L78" s="150"/>
      <c r="M78" s="73">
        <f>IF(A1taxstdlife="n/a","n/a",IF(M$3&gt;(A1taxstdlife+$E78),(Input!$L$143-Input!$L$177)-SUM($L78:L78),(Input!$L$143-Input!$L$177)/A1taxstdlife))</f>
        <v>0</v>
      </c>
      <c r="N78" s="73">
        <f>IF(A1taxstdlife="n/a","n/a",IF(N$3&gt;(A1taxstdlife+$E78),(Input!$L$143-Input!$L$177)-SUM($L78:M78),(Input!$L$143-Input!$L$177)/A1taxstdlife))</f>
        <v>0</v>
      </c>
      <c r="O78" s="73">
        <f>IF(A1taxstdlife="n/a","n/a",IF(O$3&gt;(A1taxstdlife+$E78),(Input!$L$143-Input!$L$177)-SUM($L78:N78),(Input!$L$143-Input!$L$177)/A1taxstdlife))</f>
        <v>0</v>
      </c>
      <c r="P78" s="73">
        <f>IF(A1taxstdlife="n/a","n/a",IF(P$3&gt;(A1taxstdlife+$E78),(Input!$L$143-Input!$L$177)-SUM($L78:O78),(Input!$L$143-Input!$L$177)/A1taxstdlife))</f>
        <v>0</v>
      </c>
      <c r="Q78" s="73">
        <f>IF(A1taxstdlife="n/a","n/a",IF(Q$3&gt;(A1taxstdlife+$E78),(Input!$L$143-Input!$L$177)-SUM($L78:P78),(Input!$L$143-Input!$L$177)/A1taxstdlife))</f>
        <v>0</v>
      </c>
      <c r="R78" s="73"/>
      <c r="S78" s="107"/>
      <c r="T78" s="107"/>
      <c r="U78" s="107"/>
      <c r="V78" s="107"/>
      <c r="W78" s="107"/>
      <c r="X78" s="107"/>
      <c r="Y78" s="107"/>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row>
    <row r="79" spans="1:60" s="204" customFormat="1" hidden="1" outlineLevel="2">
      <c r="A79" s="9"/>
      <c r="B79" s="26"/>
      <c r="C79" s="25"/>
      <c r="D79" s="392"/>
      <c r="E79" s="91">
        <v>6</v>
      </c>
      <c r="F79" s="27"/>
      <c r="G79" s="27"/>
      <c r="H79" s="149"/>
      <c r="I79" s="151"/>
      <c r="J79" s="151"/>
      <c r="K79" s="151"/>
      <c r="L79" s="151"/>
      <c r="M79" s="150"/>
      <c r="N79" s="73">
        <f>IF(A1taxstdlife="n/a","n/a",IF(N$3&gt;(A1taxstdlife+$E79),(Input!$M$143-Input!$M$177)-SUM($M79:M79),(Input!$M$143-Input!$M$177)/A1taxstdlife))</f>
        <v>0</v>
      </c>
      <c r="O79" s="73">
        <f>IF(A1taxstdlife="n/a","n/a",IF(O$3&gt;(A1taxstdlife+$E79),(Input!$M$143-Input!$M$177)-SUM($M79:N79),(Input!$M$143-Input!$M$177)/A1taxstdlife))</f>
        <v>0</v>
      </c>
      <c r="P79" s="73">
        <f>IF(A1taxstdlife="n/a","n/a",IF(P$3&gt;(A1taxstdlife+$E79),(Input!$M$143-Input!$M$177)-SUM($M79:O79),(Input!$M$143-Input!$M$177)/A1taxstdlife))</f>
        <v>0</v>
      </c>
      <c r="Q79" s="73">
        <f>IF(A1taxstdlife="n/a","n/a",IF(Q$3&gt;(A1taxstdlife+$E79),(Input!$M$143-Input!$M$177)-SUM($M79:P79),(Input!$M$143-Input!$M$177)/A1taxstdlife))</f>
        <v>0</v>
      </c>
      <c r="R79" s="73"/>
      <c r="S79" s="107"/>
      <c r="T79" s="107"/>
      <c r="U79" s="107"/>
      <c r="V79" s="107"/>
      <c r="W79" s="107"/>
      <c r="X79" s="107"/>
      <c r="Y79" s="107"/>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row>
    <row r="80" spans="1:60" s="204" customFormat="1" hidden="1" outlineLevel="2">
      <c r="A80" s="9"/>
      <c r="B80" s="26"/>
      <c r="C80" s="25"/>
      <c r="D80" s="392"/>
      <c r="E80" s="91">
        <v>7</v>
      </c>
      <c r="F80" s="27"/>
      <c r="G80" s="27"/>
      <c r="H80" s="149"/>
      <c r="I80" s="151"/>
      <c r="J80" s="151"/>
      <c r="K80" s="151"/>
      <c r="L80" s="151"/>
      <c r="M80" s="151"/>
      <c r="N80" s="150"/>
      <c r="O80" s="73">
        <f>IF(A1taxstdlife="n/a","n/a",IF(O$3&gt;(A1taxstdlife+$E80),(Input!$N$143-Input!$N$177)-SUM($N80:N80),(Input!$N$143-Input!$N$177)/A1taxstdlife))</f>
        <v>0</v>
      </c>
      <c r="P80" s="73">
        <f>IF(A1taxstdlife="n/a","n/a",IF(P$3&gt;(A1taxstdlife+$E80),(Input!$N$143-Input!$N$177)-SUM($N80:O80),(Input!$N$143-Input!$N$177)/A1taxstdlife))</f>
        <v>0</v>
      </c>
      <c r="Q80" s="73">
        <f>IF(A1taxstdlife="n/a","n/a",IF(Q$3&gt;(A1taxstdlife+$E80),(Input!$N$143-Input!$N$177)-SUM($N80:P80),(Input!$N$143-Input!$N$177)/A1taxstdlife))</f>
        <v>0</v>
      </c>
      <c r="R80" s="73"/>
      <c r="S80" s="107"/>
      <c r="T80" s="107"/>
      <c r="U80" s="107"/>
      <c r="V80" s="107"/>
      <c r="W80" s="107"/>
      <c r="X80" s="107"/>
      <c r="Y80" s="107"/>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row>
    <row r="81" spans="1:61" s="204" customFormat="1" hidden="1" outlineLevel="2">
      <c r="A81" s="9"/>
      <c r="B81" s="26"/>
      <c r="C81" s="25"/>
      <c r="D81" s="392"/>
      <c r="E81" s="91">
        <v>8</v>
      </c>
      <c r="F81" s="27"/>
      <c r="G81" s="27"/>
      <c r="H81" s="149"/>
      <c r="I81" s="151"/>
      <c r="J81" s="151"/>
      <c r="K81" s="151"/>
      <c r="L81" s="151"/>
      <c r="M81" s="151"/>
      <c r="N81" s="151"/>
      <c r="O81" s="150"/>
      <c r="P81" s="73">
        <f>IF(A1taxstdlife="n/a","n/a",IF(P$3&gt;(A1taxstdlife+$E81),(Input!$O$143-Input!$O$177)-SUM($O81:O81),(Input!$O$143-Input!$O$177)/A1taxstdlife))</f>
        <v>0</v>
      </c>
      <c r="Q81" s="73">
        <f>IF(A1taxstdlife="n/a","n/a",IF(Q$3&gt;(A1taxstdlife+$E81),(Input!$O$143-Input!$O$177)-SUM($O81:P81),(Input!$O$143-Input!$O$177)/A1taxstdlife))</f>
        <v>0</v>
      </c>
      <c r="R81" s="73"/>
      <c r="S81" s="107"/>
      <c r="T81" s="107"/>
      <c r="U81" s="107"/>
      <c r="V81" s="107"/>
      <c r="W81" s="107"/>
      <c r="X81" s="107"/>
      <c r="Y81" s="107"/>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row>
    <row r="82" spans="1:61" s="204" customFormat="1" hidden="1" outlineLevel="2">
      <c r="A82" s="9"/>
      <c r="B82" s="26"/>
      <c r="C82" s="25"/>
      <c r="D82" s="392"/>
      <c r="E82" s="91">
        <v>9</v>
      </c>
      <c r="F82" s="27"/>
      <c r="G82" s="27"/>
      <c r="H82" s="149"/>
      <c r="I82" s="151"/>
      <c r="J82" s="151"/>
      <c r="K82" s="151"/>
      <c r="L82" s="151"/>
      <c r="M82" s="151"/>
      <c r="N82" s="151"/>
      <c r="O82" s="151"/>
      <c r="P82" s="150"/>
      <c r="Q82" s="73">
        <f>IF(A1taxstdlife="n/a","n/a",IF(Q$3&gt;(A1taxstdlife+$E82),(Input!$P$143-Input!$P$177)-SUM($P82:P82),(Input!$P$143-Input!$P$177)/A1taxstdlife))</f>
        <v>0</v>
      </c>
      <c r="R82" s="73"/>
      <c r="S82" s="107"/>
      <c r="T82" s="107"/>
      <c r="U82" s="107"/>
      <c r="V82" s="107"/>
      <c r="W82" s="107"/>
      <c r="X82" s="107"/>
      <c r="Y82" s="107"/>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row>
    <row r="83" spans="1:61" s="204" customFormat="1" hidden="1" outlineLevel="2">
      <c r="A83" s="9"/>
      <c r="B83" s="26"/>
      <c r="C83" s="25"/>
      <c r="D83" s="392"/>
      <c r="E83" s="92">
        <v>10</v>
      </c>
      <c r="F83" s="27"/>
      <c r="G83" s="27"/>
      <c r="H83" s="149"/>
      <c r="I83" s="151"/>
      <c r="J83" s="151"/>
      <c r="K83" s="151"/>
      <c r="L83" s="151"/>
      <c r="M83" s="151"/>
      <c r="N83" s="151"/>
      <c r="O83" s="151"/>
      <c r="P83" s="151"/>
      <c r="Q83" s="150"/>
      <c r="R83" s="73"/>
      <c r="S83" s="107"/>
      <c r="T83" s="107"/>
      <c r="U83" s="107"/>
      <c r="V83" s="107"/>
      <c r="W83" s="107"/>
      <c r="X83" s="107"/>
      <c r="Y83" s="107"/>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row>
    <row r="84" spans="1:61" s="204" customFormat="1" hidden="1" outlineLevel="1" collapsed="1">
      <c r="A84" s="9"/>
      <c r="B84" s="9"/>
      <c r="C84" s="279" t="str">
        <f>Asset1</f>
        <v>Transmission Lines and Cables</v>
      </c>
      <c r="D84" s="9"/>
      <c r="E84" s="9"/>
      <c r="F84" s="23"/>
      <c r="G84" s="23"/>
      <c r="H84" s="305">
        <f>-SUM(H72:H83)</f>
        <v>-11.794851097650909</v>
      </c>
      <c r="I84" s="164">
        <f>-SUM(I72:I83)</f>
        <v>-11.794851097650909</v>
      </c>
      <c r="J84" s="164">
        <f>-SUM(J72:J83)</f>
        <v>-11.794851097650909</v>
      </c>
      <c r="K84" s="164">
        <f>-SUM(K72:K83)</f>
        <v>-11.794851097650909</v>
      </c>
      <c r="L84" s="164">
        <f>-SUM(L72:L83)</f>
        <v>-11.791134430984242</v>
      </c>
      <c r="M84" s="164">
        <f>IF(COUNT($H84:L84)&gt;=Input!$W$7,0, -SUM(M72:M83))</f>
        <v>0</v>
      </c>
      <c r="N84" s="164">
        <f>IF(COUNT($H84:M84)&gt;=Input!$W$7,0, -SUM(N72:N83))</f>
        <v>0</v>
      </c>
      <c r="O84" s="164">
        <f>IF(COUNT($H84:N84)&gt;=Input!$W$7,0, -SUM(O72:O83))</f>
        <v>0</v>
      </c>
      <c r="P84" s="164">
        <f>IF(COUNT($H84:O84)&gt;=Input!$W$7,0, -SUM(P72:P83))</f>
        <v>0</v>
      </c>
      <c r="Q84" s="164">
        <f>IF(COUNT($H84:P84)&gt;=Input!$W$7,0, -SUM(Q72:Q83))</f>
        <v>0</v>
      </c>
      <c r="R84" s="164"/>
      <c r="S84" s="106"/>
      <c r="T84" s="106"/>
      <c r="U84" s="106"/>
      <c r="V84" s="106"/>
      <c r="W84" s="106"/>
      <c r="X84" s="106"/>
      <c r="Y84" s="106"/>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row>
    <row r="85" spans="1:61" s="204" customFormat="1" hidden="1" outlineLevel="2">
      <c r="A85" s="9"/>
      <c r="B85" s="280" t="str">
        <f>Asset2</f>
        <v>Transmission Substations</v>
      </c>
      <c r="C85" s="31"/>
      <c r="D85" s="32" t="s">
        <v>65</v>
      </c>
      <c r="E85" s="31"/>
      <c r="F85" s="308"/>
      <c r="G85" s="308"/>
      <c r="H85" s="72">
        <f>IF(H$3&gt;A2taxremlife,A2taxvalue-SUM($F85:F85),IF(A2taxremlife="N/A","n/a",A2taxvalue/A2taxremlife))</f>
        <v>12.106499026977209</v>
      </c>
      <c r="I85" s="72">
        <f>IF(I$3&gt;A2taxremlife,A2taxvalue-SUM($F85:H85),IF(A2taxremlife="N/A","n/a",A2taxvalue/A2taxremlife))</f>
        <v>12.106499026977209</v>
      </c>
      <c r="J85" s="72">
        <f>IF(J$3&gt;A2taxremlife,A2taxvalue-SUM($F85:I85),IF(A2taxremlife="N/A","n/a",A2taxvalue/A2taxremlife))</f>
        <v>12.106499026977209</v>
      </c>
      <c r="K85" s="72">
        <f>IF(K$3&gt;A2taxremlife,A2taxvalue-SUM($F85:J85),IF(A2taxremlife="N/A","n/a",A2taxvalue/A2taxremlife))</f>
        <v>12.106499026977209</v>
      </c>
      <c r="L85" s="72">
        <f>IF(L$3&gt;A2taxremlife,A2taxvalue-SUM($F85:K85),IF(A2taxremlife="N/A","n/a",A2taxvalue/A2taxremlife))</f>
        <v>12.106499026977209</v>
      </c>
      <c r="M85" s="72">
        <f>IF(M$3&gt;A2taxremlife,A2taxvalue-SUM($F85:L85),IF(A2taxremlife="N/A","n/a",A2taxvalue/A2taxremlife))</f>
        <v>12.106499026977209</v>
      </c>
      <c r="N85" s="72">
        <f>IF(N$3&gt;A2taxremlife,A2taxvalue-SUM($F85:M85),IF(A2taxremlife="N/A","n/a",A2taxvalue/A2taxremlife))</f>
        <v>12.106499026977209</v>
      </c>
      <c r="O85" s="72">
        <f>IF(O$3&gt;A2taxremlife,A2taxvalue-SUM($F85:N85),IF(A2taxremlife="N/A","n/a",A2taxvalue/A2taxremlife))</f>
        <v>12.106499026977209</v>
      </c>
      <c r="P85" s="72">
        <f>IF(P$3&gt;A2taxremlife,A2taxvalue-SUM($F85:O85),IF(A2taxremlife="N/A","n/a",A2taxvalue/A2taxremlife))</f>
        <v>12.106499026977209</v>
      </c>
      <c r="Q85" s="72">
        <f>IF(Q$3&gt;A2taxremlife,A2taxvalue-SUM($F85:P85),IF(A2taxremlife="N/A","n/a",A2taxvalue/A2taxremlife))</f>
        <v>12.106499026977209</v>
      </c>
      <c r="R85" s="72"/>
      <c r="S85" s="107"/>
      <c r="T85" s="107"/>
      <c r="U85" s="107"/>
      <c r="V85" s="107"/>
      <c r="W85" s="107"/>
      <c r="X85" s="107"/>
      <c r="Y85" s="107"/>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row>
    <row r="86" spans="1:61" s="204" customFormat="1" ht="12.75" hidden="1" customHeight="1" outlineLevel="2">
      <c r="A86" s="9"/>
      <c r="B86" s="9"/>
      <c r="C86" s="26"/>
      <c r="D86" s="391" t="s">
        <v>81</v>
      </c>
      <c r="E86" s="91"/>
      <c r="F86" s="27"/>
      <c r="G86" s="27"/>
      <c r="H86" s="107"/>
      <c r="I86" s="73"/>
      <c r="J86" s="73"/>
      <c r="K86" s="73"/>
      <c r="L86" s="73"/>
      <c r="M86" s="73"/>
      <c r="N86" s="73"/>
      <c r="O86" s="73"/>
      <c r="P86" s="73"/>
      <c r="Q86" s="73"/>
      <c r="R86" s="73"/>
      <c r="S86" s="107"/>
      <c r="T86" s="107"/>
      <c r="U86" s="107"/>
      <c r="V86" s="107"/>
      <c r="W86" s="107"/>
      <c r="X86" s="107"/>
      <c r="Y86" s="107"/>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row>
    <row r="87" spans="1:61" s="204" customFormat="1" hidden="1" outlineLevel="2">
      <c r="A87" s="9"/>
      <c r="B87" s="9"/>
      <c r="C87" s="26"/>
      <c r="D87" s="392"/>
      <c r="E87" s="91">
        <v>1</v>
      </c>
      <c r="F87" s="27"/>
      <c r="G87" s="27"/>
      <c r="H87" s="148"/>
      <c r="I87" s="73">
        <f>IF(A2taxstdlife="n/a","n/a",IF(I$3&gt;(A2taxstdlife+$E87),(Input!$H$144-Input!$H$178)-SUM($H87:H87),(Input!$H$144-Input!$H$178)/A2taxstdlife))</f>
        <v>0</v>
      </c>
      <c r="J87" s="73">
        <f>IF(A2taxstdlife="n/a","n/a",IF(J$3&gt;(A2taxstdlife+$E87),(Input!$H$144-Input!$H$178)-SUM($H87:I87),(Input!$H$144-Input!$H$178)/A2taxstdlife))</f>
        <v>0</v>
      </c>
      <c r="K87" s="73">
        <f>IF(A2taxstdlife="n/a","n/a",IF(K$3&gt;(A2taxstdlife+$E87),(Input!$H$144-Input!$H$178)-SUM($H87:J87),(Input!$H$144-Input!$H$178)/A2taxstdlife))</f>
        <v>0</v>
      </c>
      <c r="L87" s="73">
        <f>IF(A2taxstdlife="n/a","n/a",IF(L$3&gt;(A2taxstdlife+$E87),(Input!$H$144-Input!$H$178)-SUM($H87:K87),(Input!$H$144-Input!$H$178)/A2taxstdlife))</f>
        <v>0</v>
      </c>
      <c r="M87" s="73">
        <f>IF(A2taxstdlife="n/a","n/a",IF(M$3&gt;(A2taxstdlife+$E87),(Input!$H$144-Input!$H$178)-SUM($H87:L87),(Input!$H$144-Input!$H$178)/A2taxstdlife))</f>
        <v>0</v>
      </c>
      <c r="N87" s="73">
        <f>IF(A2taxstdlife="n/a","n/a",IF(N$3&gt;(A2taxstdlife+$E87),(Input!$H$144-Input!$H$178)-SUM($H87:M87),(Input!$H$144-Input!$H$178)/A2taxstdlife))</f>
        <v>0</v>
      </c>
      <c r="O87" s="73">
        <f>IF(A2taxstdlife="n/a","n/a",IF(O$3&gt;(A2taxstdlife+$E87),(Input!$H$144-Input!$H$178)-SUM($H87:N87),(Input!$H$144-Input!$H$178)/A2taxstdlife))</f>
        <v>0</v>
      </c>
      <c r="P87" s="73">
        <f>IF(A2taxstdlife="n/a","n/a",IF(P$3&gt;(A2taxstdlife+$E87),(Input!$H$144-Input!$H$178)-SUM($H87:O87),(Input!$H$144-Input!$H$178)/A2taxstdlife))</f>
        <v>0</v>
      </c>
      <c r="Q87" s="73">
        <f>IF(A2taxstdlife="n/a","n/a",IF(Q$3&gt;(A2taxstdlife+$E87),(Input!$H$144-Input!$H$178)-SUM($H87:P87),(Input!$H$144-Input!$H$178)/A2taxstdlife))</f>
        <v>0</v>
      </c>
      <c r="R87" s="73"/>
      <c r="S87" s="107"/>
      <c r="T87" s="107"/>
      <c r="U87" s="107"/>
      <c r="V87" s="107"/>
      <c r="W87" s="107"/>
      <c r="X87" s="107"/>
      <c r="Y87" s="107"/>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row>
    <row r="88" spans="1:61" s="204" customFormat="1" hidden="1" outlineLevel="2">
      <c r="A88" s="9"/>
      <c r="B88" s="9"/>
      <c r="C88" s="26"/>
      <c r="D88" s="392"/>
      <c r="E88" s="91">
        <v>2</v>
      </c>
      <c r="F88" s="27"/>
      <c r="G88" s="27"/>
      <c r="H88" s="149"/>
      <c r="I88" s="150"/>
      <c r="J88" s="73">
        <f>IF(A2taxstdlife="n/a","n/a",IF(J$3&gt;(A2taxstdlife+$E88),(Input!$I$144-Input!$I$178)-SUM($I88:I88),(Input!$I$144-Input!$I$178)/A2taxstdlife))</f>
        <v>-1.0620000000000001E-2</v>
      </c>
      <c r="K88" s="73">
        <f>IF(A2taxstdlife="n/a","n/a",IF(K$3&gt;(A2taxstdlife+$E88),(Input!$I$144-Input!$I$178)-SUM($I88:J88),(Input!$I$144-Input!$I$178)/A2taxstdlife))</f>
        <v>-1.0620000000000001E-2</v>
      </c>
      <c r="L88" s="73">
        <f>IF(A2taxstdlife="n/a","n/a",IF(L$3&gt;(A2taxstdlife+$E88),(Input!$I$144-Input!$I$178)-SUM($I88:K88),(Input!$I$144-Input!$I$178)/A2taxstdlife))</f>
        <v>-1.0620000000000001E-2</v>
      </c>
      <c r="M88" s="73">
        <f>IF(A2taxstdlife="n/a","n/a",IF(M$3&gt;(A2taxstdlife+$E88),(Input!$I$144-Input!$I$178)-SUM($I88:L88),(Input!$I$144-Input!$I$178)/A2taxstdlife))</f>
        <v>-1.0620000000000001E-2</v>
      </c>
      <c r="N88" s="73">
        <f>IF(A2taxstdlife="n/a","n/a",IF(N$3&gt;(A2taxstdlife+$E88),(Input!$I$144-Input!$I$178)-SUM($I88:M88),(Input!$I$144-Input!$I$178)/A2taxstdlife))</f>
        <v>-1.0620000000000001E-2</v>
      </c>
      <c r="O88" s="73">
        <f>IF(A2taxstdlife="n/a","n/a",IF(O$3&gt;(A2taxstdlife+$E88),(Input!$I$144-Input!$I$178)-SUM($I88:N88),(Input!$I$144-Input!$I$178)/A2taxstdlife))</f>
        <v>-1.0620000000000001E-2</v>
      </c>
      <c r="P88" s="73">
        <f>IF(A2taxstdlife="n/a","n/a",IF(P$3&gt;(A2taxstdlife+$E88),(Input!$I$144-Input!$I$178)-SUM($I88:O88),(Input!$I$144-Input!$I$178)/A2taxstdlife))</f>
        <v>-1.0620000000000001E-2</v>
      </c>
      <c r="Q88" s="73">
        <f>IF(A2taxstdlife="n/a","n/a",IF(Q$3&gt;(A2taxstdlife+$E88),(Input!$I$144-Input!$I$178)-SUM($I88:P88),(Input!$I$144-Input!$I$178)/A2taxstdlife))</f>
        <v>-1.0620000000000001E-2</v>
      </c>
      <c r="R88" s="73"/>
      <c r="S88" s="107"/>
      <c r="T88" s="107"/>
      <c r="U88" s="107"/>
      <c r="V88" s="107"/>
      <c r="W88" s="107"/>
      <c r="X88" s="107"/>
      <c r="Y88" s="107"/>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5"/>
    </row>
    <row r="89" spans="1:61" s="204" customFormat="1" hidden="1" outlineLevel="2">
      <c r="A89" s="9"/>
      <c r="B89" s="9"/>
      <c r="C89" s="26"/>
      <c r="D89" s="392"/>
      <c r="E89" s="91">
        <v>3</v>
      </c>
      <c r="F89" s="27"/>
      <c r="G89" s="27"/>
      <c r="H89" s="149"/>
      <c r="I89" s="151"/>
      <c r="J89" s="150"/>
      <c r="K89" s="73">
        <f>IF(A2taxstdlife="n/a","n/a",IF(K$3&gt;(A2taxstdlife+$E89),(Input!$J$144-Input!$J$178)-SUM($J89:J89),(Input!$J$144-Input!$J$178)/A2taxstdlife))</f>
        <v>0</v>
      </c>
      <c r="L89" s="73">
        <f>IF(A2taxstdlife="n/a","n/a",IF(L$3&gt;(A2taxstdlife+$E89),(Input!$J$144-Input!$J$178)-SUM($J89:K89),(Input!$J$144-Input!$J$178)/A2taxstdlife))</f>
        <v>0</v>
      </c>
      <c r="M89" s="73">
        <f>IF(A2taxstdlife="n/a","n/a",IF(M$3&gt;(A2taxstdlife+$E89),(Input!$J$144-Input!$J$178)-SUM($J89:L89),(Input!$J$144-Input!$J$178)/A2taxstdlife))</f>
        <v>0</v>
      </c>
      <c r="N89" s="73">
        <f>IF(A2taxstdlife="n/a","n/a",IF(N$3&gt;(A2taxstdlife+$E89),(Input!$J$144-Input!$J$178)-SUM($J89:M89),(Input!$J$144-Input!$J$178)/A2taxstdlife))</f>
        <v>0</v>
      </c>
      <c r="O89" s="73">
        <f>IF(A2taxstdlife="n/a","n/a",IF(O$3&gt;(A2taxstdlife+$E89),(Input!$J$144-Input!$J$178)-SUM($J89:N89),(Input!$J$144-Input!$J$178)/A2taxstdlife))</f>
        <v>0</v>
      </c>
      <c r="P89" s="73">
        <f>IF(A2taxstdlife="n/a","n/a",IF(P$3&gt;(A2taxstdlife+$E89),(Input!$J$144-Input!$J$178)-SUM($J89:O89),(Input!$J$144-Input!$J$178)/A2taxstdlife))</f>
        <v>0</v>
      </c>
      <c r="Q89" s="73">
        <f>IF(A2taxstdlife="n/a","n/a",IF(Q$3&gt;(A2taxstdlife+$E89),(Input!$J$144-Input!$J$178)-SUM($J89:P89),(Input!$J$144-Input!$J$178)/A2taxstdlife))</f>
        <v>0</v>
      </c>
      <c r="R89" s="73"/>
      <c r="S89" s="107"/>
      <c r="T89" s="107"/>
      <c r="U89" s="107"/>
      <c r="V89" s="107"/>
      <c r="W89" s="107"/>
      <c r="X89" s="107"/>
      <c r="Y89" s="107"/>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row>
    <row r="90" spans="1:61" s="204" customFormat="1" hidden="1" outlineLevel="2">
      <c r="A90" s="9"/>
      <c r="B90" s="9"/>
      <c r="C90" s="26"/>
      <c r="D90" s="392"/>
      <c r="E90" s="91">
        <v>4</v>
      </c>
      <c r="F90" s="27"/>
      <c r="G90" s="27"/>
      <c r="H90" s="149"/>
      <c r="I90" s="151"/>
      <c r="J90" s="151"/>
      <c r="K90" s="150"/>
      <c r="L90" s="73">
        <f>IF(A2taxstdlife="n/a","n/a",IF(L$3&gt;(A2taxstdlife+$E90),(Input!$K$144-Input!$K$178)-SUM($K90:K90),(Input!$K$144-Input!$K$178)/A2taxstdlife))</f>
        <v>0</v>
      </c>
      <c r="M90" s="73">
        <f>IF(A2taxstdlife="n/a","n/a",IF(M$3&gt;(A2taxstdlife+$E90),(Input!$K$144-Input!$K$178)-SUM($K90:L90),(Input!$K$144-Input!$K$178)/A2taxstdlife))</f>
        <v>0</v>
      </c>
      <c r="N90" s="73">
        <f>IF(A2taxstdlife="n/a","n/a",IF(N$3&gt;(A2taxstdlife+$E90),(Input!$K$144-Input!$K$178)-SUM($K90:M90),(Input!$K$144-Input!$K$178)/A2taxstdlife))</f>
        <v>0</v>
      </c>
      <c r="O90" s="73">
        <f>IF(A2taxstdlife="n/a","n/a",IF(O$3&gt;(A2taxstdlife+$E90),(Input!$K$144-Input!$K$178)-SUM($K90:N90),(Input!$K$144-Input!$K$178)/A2taxstdlife))</f>
        <v>0</v>
      </c>
      <c r="P90" s="73">
        <f>IF(A2taxstdlife="n/a","n/a",IF(P$3&gt;(A2taxstdlife+$E90),(Input!$K$144-Input!$K$178)-SUM($K90:O90),(Input!$K$144-Input!$K$178)/A2taxstdlife))</f>
        <v>0</v>
      </c>
      <c r="Q90" s="73">
        <f>IF(A2taxstdlife="n/a","n/a",IF(Q$3&gt;(A2taxstdlife+$E90),(Input!$K$144-Input!$K$178)-SUM($K90:P90),(Input!$K$144-Input!$K$178)/A2taxstdlife))</f>
        <v>0</v>
      </c>
      <c r="R90" s="73"/>
      <c r="S90" s="107"/>
      <c r="T90" s="107"/>
      <c r="U90" s="107"/>
      <c r="V90" s="107"/>
      <c r="W90" s="107"/>
      <c r="X90" s="107"/>
      <c r="Y90" s="107"/>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row>
    <row r="91" spans="1:61" s="204" customFormat="1" hidden="1" outlineLevel="2">
      <c r="A91" s="9"/>
      <c r="B91" s="9"/>
      <c r="C91" s="26"/>
      <c r="D91" s="392"/>
      <c r="E91" s="91">
        <v>5</v>
      </c>
      <c r="F91" s="27"/>
      <c r="G91" s="27"/>
      <c r="H91" s="149"/>
      <c r="I91" s="151"/>
      <c r="J91" s="151"/>
      <c r="K91" s="151"/>
      <c r="L91" s="150"/>
      <c r="M91" s="73">
        <f>IF(A2taxstdlife="n/a","n/a",IF(M$3&gt;(A2taxstdlife+$E91),(Input!$L$144-Input!$L$178)-SUM($L91:L91),(Input!$L$144-Input!$L$178)/A2taxstdlife))</f>
        <v>0</v>
      </c>
      <c r="N91" s="73">
        <f>IF(A2taxstdlife="n/a","n/a",IF(N$3&gt;(A2taxstdlife+$E91),(Input!$L$144-Input!$L$178)-SUM($L91:M91),(Input!$L$144-Input!$L$178)/A2taxstdlife))</f>
        <v>0</v>
      </c>
      <c r="O91" s="73">
        <f>IF(A2taxstdlife="n/a","n/a",IF(O$3&gt;(A2taxstdlife+$E91),(Input!$L$144-Input!$L$178)-SUM($L91:N91),(Input!$L$144-Input!$L$178)/A2taxstdlife))</f>
        <v>0</v>
      </c>
      <c r="P91" s="73">
        <f>IF(A2taxstdlife="n/a","n/a",IF(P$3&gt;(A2taxstdlife+$E91),(Input!$L$144-Input!$L$178)-SUM($L91:O91),(Input!$L$144-Input!$L$178)/A2taxstdlife))</f>
        <v>0</v>
      </c>
      <c r="Q91" s="73">
        <f>IF(A2taxstdlife="n/a","n/a",IF(Q$3&gt;(A2taxstdlife+$E91),(Input!$L$144-Input!$L$178)-SUM($L91:P91),(Input!$L$144-Input!$L$178)/A2taxstdlife))</f>
        <v>0</v>
      </c>
      <c r="R91" s="73"/>
      <c r="S91" s="107"/>
      <c r="T91" s="107"/>
      <c r="U91" s="107"/>
      <c r="V91" s="107"/>
      <c r="W91" s="107"/>
      <c r="X91" s="107"/>
      <c r="Y91" s="107"/>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row>
    <row r="92" spans="1:61" s="204" customFormat="1" hidden="1" outlineLevel="2">
      <c r="A92" s="9"/>
      <c r="B92" s="9"/>
      <c r="C92" s="26"/>
      <c r="D92" s="392"/>
      <c r="E92" s="91">
        <v>6</v>
      </c>
      <c r="F92" s="27"/>
      <c r="G92" s="27"/>
      <c r="H92" s="149"/>
      <c r="I92" s="151"/>
      <c r="J92" s="151"/>
      <c r="K92" s="151"/>
      <c r="L92" s="151"/>
      <c r="M92" s="150"/>
      <c r="N92" s="73">
        <f>IF(A2taxstdlife="n/a","n/a",IF(N$3&gt;(A2taxstdlife+$E92),(Input!$M$144-Input!$M$178)-SUM($M92:M92),(Input!$M$144-Input!$M$178)/A2taxstdlife))</f>
        <v>0</v>
      </c>
      <c r="O92" s="73">
        <f>IF(A2taxstdlife="n/a","n/a",IF(O$3&gt;(A2taxstdlife+$E92),(Input!$M$144-Input!$M$178)-SUM($M92:N92),(Input!$M$144-Input!$M$178)/A2taxstdlife))</f>
        <v>0</v>
      </c>
      <c r="P92" s="73">
        <f>IF(A2taxstdlife="n/a","n/a",IF(P$3&gt;(A2taxstdlife+$E92),(Input!$M$144-Input!$M$178)-SUM($M92:O92),(Input!$M$144-Input!$M$178)/A2taxstdlife))</f>
        <v>0</v>
      </c>
      <c r="Q92" s="73">
        <f>IF(A2taxstdlife="n/a","n/a",IF(Q$3&gt;(A2taxstdlife+$E92),(Input!$M$144-Input!$M$178)-SUM($M92:P92),(Input!$M$144-Input!$M$178)/A2taxstdlife))</f>
        <v>0</v>
      </c>
      <c r="R92" s="73"/>
      <c r="S92" s="107"/>
      <c r="T92" s="107"/>
      <c r="U92" s="107"/>
      <c r="V92" s="107"/>
      <c r="W92" s="107"/>
      <c r="X92" s="107"/>
      <c r="Y92" s="107"/>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row>
    <row r="93" spans="1:61" s="204" customFormat="1" hidden="1" outlineLevel="2">
      <c r="A93" s="9"/>
      <c r="B93" s="9"/>
      <c r="C93" s="26"/>
      <c r="D93" s="392"/>
      <c r="E93" s="91">
        <v>7</v>
      </c>
      <c r="F93" s="27"/>
      <c r="G93" s="27"/>
      <c r="H93" s="149"/>
      <c r="I93" s="151"/>
      <c r="J93" s="151"/>
      <c r="K93" s="151"/>
      <c r="L93" s="151"/>
      <c r="M93" s="151"/>
      <c r="N93" s="150"/>
      <c r="O93" s="73">
        <f>IF(A2taxstdlife="n/a","n/a",IF(O$3&gt;(A2taxstdlife+$E93),(Input!$N$144-Input!$N$178)-SUM($N93:N93),(Input!$N$144-Input!$N$178)/A2taxstdlife))</f>
        <v>0</v>
      </c>
      <c r="P93" s="73">
        <f>IF(A2taxstdlife="n/a","n/a",IF(P$3&gt;(A2taxstdlife+$E93),(Input!$N$144-Input!$N$178)-SUM($N93:O93),(Input!$N$144-Input!$N$178)/A2taxstdlife))</f>
        <v>0</v>
      </c>
      <c r="Q93" s="73">
        <f>IF(A2taxstdlife="n/a","n/a",IF(Q$3&gt;(A2taxstdlife+$E93),(Input!$N$144-Input!$N$178)-SUM($N93:P93),(Input!$N$144-Input!$N$178)/A2taxstdlife))</f>
        <v>0</v>
      </c>
      <c r="R93" s="73"/>
      <c r="S93" s="107"/>
      <c r="T93" s="107"/>
      <c r="U93" s="107"/>
      <c r="V93" s="107"/>
      <c r="W93" s="107"/>
      <c r="X93" s="107"/>
      <c r="Y93" s="107"/>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row>
    <row r="94" spans="1:61" s="204" customFormat="1" hidden="1" outlineLevel="2">
      <c r="A94" s="9"/>
      <c r="B94" s="9"/>
      <c r="C94" s="26"/>
      <c r="D94" s="392"/>
      <c r="E94" s="91">
        <v>8</v>
      </c>
      <c r="F94" s="27"/>
      <c r="G94" s="27"/>
      <c r="H94" s="149"/>
      <c r="I94" s="151"/>
      <c r="J94" s="151"/>
      <c r="K94" s="151"/>
      <c r="L94" s="151"/>
      <c r="M94" s="151"/>
      <c r="N94" s="151"/>
      <c r="O94" s="150"/>
      <c r="P94" s="73">
        <f>IF(A2taxstdlife="n/a","n/a",IF(P$3&gt;(A2taxstdlife+$E94),(Input!$O$144-Input!$O$178)-SUM($O94:O94),(Input!$O$144-Input!$O$178)/A2taxstdlife))</f>
        <v>0</v>
      </c>
      <c r="Q94" s="73">
        <f>IF(A2taxstdlife="n/a","n/a",IF(Q$3&gt;(A2taxstdlife+$E94),(Input!$O$144-Input!$O$178)-SUM($O94:P94),(Input!$O$144-Input!$O$178)/A2taxstdlife))</f>
        <v>0</v>
      </c>
      <c r="R94" s="73"/>
      <c r="S94" s="107"/>
      <c r="T94" s="107"/>
      <c r="U94" s="107"/>
      <c r="V94" s="107"/>
      <c r="W94" s="107"/>
      <c r="X94" s="107"/>
      <c r="Y94" s="107"/>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row>
    <row r="95" spans="1:61" s="204" customFormat="1" hidden="1" outlineLevel="2">
      <c r="A95" s="9"/>
      <c r="B95" s="9"/>
      <c r="C95" s="26"/>
      <c r="D95" s="392"/>
      <c r="E95" s="91">
        <v>9</v>
      </c>
      <c r="F95" s="27"/>
      <c r="G95" s="27"/>
      <c r="H95" s="149"/>
      <c r="I95" s="151"/>
      <c r="J95" s="151"/>
      <c r="K95" s="151"/>
      <c r="L95" s="151"/>
      <c r="M95" s="151"/>
      <c r="N95" s="151"/>
      <c r="O95" s="151"/>
      <c r="P95" s="150"/>
      <c r="Q95" s="73">
        <f>IF(A2taxstdlife="n/a","n/a",IF(Q$3&gt;(A2taxstdlife+$E95),(Input!$P$144-Input!$P$178)-SUM($P95:P95),(Input!$P$144-Input!$P$178)/A2taxstdlife))</f>
        <v>0</v>
      </c>
      <c r="R95" s="73"/>
      <c r="S95" s="107"/>
      <c r="T95" s="107"/>
      <c r="U95" s="107"/>
      <c r="V95" s="107"/>
      <c r="W95" s="107"/>
      <c r="X95" s="107"/>
      <c r="Y95" s="107"/>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row>
    <row r="96" spans="1:61" s="204" customFormat="1" hidden="1" outlineLevel="2">
      <c r="A96" s="9"/>
      <c r="B96" s="9"/>
      <c r="C96" s="26"/>
      <c r="D96" s="392"/>
      <c r="E96" s="92">
        <v>10</v>
      </c>
      <c r="F96" s="27"/>
      <c r="G96" s="27"/>
      <c r="H96" s="149"/>
      <c r="I96" s="151"/>
      <c r="J96" s="151"/>
      <c r="K96" s="151"/>
      <c r="L96" s="151"/>
      <c r="M96" s="151"/>
      <c r="N96" s="151"/>
      <c r="O96" s="151"/>
      <c r="P96" s="151"/>
      <c r="Q96" s="150"/>
      <c r="R96" s="73"/>
      <c r="S96" s="107"/>
      <c r="T96" s="107"/>
      <c r="U96" s="107"/>
      <c r="V96" s="107"/>
      <c r="W96" s="107"/>
      <c r="X96" s="107"/>
      <c r="Y96" s="107"/>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row>
    <row r="97" spans="1:60" s="204" customFormat="1" hidden="1" outlineLevel="1" collapsed="1">
      <c r="A97" s="9"/>
      <c r="B97" s="9"/>
      <c r="C97" s="279" t="str">
        <f>Asset2</f>
        <v>Transmission Substations</v>
      </c>
      <c r="D97" s="9"/>
      <c r="E97" s="9"/>
      <c r="F97" s="23"/>
      <c r="G97" s="23"/>
      <c r="H97" s="305">
        <f>-SUM(H85:H96)</f>
        <v>-12.106499026977209</v>
      </c>
      <c r="I97" s="164">
        <f>-SUM(I85:I96)</f>
        <v>-12.106499026977209</v>
      </c>
      <c r="J97" s="164">
        <f>-SUM(J85:J96)</f>
        <v>-12.09587902697721</v>
      </c>
      <c r="K97" s="164">
        <f>-SUM(K85:K96)</f>
        <v>-12.09587902697721</v>
      </c>
      <c r="L97" s="164">
        <f>-SUM(L85:L96)</f>
        <v>-12.09587902697721</v>
      </c>
      <c r="M97" s="164">
        <f>IF(COUNT($H97:L97)&gt;=Input!$W$7,0, -SUM(M85:M96))</f>
        <v>0</v>
      </c>
      <c r="N97" s="164">
        <f>IF(COUNT($H97:M97)&gt;=Input!$W$7,0, -SUM(N85:N96))</f>
        <v>0</v>
      </c>
      <c r="O97" s="164">
        <f>IF(COUNT($H97:N97)&gt;=Input!$W$7,0, -SUM(O85:O96))</f>
        <v>0</v>
      </c>
      <c r="P97" s="164">
        <f>IF(COUNT($H97:O97)&gt;=Input!$W$7,0, -SUM(P85:P96))</f>
        <v>0</v>
      </c>
      <c r="Q97" s="164">
        <f>IF(COUNT($H97:P97)&gt;=Input!$W$7,0, -SUM(Q85:Q96))</f>
        <v>0</v>
      </c>
      <c r="R97" s="164"/>
      <c r="S97" s="106"/>
      <c r="T97" s="106"/>
      <c r="U97" s="106"/>
      <c r="V97" s="106"/>
      <c r="W97" s="106"/>
      <c r="X97" s="106"/>
      <c r="Y97" s="106"/>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row>
    <row r="98" spans="1:60" s="204" customFormat="1" hidden="1" outlineLevel="2">
      <c r="A98" s="9"/>
      <c r="B98" s="280" t="str">
        <f>Asset3</f>
        <v>Protection and Control</v>
      </c>
      <c r="C98" s="31"/>
      <c r="D98" s="32" t="s">
        <v>65</v>
      </c>
      <c r="E98" s="31"/>
      <c r="F98" s="308"/>
      <c r="G98" s="308"/>
      <c r="H98" s="72">
        <f>IF(H$3&gt;A3taxremlife,A3taxvalue-SUM($F98:F98),IF(A3taxremlife="N/A","n/a",A3taxvalue/A3taxremlife))</f>
        <v>5.3080144682283965</v>
      </c>
      <c r="I98" s="72">
        <f>IF(I$3&gt;A3taxremlife,A3taxvalue-SUM($F98:H98),IF(A3taxremlife="N/A","n/a",A3taxvalue/A3taxremlife))</f>
        <v>5.3080144682283965</v>
      </c>
      <c r="J98" s="72">
        <f>IF(J$3&gt;A3taxremlife,A3taxvalue-SUM($F98:I98),IF(A3taxremlife="N/A","n/a",A3taxvalue/A3taxremlife))</f>
        <v>5.3080144682283965</v>
      </c>
      <c r="K98" s="72">
        <f>IF(K$3&gt;A3taxremlife,A3taxvalue-SUM($F98:J98),IF(A3taxremlife="N/A","n/a",A3taxvalue/A3taxremlife))</f>
        <v>5.3080144682283965</v>
      </c>
      <c r="L98" s="72">
        <f>IF(L$3&gt;A3taxremlife,A3taxvalue-SUM($F98:K98),IF(A3taxremlife="N/A","n/a",A3taxvalue/A3taxremlife))</f>
        <v>5.3080144682283965</v>
      </c>
      <c r="M98" s="72">
        <f>IF(M$3&gt;A3taxremlife,A3taxvalue-SUM($F98:L98),IF(A3taxremlife="N/A","n/a",A3taxvalue/A3taxremlife))</f>
        <v>5.3080144682283965</v>
      </c>
      <c r="N98" s="72">
        <f>IF(N$3&gt;A3taxremlife,A3taxvalue-SUM($F98:M98),IF(A3taxremlife="N/A","n/a",A3taxvalue/A3taxremlife))</f>
        <v>5.3080144682283965</v>
      </c>
      <c r="O98" s="72">
        <f>IF(O$3&gt;A3taxremlife,A3taxvalue-SUM($F98:N98),IF(A3taxremlife="N/A","n/a",A3taxvalue/A3taxremlife))</f>
        <v>5.3080144682283965</v>
      </c>
      <c r="P98" s="72">
        <f>IF(P$3&gt;A3taxremlife,A3taxvalue-SUM($F98:O98),IF(A3taxremlife="N/A","n/a",A3taxvalue/A3taxremlife))</f>
        <v>4.1128177752776693</v>
      </c>
      <c r="Q98" s="72">
        <f>IF(Q$3&gt;A3taxremlife,A3taxvalue-SUM($F98:P98),IF(A3taxremlife="N/A","n/a",A3taxvalue/A3taxremlife))</f>
        <v>0</v>
      </c>
      <c r="R98" s="72"/>
      <c r="S98" s="107"/>
      <c r="T98" s="107"/>
      <c r="U98" s="107"/>
      <c r="V98" s="107"/>
      <c r="W98" s="107"/>
      <c r="X98" s="107"/>
      <c r="Y98" s="107"/>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row>
    <row r="99" spans="1:60" s="204" customFormat="1" ht="12.75" hidden="1" customHeight="1" outlineLevel="2">
      <c r="A99" s="9"/>
      <c r="B99" s="9"/>
      <c r="C99" s="26"/>
      <c r="D99" s="391" t="s">
        <v>81</v>
      </c>
      <c r="E99" s="91"/>
      <c r="F99" s="27"/>
      <c r="G99" s="27"/>
      <c r="H99" s="107"/>
      <c r="I99" s="73"/>
      <c r="J99" s="73"/>
      <c r="K99" s="73"/>
      <c r="L99" s="73"/>
      <c r="M99" s="73"/>
      <c r="N99" s="73"/>
      <c r="O99" s="73"/>
      <c r="P99" s="73"/>
      <c r="Q99" s="73"/>
      <c r="R99" s="73"/>
      <c r="S99" s="107"/>
      <c r="T99" s="107"/>
      <c r="U99" s="107"/>
      <c r="V99" s="107"/>
      <c r="W99" s="107"/>
      <c r="X99" s="107"/>
      <c r="Y99" s="107"/>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row>
    <row r="100" spans="1:60" s="204" customFormat="1" hidden="1" outlineLevel="2">
      <c r="A100" s="9"/>
      <c r="B100" s="9"/>
      <c r="C100" s="26"/>
      <c r="D100" s="392"/>
      <c r="E100" s="91">
        <v>1</v>
      </c>
      <c r="F100" s="27"/>
      <c r="G100" s="27"/>
      <c r="H100" s="148"/>
      <c r="I100" s="73">
        <f>IF(A3taxstdlife="n/a","n/a",IF(I$3&gt;(A3taxstdlife+$E100),(Input!$H$145-Input!$H$179)-SUM($H100:H100),(Input!$H$145-Input!$H$179)/A3taxstdlife))</f>
        <v>0</v>
      </c>
      <c r="J100" s="73">
        <f>IF(A3taxstdlife="n/a","n/a",IF(J$3&gt;(A3taxstdlife+$E100),(Input!$H$145-Input!$H$179)-SUM($H100:I100),(Input!$H$145-Input!$H$179)/A3taxstdlife))</f>
        <v>0</v>
      </c>
      <c r="K100" s="73">
        <f>IF(A3taxstdlife="n/a","n/a",IF(K$3&gt;(A3taxstdlife+$E100),(Input!$H$145-Input!$H$179)-SUM($H100:J100),(Input!$H$145-Input!$H$179)/A3taxstdlife))</f>
        <v>0</v>
      </c>
      <c r="L100" s="73">
        <f>IF(A3taxstdlife="n/a","n/a",IF(L$3&gt;(A3taxstdlife+$E100),(Input!$H$145-Input!$H$179)-SUM($H100:K100),(Input!$H$145-Input!$H$179)/A3taxstdlife))</f>
        <v>0</v>
      </c>
      <c r="M100" s="73">
        <f>IF(A3taxstdlife="n/a","n/a",IF(M$3&gt;(A3taxstdlife+$E100),(Input!$H$145-Input!$H$179)-SUM($H100:L100),(Input!$H$145-Input!$H$179)/A3taxstdlife))</f>
        <v>0</v>
      </c>
      <c r="N100" s="73">
        <f>IF(A3taxstdlife="n/a","n/a",IF(N$3&gt;(A3taxstdlife+$E100),(Input!$H$145-Input!$H$179)-SUM($H100:M100),(Input!$H$145-Input!$H$179)/A3taxstdlife))</f>
        <v>0</v>
      </c>
      <c r="O100" s="73">
        <f>IF(A3taxstdlife="n/a","n/a",IF(O$3&gt;(A3taxstdlife+$E100),(Input!$H$145-Input!$H$179)-SUM($H100:N100),(Input!$H$145-Input!$H$179)/A3taxstdlife))</f>
        <v>0</v>
      </c>
      <c r="P100" s="73">
        <f>IF(A3taxstdlife="n/a","n/a",IF(P$3&gt;(A3taxstdlife+$E100),(Input!$H$145-Input!$H$179)-SUM($H100:O100),(Input!$H$145-Input!$H$179)/A3taxstdlife))</f>
        <v>0</v>
      </c>
      <c r="Q100" s="73">
        <f>IF(A3taxstdlife="n/a","n/a",IF(Q$3&gt;(A3taxstdlife+$E100),(Input!$H$145-Input!$H$179)-SUM($H100:P100),(Input!$H$145-Input!$H$179)/A3taxstdlife))</f>
        <v>0</v>
      </c>
      <c r="R100" s="73"/>
      <c r="S100" s="107"/>
      <c r="T100" s="107"/>
      <c r="U100" s="107"/>
      <c r="V100" s="107"/>
      <c r="W100" s="107"/>
      <c r="X100" s="107"/>
      <c r="Y100" s="107"/>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row>
    <row r="101" spans="1:60" s="204" customFormat="1" hidden="1" outlineLevel="2">
      <c r="A101" s="9"/>
      <c r="B101" s="9"/>
      <c r="C101" s="26"/>
      <c r="D101" s="392"/>
      <c r="E101" s="91">
        <v>2</v>
      </c>
      <c r="F101" s="27"/>
      <c r="G101" s="27"/>
      <c r="H101" s="149"/>
      <c r="I101" s="150"/>
      <c r="J101" s="73">
        <f>IF(A3taxstdlife="n/a","n/a",IF(J$3&gt;(A3taxstdlife+$E101),(Input!$I$145-Input!$I$179)-SUM($I101:I101),(Input!$I$145-Input!$I$179)/A3taxstdlife))</f>
        <v>-2.9333333333333342E-3</v>
      </c>
      <c r="K101" s="73">
        <f>IF(A3taxstdlife="n/a","n/a",IF(K$3&gt;(A3taxstdlife+$E101),(Input!$I$145-Input!$I$179)-SUM($I101:J101),(Input!$I$145-Input!$I$179)/A3taxstdlife))</f>
        <v>-2.9333333333333342E-3</v>
      </c>
      <c r="L101" s="73">
        <f>IF(A3taxstdlife="n/a","n/a",IF(L$3&gt;(A3taxstdlife+$E101),(Input!$I$145-Input!$I$179)-SUM($I101:K101),(Input!$I$145-Input!$I$179)/A3taxstdlife))</f>
        <v>-2.9333333333333342E-3</v>
      </c>
      <c r="M101" s="73">
        <f>IF(A3taxstdlife="n/a","n/a",IF(M$3&gt;(A3taxstdlife+$E101),(Input!$I$145-Input!$I$179)-SUM($I101:L101),(Input!$I$145-Input!$I$179)/A3taxstdlife))</f>
        <v>-2.9333333333333342E-3</v>
      </c>
      <c r="N101" s="73">
        <f>IF(A3taxstdlife="n/a","n/a",IF(N$3&gt;(A3taxstdlife+$E101),(Input!$I$145-Input!$I$179)-SUM($I101:M101),(Input!$I$145-Input!$I$179)/A3taxstdlife))</f>
        <v>-2.9333333333333342E-3</v>
      </c>
      <c r="O101" s="73">
        <f>IF(A3taxstdlife="n/a","n/a",IF(O$3&gt;(A3taxstdlife+$E101),(Input!$I$145-Input!$I$179)-SUM($I101:N101),(Input!$I$145-Input!$I$179)/A3taxstdlife))</f>
        <v>-2.9333333333333342E-3</v>
      </c>
      <c r="P101" s="73">
        <f>IF(A3taxstdlife="n/a","n/a",IF(P$3&gt;(A3taxstdlife+$E101),(Input!$I$145-Input!$I$179)-SUM($I101:O101),(Input!$I$145-Input!$I$179)/A3taxstdlife))</f>
        <v>-2.9333333333333342E-3</v>
      </c>
      <c r="Q101" s="73">
        <f>IF(A3taxstdlife="n/a","n/a",IF(Q$3&gt;(A3taxstdlife+$E101),(Input!$I$145-Input!$I$179)-SUM($I101:P101),(Input!$I$145-Input!$I$179)/A3taxstdlife))</f>
        <v>-2.9333333333333342E-3</v>
      </c>
      <c r="R101" s="73"/>
      <c r="S101" s="107"/>
      <c r="T101" s="107"/>
      <c r="U101" s="107"/>
      <c r="V101" s="107"/>
      <c r="W101" s="107"/>
      <c r="X101" s="107"/>
      <c r="Y101" s="107"/>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row>
    <row r="102" spans="1:60" s="204" customFormat="1" hidden="1" outlineLevel="2">
      <c r="A102" s="9"/>
      <c r="B102" s="9"/>
      <c r="C102" s="26"/>
      <c r="D102" s="392"/>
      <c r="E102" s="91">
        <v>3</v>
      </c>
      <c r="F102" s="27"/>
      <c r="G102" s="27"/>
      <c r="H102" s="149"/>
      <c r="I102" s="151"/>
      <c r="J102" s="150"/>
      <c r="K102" s="73">
        <f>IF(A3taxstdlife="n/a","n/a",IF(K$3&gt;(A3taxstdlife+$E102),(Input!$J$145-Input!$J$179)-SUM($J102:J102),(Input!$J$145-Input!$J$179)/A3taxstdlife))</f>
        <v>0</v>
      </c>
      <c r="L102" s="73">
        <f>IF(A3taxstdlife="n/a","n/a",IF(L$3&gt;(A3taxstdlife+$E102),(Input!$J$145-Input!$J$179)-SUM($J102:K102),(Input!$J$145-Input!$J$179)/A3taxstdlife))</f>
        <v>0</v>
      </c>
      <c r="M102" s="73">
        <f>IF(A3taxstdlife="n/a","n/a",IF(M$3&gt;(A3taxstdlife+$E102),(Input!$J$145-Input!$J$179)-SUM($J102:L102),(Input!$J$145-Input!$J$179)/A3taxstdlife))</f>
        <v>0</v>
      </c>
      <c r="N102" s="73">
        <f>IF(A3taxstdlife="n/a","n/a",IF(N$3&gt;(A3taxstdlife+$E102),(Input!$J$145-Input!$J$179)-SUM($J102:M102),(Input!$J$145-Input!$J$179)/A3taxstdlife))</f>
        <v>0</v>
      </c>
      <c r="O102" s="73">
        <f>IF(A3taxstdlife="n/a","n/a",IF(O$3&gt;(A3taxstdlife+$E102),(Input!$J$145-Input!$J$179)-SUM($J102:N102),(Input!$J$145-Input!$J$179)/A3taxstdlife))</f>
        <v>0</v>
      </c>
      <c r="P102" s="73">
        <f>IF(A3taxstdlife="n/a","n/a",IF(P$3&gt;(A3taxstdlife+$E102),(Input!$J$145-Input!$J$179)-SUM($J102:O102),(Input!$J$145-Input!$J$179)/A3taxstdlife))</f>
        <v>0</v>
      </c>
      <c r="Q102" s="73">
        <f>IF(A3taxstdlife="n/a","n/a",IF(Q$3&gt;(A3taxstdlife+$E102),(Input!$J$145-Input!$J$179)-SUM($J102:P102),(Input!$J$145-Input!$J$179)/A3taxstdlife))</f>
        <v>0</v>
      </c>
      <c r="R102" s="73"/>
      <c r="S102" s="107"/>
      <c r="T102" s="107"/>
      <c r="U102" s="107"/>
      <c r="V102" s="107"/>
      <c r="W102" s="107"/>
      <c r="X102" s="107"/>
      <c r="Y102" s="107"/>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row>
    <row r="103" spans="1:60" s="204" customFormat="1" hidden="1" outlineLevel="2">
      <c r="A103" s="9"/>
      <c r="B103" s="9"/>
      <c r="C103" s="26"/>
      <c r="D103" s="392"/>
      <c r="E103" s="91">
        <v>4</v>
      </c>
      <c r="F103" s="27"/>
      <c r="G103" s="27"/>
      <c r="H103" s="149"/>
      <c r="I103" s="151"/>
      <c r="J103" s="151"/>
      <c r="K103" s="150"/>
      <c r="L103" s="73">
        <f>IF(A3taxstdlife="n/a","n/a",IF(L$3&gt;(A3taxstdlife+$E103),(Input!$K$145-Input!$K$179)-SUM($K103:K103),(Input!$K$145-Input!$K$179)/A3taxstdlife))</f>
        <v>0</v>
      </c>
      <c r="M103" s="73">
        <f>IF(A3taxstdlife="n/a","n/a",IF(M$3&gt;(A3taxstdlife+$E103),(Input!$K$145-Input!$K$179)-SUM($K103:L103),(Input!$K$145-Input!$K$179)/A3taxstdlife))</f>
        <v>0</v>
      </c>
      <c r="N103" s="73">
        <f>IF(A3taxstdlife="n/a","n/a",IF(N$3&gt;(A3taxstdlife+$E103),(Input!$K$145-Input!$K$179)-SUM($K103:M103),(Input!$K$145-Input!$K$179)/A3taxstdlife))</f>
        <v>0</v>
      </c>
      <c r="O103" s="73">
        <f>IF(A3taxstdlife="n/a","n/a",IF(O$3&gt;(A3taxstdlife+$E103),(Input!$K$145-Input!$K$179)-SUM($K103:N103),(Input!$K$145-Input!$K$179)/A3taxstdlife))</f>
        <v>0</v>
      </c>
      <c r="P103" s="73">
        <f>IF(A3taxstdlife="n/a","n/a",IF(P$3&gt;(A3taxstdlife+$E103),(Input!$K$145-Input!$K$179)-SUM($K103:O103),(Input!$K$145-Input!$K$179)/A3taxstdlife))</f>
        <v>0</v>
      </c>
      <c r="Q103" s="73">
        <f>IF(A3taxstdlife="n/a","n/a",IF(Q$3&gt;(A3taxstdlife+$E103),(Input!$K$145-Input!$K$179)-SUM($K103:P103),(Input!$K$145-Input!$K$179)/A3taxstdlife))</f>
        <v>0</v>
      </c>
      <c r="R103" s="73"/>
      <c r="S103" s="107"/>
      <c r="T103" s="107"/>
      <c r="U103" s="107"/>
      <c r="V103" s="107"/>
      <c r="W103" s="107"/>
      <c r="X103" s="107"/>
      <c r="Y103" s="107"/>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row>
    <row r="104" spans="1:60" s="204" customFormat="1" hidden="1" outlineLevel="2">
      <c r="A104" s="9"/>
      <c r="B104" s="9"/>
      <c r="C104" s="26"/>
      <c r="D104" s="392"/>
      <c r="E104" s="91">
        <v>5</v>
      </c>
      <c r="F104" s="27"/>
      <c r="G104" s="27"/>
      <c r="H104" s="149"/>
      <c r="I104" s="151"/>
      <c r="J104" s="151"/>
      <c r="K104" s="151"/>
      <c r="L104" s="150"/>
      <c r="M104" s="73">
        <f>IF(A3taxstdlife="n/a","n/a",IF(M$3&gt;(A3taxstdlife+$E104),(Input!$L$145-Input!$L$179)-SUM($L104:L104),(Input!$L$145-Input!$L$179)/A3taxstdlife))</f>
        <v>0</v>
      </c>
      <c r="N104" s="73">
        <f>IF(A3taxstdlife="n/a","n/a",IF(N$3&gt;(A3taxstdlife+$E104),(Input!$L$145-Input!$L$179)-SUM($L104:M104),(Input!$L$145-Input!$L$179)/A3taxstdlife))</f>
        <v>0</v>
      </c>
      <c r="O104" s="73">
        <f>IF(A3taxstdlife="n/a","n/a",IF(O$3&gt;(A3taxstdlife+$E104),(Input!$L$145-Input!$L$179)-SUM($L104:N104),(Input!$L$145-Input!$L$179)/A3taxstdlife))</f>
        <v>0</v>
      </c>
      <c r="P104" s="73">
        <f>IF(A3taxstdlife="n/a","n/a",IF(P$3&gt;(A3taxstdlife+$E104),(Input!$L$145-Input!$L$179)-SUM($L104:O104),(Input!$L$145-Input!$L$179)/A3taxstdlife))</f>
        <v>0</v>
      </c>
      <c r="Q104" s="73">
        <f>IF(A3taxstdlife="n/a","n/a",IF(Q$3&gt;(A3taxstdlife+$E104),(Input!$L$145-Input!$L$179)-SUM($L104:P104),(Input!$L$145-Input!$L$179)/A3taxstdlife))</f>
        <v>0</v>
      </c>
      <c r="R104" s="73"/>
      <c r="S104" s="107"/>
      <c r="T104" s="107"/>
      <c r="U104" s="107"/>
      <c r="V104" s="107"/>
      <c r="W104" s="107"/>
      <c r="X104" s="107"/>
      <c r="Y104" s="107"/>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row>
    <row r="105" spans="1:60" s="204" customFormat="1" hidden="1" outlineLevel="2">
      <c r="A105" s="9"/>
      <c r="B105" s="9"/>
      <c r="C105" s="26"/>
      <c r="D105" s="392"/>
      <c r="E105" s="91">
        <v>6</v>
      </c>
      <c r="F105" s="27"/>
      <c r="G105" s="27"/>
      <c r="H105" s="149"/>
      <c r="I105" s="151"/>
      <c r="J105" s="151"/>
      <c r="K105" s="151"/>
      <c r="L105" s="151"/>
      <c r="M105" s="150"/>
      <c r="N105" s="73">
        <f>IF(A3taxstdlife="n/a","n/a",IF(N$3&gt;(A3taxstdlife+$E105),(Input!$M$145-Input!$M$179)-SUM($M105:M105),(Input!$M$145-Input!$M$179)/A3taxstdlife))</f>
        <v>0</v>
      </c>
      <c r="O105" s="73">
        <f>IF(A3taxstdlife="n/a","n/a",IF(O$3&gt;(A3taxstdlife+$E105),(Input!$M$145-Input!$M$179)-SUM($M105:N105),(Input!$M$145-Input!$M$179)/A3taxstdlife))</f>
        <v>0</v>
      </c>
      <c r="P105" s="73">
        <f>IF(A3taxstdlife="n/a","n/a",IF(P$3&gt;(A3taxstdlife+$E105),(Input!$M$145-Input!$M$179)-SUM($M105:O105),(Input!$M$145-Input!$M$179)/A3taxstdlife))</f>
        <v>0</v>
      </c>
      <c r="Q105" s="73">
        <f>IF(A3taxstdlife="n/a","n/a",IF(Q$3&gt;(A3taxstdlife+$E105),(Input!$M$145-Input!$M$179)-SUM($M105:P105),(Input!$M$145-Input!$M$179)/A3taxstdlife))</f>
        <v>0</v>
      </c>
      <c r="R105" s="73"/>
      <c r="S105" s="107"/>
      <c r="T105" s="107"/>
      <c r="U105" s="107"/>
      <c r="V105" s="107"/>
      <c r="W105" s="107"/>
      <c r="X105" s="107"/>
      <c r="Y105" s="107"/>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row>
    <row r="106" spans="1:60" s="204" customFormat="1" hidden="1" outlineLevel="2">
      <c r="A106" s="9"/>
      <c r="B106" s="9"/>
      <c r="C106" s="26"/>
      <c r="D106" s="392"/>
      <c r="E106" s="91">
        <v>7</v>
      </c>
      <c r="F106" s="27"/>
      <c r="G106" s="27"/>
      <c r="H106" s="149"/>
      <c r="I106" s="151"/>
      <c r="J106" s="151"/>
      <c r="K106" s="151"/>
      <c r="L106" s="151"/>
      <c r="M106" s="151"/>
      <c r="N106" s="150"/>
      <c r="O106" s="73">
        <f>IF(A3taxstdlife="n/a","n/a",IF(O$3&gt;(A3taxstdlife+$E106),(Input!$N$145-Input!$N$179)-SUM($N106:N106),(Input!$N$145-Input!$N$179)/A3taxstdlife))</f>
        <v>0</v>
      </c>
      <c r="P106" s="73">
        <f>IF(A3taxstdlife="n/a","n/a",IF(P$3&gt;(A3taxstdlife+$E106),(Input!$N$145-Input!$N$179)-SUM($N106:O106),(Input!$N$145-Input!$N$179)/A3taxstdlife))</f>
        <v>0</v>
      </c>
      <c r="Q106" s="73">
        <f>IF(A3taxstdlife="n/a","n/a",IF(Q$3&gt;(A3taxstdlife+$E106),(Input!$N$145-Input!$N$179)-SUM($N106:P106),(Input!$N$145-Input!$N$179)/A3taxstdlife))</f>
        <v>0</v>
      </c>
      <c r="R106" s="73"/>
      <c r="S106" s="107"/>
      <c r="T106" s="107"/>
      <c r="U106" s="107"/>
      <c r="V106" s="107"/>
      <c r="W106" s="107"/>
      <c r="X106" s="107"/>
      <c r="Y106" s="107"/>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row>
    <row r="107" spans="1:60" s="204" customFormat="1" hidden="1" outlineLevel="2">
      <c r="A107" s="9"/>
      <c r="B107" s="9"/>
      <c r="C107" s="26"/>
      <c r="D107" s="392"/>
      <c r="E107" s="91">
        <v>8</v>
      </c>
      <c r="F107" s="27"/>
      <c r="G107" s="27"/>
      <c r="H107" s="149"/>
      <c r="I107" s="151"/>
      <c r="J107" s="151"/>
      <c r="K107" s="151"/>
      <c r="L107" s="151"/>
      <c r="M107" s="151"/>
      <c r="N107" s="151"/>
      <c r="O107" s="150"/>
      <c r="P107" s="73">
        <f>IF(A3taxstdlife="n/a","n/a",IF(P$3&gt;(A3taxstdlife+$E107),(Input!$O$145-Input!$O$179)-SUM($O107:O107),(Input!$O$145-Input!$O$179)/A3taxstdlife))</f>
        <v>0</v>
      </c>
      <c r="Q107" s="73">
        <f>IF(A3taxstdlife="n/a","n/a",IF(Q$3&gt;(A3taxstdlife+$E107),(Input!$O$145-Input!$O$179)-SUM($O107:P107),(Input!$O$145-Input!$O$179)/A3taxstdlife))</f>
        <v>0</v>
      </c>
      <c r="R107" s="73"/>
      <c r="S107" s="107"/>
      <c r="T107" s="107"/>
      <c r="U107" s="107"/>
      <c r="V107" s="107"/>
      <c r="W107" s="107"/>
      <c r="X107" s="107"/>
      <c r="Y107" s="107"/>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row>
    <row r="108" spans="1:60" s="204" customFormat="1" hidden="1" outlineLevel="2">
      <c r="A108" s="9"/>
      <c r="B108" s="9"/>
      <c r="C108" s="26"/>
      <c r="D108" s="392"/>
      <c r="E108" s="91">
        <v>9</v>
      </c>
      <c r="F108" s="27"/>
      <c r="G108" s="27"/>
      <c r="H108" s="149"/>
      <c r="I108" s="151"/>
      <c r="J108" s="151"/>
      <c r="K108" s="151"/>
      <c r="L108" s="151"/>
      <c r="M108" s="151"/>
      <c r="N108" s="151"/>
      <c r="O108" s="151"/>
      <c r="P108" s="150"/>
      <c r="Q108" s="73">
        <f>IF(A3taxstdlife="n/a","n/a",IF(Q$3&gt;(A3taxstdlife+$E108),(Input!$P$145-Input!$P$179)-SUM($P108:P108),(Input!$P$145-Input!$P$179)/A3taxstdlife))</f>
        <v>0</v>
      </c>
      <c r="R108" s="73"/>
      <c r="S108" s="107"/>
      <c r="T108" s="107"/>
      <c r="U108" s="107"/>
      <c r="V108" s="107"/>
      <c r="W108" s="107"/>
      <c r="X108" s="107"/>
      <c r="Y108" s="107"/>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row>
    <row r="109" spans="1:60" s="204" customFormat="1" hidden="1" outlineLevel="2">
      <c r="A109" s="9"/>
      <c r="B109" s="9"/>
      <c r="C109" s="26"/>
      <c r="D109" s="392"/>
      <c r="E109" s="92">
        <v>10</v>
      </c>
      <c r="F109" s="27"/>
      <c r="G109" s="27"/>
      <c r="H109" s="149"/>
      <c r="I109" s="151"/>
      <c r="J109" s="151"/>
      <c r="K109" s="151"/>
      <c r="L109" s="151"/>
      <c r="M109" s="151"/>
      <c r="N109" s="151"/>
      <c r="O109" s="151"/>
      <c r="P109" s="151"/>
      <c r="Q109" s="150"/>
      <c r="R109" s="73"/>
      <c r="S109" s="107"/>
      <c r="T109" s="107"/>
      <c r="U109" s="107"/>
      <c r="V109" s="107"/>
      <c r="W109" s="107"/>
      <c r="X109" s="107"/>
      <c r="Y109" s="107"/>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row>
    <row r="110" spans="1:60" s="204" customFormat="1" hidden="1" outlineLevel="1" collapsed="1">
      <c r="A110" s="9"/>
      <c r="B110" s="9"/>
      <c r="C110" s="279" t="str">
        <f>Asset3</f>
        <v>Protection and Control</v>
      </c>
      <c r="D110" s="9"/>
      <c r="E110" s="9"/>
      <c r="F110" s="23"/>
      <c r="G110" s="23"/>
      <c r="H110" s="305">
        <f>-SUM(H98:H109)</f>
        <v>-5.3080144682283965</v>
      </c>
      <c r="I110" s="164">
        <f>-SUM(I98:I109)</f>
        <v>-5.3080144682283965</v>
      </c>
      <c r="J110" s="164">
        <f>-SUM(J98:J109)</f>
        <v>-5.3050811348950635</v>
      </c>
      <c r="K110" s="164">
        <f>-SUM(K98:K109)</f>
        <v>-5.3050811348950635</v>
      </c>
      <c r="L110" s="164">
        <f>-SUM(L98:L109)</f>
        <v>-5.3050811348950635</v>
      </c>
      <c r="M110" s="164">
        <f>IF(COUNT($H110:L110)&gt;=Input!$W$7,0, -SUM(M98:M109))</f>
        <v>0</v>
      </c>
      <c r="N110" s="164">
        <f>IF(COUNT($H110:M110)&gt;=Input!$W$7,0, -SUM(N98:N109))</f>
        <v>0</v>
      </c>
      <c r="O110" s="164">
        <f>IF(COUNT($H110:N110)&gt;=Input!$W$7,0, -SUM(O98:O109))</f>
        <v>0</v>
      </c>
      <c r="P110" s="164">
        <f>IF(COUNT($H110:O110)&gt;=Input!$W$7,0, -SUM(P98:P109))</f>
        <v>0</v>
      </c>
      <c r="Q110" s="164">
        <f>IF(COUNT($H110:P110)&gt;=Input!$W$7,0, -SUM(Q98:Q109))</f>
        <v>0</v>
      </c>
      <c r="R110" s="164"/>
      <c r="S110" s="106"/>
      <c r="T110" s="106"/>
      <c r="U110" s="106"/>
      <c r="V110" s="106"/>
      <c r="W110" s="106"/>
      <c r="X110" s="106"/>
      <c r="Y110" s="106"/>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row>
    <row r="111" spans="1:60" s="204" customFormat="1" ht="12.75" hidden="1" customHeight="1" outlineLevel="2">
      <c r="A111" s="9"/>
      <c r="B111" s="280" t="str">
        <f>Asset4</f>
        <v>Refurbishment</v>
      </c>
      <c r="C111" s="31"/>
      <c r="D111" s="32" t="s">
        <v>65</v>
      </c>
      <c r="E111" s="31"/>
      <c r="F111" s="308"/>
      <c r="G111" s="308"/>
      <c r="H111" s="72">
        <f>IF(H$3&gt;A4taxremlife,A4taxvalue-SUM($F111:F111),IF(A4taxremlife="N/A","n/a",A4taxvalue/A4taxremlife))</f>
        <v>2.2353909460034442</v>
      </c>
      <c r="I111" s="72">
        <f>IF(I$3&gt;A4taxremlife,A4taxvalue-SUM($F111:H111),IF(A4taxremlife="N/A","n/a",A4taxvalue/A4taxremlife))</f>
        <v>2.2353909460034442</v>
      </c>
      <c r="J111" s="72">
        <f>IF(J$3&gt;A4taxremlife,A4taxvalue-SUM($F111:I111),IF(A4taxremlife="N/A","n/a",A4taxvalue/A4taxremlife))</f>
        <v>2.2353909460034442</v>
      </c>
      <c r="K111" s="72">
        <f>IF(K$3&gt;A4taxremlife,A4taxvalue-SUM($F111:J111),IF(A4taxremlife="N/A","n/a",A4taxvalue/A4taxremlife))</f>
        <v>2.2353909460034442</v>
      </c>
      <c r="L111" s="72">
        <f>IF(L$3&gt;A4taxremlife,A4taxvalue-SUM($F111:K111),IF(A4taxremlife="N/A","n/a",A4taxvalue/A4taxremlife))</f>
        <v>2.2353909460034442</v>
      </c>
      <c r="M111" s="72">
        <f>IF(M$3&gt;A4taxremlife,A4taxvalue-SUM($F111:L111),IF(A4taxremlife="N/A","n/a",A4taxvalue/A4taxremlife))</f>
        <v>2.2353909460034442</v>
      </c>
      <c r="N111" s="72">
        <f>IF(N$3&gt;A4taxremlife,A4taxvalue-SUM($F111:M111),IF(A4taxremlife="N/A","n/a",A4taxvalue/A4taxremlife))</f>
        <v>2.2353909460034442</v>
      </c>
      <c r="O111" s="72">
        <f>IF(O$3&gt;A4taxremlife,A4taxvalue-SUM($F111:N111),IF(A4taxremlife="N/A","n/a",A4taxvalue/A4taxremlife))</f>
        <v>2.2353909460034442</v>
      </c>
      <c r="P111" s="72">
        <f>IF(P$3&gt;A4taxremlife,A4taxvalue-SUM($F111:O111),IF(A4taxremlife="N/A","n/a",A4taxvalue/A4taxremlife))</f>
        <v>2.2353909460034442</v>
      </c>
      <c r="Q111" s="72">
        <f>IF(Q$3&gt;A4taxremlife,A4taxvalue-SUM($F111:P111),IF(A4taxremlife="N/A","n/a",A4taxvalue/A4taxremlife))</f>
        <v>2.2353909460034442</v>
      </c>
      <c r="R111" s="72"/>
      <c r="S111" s="107"/>
      <c r="T111" s="107"/>
      <c r="U111" s="107"/>
      <c r="V111" s="107"/>
      <c r="W111" s="107"/>
      <c r="X111" s="107"/>
      <c r="Y111" s="107"/>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row>
    <row r="112" spans="1:60" s="204" customFormat="1" ht="12.75" hidden="1" customHeight="1" outlineLevel="2">
      <c r="A112" s="9"/>
      <c r="B112" s="9"/>
      <c r="C112" s="26"/>
      <c r="D112" s="391" t="s">
        <v>81</v>
      </c>
      <c r="E112" s="91"/>
      <c r="F112" s="27"/>
      <c r="G112" s="27"/>
      <c r="H112" s="107"/>
      <c r="I112" s="73"/>
      <c r="J112" s="73"/>
      <c r="K112" s="73"/>
      <c r="L112" s="73"/>
      <c r="M112" s="73"/>
      <c r="N112" s="73"/>
      <c r="O112" s="73"/>
      <c r="P112" s="73"/>
      <c r="Q112" s="73"/>
      <c r="R112" s="73"/>
      <c r="S112" s="107"/>
      <c r="T112" s="107"/>
      <c r="U112" s="107"/>
      <c r="V112" s="107"/>
      <c r="W112" s="107"/>
      <c r="X112" s="107"/>
      <c r="Y112" s="107"/>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row>
    <row r="113" spans="1:60" s="204" customFormat="1" ht="12.75" hidden="1" customHeight="1" outlineLevel="2">
      <c r="A113" s="9"/>
      <c r="B113" s="9"/>
      <c r="C113" s="26"/>
      <c r="D113" s="392"/>
      <c r="E113" s="91">
        <v>1</v>
      </c>
      <c r="F113" s="27"/>
      <c r="G113" s="27"/>
      <c r="H113" s="148"/>
      <c r="I113" s="73">
        <f>IF(A4taxstdlife="n/a","n/a",IF(I$3&gt;(A4taxstdlife+$E113),(Input!$H$146-Input!$H$180)-SUM($H113:H113),(Input!$H$146-Input!$H$180)/A4taxstdlife))</f>
        <v>0</v>
      </c>
      <c r="J113" s="73">
        <f>IF(A4taxstdlife="n/a","n/a",IF(J$3&gt;(A4taxstdlife+$E113),(Input!$H$146-Input!$H$180)-SUM($H113:I113),(Input!$H$146-Input!$H$180)/A4taxstdlife))</f>
        <v>0</v>
      </c>
      <c r="K113" s="73">
        <f>IF(A4taxstdlife="n/a","n/a",IF(K$3&gt;(A4taxstdlife+$E113),(Input!$H$146-Input!$H$180)-SUM($H113:J113),(Input!$H$146-Input!$H$180)/A4taxstdlife))</f>
        <v>0</v>
      </c>
      <c r="L113" s="73">
        <f>IF(A4taxstdlife="n/a","n/a",IF(L$3&gt;(A4taxstdlife+$E113),(Input!$H$146-Input!$H$180)-SUM($H113:K113),(Input!$H$146-Input!$H$180)/A4taxstdlife))</f>
        <v>0</v>
      </c>
      <c r="M113" s="73">
        <f>IF(A4taxstdlife="n/a","n/a",IF(M$3&gt;(A4taxstdlife+$E113),(Input!$H$146-Input!$H$180)-SUM($H113:L113),(Input!$H$146-Input!$H$180)/A4taxstdlife))</f>
        <v>0</v>
      </c>
      <c r="N113" s="73">
        <f>IF(A4taxstdlife="n/a","n/a",IF(N$3&gt;(A4taxstdlife+$E113),(Input!$H$146-Input!$H$180)-SUM($H113:M113),(Input!$H$146-Input!$H$180)/A4taxstdlife))</f>
        <v>0</v>
      </c>
      <c r="O113" s="73">
        <f>IF(A4taxstdlife="n/a","n/a",IF(O$3&gt;(A4taxstdlife+$E113),(Input!$H$146-Input!$H$180)-SUM($H113:N113),(Input!$H$146-Input!$H$180)/A4taxstdlife))</f>
        <v>0</v>
      </c>
      <c r="P113" s="73">
        <f>IF(A4taxstdlife="n/a","n/a",IF(P$3&gt;(A4taxstdlife+$E113),(Input!$H$146-Input!$H$180)-SUM($H113:O113),(Input!$H$146-Input!$H$180)/A4taxstdlife))</f>
        <v>0</v>
      </c>
      <c r="Q113" s="73">
        <f>IF(A4taxstdlife="n/a","n/a",IF(Q$3&gt;(A4taxstdlife+$E113),(Input!$H$146-Input!$H$180)-SUM($H113:P113),(Input!$H$146-Input!$H$180)/A4taxstdlife))</f>
        <v>0</v>
      </c>
      <c r="R113" s="73"/>
      <c r="S113" s="107"/>
      <c r="T113" s="107"/>
      <c r="U113" s="107"/>
      <c r="V113" s="107"/>
      <c r="W113" s="107"/>
      <c r="X113" s="107"/>
      <c r="Y113" s="107"/>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row>
    <row r="114" spans="1:60" s="204" customFormat="1" ht="12.75" hidden="1" customHeight="1" outlineLevel="2">
      <c r="A114" s="9"/>
      <c r="B114" s="9"/>
      <c r="C114" s="26"/>
      <c r="D114" s="392"/>
      <c r="E114" s="91">
        <v>2</v>
      </c>
      <c r="F114" s="27"/>
      <c r="G114" s="27"/>
      <c r="H114" s="149"/>
      <c r="I114" s="150"/>
      <c r="J114" s="73">
        <f>IF(A4taxstdlife="n/a","n/a",IF(J$3&gt;(A4taxstdlife+$E114),(Input!$I$146-Input!$I$180)-SUM($I114:I114),(Input!$I$146-Input!$I$180)/A4taxstdlife))</f>
        <v>0</v>
      </c>
      <c r="K114" s="73">
        <f>IF(A4taxstdlife="n/a","n/a",IF(K$3&gt;(A4taxstdlife+$E114),(Input!$I$146-Input!$I$180)-SUM($I114:J114),(Input!$I$146-Input!$I$180)/A4taxstdlife))</f>
        <v>0</v>
      </c>
      <c r="L114" s="73">
        <f>IF(A4taxstdlife="n/a","n/a",IF(L$3&gt;(A4taxstdlife+$E114),(Input!$I$146-Input!$I$180)-SUM($I114:K114),(Input!$I$146-Input!$I$180)/A4taxstdlife))</f>
        <v>0</v>
      </c>
      <c r="M114" s="73">
        <f>IF(A4taxstdlife="n/a","n/a",IF(M$3&gt;(A4taxstdlife+$E114),(Input!$I$146-Input!$I$180)-SUM($I114:L114),(Input!$I$146-Input!$I$180)/A4taxstdlife))</f>
        <v>0</v>
      </c>
      <c r="N114" s="73">
        <f>IF(A4taxstdlife="n/a","n/a",IF(N$3&gt;(A4taxstdlife+$E114),(Input!$I$146-Input!$I$180)-SUM($I114:M114),(Input!$I$146-Input!$I$180)/A4taxstdlife))</f>
        <v>0</v>
      </c>
      <c r="O114" s="73">
        <f>IF(A4taxstdlife="n/a","n/a",IF(O$3&gt;(A4taxstdlife+$E114),(Input!$I$146-Input!$I$180)-SUM($I114:N114),(Input!$I$146-Input!$I$180)/A4taxstdlife))</f>
        <v>0</v>
      </c>
      <c r="P114" s="73">
        <f>IF(A4taxstdlife="n/a","n/a",IF(P$3&gt;(A4taxstdlife+$E114),(Input!$I$146-Input!$I$180)-SUM($I114:O114),(Input!$I$146-Input!$I$180)/A4taxstdlife))</f>
        <v>0</v>
      </c>
      <c r="Q114" s="73">
        <f>IF(A4taxstdlife="n/a","n/a",IF(Q$3&gt;(A4taxstdlife+$E114),(Input!$I$146-Input!$I$180)-SUM($I114:P114),(Input!$I$146-Input!$I$180)/A4taxstdlife))</f>
        <v>0</v>
      </c>
      <c r="R114" s="73"/>
      <c r="S114" s="107"/>
      <c r="T114" s="107"/>
      <c r="U114" s="107"/>
      <c r="V114" s="107"/>
      <c r="W114" s="107"/>
      <c r="X114" s="107"/>
      <c r="Y114" s="107"/>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row>
    <row r="115" spans="1:60" s="204" customFormat="1" ht="12.75" hidden="1" customHeight="1" outlineLevel="2">
      <c r="A115" s="9"/>
      <c r="B115" s="9"/>
      <c r="C115" s="26"/>
      <c r="D115" s="392"/>
      <c r="E115" s="91">
        <v>3</v>
      </c>
      <c r="F115" s="27"/>
      <c r="G115" s="27"/>
      <c r="H115" s="149"/>
      <c r="I115" s="151"/>
      <c r="J115" s="150"/>
      <c r="K115" s="73">
        <f>IF(A4taxstdlife="n/a","n/a",IF(K$3&gt;(A4taxstdlife+$E115),(Input!$J$146-Input!$J$180)-SUM($J115:J115),(Input!$J$146-Input!$J$180)/A4taxstdlife))</f>
        <v>0</v>
      </c>
      <c r="L115" s="73">
        <f>IF(A4taxstdlife="n/a","n/a",IF(L$3&gt;(A4taxstdlife+$E115),(Input!$J$146-Input!$J$180)-SUM($J115:K115),(Input!$J$146-Input!$J$180)/A4taxstdlife))</f>
        <v>0</v>
      </c>
      <c r="M115" s="73">
        <f>IF(A4taxstdlife="n/a","n/a",IF(M$3&gt;(A4taxstdlife+$E115),(Input!$J$146-Input!$J$180)-SUM($J115:L115),(Input!$J$146-Input!$J$180)/A4taxstdlife))</f>
        <v>0</v>
      </c>
      <c r="N115" s="73">
        <f>IF(A4taxstdlife="n/a","n/a",IF(N$3&gt;(A4taxstdlife+$E115),(Input!$J$146-Input!$J$180)-SUM($J115:M115),(Input!$J$146-Input!$J$180)/A4taxstdlife))</f>
        <v>0</v>
      </c>
      <c r="O115" s="73">
        <f>IF(A4taxstdlife="n/a","n/a",IF(O$3&gt;(A4taxstdlife+$E115),(Input!$J$146-Input!$J$180)-SUM($J115:N115),(Input!$J$146-Input!$J$180)/A4taxstdlife))</f>
        <v>0</v>
      </c>
      <c r="P115" s="73">
        <f>IF(A4taxstdlife="n/a","n/a",IF(P$3&gt;(A4taxstdlife+$E115),(Input!$J$146-Input!$J$180)-SUM($J115:O115),(Input!$J$146-Input!$J$180)/A4taxstdlife))</f>
        <v>0</v>
      </c>
      <c r="Q115" s="73">
        <f>IF(A4taxstdlife="n/a","n/a",IF(Q$3&gt;(A4taxstdlife+$E115),(Input!$J$146-Input!$J$180)-SUM($J115:P115),(Input!$J$146-Input!$J$180)/A4taxstdlife))</f>
        <v>0</v>
      </c>
      <c r="R115" s="73"/>
      <c r="S115" s="107"/>
      <c r="T115" s="107"/>
      <c r="U115" s="107"/>
      <c r="V115" s="107"/>
      <c r="W115" s="107"/>
      <c r="X115" s="107"/>
      <c r="Y115" s="107"/>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row>
    <row r="116" spans="1:60" s="204" customFormat="1" ht="12.75" hidden="1" customHeight="1" outlineLevel="2">
      <c r="A116" s="9"/>
      <c r="B116" s="9"/>
      <c r="C116" s="26"/>
      <c r="D116" s="392"/>
      <c r="E116" s="91">
        <v>4</v>
      </c>
      <c r="F116" s="27"/>
      <c r="G116" s="27"/>
      <c r="H116" s="149"/>
      <c r="I116" s="151"/>
      <c r="J116" s="151"/>
      <c r="K116" s="150"/>
      <c r="L116" s="73">
        <f>IF(A4taxstdlife="n/a","n/a",IF(L$3&gt;(A4taxstdlife+$E116),(Input!$K$146-Input!$K$180)-SUM($K116:K116),(Input!$K$146-Input!$K$180)/A4taxstdlife))</f>
        <v>0</v>
      </c>
      <c r="M116" s="73">
        <f>IF(A4taxstdlife="n/a","n/a",IF(M$3&gt;(A4taxstdlife+$E116),(Input!$K$146-Input!$K$180)-SUM($K116:L116),(Input!$K$146-Input!$K$180)/A4taxstdlife))</f>
        <v>0</v>
      </c>
      <c r="N116" s="73">
        <f>IF(A4taxstdlife="n/a","n/a",IF(N$3&gt;(A4taxstdlife+$E116),(Input!$K$146-Input!$K$180)-SUM($K116:M116),(Input!$K$146-Input!$K$180)/A4taxstdlife))</f>
        <v>0</v>
      </c>
      <c r="O116" s="73">
        <f>IF(A4taxstdlife="n/a","n/a",IF(O$3&gt;(A4taxstdlife+$E116),(Input!$K$146-Input!$K$180)-SUM($K116:N116),(Input!$K$146-Input!$K$180)/A4taxstdlife))</f>
        <v>0</v>
      </c>
      <c r="P116" s="73">
        <f>IF(A4taxstdlife="n/a","n/a",IF(P$3&gt;(A4taxstdlife+$E116),(Input!$K$146-Input!$K$180)-SUM($K116:O116),(Input!$K$146-Input!$K$180)/A4taxstdlife))</f>
        <v>0</v>
      </c>
      <c r="Q116" s="73">
        <f>IF(A4taxstdlife="n/a","n/a",IF(Q$3&gt;(A4taxstdlife+$E116),(Input!$K$146-Input!$K$180)-SUM($K116:P116),(Input!$K$146-Input!$K$180)/A4taxstdlife))</f>
        <v>0</v>
      </c>
      <c r="R116" s="73"/>
      <c r="S116" s="107"/>
      <c r="T116" s="107"/>
      <c r="U116" s="107"/>
      <c r="V116" s="107"/>
      <c r="W116" s="107"/>
      <c r="X116" s="107"/>
      <c r="Y116" s="107"/>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row>
    <row r="117" spans="1:60" s="204" customFormat="1" ht="12.75" hidden="1" customHeight="1" outlineLevel="2">
      <c r="A117" s="9"/>
      <c r="B117" s="9"/>
      <c r="C117" s="26"/>
      <c r="D117" s="392"/>
      <c r="E117" s="91">
        <v>5</v>
      </c>
      <c r="F117" s="27"/>
      <c r="G117" s="27"/>
      <c r="H117" s="149"/>
      <c r="I117" s="151"/>
      <c r="J117" s="151"/>
      <c r="K117" s="151"/>
      <c r="L117" s="150"/>
      <c r="M117" s="73">
        <f>IF(A4taxstdlife="n/a","n/a",IF(M$3&gt;(A4taxstdlife+$E117),(Input!$L$146-Input!$L$180)-SUM($L117:L117),(Input!$L$146-Input!$L$180)/A4taxstdlife))</f>
        <v>0</v>
      </c>
      <c r="N117" s="73">
        <f>IF(A4taxstdlife="n/a","n/a",IF(N$3&gt;(A4taxstdlife+$E117),(Input!$L$146-Input!$L$180)-SUM($L117:M117),(Input!$L$146-Input!$L$180)/A4taxstdlife))</f>
        <v>0</v>
      </c>
      <c r="O117" s="73">
        <f>IF(A4taxstdlife="n/a","n/a",IF(O$3&gt;(A4taxstdlife+$E117),(Input!$L$146-Input!$L$180)-SUM($L117:N117),(Input!$L$146-Input!$L$180)/A4taxstdlife))</f>
        <v>0</v>
      </c>
      <c r="P117" s="73">
        <f>IF(A4taxstdlife="n/a","n/a",IF(P$3&gt;(A4taxstdlife+$E117),(Input!$L$146-Input!$L$180)-SUM($L117:O117),(Input!$L$146-Input!$L$180)/A4taxstdlife))</f>
        <v>0</v>
      </c>
      <c r="Q117" s="73">
        <f>IF(A4taxstdlife="n/a","n/a",IF(Q$3&gt;(A4taxstdlife+$E117),(Input!$L$146-Input!$L$180)-SUM($L117:P117),(Input!$L$146-Input!$L$180)/A4taxstdlife))</f>
        <v>0</v>
      </c>
      <c r="R117" s="73"/>
      <c r="S117" s="107"/>
      <c r="T117" s="107"/>
      <c r="U117" s="107"/>
      <c r="V117" s="107"/>
      <c r="W117" s="107"/>
      <c r="X117" s="107"/>
      <c r="Y117" s="107"/>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row>
    <row r="118" spans="1:60" s="204" customFormat="1" ht="12.75" hidden="1" customHeight="1" outlineLevel="2">
      <c r="A118" s="9"/>
      <c r="B118" s="9"/>
      <c r="C118" s="26"/>
      <c r="D118" s="392"/>
      <c r="E118" s="91">
        <v>6</v>
      </c>
      <c r="F118" s="27"/>
      <c r="G118" s="27"/>
      <c r="H118" s="149"/>
      <c r="I118" s="151"/>
      <c r="J118" s="151"/>
      <c r="K118" s="151"/>
      <c r="L118" s="151"/>
      <c r="M118" s="150"/>
      <c r="N118" s="73">
        <f>IF(A4taxstdlife="n/a","n/a",IF(N$3&gt;(A4taxstdlife+$E118),(Input!$M$146-Input!$M$180)-SUM($M118:M118),(Input!$M$146-Input!$M$180)/A4taxstdlife))</f>
        <v>0</v>
      </c>
      <c r="O118" s="73">
        <f>IF(A4taxstdlife="n/a","n/a",IF(O$3&gt;(A4taxstdlife+$E118),(Input!$M$146-Input!$M$180)-SUM($M118:N118),(Input!$M$146-Input!$M$180)/A4taxstdlife))</f>
        <v>0</v>
      </c>
      <c r="P118" s="73">
        <f>IF(A4taxstdlife="n/a","n/a",IF(P$3&gt;(A4taxstdlife+$E118),(Input!$M$146-Input!$M$180)-SUM($M118:O118),(Input!$M$146-Input!$M$180)/A4taxstdlife))</f>
        <v>0</v>
      </c>
      <c r="Q118" s="73">
        <f>IF(A4taxstdlife="n/a","n/a",IF(Q$3&gt;(A4taxstdlife+$E118),(Input!$M$146-Input!$M$180)-SUM($M118:P118),(Input!$M$146-Input!$M$180)/A4taxstdlife))</f>
        <v>0</v>
      </c>
      <c r="R118" s="73"/>
      <c r="S118" s="107"/>
      <c r="T118" s="107"/>
      <c r="U118" s="107"/>
      <c r="V118" s="107"/>
      <c r="W118" s="107"/>
      <c r="X118" s="107"/>
      <c r="Y118" s="107"/>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row>
    <row r="119" spans="1:60" s="204" customFormat="1" ht="12.75" hidden="1" customHeight="1" outlineLevel="2">
      <c r="A119" s="9"/>
      <c r="B119" s="9"/>
      <c r="C119" s="26"/>
      <c r="D119" s="392"/>
      <c r="E119" s="91">
        <v>7</v>
      </c>
      <c r="F119" s="27"/>
      <c r="G119" s="27"/>
      <c r="H119" s="149"/>
      <c r="I119" s="151"/>
      <c r="J119" s="151"/>
      <c r="K119" s="151"/>
      <c r="L119" s="151"/>
      <c r="M119" s="151"/>
      <c r="N119" s="150"/>
      <c r="O119" s="73">
        <f>IF(A4taxstdlife="n/a","n/a",IF(O$3&gt;(A4taxstdlife+$E119),(Input!$N$146-Input!$N$180)-SUM($N119:N119),(Input!$N$146-Input!$N$180)/A4taxstdlife))</f>
        <v>0</v>
      </c>
      <c r="P119" s="73">
        <f>IF(A4taxstdlife="n/a","n/a",IF(P$3&gt;(A4taxstdlife+$E119),(Input!$N$146-Input!$N$180)-SUM($N119:O119),(Input!$N$146-Input!$N$180)/A4taxstdlife))</f>
        <v>0</v>
      </c>
      <c r="Q119" s="73">
        <f>IF(A4taxstdlife="n/a","n/a",IF(Q$3&gt;(A4taxstdlife+$E119),(Input!$N$146-Input!$N$180)-SUM($N119:P119),(Input!$N$146-Input!$N$180)/A4taxstdlife))</f>
        <v>0</v>
      </c>
      <c r="R119" s="73"/>
      <c r="S119" s="107"/>
      <c r="T119" s="107"/>
      <c r="U119" s="107"/>
      <c r="V119" s="107"/>
      <c r="W119" s="107"/>
      <c r="X119" s="107"/>
      <c r="Y119" s="107"/>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row>
    <row r="120" spans="1:60" s="204" customFormat="1" ht="12.75" hidden="1" customHeight="1" outlineLevel="2">
      <c r="A120" s="9"/>
      <c r="B120" s="9"/>
      <c r="C120" s="26"/>
      <c r="D120" s="392"/>
      <c r="E120" s="91">
        <v>8</v>
      </c>
      <c r="F120" s="27"/>
      <c r="G120" s="27"/>
      <c r="H120" s="149"/>
      <c r="I120" s="151"/>
      <c r="J120" s="151"/>
      <c r="K120" s="151"/>
      <c r="L120" s="151"/>
      <c r="M120" s="151"/>
      <c r="N120" s="151"/>
      <c r="O120" s="150"/>
      <c r="P120" s="73">
        <f>IF(A4taxstdlife="n/a","n/a",IF(P$3&gt;(A4taxstdlife+$E120),(Input!$O$146-Input!$O$180)-SUM($O120:O120),(Input!$O$146-Input!$O$180)/A4taxstdlife))</f>
        <v>0</v>
      </c>
      <c r="Q120" s="73">
        <f>IF(A4taxstdlife="n/a","n/a",IF(Q$3&gt;(A4taxstdlife+$E120),(Input!$O$146-Input!$O$180)-SUM($O120:P120),(Input!$O$146-Input!$O$180)/A4taxstdlife))</f>
        <v>0</v>
      </c>
      <c r="R120" s="73"/>
      <c r="S120" s="107"/>
      <c r="T120" s="107"/>
      <c r="U120" s="107"/>
      <c r="V120" s="107"/>
      <c r="W120" s="107"/>
      <c r="X120" s="107"/>
      <c r="Y120" s="107"/>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row>
    <row r="121" spans="1:60" s="204" customFormat="1" ht="12.75" hidden="1" customHeight="1" outlineLevel="2">
      <c r="A121" s="9"/>
      <c r="B121" s="9"/>
      <c r="C121" s="26"/>
      <c r="D121" s="392"/>
      <c r="E121" s="91">
        <v>9</v>
      </c>
      <c r="F121" s="27"/>
      <c r="G121" s="27"/>
      <c r="H121" s="149"/>
      <c r="I121" s="151"/>
      <c r="J121" s="151"/>
      <c r="K121" s="151"/>
      <c r="L121" s="151"/>
      <c r="M121" s="151"/>
      <c r="N121" s="151"/>
      <c r="O121" s="151"/>
      <c r="P121" s="150"/>
      <c r="Q121" s="73">
        <f>IF(A4taxstdlife="n/a","n/a",IF(Q$3&gt;(A4taxstdlife+$E121),(Input!$P$146-Input!$P$180)-SUM($P121:P121),(Input!$P$146-Input!$P$180)/A4taxstdlife))</f>
        <v>0</v>
      </c>
      <c r="R121" s="73"/>
      <c r="S121" s="107"/>
      <c r="T121" s="107"/>
      <c r="U121" s="107"/>
      <c r="V121" s="107"/>
      <c r="W121" s="107"/>
      <c r="X121" s="107"/>
      <c r="Y121" s="107"/>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row>
    <row r="122" spans="1:60" s="204" customFormat="1" ht="12.75" hidden="1" customHeight="1" outlineLevel="2">
      <c r="A122" s="9"/>
      <c r="B122" s="9"/>
      <c r="C122" s="26"/>
      <c r="D122" s="392"/>
      <c r="E122" s="92">
        <v>10</v>
      </c>
      <c r="F122" s="27"/>
      <c r="G122" s="27"/>
      <c r="H122" s="149"/>
      <c r="I122" s="151"/>
      <c r="J122" s="151"/>
      <c r="K122" s="151"/>
      <c r="L122" s="151"/>
      <c r="M122" s="151"/>
      <c r="N122" s="151"/>
      <c r="O122" s="151"/>
      <c r="P122" s="151"/>
      <c r="Q122" s="150"/>
      <c r="R122" s="73"/>
      <c r="S122" s="107"/>
      <c r="T122" s="107"/>
      <c r="U122" s="107"/>
      <c r="V122" s="107"/>
      <c r="W122" s="107"/>
      <c r="X122" s="107"/>
      <c r="Y122" s="107"/>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row>
    <row r="123" spans="1:60" s="204" customFormat="1" hidden="1" outlineLevel="1" collapsed="1">
      <c r="A123" s="9"/>
      <c r="B123" s="9"/>
      <c r="C123" s="279" t="str">
        <f>Asset4</f>
        <v>Refurbishment</v>
      </c>
      <c r="D123" s="9"/>
      <c r="E123" s="9"/>
      <c r="F123" s="23"/>
      <c r="G123" s="23"/>
      <c r="H123" s="305">
        <f>-SUM(H111:H122)</f>
        <v>-2.2353909460034442</v>
      </c>
      <c r="I123" s="164">
        <f>-SUM(I111:I122)</f>
        <v>-2.2353909460034442</v>
      </c>
      <c r="J123" s="164">
        <f>-SUM(J111:J122)</f>
        <v>-2.2353909460034442</v>
      </c>
      <c r="K123" s="164">
        <f>-SUM(K111:K122)</f>
        <v>-2.2353909460034442</v>
      </c>
      <c r="L123" s="164">
        <f>-SUM(L111:L122)</f>
        <v>-2.2353909460034442</v>
      </c>
      <c r="M123" s="164">
        <f>IF(COUNT($H123:L123)&gt;=Input!$W$7,0, -SUM(M111:M122))</f>
        <v>0</v>
      </c>
      <c r="N123" s="164">
        <f>IF(COUNT($H123:M123)&gt;=Input!$W$7,0, -SUM(N111:N122))</f>
        <v>0</v>
      </c>
      <c r="O123" s="164">
        <f>IF(COUNT($H123:N123)&gt;=Input!$W$7,0, -SUM(O111:O122))</f>
        <v>0</v>
      </c>
      <c r="P123" s="164">
        <f>IF(COUNT($H123:O123)&gt;=Input!$W$7,0, -SUM(P111:P122))</f>
        <v>0</v>
      </c>
      <c r="Q123" s="164">
        <f>IF(COUNT($H123:P123)&gt;=Input!$W$7,0, -SUM(Q111:Q122))</f>
        <v>0</v>
      </c>
      <c r="R123" s="164"/>
      <c r="S123" s="106"/>
      <c r="T123" s="106"/>
      <c r="U123" s="106"/>
      <c r="V123" s="106"/>
      <c r="W123" s="106"/>
      <c r="X123" s="106"/>
      <c r="Y123" s="106"/>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row>
    <row r="124" spans="1:60" s="204" customFormat="1" hidden="1" outlineLevel="2">
      <c r="A124" s="9"/>
      <c r="B124" s="280" t="str">
        <f>Asset5</f>
        <v>Other</v>
      </c>
      <c r="C124" s="31"/>
      <c r="D124" s="32" t="s">
        <v>65</v>
      </c>
      <c r="E124" s="31"/>
      <c r="F124" s="308"/>
      <c r="G124" s="308"/>
      <c r="H124" s="72">
        <f>IF(H$3&gt;A5taxremlife,A5taxvalue-SUM($F124:F124),IF(A5taxremlife="N/A","n/a",A5taxvalue/A5taxremlife))</f>
        <v>1.5637292810012211</v>
      </c>
      <c r="I124" s="72">
        <f>IF(I$3&gt;A5taxremlife,A5taxvalue-SUM($F124:H124),IF(A5taxremlife="N/A","n/a",A5taxvalue/A5taxremlife))</f>
        <v>1.5637292810012211</v>
      </c>
      <c r="J124" s="72">
        <f>IF(J$3&gt;A5taxremlife,A5taxvalue-SUM($F124:I124),IF(A5taxremlife="N/A","n/a",A5taxvalue/A5taxremlife))</f>
        <v>1.5637292810012211</v>
      </c>
      <c r="K124" s="72">
        <f>IF(K$3&gt;A5taxremlife,A5taxvalue-SUM($F124:J124),IF(A5taxremlife="N/A","n/a",A5taxvalue/A5taxremlife))</f>
        <v>1.5637292810012211</v>
      </c>
      <c r="L124" s="72">
        <f>IF(L$3&gt;A5taxremlife,A5taxvalue-SUM($F124:K124),IF(A5taxremlife="N/A","n/a",A5taxvalue/A5taxremlife))</f>
        <v>1.5637292810012211</v>
      </c>
      <c r="M124" s="72">
        <f>IF(M$3&gt;A5taxremlife,A5taxvalue-SUM($F124:L124),IF(A5taxremlife="N/A","n/a",A5taxvalue/A5taxremlife))</f>
        <v>0.42313108520285159</v>
      </c>
      <c r="N124" s="72">
        <f>IF(N$3&gt;A5taxremlife,A5taxvalue-SUM($F124:M124),IF(A5taxremlife="N/A","n/a",A5taxvalue/A5taxremlife))</f>
        <v>0</v>
      </c>
      <c r="O124" s="72">
        <f>IF(O$3&gt;A5taxremlife,A5taxvalue-SUM($F124:N124),IF(A5taxremlife="N/A","n/a",A5taxvalue/A5taxremlife))</f>
        <v>0</v>
      </c>
      <c r="P124" s="72">
        <f>IF(P$3&gt;A5taxremlife,A5taxvalue-SUM($F124:O124),IF(A5taxremlife="N/A","n/a",A5taxvalue/A5taxremlife))</f>
        <v>0</v>
      </c>
      <c r="Q124" s="72">
        <f>IF(Q$3&gt;A5taxremlife,A5taxvalue-SUM($F124:P124),IF(A5taxremlife="N/A","n/a",A5taxvalue/A5taxremlife))</f>
        <v>0</v>
      </c>
      <c r="R124" s="72"/>
      <c r="S124" s="107"/>
      <c r="T124" s="107"/>
      <c r="U124" s="107"/>
      <c r="V124" s="107"/>
      <c r="W124" s="107"/>
      <c r="X124" s="107"/>
      <c r="Y124" s="107"/>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row>
    <row r="125" spans="1:60" s="204" customFormat="1" ht="12.75" hidden="1" customHeight="1" outlineLevel="2">
      <c r="A125" s="9"/>
      <c r="B125" s="9"/>
      <c r="C125" s="26"/>
      <c r="D125" s="391" t="s">
        <v>81</v>
      </c>
      <c r="E125" s="91"/>
      <c r="F125" s="27"/>
      <c r="G125" s="27"/>
      <c r="H125" s="107"/>
      <c r="I125" s="73"/>
      <c r="J125" s="73"/>
      <c r="K125" s="73"/>
      <c r="L125" s="73"/>
      <c r="M125" s="73"/>
      <c r="N125" s="73"/>
      <c r="O125" s="73"/>
      <c r="P125" s="73"/>
      <c r="Q125" s="73"/>
      <c r="R125" s="73"/>
      <c r="S125" s="107"/>
      <c r="T125" s="107"/>
      <c r="U125" s="107"/>
      <c r="V125" s="107"/>
      <c r="W125" s="107"/>
      <c r="X125" s="107"/>
      <c r="Y125" s="107"/>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row>
    <row r="126" spans="1:60" s="204" customFormat="1" hidden="1" outlineLevel="2">
      <c r="A126" s="9"/>
      <c r="B126" s="9"/>
      <c r="C126" s="26"/>
      <c r="D126" s="392"/>
      <c r="E126" s="91">
        <v>1</v>
      </c>
      <c r="F126" s="27"/>
      <c r="G126" s="27"/>
      <c r="H126" s="148"/>
      <c r="I126" s="73" t="str">
        <f>IF(A5taxstdlife="n/a","n/a",IF(I$3&gt;(A5taxstdlife+$E126),(Input!$H$147-Input!$H$181)-SUM($H126:H126),(Input!$H$147-Input!$H$181)/A5taxstdlife))</f>
        <v>n/a</v>
      </c>
      <c r="J126" s="73" t="str">
        <f>IF(A5taxstdlife="n/a","n/a",IF(J$3&gt;(A5taxstdlife+$E126),(Input!$H$147-Input!$H$181)-SUM($H126:I126),(Input!$H$147-Input!$H$181)/A5taxstdlife))</f>
        <v>n/a</v>
      </c>
      <c r="K126" s="73" t="str">
        <f>IF(A5taxstdlife="n/a","n/a",IF(K$3&gt;(A5taxstdlife+$E126),(Input!$H$147-Input!$H$181)-SUM($H126:J126),(Input!$H$147-Input!$H$181)/A5taxstdlife))</f>
        <v>n/a</v>
      </c>
      <c r="L126" s="73" t="str">
        <f>IF(A5taxstdlife="n/a","n/a",IF(L$3&gt;(A5taxstdlife+$E126),(Input!$H$147-Input!$H$181)-SUM($H126:K126),(Input!$H$147-Input!$H$181)/A5taxstdlife))</f>
        <v>n/a</v>
      </c>
      <c r="M126" s="73" t="str">
        <f>IF(A5taxstdlife="n/a","n/a",IF(M$3&gt;(A5taxstdlife+$E126),(Input!$H$147-Input!$H$181)-SUM($H126:L126),(Input!$H$147-Input!$H$181)/A5taxstdlife))</f>
        <v>n/a</v>
      </c>
      <c r="N126" s="73" t="str">
        <f>IF(A5taxstdlife="n/a","n/a",IF(N$3&gt;(A5taxstdlife+$E126),(Input!$H$147-Input!$H$181)-SUM($H126:M126),(Input!$H$147-Input!$H$181)/A5taxstdlife))</f>
        <v>n/a</v>
      </c>
      <c r="O126" s="73" t="str">
        <f>IF(A5taxstdlife="n/a","n/a",IF(O$3&gt;(A5taxstdlife+$E126),(Input!$H$147-Input!$H$181)-SUM($H126:N126),(Input!$H$147-Input!$H$181)/A5taxstdlife))</f>
        <v>n/a</v>
      </c>
      <c r="P126" s="73" t="str">
        <f>IF(A5taxstdlife="n/a","n/a",IF(P$3&gt;(A5taxstdlife+$E126),(Input!$H$147-Input!$H$181)-SUM($H126:O126),(Input!$H$147-Input!$H$181)/A5taxstdlife))</f>
        <v>n/a</v>
      </c>
      <c r="Q126" s="73" t="str">
        <f>IF(A5taxstdlife="n/a","n/a",IF(Q$3&gt;(A5taxstdlife+$E126),(Input!$H$147-Input!$H$181)-SUM($H126:P126),(Input!$H$147-Input!$H$181)/A5taxstdlife))</f>
        <v>n/a</v>
      </c>
      <c r="R126" s="73"/>
      <c r="S126" s="107"/>
      <c r="T126" s="107"/>
      <c r="U126" s="107"/>
      <c r="V126" s="107"/>
      <c r="W126" s="107"/>
      <c r="X126" s="107"/>
      <c r="Y126" s="107"/>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row>
    <row r="127" spans="1:60" s="204" customFormat="1" hidden="1" outlineLevel="2">
      <c r="A127" s="9"/>
      <c r="B127" s="9"/>
      <c r="C127" s="26"/>
      <c r="D127" s="392"/>
      <c r="E127" s="91">
        <v>2</v>
      </c>
      <c r="F127" s="27"/>
      <c r="G127" s="27"/>
      <c r="H127" s="149"/>
      <c r="I127" s="150"/>
      <c r="J127" s="73" t="str">
        <f>IF(A5taxstdlife="n/a","n/a",IF(J$3&gt;(A5taxstdlife+$E127),(Input!$I$147-Input!$I$181)-SUM($I127:I127),(Input!$I$147-Input!$I$181)/A5taxstdlife))</f>
        <v>n/a</v>
      </c>
      <c r="K127" s="73" t="str">
        <f>IF(A5taxstdlife="n/a","n/a",IF(K$3&gt;(A5taxstdlife+$E127),(Input!$I$147-Input!$I$181)-SUM($I127:J127),(Input!$I$147-Input!$I$181)/A5taxstdlife))</f>
        <v>n/a</v>
      </c>
      <c r="L127" s="73" t="str">
        <f>IF(A5taxstdlife="n/a","n/a",IF(L$3&gt;(A5taxstdlife+$E127),(Input!$I$147-Input!$I$181)-SUM($I127:K127),(Input!$I$147-Input!$I$181)/A5taxstdlife))</f>
        <v>n/a</v>
      </c>
      <c r="M127" s="73" t="str">
        <f>IF(A5taxstdlife="n/a","n/a",IF(M$3&gt;(A5taxstdlife+$E127),(Input!$I$147-Input!$I$181)-SUM($I127:L127),(Input!$I$147-Input!$I$181)/A5taxstdlife))</f>
        <v>n/a</v>
      </c>
      <c r="N127" s="73" t="str">
        <f>IF(A5taxstdlife="n/a","n/a",IF(N$3&gt;(A5taxstdlife+$E127),(Input!$I$147-Input!$I$181)-SUM($I127:M127),(Input!$I$147-Input!$I$181)/A5taxstdlife))</f>
        <v>n/a</v>
      </c>
      <c r="O127" s="73" t="str">
        <f>IF(A5taxstdlife="n/a","n/a",IF(O$3&gt;(A5taxstdlife+$E127),(Input!$I$147-Input!$I$181)-SUM($I127:N127),(Input!$I$147-Input!$I$181)/A5taxstdlife))</f>
        <v>n/a</v>
      </c>
      <c r="P127" s="73" t="str">
        <f>IF(A5taxstdlife="n/a","n/a",IF(P$3&gt;(A5taxstdlife+$E127),(Input!$I$147-Input!$I$181)-SUM($I127:O127),(Input!$I$147-Input!$I$181)/A5taxstdlife))</f>
        <v>n/a</v>
      </c>
      <c r="Q127" s="73" t="str">
        <f>IF(A5taxstdlife="n/a","n/a",IF(Q$3&gt;(A5taxstdlife+$E127),(Input!$I$147-Input!$I$181)-SUM($I127:P127),(Input!$I$147-Input!$I$181)/A5taxstdlife))</f>
        <v>n/a</v>
      </c>
      <c r="R127" s="73"/>
      <c r="S127" s="107"/>
      <c r="T127" s="107"/>
      <c r="U127" s="107"/>
      <c r="V127" s="107"/>
      <c r="W127" s="107"/>
      <c r="X127" s="107"/>
      <c r="Y127" s="107"/>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row>
    <row r="128" spans="1:60" s="204" customFormat="1" hidden="1" outlineLevel="2">
      <c r="A128" s="9"/>
      <c r="B128" s="9"/>
      <c r="C128" s="26"/>
      <c r="D128" s="392"/>
      <c r="E128" s="91">
        <v>3</v>
      </c>
      <c r="F128" s="27"/>
      <c r="G128" s="27"/>
      <c r="H128" s="149"/>
      <c r="I128" s="151"/>
      <c r="J128" s="150"/>
      <c r="K128" s="73" t="str">
        <f>IF(A5taxstdlife="n/a","n/a",IF(K$3&gt;(A5taxstdlife+$E128),(Input!$J$147-Input!$J$181)-SUM($J128:J128),(Input!$J$147-Input!$J$181)/A5taxstdlife))</f>
        <v>n/a</v>
      </c>
      <c r="L128" s="73" t="str">
        <f>IF(A5taxstdlife="n/a","n/a",IF(L$3&gt;(A5taxstdlife+$E128),(Input!$J$147-Input!$J$181)-SUM($J128:K128),(Input!$J$147-Input!$J$181)/A5taxstdlife))</f>
        <v>n/a</v>
      </c>
      <c r="M128" s="73" t="str">
        <f>IF(A5taxstdlife="n/a","n/a",IF(M$3&gt;(A5taxstdlife+$E128),(Input!$J$147-Input!$J$181)-SUM($J128:L128),(Input!$J$147-Input!$J$181)/A5taxstdlife))</f>
        <v>n/a</v>
      </c>
      <c r="N128" s="73" t="str">
        <f>IF(A5taxstdlife="n/a","n/a",IF(N$3&gt;(A5taxstdlife+$E128),(Input!$J$147-Input!$J$181)-SUM($J128:M128),(Input!$J$147-Input!$J$181)/A5taxstdlife))</f>
        <v>n/a</v>
      </c>
      <c r="O128" s="73" t="str">
        <f>IF(A5taxstdlife="n/a","n/a",IF(O$3&gt;(A5taxstdlife+$E128),(Input!$J$147-Input!$J$181)-SUM($J128:N128),(Input!$J$147-Input!$J$181)/A5taxstdlife))</f>
        <v>n/a</v>
      </c>
      <c r="P128" s="73" t="str">
        <f>IF(A5taxstdlife="n/a","n/a",IF(P$3&gt;(A5taxstdlife+$E128),(Input!$J$147-Input!$J$181)-SUM($J128:O128),(Input!$J$147-Input!$J$181)/A5taxstdlife))</f>
        <v>n/a</v>
      </c>
      <c r="Q128" s="73" t="str">
        <f>IF(A5taxstdlife="n/a","n/a",IF(Q$3&gt;(A5taxstdlife+$E128),(Input!$J$147-Input!$J$181)-SUM($J128:P128),(Input!$J$147-Input!$J$181)/A5taxstdlife))</f>
        <v>n/a</v>
      </c>
      <c r="R128" s="73"/>
      <c r="S128" s="107"/>
      <c r="T128" s="107"/>
      <c r="U128" s="107"/>
      <c r="V128" s="107"/>
      <c r="W128" s="107"/>
      <c r="X128" s="107"/>
      <c r="Y128" s="107"/>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row>
    <row r="129" spans="1:255" s="204" customFormat="1" hidden="1" outlineLevel="2">
      <c r="A129" s="9"/>
      <c r="B129" s="9"/>
      <c r="C129" s="26"/>
      <c r="D129" s="392"/>
      <c r="E129" s="91">
        <v>4</v>
      </c>
      <c r="F129" s="27"/>
      <c r="G129" s="27"/>
      <c r="H129" s="149"/>
      <c r="I129" s="151"/>
      <c r="J129" s="151"/>
      <c r="K129" s="150"/>
      <c r="L129" s="73" t="str">
        <f>IF(A5taxstdlife="n/a","n/a",IF(L$3&gt;(A5taxstdlife+$E129),(Input!$K$147-Input!$K$181)-SUM($K129:K129),(Input!$K$147-Input!$K$181)/A5taxstdlife))</f>
        <v>n/a</v>
      </c>
      <c r="M129" s="73" t="str">
        <f>IF(A5taxstdlife="n/a","n/a",IF(M$3&gt;(A5taxstdlife+$E129),(Input!$K$147-Input!$K$181)-SUM($K129:L129),(Input!$K$147-Input!$K$181)/A5taxstdlife))</f>
        <v>n/a</v>
      </c>
      <c r="N129" s="73" t="str">
        <f>IF(A5taxstdlife="n/a","n/a",IF(N$3&gt;(A5taxstdlife+$E129),(Input!$K$147-Input!$K$181)-SUM($K129:M129),(Input!$K$147-Input!$K$181)/A5taxstdlife))</f>
        <v>n/a</v>
      </c>
      <c r="O129" s="73" t="str">
        <f>IF(A5taxstdlife="n/a","n/a",IF(O$3&gt;(A5taxstdlife+$E129),(Input!$K$147-Input!$K$181)-SUM($K129:N129),(Input!$K$147-Input!$K$181)/A5taxstdlife))</f>
        <v>n/a</v>
      </c>
      <c r="P129" s="73" t="str">
        <f>IF(A5taxstdlife="n/a","n/a",IF(P$3&gt;(A5taxstdlife+$E129),(Input!$K$147-Input!$K$181)-SUM($K129:O129),(Input!$K$147-Input!$K$181)/A5taxstdlife))</f>
        <v>n/a</v>
      </c>
      <c r="Q129" s="73" t="str">
        <f>IF(A5taxstdlife="n/a","n/a",IF(Q$3&gt;(A5taxstdlife+$E129),(Input!$K$147-Input!$K$181)-SUM($K129:P129),(Input!$K$147-Input!$K$181)/A5taxstdlife))</f>
        <v>n/a</v>
      </c>
      <c r="R129" s="73"/>
      <c r="S129" s="107"/>
      <c r="T129" s="107"/>
      <c r="U129" s="107"/>
      <c r="V129" s="107"/>
      <c r="W129" s="107"/>
      <c r="X129" s="107"/>
      <c r="Y129" s="107"/>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row>
    <row r="130" spans="1:255" s="204" customFormat="1" hidden="1" outlineLevel="2">
      <c r="A130" s="9"/>
      <c r="B130" s="9"/>
      <c r="C130" s="26"/>
      <c r="D130" s="392"/>
      <c r="E130" s="91">
        <v>5</v>
      </c>
      <c r="F130" s="27"/>
      <c r="G130" s="27"/>
      <c r="H130" s="149"/>
      <c r="I130" s="151"/>
      <c r="J130" s="151"/>
      <c r="K130" s="151"/>
      <c r="L130" s="150"/>
      <c r="M130" s="73" t="str">
        <f>IF(A5taxstdlife="n/a","n/a",IF(M$3&gt;(A5taxstdlife+$E130),(Input!$L$147-Input!$L$181)-SUM($L130:L130),(Input!$L$147-Input!$L$181)/A5taxstdlife))</f>
        <v>n/a</v>
      </c>
      <c r="N130" s="73" t="str">
        <f>IF(A5taxstdlife="n/a","n/a",IF(N$3&gt;(A5taxstdlife+$E130),(Input!$L$147-Input!$L$181)-SUM($L130:M130),(Input!$L$147-Input!$L$181)/A5taxstdlife))</f>
        <v>n/a</v>
      </c>
      <c r="O130" s="73" t="str">
        <f>IF(A5taxstdlife="n/a","n/a",IF(O$3&gt;(A5taxstdlife+$E130),(Input!$L$147-Input!$L$181)-SUM($L130:N130),(Input!$L$147-Input!$L$181)/A5taxstdlife))</f>
        <v>n/a</v>
      </c>
      <c r="P130" s="73" t="str">
        <f>IF(A5taxstdlife="n/a","n/a",IF(P$3&gt;(A5taxstdlife+$E130),(Input!$L$147-Input!$L$181)-SUM($L130:O130),(Input!$L$147-Input!$L$181)/A5taxstdlife))</f>
        <v>n/a</v>
      </c>
      <c r="Q130" s="73" t="str">
        <f>IF(A5taxstdlife="n/a","n/a",IF(Q$3&gt;(A5taxstdlife+$E130),(Input!$L$147-Input!$L$181)-SUM($L130:P130),(Input!$L$147-Input!$L$181)/A5taxstdlife))</f>
        <v>n/a</v>
      </c>
      <c r="R130" s="73"/>
      <c r="S130" s="107"/>
      <c r="T130" s="107"/>
      <c r="U130" s="107"/>
      <c r="V130" s="107"/>
      <c r="W130" s="107"/>
      <c r="X130" s="107"/>
      <c r="Y130" s="107"/>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row>
    <row r="131" spans="1:255" s="204" customFormat="1" hidden="1" outlineLevel="2">
      <c r="A131" s="9"/>
      <c r="B131" s="9"/>
      <c r="C131" s="26"/>
      <c r="D131" s="392"/>
      <c r="E131" s="91">
        <v>6</v>
      </c>
      <c r="F131" s="27"/>
      <c r="G131" s="27"/>
      <c r="H131" s="149"/>
      <c r="I131" s="151"/>
      <c r="J131" s="151"/>
      <c r="K131" s="151"/>
      <c r="L131" s="151"/>
      <c r="M131" s="150"/>
      <c r="N131" s="73" t="str">
        <f>IF(A5taxstdlife="n/a","n/a",IF(N$3&gt;(A5taxstdlife+$E131),(Input!$M$147-Input!$M$181)-SUM($M131:M131),(Input!$M$147-Input!$M$181)/A5taxstdlife))</f>
        <v>n/a</v>
      </c>
      <c r="O131" s="73" t="str">
        <f>IF(A5taxstdlife="n/a","n/a",IF(O$3&gt;(A5taxstdlife+$E131),(Input!$M$147-Input!$M$181)-SUM($M131:N131),(Input!$M$147-Input!$M$181)/A5taxstdlife))</f>
        <v>n/a</v>
      </c>
      <c r="P131" s="73" t="str">
        <f>IF(A5taxstdlife="n/a","n/a",IF(P$3&gt;(A5taxstdlife+$E131),(Input!$M$147-Input!$M$181)-SUM($M131:O131),(Input!$M$147-Input!$M$181)/A5taxstdlife))</f>
        <v>n/a</v>
      </c>
      <c r="Q131" s="73" t="str">
        <f>IF(A5taxstdlife="n/a","n/a",IF(Q$3&gt;(A5taxstdlife+$E131),(Input!$M$147-Input!$M$181)-SUM($M131:P131),(Input!$M$147-Input!$M$181)/A5taxstdlife))</f>
        <v>n/a</v>
      </c>
      <c r="R131" s="73"/>
      <c r="S131" s="107"/>
      <c r="T131" s="107"/>
      <c r="U131" s="107"/>
      <c r="V131" s="107"/>
      <c r="W131" s="107"/>
      <c r="X131" s="107"/>
      <c r="Y131" s="107"/>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row>
    <row r="132" spans="1:255" s="204" customFormat="1" hidden="1" outlineLevel="2">
      <c r="A132" s="9"/>
      <c r="B132" s="9"/>
      <c r="C132" s="26"/>
      <c r="D132" s="392"/>
      <c r="E132" s="91">
        <v>7</v>
      </c>
      <c r="F132" s="27"/>
      <c r="G132" s="27"/>
      <c r="H132" s="149"/>
      <c r="I132" s="151"/>
      <c r="J132" s="151"/>
      <c r="K132" s="151"/>
      <c r="L132" s="151"/>
      <c r="M132" s="151"/>
      <c r="N132" s="150"/>
      <c r="O132" s="73" t="str">
        <f>IF(A5taxstdlife="n/a","n/a",IF(O$3&gt;(A5taxstdlife+$E132),(Input!$N$147-Input!$N$181)-SUM($N132:N132),(Input!$N$147-Input!$N$181)/A5taxstdlife))</f>
        <v>n/a</v>
      </c>
      <c r="P132" s="73" t="str">
        <f>IF(A5taxstdlife="n/a","n/a",IF(P$3&gt;(A5taxstdlife+$E132),(Input!$N$147-Input!$N$181)-SUM($N132:O132),(Input!$N$147-Input!$N$181)/A5taxstdlife))</f>
        <v>n/a</v>
      </c>
      <c r="Q132" s="73" t="str">
        <f>IF(A5taxstdlife="n/a","n/a",IF(Q$3&gt;(A5taxstdlife+$E132),(Input!$N$147-Input!$N$181)-SUM($N132:P132),(Input!$N$147-Input!$N$181)/A5taxstdlife))</f>
        <v>n/a</v>
      </c>
      <c r="R132" s="73"/>
      <c r="S132" s="107"/>
      <c r="T132" s="107"/>
      <c r="U132" s="107"/>
      <c r="V132" s="107"/>
      <c r="W132" s="107"/>
      <c r="X132" s="107"/>
      <c r="Y132" s="107"/>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row>
    <row r="133" spans="1:255" s="204" customFormat="1" hidden="1" outlineLevel="2">
      <c r="A133" s="9"/>
      <c r="B133" s="9"/>
      <c r="C133" s="26"/>
      <c r="D133" s="392"/>
      <c r="E133" s="91">
        <v>8</v>
      </c>
      <c r="F133" s="27"/>
      <c r="G133" s="27"/>
      <c r="H133" s="149"/>
      <c r="I133" s="151"/>
      <c r="J133" s="151"/>
      <c r="K133" s="151"/>
      <c r="L133" s="151"/>
      <c r="M133" s="151"/>
      <c r="N133" s="151"/>
      <c r="O133" s="150"/>
      <c r="P133" s="73" t="str">
        <f>IF(A5taxstdlife="n/a","n/a",IF(P$3&gt;(A5taxstdlife+$E133),(Input!$O$147-Input!$O$181)-SUM($O133:O133),(Input!$O$147-Input!$O$181)/A5taxstdlife))</f>
        <v>n/a</v>
      </c>
      <c r="Q133" s="73" t="str">
        <f>IF(A5taxstdlife="n/a","n/a",IF(Q$3&gt;(A5taxstdlife+$E133),(Input!$O$147-Input!$O$181)-SUM($O133:P133),(Input!$O$147-Input!$O$181)/A5taxstdlife))</f>
        <v>n/a</v>
      </c>
      <c r="R133" s="73"/>
      <c r="S133" s="107"/>
      <c r="T133" s="107"/>
      <c r="U133" s="107"/>
      <c r="V133" s="107"/>
      <c r="W133" s="107"/>
      <c r="X133" s="107"/>
      <c r="Y133" s="107"/>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row>
    <row r="134" spans="1:255" s="204" customFormat="1" hidden="1" outlineLevel="2">
      <c r="A134" s="9"/>
      <c r="B134" s="9"/>
      <c r="C134" s="26"/>
      <c r="D134" s="392"/>
      <c r="E134" s="91">
        <v>9</v>
      </c>
      <c r="F134" s="27"/>
      <c r="G134" s="27"/>
      <c r="H134" s="149"/>
      <c r="I134" s="151"/>
      <c r="J134" s="151"/>
      <c r="K134" s="151"/>
      <c r="L134" s="151"/>
      <c r="M134" s="151"/>
      <c r="N134" s="151"/>
      <c r="O134" s="151"/>
      <c r="P134" s="150"/>
      <c r="Q134" s="73" t="str">
        <f>IF(A5taxstdlife="n/a","n/a",IF(Q$3&gt;(A5taxstdlife+$E134),(Input!$P$147-Input!$P$181)-SUM($P134:P134),(Input!$P$147-Input!$P$181)/A5taxstdlife))</f>
        <v>n/a</v>
      </c>
      <c r="R134" s="73"/>
      <c r="S134" s="107"/>
      <c r="T134" s="107"/>
      <c r="U134" s="107"/>
      <c r="V134" s="107"/>
      <c r="W134" s="107"/>
      <c r="X134" s="107"/>
      <c r="Y134" s="107"/>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row>
    <row r="135" spans="1:255" s="204" customFormat="1" hidden="1" outlineLevel="2">
      <c r="A135" s="9"/>
      <c r="B135" s="9"/>
      <c r="C135" s="26"/>
      <c r="D135" s="392"/>
      <c r="E135" s="92">
        <v>10</v>
      </c>
      <c r="F135" s="27"/>
      <c r="G135" s="27"/>
      <c r="H135" s="149"/>
      <c r="I135" s="151"/>
      <c r="J135" s="151"/>
      <c r="K135" s="151"/>
      <c r="L135" s="151"/>
      <c r="M135" s="151"/>
      <c r="N135" s="151"/>
      <c r="O135" s="151"/>
      <c r="P135" s="151"/>
      <c r="Q135" s="150"/>
      <c r="R135" s="73"/>
      <c r="S135" s="107"/>
      <c r="T135" s="107"/>
      <c r="U135" s="107"/>
      <c r="V135" s="107"/>
      <c r="W135" s="107"/>
      <c r="X135" s="107"/>
      <c r="Y135" s="107"/>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row>
    <row r="136" spans="1:255" s="204" customFormat="1" hidden="1" outlineLevel="1" collapsed="1">
      <c r="A136" s="9"/>
      <c r="B136" s="9"/>
      <c r="C136" s="279" t="str">
        <f>Asset5</f>
        <v>Other</v>
      </c>
      <c r="D136" s="9"/>
      <c r="E136" s="9"/>
      <c r="F136" s="23"/>
      <c r="G136" s="23"/>
      <c r="H136" s="305">
        <f>-SUM(H124:H135)</f>
        <v>-1.5637292810012211</v>
      </c>
      <c r="I136" s="164">
        <f>-SUM(I124:I135)</f>
        <v>-1.5637292810012211</v>
      </c>
      <c r="J136" s="164">
        <f>-SUM(J124:J135)</f>
        <v>-1.5637292810012211</v>
      </c>
      <c r="K136" s="164">
        <f>-SUM(K124:K135)</f>
        <v>-1.5637292810012211</v>
      </c>
      <c r="L136" s="164">
        <f>-SUM(L124:L135)</f>
        <v>-1.5637292810012211</v>
      </c>
      <c r="M136" s="164">
        <f>IF(COUNT($H136:L136)&gt;=Input!$W$7,0, -SUM(M124:M135))</f>
        <v>0</v>
      </c>
      <c r="N136" s="164">
        <f>IF(COUNT($H136:M136)&gt;=Input!$W$7,0, -SUM(N124:N135))</f>
        <v>0</v>
      </c>
      <c r="O136" s="164">
        <f>IF(COUNT($H136:N136)&gt;=Input!$W$7,0, -SUM(O124:O135))</f>
        <v>0</v>
      </c>
      <c r="P136" s="164">
        <f>IF(COUNT($H136:O136)&gt;=Input!$W$7,0, -SUM(P124:P135))</f>
        <v>0</v>
      </c>
      <c r="Q136" s="164">
        <f>IF(COUNT($H136:P136)&gt;=Input!$W$7,0, -SUM(Q124:Q135))</f>
        <v>0</v>
      </c>
      <c r="R136" s="164"/>
      <c r="S136" s="106"/>
      <c r="T136" s="106"/>
      <c r="U136" s="106"/>
      <c r="V136" s="106"/>
      <c r="W136" s="106"/>
      <c r="X136" s="106"/>
      <c r="Y136" s="106"/>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row>
    <row r="137" spans="1:255" s="5" customFormat="1" hidden="1" outlineLevel="2">
      <c r="A137" s="9"/>
      <c r="B137" s="280" t="str">
        <f>Asset6</f>
        <v>Other - IT</v>
      </c>
      <c r="C137" s="31"/>
      <c r="D137" s="32" t="s">
        <v>65</v>
      </c>
      <c r="E137" s="31"/>
      <c r="F137" s="308"/>
      <c r="G137" s="308"/>
      <c r="H137" s="72">
        <f>IF(H$3&gt;A6taxremlife,A6taxvalue-SUM($F137:F137),IF(A6taxremlife="N/A","n/a",A6taxvalue/A6taxremlife))</f>
        <v>11.295501717113861</v>
      </c>
      <c r="I137" s="72">
        <f>IF(I$3&gt;A6taxremlife,A6taxvalue-SUM($F137:H137),IF(A6taxremlife="N/A","n/a",A6taxvalue/A6taxremlife))</f>
        <v>11.295501717113861</v>
      </c>
      <c r="J137" s="72">
        <f>IF(J$3&gt;A6taxremlife,A6taxvalue-SUM($F137:I137),IF(A6taxremlife="N/A","n/a",A6taxvalue/A6taxremlife))</f>
        <v>0</v>
      </c>
      <c r="K137" s="72">
        <f>IF(K$3&gt;A6taxremlife,A6taxvalue-SUM($F137:J137),IF(A6taxremlife="N/A","n/a",A6taxvalue/A6taxremlife))</f>
        <v>0</v>
      </c>
      <c r="L137" s="72">
        <f>IF(L$3&gt;A6taxremlife,A6taxvalue-SUM($F137:K137),IF(A6taxremlife="N/A","n/a",A6taxvalue/A6taxremlife))</f>
        <v>0</v>
      </c>
      <c r="M137" s="72">
        <f>IF(M$3&gt;A6taxremlife,A6taxvalue-SUM($F137:L137),IF(A6taxremlife="N/A","n/a",A6taxvalue/A6taxremlife))</f>
        <v>0</v>
      </c>
      <c r="N137" s="72">
        <f>IF(N$3&gt;A6taxremlife,A6taxvalue-SUM($F137:M137),IF(A6taxremlife="N/A","n/a",A6taxvalue/A6taxremlife))</f>
        <v>0</v>
      </c>
      <c r="O137" s="72">
        <f>IF(O$3&gt;A6taxremlife,A6taxvalue-SUM($F137:N137),IF(A6taxremlife="N/A","n/a",A6taxvalue/A6taxremlife))</f>
        <v>0</v>
      </c>
      <c r="P137" s="72">
        <f>IF(P$3&gt;A6taxremlife,A6taxvalue-SUM($F137:O137),IF(A6taxremlife="N/A","n/a",A6taxvalue/A6taxremlife))</f>
        <v>0</v>
      </c>
      <c r="Q137" s="72">
        <f>IF(Q$3&gt;A6taxremlife,A6taxvalue-SUM($F137:P137),IF(A6taxremlife="N/A","n/a",A6taxvalue/A6taxremlife))</f>
        <v>0</v>
      </c>
      <c r="R137" s="72"/>
      <c r="S137" s="107"/>
      <c r="T137" s="107"/>
      <c r="U137" s="107"/>
      <c r="V137" s="107"/>
      <c r="W137" s="107"/>
      <c r="X137" s="107"/>
      <c r="Y137" s="107"/>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04"/>
      <c r="BJ137" s="204"/>
      <c r="BK137" s="204"/>
      <c r="BL137" s="204"/>
      <c r="BM137" s="204"/>
      <c r="BN137" s="204"/>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6"/>
      <c r="D138" s="391" t="s">
        <v>81</v>
      </c>
      <c r="E138" s="91"/>
      <c r="F138" s="27"/>
      <c r="G138" s="27"/>
      <c r="H138" s="107"/>
      <c r="I138" s="73"/>
      <c r="J138" s="73"/>
      <c r="K138" s="73"/>
      <c r="L138" s="73"/>
      <c r="M138" s="73"/>
      <c r="N138" s="73"/>
      <c r="O138" s="73"/>
      <c r="P138" s="73"/>
      <c r="Q138" s="73"/>
      <c r="R138" s="73"/>
      <c r="S138" s="107"/>
      <c r="T138" s="107"/>
      <c r="U138" s="107"/>
      <c r="V138" s="107"/>
      <c r="W138" s="107"/>
      <c r="X138" s="107"/>
      <c r="Y138" s="107"/>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04"/>
      <c r="BJ138" s="204"/>
      <c r="BK138" s="204"/>
      <c r="BL138" s="204"/>
      <c r="BM138" s="204"/>
      <c r="BN138" s="204"/>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idden="1" outlineLevel="2">
      <c r="A139" s="9"/>
      <c r="B139" s="9"/>
      <c r="C139" s="26"/>
      <c r="D139" s="392"/>
      <c r="E139" s="91">
        <v>1</v>
      </c>
      <c r="F139" s="27"/>
      <c r="G139" s="27"/>
      <c r="H139" s="148"/>
      <c r="I139" s="73">
        <f>IF(A6taxstdlife="n/a","n/a",IF(I$3&gt;(A6taxstdlife+$E139),(Input!$H$148-Input!$H$182)-SUM($H139:H139),(Input!$H$148-Input!$H$182)/A6taxstdlife))</f>
        <v>0</v>
      </c>
      <c r="J139" s="73">
        <f>IF(A6taxstdlife="n/a","n/a",IF(J$3&gt;(A6taxstdlife+$E139),(Input!$H$148-Input!$H$182)-SUM($H139:I139),(Input!$H$148-Input!$H$182)/A6taxstdlife))</f>
        <v>0</v>
      </c>
      <c r="K139" s="73">
        <f>IF(A6taxstdlife="n/a","n/a",IF(K$3&gt;(A6taxstdlife+$E139),(Input!$H$148-Input!$H$182)-SUM($H139:J139),(Input!$H$148-Input!$H$182)/A6taxstdlife))</f>
        <v>0</v>
      </c>
      <c r="L139" s="73">
        <f>IF(A6taxstdlife="n/a","n/a",IF(L$3&gt;(A6taxstdlife+$E139),(Input!$H$148-Input!$H$182)-SUM($H139:K139),(Input!$H$148-Input!$H$182)/A6taxstdlife))</f>
        <v>0</v>
      </c>
      <c r="M139" s="73">
        <f>IF(A6taxstdlife="n/a","n/a",IF(M$3&gt;(A6taxstdlife+$E139),(Input!$H$148-Input!$H$182)-SUM($H139:L139),(Input!$H$148-Input!$H$182)/A6taxstdlife))</f>
        <v>0</v>
      </c>
      <c r="N139" s="73">
        <f>IF(A6taxstdlife="n/a","n/a",IF(N$3&gt;(A6taxstdlife+$E139),(Input!$H$148-Input!$H$182)-SUM($H139:M139),(Input!$H$148-Input!$H$182)/A6taxstdlife))</f>
        <v>0</v>
      </c>
      <c r="O139" s="73">
        <f>IF(A6taxstdlife="n/a","n/a",IF(O$3&gt;(A6taxstdlife+$E139),(Input!$H$148-Input!$H$182)-SUM($H139:N139),(Input!$H$148-Input!$H$182)/A6taxstdlife))</f>
        <v>0</v>
      </c>
      <c r="P139" s="73">
        <f>IF(A6taxstdlife="n/a","n/a",IF(P$3&gt;(A6taxstdlife+$E139),(Input!$H$148-Input!$H$182)-SUM($H139:O139),(Input!$H$148-Input!$H$182)/A6taxstdlife))</f>
        <v>0</v>
      </c>
      <c r="Q139" s="73">
        <f>IF(A6taxstdlife="n/a","n/a",IF(Q$3&gt;(A6taxstdlife+$E139),(Input!$H$148-Input!$H$182)-SUM($H139:P139),(Input!$H$148-Input!$H$182)/A6taxstdlife))</f>
        <v>0</v>
      </c>
      <c r="R139" s="73"/>
      <c r="S139" s="107"/>
      <c r="T139" s="107"/>
      <c r="U139" s="107"/>
      <c r="V139" s="107"/>
      <c r="W139" s="107"/>
      <c r="X139" s="107"/>
      <c r="Y139" s="107"/>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04"/>
      <c r="BJ139" s="204"/>
      <c r="BK139" s="204"/>
      <c r="BL139" s="204"/>
      <c r="BM139" s="204"/>
      <c r="BN139" s="204"/>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idden="1" outlineLevel="2">
      <c r="A140" s="9"/>
      <c r="B140" s="9"/>
      <c r="C140" s="26"/>
      <c r="D140" s="392"/>
      <c r="E140" s="91">
        <v>2</v>
      </c>
      <c r="F140" s="27"/>
      <c r="G140" s="27"/>
      <c r="H140" s="149"/>
      <c r="I140" s="150"/>
      <c r="J140" s="73">
        <f>IF(A6taxstdlife="n/a","n/a",IF(J$3&gt;(A6taxstdlife+$E140),(Input!$I$148-Input!$I$182)-SUM($I140:I140),(Input!$I$148-Input!$I$182)/A6taxstdlife))</f>
        <v>-1.6666666666666668E-3</v>
      </c>
      <c r="K140" s="73">
        <f>IF(A6taxstdlife="n/a","n/a",IF(K$3&gt;(A6taxstdlife+$E140),(Input!$I$148-Input!$I$182)-SUM($I140:J140),(Input!$I$148-Input!$I$182)/A6taxstdlife))</f>
        <v>-1.6666666666666668E-3</v>
      </c>
      <c r="L140" s="73">
        <f>IF(A6taxstdlife="n/a","n/a",IF(L$3&gt;(A6taxstdlife+$E140),(Input!$I$148-Input!$I$182)-SUM($I140:K140),(Input!$I$148-Input!$I$182)/A6taxstdlife))</f>
        <v>-1.6666666666666668E-3</v>
      </c>
      <c r="M140" s="73">
        <f>IF(A6taxstdlife="n/a","n/a",IF(M$3&gt;(A6taxstdlife+$E140),(Input!$I$148-Input!$I$182)-SUM($I140:L140),(Input!$I$148-Input!$I$182)/A6taxstdlife))</f>
        <v>0</v>
      </c>
      <c r="N140" s="73">
        <f>IF(A6taxstdlife="n/a","n/a",IF(N$3&gt;(A6taxstdlife+$E140),(Input!$I$148-Input!$I$182)-SUM($I140:M140),(Input!$I$148-Input!$I$182)/A6taxstdlife))</f>
        <v>0</v>
      </c>
      <c r="O140" s="73">
        <f>IF(A6taxstdlife="n/a","n/a",IF(O$3&gt;(A6taxstdlife+$E140),(Input!$I$148-Input!$I$182)-SUM($I140:N140),(Input!$I$148-Input!$I$182)/A6taxstdlife))</f>
        <v>0</v>
      </c>
      <c r="P140" s="73">
        <f>IF(A6taxstdlife="n/a","n/a",IF(P$3&gt;(A6taxstdlife+$E140),(Input!$I$148-Input!$I$182)-SUM($I140:O140),(Input!$I$148-Input!$I$182)/A6taxstdlife))</f>
        <v>0</v>
      </c>
      <c r="Q140" s="73">
        <f>IF(A6taxstdlife="n/a","n/a",IF(Q$3&gt;(A6taxstdlife+$E140),(Input!$I$148-Input!$I$182)-SUM($I140:P140),(Input!$I$148-Input!$I$182)/A6taxstdlife))</f>
        <v>0</v>
      </c>
      <c r="R140" s="73"/>
      <c r="S140" s="107"/>
      <c r="T140" s="107"/>
      <c r="U140" s="107"/>
      <c r="V140" s="107"/>
      <c r="W140" s="107"/>
      <c r="X140" s="107"/>
      <c r="Y140" s="107"/>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04"/>
      <c r="BJ140" s="204"/>
      <c r="BK140" s="204"/>
      <c r="BL140" s="204"/>
      <c r="BM140" s="204"/>
      <c r="BN140" s="204"/>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idden="1" outlineLevel="2">
      <c r="A141" s="9"/>
      <c r="B141" s="9"/>
      <c r="C141" s="26"/>
      <c r="D141" s="392"/>
      <c r="E141" s="91">
        <v>3</v>
      </c>
      <c r="F141" s="27"/>
      <c r="G141" s="27"/>
      <c r="H141" s="149"/>
      <c r="I141" s="151"/>
      <c r="J141" s="150"/>
      <c r="K141" s="73">
        <f>IF(A6taxstdlife="n/a","n/a",IF(K$3&gt;(A6taxstdlife+$E141),(Input!$J$148-Input!$J$182)-SUM($J141:J141),(Input!$J$148-Input!$J$182)/A6taxstdlife))</f>
        <v>0</v>
      </c>
      <c r="L141" s="73">
        <f>IF(A6taxstdlife="n/a","n/a",IF(L$3&gt;(A6taxstdlife+$E141),(Input!$J$148-Input!$J$182)-SUM($J141:K141),(Input!$J$148-Input!$J$182)/A6taxstdlife))</f>
        <v>0</v>
      </c>
      <c r="M141" s="73">
        <f>IF(A6taxstdlife="n/a","n/a",IF(M$3&gt;(A6taxstdlife+$E141),(Input!$J$148-Input!$J$182)-SUM($J141:L141),(Input!$J$148-Input!$J$182)/A6taxstdlife))</f>
        <v>0</v>
      </c>
      <c r="N141" s="73">
        <f>IF(A6taxstdlife="n/a","n/a",IF(N$3&gt;(A6taxstdlife+$E141),(Input!$J$148-Input!$J$182)-SUM($J141:M141),(Input!$J$148-Input!$J$182)/A6taxstdlife))</f>
        <v>0</v>
      </c>
      <c r="O141" s="73">
        <f>IF(A6taxstdlife="n/a","n/a",IF(O$3&gt;(A6taxstdlife+$E141),(Input!$J$148-Input!$J$182)-SUM($J141:N141),(Input!$J$148-Input!$J$182)/A6taxstdlife))</f>
        <v>0</v>
      </c>
      <c r="P141" s="73">
        <f>IF(A6taxstdlife="n/a","n/a",IF(P$3&gt;(A6taxstdlife+$E141),(Input!$J$148-Input!$J$182)-SUM($J141:O141),(Input!$J$148-Input!$J$182)/A6taxstdlife))</f>
        <v>0</v>
      </c>
      <c r="Q141" s="73">
        <f>IF(A6taxstdlife="n/a","n/a",IF(Q$3&gt;(A6taxstdlife+$E141),(Input!$J$148-Input!$J$182)-SUM($J141:P141),(Input!$J$148-Input!$J$182)/A6taxstdlife))</f>
        <v>0</v>
      </c>
      <c r="R141" s="73"/>
      <c r="S141" s="107"/>
      <c r="T141" s="107"/>
      <c r="U141" s="107"/>
      <c r="V141" s="107"/>
      <c r="W141" s="107"/>
      <c r="X141" s="107"/>
      <c r="Y141" s="107"/>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04"/>
      <c r="BJ141" s="204"/>
      <c r="BK141" s="204"/>
      <c r="BL141" s="204"/>
      <c r="BM141" s="204"/>
      <c r="BN141" s="204"/>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idden="1" outlineLevel="2">
      <c r="A142" s="9"/>
      <c r="B142" s="9"/>
      <c r="C142" s="26"/>
      <c r="D142" s="392"/>
      <c r="E142" s="91">
        <v>4</v>
      </c>
      <c r="F142" s="27"/>
      <c r="G142" s="27"/>
      <c r="H142" s="149"/>
      <c r="I142" s="151"/>
      <c r="J142" s="151"/>
      <c r="K142" s="150"/>
      <c r="L142" s="73">
        <f>IF(A6taxstdlife="n/a","n/a",IF(L$3&gt;(A6taxstdlife+$E142),(Input!$K$148-Input!$K$182)-SUM($K142:K142),(Input!$K$148-Input!$K$182)/A6taxstdlife))</f>
        <v>0</v>
      </c>
      <c r="M142" s="73">
        <f>IF(A6taxstdlife="n/a","n/a",IF(M$3&gt;(A6taxstdlife+$E142),(Input!$K$148-Input!$K$182)-SUM($K142:L142),(Input!$K$148-Input!$K$182)/A6taxstdlife))</f>
        <v>0</v>
      </c>
      <c r="N142" s="73">
        <f>IF(A6taxstdlife="n/a","n/a",IF(N$3&gt;(A6taxstdlife+$E142),(Input!$K$148-Input!$K$182)-SUM($K142:M142),(Input!$K$148-Input!$K$182)/A6taxstdlife))</f>
        <v>0</v>
      </c>
      <c r="O142" s="73">
        <f>IF(A6taxstdlife="n/a","n/a",IF(O$3&gt;(A6taxstdlife+$E142),(Input!$K$148-Input!$K$182)-SUM($K142:N142),(Input!$K$148-Input!$K$182)/A6taxstdlife))</f>
        <v>0</v>
      </c>
      <c r="P142" s="73">
        <f>IF(A6taxstdlife="n/a","n/a",IF(P$3&gt;(A6taxstdlife+$E142),(Input!$K$148-Input!$K$182)-SUM($K142:O142),(Input!$K$148-Input!$K$182)/A6taxstdlife))</f>
        <v>0</v>
      </c>
      <c r="Q142" s="73">
        <f>IF(A6taxstdlife="n/a","n/a",IF(Q$3&gt;(A6taxstdlife+$E142),(Input!$K$148-Input!$K$182)-SUM($K142:P142),(Input!$K$148-Input!$K$182)/A6taxstdlife))</f>
        <v>0</v>
      </c>
      <c r="R142" s="73"/>
      <c r="S142" s="107"/>
      <c r="T142" s="107"/>
      <c r="U142" s="107"/>
      <c r="V142" s="107"/>
      <c r="W142" s="107"/>
      <c r="X142" s="107"/>
      <c r="Y142" s="107"/>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04"/>
      <c r="BJ142" s="204"/>
      <c r="BK142" s="204"/>
      <c r="BL142" s="204"/>
      <c r="BM142" s="204"/>
      <c r="BN142" s="204"/>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idden="1" outlineLevel="2">
      <c r="A143" s="9"/>
      <c r="B143" s="9"/>
      <c r="C143" s="26"/>
      <c r="D143" s="392"/>
      <c r="E143" s="91">
        <v>5</v>
      </c>
      <c r="F143" s="27"/>
      <c r="G143" s="27"/>
      <c r="H143" s="149"/>
      <c r="I143" s="151"/>
      <c r="J143" s="151"/>
      <c r="K143" s="151"/>
      <c r="L143" s="150"/>
      <c r="M143" s="73">
        <f>IF(A6taxstdlife="n/a","n/a",IF(M$3&gt;(A6taxstdlife+$E143),(Input!$L$148-Input!$L$182)-SUM($L143:L143),(Input!$L$148-Input!$L$182)/A6taxstdlife))</f>
        <v>0</v>
      </c>
      <c r="N143" s="73">
        <f>IF(A6taxstdlife="n/a","n/a",IF(N$3&gt;(A6taxstdlife+$E143),(Input!$L$148-Input!$L$182)-SUM($L143:M143),(Input!$L$148-Input!$L$182)/A6taxstdlife))</f>
        <v>0</v>
      </c>
      <c r="O143" s="73">
        <f>IF(A6taxstdlife="n/a","n/a",IF(O$3&gt;(A6taxstdlife+$E143),(Input!$L$148-Input!$L$182)-SUM($L143:N143),(Input!$L$148-Input!$L$182)/A6taxstdlife))</f>
        <v>0</v>
      </c>
      <c r="P143" s="73">
        <f>IF(A6taxstdlife="n/a","n/a",IF(P$3&gt;(A6taxstdlife+$E143),(Input!$L$148-Input!$L$182)-SUM($L143:O143),(Input!$L$148-Input!$L$182)/A6taxstdlife))</f>
        <v>0</v>
      </c>
      <c r="Q143" s="73">
        <f>IF(A6taxstdlife="n/a","n/a",IF(Q$3&gt;(A6taxstdlife+$E143),(Input!$L$148-Input!$L$182)-SUM($L143:P143),(Input!$L$148-Input!$L$182)/A6taxstdlife))</f>
        <v>0</v>
      </c>
      <c r="R143" s="73"/>
      <c r="S143" s="107"/>
      <c r="T143" s="107"/>
      <c r="U143" s="107"/>
      <c r="V143" s="107"/>
      <c r="W143" s="107"/>
      <c r="X143" s="107"/>
      <c r="Y143" s="107"/>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04"/>
      <c r="BJ143" s="204"/>
      <c r="BK143" s="204"/>
      <c r="BL143" s="204"/>
      <c r="BM143" s="204"/>
      <c r="BN143" s="204"/>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idden="1" outlineLevel="2">
      <c r="A144" s="9"/>
      <c r="B144" s="9"/>
      <c r="C144" s="26"/>
      <c r="D144" s="392"/>
      <c r="E144" s="91">
        <v>6</v>
      </c>
      <c r="F144" s="27"/>
      <c r="G144" s="27"/>
      <c r="H144" s="149"/>
      <c r="I144" s="151"/>
      <c r="J144" s="151"/>
      <c r="K144" s="151"/>
      <c r="L144" s="151"/>
      <c r="M144" s="150"/>
      <c r="N144" s="73">
        <f>IF(A6taxstdlife="n/a","n/a",IF(N$3&gt;(A6taxstdlife+$E144),(Input!$M$148-Input!$M$182)-SUM($M144:M144),(Input!$M$148-Input!$M$182)/A6taxstdlife))</f>
        <v>0</v>
      </c>
      <c r="O144" s="73">
        <f>IF(A6taxstdlife="n/a","n/a",IF(O$3&gt;(A6taxstdlife+$E144),(Input!$M$148-Input!$M$182)-SUM($M144:N144),(Input!$M$148-Input!$M$182)/A6taxstdlife))</f>
        <v>0</v>
      </c>
      <c r="P144" s="73">
        <f>IF(A6taxstdlife="n/a","n/a",IF(P$3&gt;(A6taxstdlife+$E144),(Input!$M$148-Input!$M$182)-SUM($M144:O144),(Input!$M$148-Input!$M$182)/A6taxstdlife))</f>
        <v>0</v>
      </c>
      <c r="Q144" s="73">
        <f>IF(A6taxstdlife="n/a","n/a",IF(Q$3&gt;(A6taxstdlife+$E144),(Input!$M$148-Input!$M$182)-SUM($M144:P144),(Input!$M$148-Input!$M$182)/A6taxstdlife))</f>
        <v>0</v>
      </c>
      <c r="R144" s="73"/>
      <c r="S144" s="107"/>
      <c r="T144" s="107"/>
      <c r="U144" s="107"/>
      <c r="V144" s="107"/>
      <c r="W144" s="107"/>
      <c r="X144" s="107"/>
      <c r="Y144" s="107"/>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04"/>
      <c r="BJ144" s="204"/>
      <c r="BK144" s="204"/>
      <c r="BL144" s="204"/>
      <c r="BM144" s="204"/>
      <c r="BN144" s="20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idden="1" outlineLevel="2">
      <c r="A145" s="9"/>
      <c r="B145" s="9"/>
      <c r="C145" s="26"/>
      <c r="D145" s="392"/>
      <c r="E145" s="91">
        <v>7</v>
      </c>
      <c r="F145" s="27"/>
      <c r="G145" s="27"/>
      <c r="H145" s="149"/>
      <c r="I145" s="151"/>
      <c r="J145" s="151"/>
      <c r="K145" s="151"/>
      <c r="L145" s="151"/>
      <c r="M145" s="151"/>
      <c r="N145" s="150"/>
      <c r="O145" s="73">
        <f>IF(A6taxstdlife="n/a","n/a",IF(O$3&gt;(A6taxstdlife+$E145),(Input!$N$148-Input!$N$182)-SUM($N145:N145),(Input!$N$148-Input!$N$182)/A6taxstdlife))</f>
        <v>0</v>
      </c>
      <c r="P145" s="73">
        <f>IF(A6taxstdlife="n/a","n/a",IF(P$3&gt;(A6taxstdlife+$E145),(Input!$N$148-Input!$N$182)-SUM($N145:O145),(Input!$N$148-Input!$N$182)/A6taxstdlife))</f>
        <v>0</v>
      </c>
      <c r="Q145" s="73">
        <f>IF(A6taxstdlife="n/a","n/a",IF(Q$3&gt;(A6taxstdlife+$E145),(Input!$N$148-Input!$N$182)-SUM($N145:P145),(Input!$N$148-Input!$N$182)/A6taxstdlife))</f>
        <v>0</v>
      </c>
      <c r="R145" s="73"/>
      <c r="S145" s="107"/>
      <c r="T145" s="107"/>
      <c r="U145" s="107"/>
      <c r="V145" s="107"/>
      <c r="W145" s="107"/>
      <c r="X145" s="107"/>
      <c r="Y145" s="107"/>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04"/>
      <c r="BJ145" s="204"/>
      <c r="BK145" s="204"/>
      <c r="BL145" s="204"/>
      <c r="BM145" s="204"/>
      <c r="BN145" s="204"/>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idden="1" outlineLevel="2">
      <c r="A146" s="9"/>
      <c r="B146" s="9"/>
      <c r="C146" s="26"/>
      <c r="D146" s="392"/>
      <c r="E146" s="91">
        <v>8</v>
      </c>
      <c r="F146" s="27"/>
      <c r="G146" s="27"/>
      <c r="H146" s="149"/>
      <c r="I146" s="151"/>
      <c r="J146" s="151"/>
      <c r="K146" s="151"/>
      <c r="L146" s="151"/>
      <c r="M146" s="151"/>
      <c r="N146" s="151"/>
      <c r="O146" s="150"/>
      <c r="P146" s="73">
        <f>IF(A6taxstdlife="n/a","n/a",IF(P$3&gt;(A6taxstdlife+$E146),(Input!$O$148-Input!$O$182)-SUM($O146:O146),(Input!$O$148-Input!$O$182)/A6taxstdlife))</f>
        <v>0</v>
      </c>
      <c r="Q146" s="73">
        <f>IF(A6taxstdlife="n/a","n/a",IF(Q$3&gt;(A6taxstdlife+$E146),(Input!$O$148-Input!$O$182)-SUM($O146:P146),(Input!$O$148-Input!$O$182)/A6taxstdlife))</f>
        <v>0</v>
      </c>
      <c r="R146" s="73"/>
      <c r="S146" s="107"/>
      <c r="T146" s="107"/>
      <c r="U146" s="107"/>
      <c r="V146" s="107"/>
      <c r="W146" s="107"/>
      <c r="X146" s="107"/>
      <c r="Y146" s="107"/>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04"/>
      <c r="BJ146" s="204"/>
      <c r="BK146" s="204"/>
      <c r="BL146" s="204"/>
      <c r="BM146" s="204"/>
      <c r="BN146" s="204"/>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idden="1" outlineLevel="2">
      <c r="A147" s="9"/>
      <c r="B147" s="9"/>
      <c r="C147" s="26"/>
      <c r="D147" s="392"/>
      <c r="E147" s="91">
        <v>9</v>
      </c>
      <c r="F147" s="27"/>
      <c r="G147" s="27"/>
      <c r="H147" s="149"/>
      <c r="I147" s="151"/>
      <c r="J147" s="151"/>
      <c r="K147" s="151"/>
      <c r="L147" s="151"/>
      <c r="M147" s="151"/>
      <c r="N147" s="151"/>
      <c r="O147" s="151"/>
      <c r="P147" s="150"/>
      <c r="Q147" s="73">
        <f>IF(A6taxstdlife="n/a","n/a",IF(Q$3&gt;(A6taxstdlife+$E147),(Input!$P$148-Input!$P$182)-SUM($P147:P147),(Input!$P$148-Input!$P$182)/A6taxstdlife))</f>
        <v>0</v>
      </c>
      <c r="R147" s="73"/>
      <c r="S147" s="107"/>
      <c r="T147" s="107"/>
      <c r="U147" s="107"/>
      <c r="V147" s="107"/>
      <c r="W147" s="107"/>
      <c r="X147" s="107"/>
      <c r="Y147" s="107"/>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04"/>
      <c r="BJ147" s="204"/>
      <c r="BK147" s="204"/>
      <c r="BL147" s="204"/>
      <c r="BM147" s="204"/>
      <c r="BN147" s="204"/>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idden="1" outlineLevel="2">
      <c r="A148" s="9"/>
      <c r="B148" s="9"/>
      <c r="C148" s="26"/>
      <c r="D148" s="392"/>
      <c r="E148" s="92">
        <v>10</v>
      </c>
      <c r="F148" s="27"/>
      <c r="G148" s="27"/>
      <c r="H148" s="149"/>
      <c r="I148" s="151"/>
      <c r="J148" s="151"/>
      <c r="K148" s="151"/>
      <c r="L148" s="151"/>
      <c r="M148" s="151"/>
      <c r="N148" s="151"/>
      <c r="O148" s="151"/>
      <c r="P148" s="151"/>
      <c r="Q148" s="150"/>
      <c r="R148" s="73"/>
      <c r="S148" s="107"/>
      <c r="T148" s="107"/>
      <c r="U148" s="107"/>
      <c r="V148" s="107"/>
      <c r="W148" s="107"/>
      <c r="X148" s="107"/>
      <c r="Y148" s="107"/>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04"/>
      <c r="BJ148" s="204"/>
      <c r="BK148" s="204"/>
      <c r="BL148" s="204"/>
      <c r="BM148" s="204"/>
      <c r="BN148" s="204"/>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79" t="str">
        <f>Asset6</f>
        <v>Other - IT</v>
      </c>
      <c r="D149" s="9"/>
      <c r="E149" s="9"/>
      <c r="F149" s="23"/>
      <c r="G149" s="23"/>
      <c r="H149" s="305">
        <f>-SUM(H137:H148)</f>
        <v>-11.295501717113861</v>
      </c>
      <c r="I149" s="164">
        <f>-SUM(I137:I148)</f>
        <v>-11.295501717113861</v>
      </c>
      <c r="J149" s="164">
        <f>-SUM(J137:J148)</f>
        <v>1.6666666666666668E-3</v>
      </c>
      <c r="K149" s="164">
        <f>-SUM(K137:K148)</f>
        <v>1.6666666666666668E-3</v>
      </c>
      <c r="L149" s="164">
        <f>-SUM(L137:L148)</f>
        <v>1.6666666666666668E-3</v>
      </c>
      <c r="M149" s="164">
        <f>IF(COUNT($H149:L149)&gt;=Input!$W$7,0, -SUM(M137:M148))</f>
        <v>0</v>
      </c>
      <c r="N149" s="164">
        <f>IF(COUNT($H149:M149)&gt;=Input!$W$7,0, -SUM(N137:N148))</f>
        <v>0</v>
      </c>
      <c r="O149" s="164">
        <f>IF(COUNT($H149:N149)&gt;=Input!$W$7,0, -SUM(O137:O148))</f>
        <v>0</v>
      </c>
      <c r="P149" s="164">
        <f>IF(COUNT($H149:O149)&gt;=Input!$W$7,0, -SUM(P137:P148))</f>
        <v>0</v>
      </c>
      <c r="Q149" s="164">
        <f>IF(COUNT($H149:P149)&gt;=Input!$W$7,0, -SUM(Q137:Q148))</f>
        <v>0</v>
      </c>
      <c r="R149" s="164"/>
      <c r="S149" s="106"/>
      <c r="T149" s="106"/>
      <c r="U149" s="106"/>
      <c r="V149" s="106"/>
      <c r="W149" s="106"/>
      <c r="X149" s="106"/>
      <c r="Y149" s="106"/>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04"/>
      <c r="BJ149" s="204"/>
      <c r="BK149" s="204"/>
      <c r="BL149" s="204"/>
      <c r="BM149" s="204"/>
      <c r="BN149" s="204"/>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idden="1" outlineLevel="2">
      <c r="A150" s="9"/>
      <c r="B150" s="280" t="str">
        <f>Asset7</f>
        <v>Other - General</v>
      </c>
      <c r="C150" s="31"/>
      <c r="D150" s="32" t="s">
        <v>65</v>
      </c>
      <c r="E150" s="31"/>
      <c r="F150" s="308"/>
      <c r="G150" s="308"/>
      <c r="H150" s="72">
        <f>IF(H$3&gt;A7taxremlife,A7taxvalue-SUM($F150:F150),IF(A7taxremlife="N/A","n/a",A7taxvalue/A7taxremlife))</f>
        <v>-1.1458810596063962</v>
      </c>
      <c r="I150" s="72">
        <f>IF(I$3&gt;A7taxremlife,A7taxvalue-SUM($F150:H150),IF(A7taxremlife="N/A","n/a",A7taxvalue/A7taxremlife))</f>
        <v>-1.1458810596063962</v>
      </c>
      <c r="J150" s="72">
        <f>IF(J$3&gt;A7taxremlife,A7taxvalue-SUM($F150:I150),IF(A7taxremlife="N/A","n/a",A7taxvalue/A7taxremlife))</f>
        <v>-1.1458810596063962</v>
      </c>
      <c r="K150" s="72">
        <f>IF(K$3&gt;A7taxremlife,A7taxvalue-SUM($F150:J150),IF(A7taxremlife="N/A","n/a",A7taxvalue/A7taxremlife))</f>
        <v>0</v>
      </c>
      <c r="L150" s="72">
        <f>IF(L$3&gt;A7taxremlife,A7taxvalue-SUM($F150:K150),IF(A7taxremlife="N/A","n/a",A7taxvalue/A7taxremlife))</f>
        <v>0</v>
      </c>
      <c r="M150" s="72">
        <f>IF(M$3&gt;A7taxremlife,A7taxvalue-SUM($F150:L150),IF(A7taxremlife="N/A","n/a",A7taxvalue/A7taxremlife))</f>
        <v>0</v>
      </c>
      <c r="N150" s="72">
        <f>IF(N$3&gt;A7taxremlife,A7taxvalue-SUM($F150:M150),IF(A7taxremlife="N/A","n/a",A7taxvalue/A7taxremlife))</f>
        <v>0</v>
      </c>
      <c r="O150" s="72">
        <f>IF(O$3&gt;A7taxremlife,A7taxvalue-SUM($F150:N150),IF(A7taxremlife="N/A","n/a",A7taxvalue/A7taxremlife))</f>
        <v>0</v>
      </c>
      <c r="P150" s="72">
        <f>IF(P$3&gt;A7taxremlife,A7taxvalue-SUM($F150:O150),IF(A7taxremlife="N/A","n/a",A7taxvalue/A7taxremlife))</f>
        <v>0</v>
      </c>
      <c r="Q150" s="72">
        <f>IF(Q$3&gt;A7taxremlife,A7taxvalue-SUM($F150:P150),IF(A7taxremlife="N/A","n/a",A7taxvalue/A7taxremlife))</f>
        <v>0</v>
      </c>
      <c r="R150" s="72"/>
      <c r="S150" s="107"/>
      <c r="T150" s="107"/>
      <c r="U150" s="107"/>
      <c r="V150" s="107"/>
      <c r="W150" s="107"/>
      <c r="X150" s="107"/>
      <c r="Y150" s="107"/>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04"/>
      <c r="BJ150" s="204"/>
      <c r="BK150" s="204"/>
      <c r="BL150" s="204"/>
      <c r="BM150" s="204"/>
      <c r="BN150" s="204"/>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6"/>
      <c r="D151" s="391" t="s">
        <v>81</v>
      </c>
      <c r="E151" s="91"/>
      <c r="F151" s="27"/>
      <c r="G151" s="27"/>
      <c r="H151" s="107"/>
      <c r="I151" s="73"/>
      <c r="J151" s="73"/>
      <c r="K151" s="73"/>
      <c r="L151" s="73"/>
      <c r="M151" s="73"/>
      <c r="N151" s="73"/>
      <c r="O151" s="73"/>
      <c r="P151" s="73"/>
      <c r="Q151" s="73"/>
      <c r="R151" s="73"/>
      <c r="S151" s="107"/>
      <c r="T151" s="107"/>
      <c r="U151" s="107"/>
      <c r="V151" s="107"/>
      <c r="W151" s="107"/>
      <c r="X151" s="107"/>
      <c r="Y151" s="107"/>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04"/>
      <c r="BJ151" s="204"/>
      <c r="BK151" s="204"/>
      <c r="BL151" s="204"/>
      <c r="BM151" s="204"/>
      <c r="BN151" s="204"/>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idden="1" outlineLevel="2">
      <c r="A152" s="9"/>
      <c r="B152" s="9"/>
      <c r="C152" s="26"/>
      <c r="D152" s="392"/>
      <c r="E152" s="91">
        <v>1</v>
      </c>
      <c r="F152" s="27"/>
      <c r="G152" s="27"/>
      <c r="H152" s="148"/>
      <c r="I152" s="73">
        <f>IF(A7taxstdlife="n/a","n/a",IF(I$3&gt;(A7taxstdlife+$E152),(Input!$H$149-Input!$H$183)-SUM($H152:H152),(Input!$H$149-Input!$H$183)/A7taxstdlife))</f>
        <v>0</v>
      </c>
      <c r="J152" s="73">
        <f>IF(A7taxstdlife="n/a","n/a",IF(J$3&gt;(A7taxstdlife+$E152),(Input!$H$149-Input!$H$183)-SUM($H152:I152),(Input!$H$149-Input!$H$183)/A7taxstdlife))</f>
        <v>0</v>
      </c>
      <c r="K152" s="73">
        <f>IF(A7taxstdlife="n/a","n/a",IF(K$3&gt;(A7taxstdlife+$E152),(Input!$H$149-Input!$H$183)-SUM($H152:J152),(Input!$H$149-Input!$H$183)/A7taxstdlife))</f>
        <v>0</v>
      </c>
      <c r="L152" s="73">
        <f>IF(A7taxstdlife="n/a","n/a",IF(L$3&gt;(A7taxstdlife+$E152),(Input!$H$149-Input!$H$183)-SUM($H152:K152),(Input!$H$149-Input!$H$183)/A7taxstdlife))</f>
        <v>0</v>
      </c>
      <c r="M152" s="73">
        <f>IF(A7taxstdlife="n/a","n/a",IF(M$3&gt;(A7taxstdlife+$E152),(Input!$H$149-Input!$H$183)-SUM($H152:L152),(Input!$H$149-Input!$H$183)/A7taxstdlife))</f>
        <v>0</v>
      </c>
      <c r="N152" s="73">
        <f>IF(A7taxstdlife="n/a","n/a",IF(N$3&gt;(A7taxstdlife+$E152),(Input!$H$149-Input!$H$183)-SUM($H152:M152),(Input!$H$149-Input!$H$183)/A7taxstdlife))</f>
        <v>0</v>
      </c>
      <c r="O152" s="73">
        <f>IF(A7taxstdlife="n/a","n/a",IF(O$3&gt;(A7taxstdlife+$E152),(Input!$H$149-Input!$H$183)-SUM($H152:N152),(Input!$H$149-Input!$H$183)/A7taxstdlife))</f>
        <v>0</v>
      </c>
      <c r="P152" s="73">
        <f>IF(A7taxstdlife="n/a","n/a",IF(P$3&gt;(A7taxstdlife+$E152),(Input!$H$149-Input!$H$183)-SUM($H152:O152),(Input!$H$149-Input!$H$183)/A7taxstdlife))</f>
        <v>0</v>
      </c>
      <c r="Q152" s="73">
        <f>IF(A7taxstdlife="n/a","n/a",IF(Q$3&gt;(A7taxstdlife+$E152),(Input!$H$149-Input!$H$183)-SUM($H152:P152),(Input!$H$149-Input!$H$183)/A7taxstdlife))</f>
        <v>0</v>
      </c>
      <c r="R152" s="73"/>
      <c r="S152" s="107"/>
      <c r="T152" s="107"/>
      <c r="U152" s="107"/>
      <c r="V152" s="107"/>
      <c r="W152" s="107"/>
      <c r="X152" s="107"/>
      <c r="Y152" s="107"/>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04"/>
      <c r="BJ152" s="204"/>
      <c r="BK152" s="204"/>
      <c r="BL152" s="204"/>
      <c r="BM152" s="204"/>
      <c r="BN152" s="204"/>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idden="1" outlineLevel="2">
      <c r="A153" s="9"/>
      <c r="B153" s="9"/>
      <c r="C153" s="26"/>
      <c r="D153" s="392"/>
      <c r="E153" s="91">
        <v>2</v>
      </c>
      <c r="F153" s="27"/>
      <c r="G153" s="27"/>
      <c r="H153" s="149"/>
      <c r="I153" s="150"/>
      <c r="J153" s="73">
        <f>IF(A7taxstdlife="n/a","n/a",IF(J$3&gt;(A7taxstdlife+$E153),(Input!$I$149-Input!$I$183)-SUM($I153:I153),(Input!$I$149-Input!$I$183)/A7taxstdlife))</f>
        <v>0</v>
      </c>
      <c r="K153" s="73">
        <f>IF(A7taxstdlife="n/a","n/a",IF(K$3&gt;(A7taxstdlife+$E153),(Input!$I$149-Input!$I$183)-SUM($I153:J153),(Input!$I$149-Input!$I$183)/A7taxstdlife))</f>
        <v>0</v>
      </c>
      <c r="L153" s="73">
        <f>IF(A7taxstdlife="n/a","n/a",IF(L$3&gt;(A7taxstdlife+$E153),(Input!$I$149-Input!$I$183)-SUM($I153:K153),(Input!$I$149-Input!$I$183)/A7taxstdlife))</f>
        <v>0</v>
      </c>
      <c r="M153" s="73">
        <f>IF(A7taxstdlife="n/a","n/a",IF(M$3&gt;(A7taxstdlife+$E153),(Input!$I$149-Input!$I$183)-SUM($I153:L153),(Input!$I$149-Input!$I$183)/A7taxstdlife))</f>
        <v>0</v>
      </c>
      <c r="N153" s="73">
        <f>IF(A7taxstdlife="n/a","n/a",IF(N$3&gt;(A7taxstdlife+$E153),(Input!$I$149-Input!$I$183)-SUM($I153:M153),(Input!$I$149-Input!$I$183)/A7taxstdlife))</f>
        <v>0</v>
      </c>
      <c r="O153" s="73">
        <f>IF(A7taxstdlife="n/a","n/a",IF(O$3&gt;(A7taxstdlife+$E153),(Input!$I$149-Input!$I$183)-SUM($I153:N153),(Input!$I$149-Input!$I$183)/A7taxstdlife))</f>
        <v>0</v>
      </c>
      <c r="P153" s="73">
        <f>IF(A7taxstdlife="n/a","n/a",IF(P$3&gt;(A7taxstdlife+$E153),(Input!$I$149-Input!$I$183)-SUM($I153:O153),(Input!$I$149-Input!$I$183)/A7taxstdlife))</f>
        <v>0</v>
      </c>
      <c r="Q153" s="73">
        <f>IF(A7taxstdlife="n/a","n/a",IF(Q$3&gt;(A7taxstdlife+$E153),(Input!$I$149-Input!$I$183)-SUM($I153:P153),(Input!$I$149-Input!$I$183)/A7taxstdlife))</f>
        <v>0</v>
      </c>
      <c r="R153" s="73"/>
      <c r="S153" s="107"/>
      <c r="T153" s="107"/>
      <c r="U153" s="107"/>
      <c r="V153" s="107"/>
      <c r="W153" s="107"/>
      <c r="X153" s="107"/>
      <c r="Y153" s="107"/>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04"/>
      <c r="BJ153" s="204"/>
      <c r="BK153" s="204"/>
      <c r="BL153" s="204"/>
      <c r="BM153" s="204"/>
      <c r="BN153" s="204"/>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idden="1" outlineLevel="2">
      <c r="A154" s="9"/>
      <c r="B154" s="9"/>
      <c r="C154" s="26"/>
      <c r="D154" s="392"/>
      <c r="E154" s="91">
        <v>3</v>
      </c>
      <c r="F154" s="27"/>
      <c r="G154" s="27"/>
      <c r="H154" s="149"/>
      <c r="I154" s="151"/>
      <c r="J154" s="150"/>
      <c r="K154" s="73">
        <f>IF(A7taxstdlife="n/a","n/a",IF(K$3&gt;(A7taxstdlife+$E154),(Input!$J$149-Input!$J$183)-SUM($J154:J154),(Input!$J$149-Input!$J$183)/A7taxstdlife))</f>
        <v>0</v>
      </c>
      <c r="L154" s="73">
        <f>IF(A7taxstdlife="n/a","n/a",IF(L$3&gt;(A7taxstdlife+$E154),(Input!$J$149-Input!$J$183)-SUM($J154:K154),(Input!$J$149-Input!$J$183)/A7taxstdlife))</f>
        <v>0</v>
      </c>
      <c r="M154" s="73">
        <f>IF(A7taxstdlife="n/a","n/a",IF(M$3&gt;(A7taxstdlife+$E154),(Input!$J$149-Input!$J$183)-SUM($J154:L154),(Input!$J$149-Input!$J$183)/A7taxstdlife))</f>
        <v>0</v>
      </c>
      <c r="N154" s="73">
        <f>IF(A7taxstdlife="n/a","n/a",IF(N$3&gt;(A7taxstdlife+$E154),(Input!$J$149-Input!$J$183)-SUM($J154:M154),(Input!$J$149-Input!$J$183)/A7taxstdlife))</f>
        <v>0</v>
      </c>
      <c r="O154" s="73">
        <f>IF(A7taxstdlife="n/a","n/a",IF(O$3&gt;(A7taxstdlife+$E154),(Input!$J$149-Input!$J$183)-SUM($J154:N154),(Input!$J$149-Input!$J$183)/A7taxstdlife))</f>
        <v>0</v>
      </c>
      <c r="P154" s="73">
        <f>IF(A7taxstdlife="n/a","n/a",IF(P$3&gt;(A7taxstdlife+$E154),(Input!$J$149-Input!$J$183)-SUM($J154:O154),(Input!$J$149-Input!$J$183)/A7taxstdlife))</f>
        <v>0</v>
      </c>
      <c r="Q154" s="73">
        <f>IF(A7taxstdlife="n/a","n/a",IF(Q$3&gt;(A7taxstdlife+$E154),(Input!$J$149-Input!$J$183)-SUM($J154:P154),(Input!$J$149-Input!$J$183)/A7taxstdlife))</f>
        <v>0</v>
      </c>
      <c r="R154" s="73"/>
      <c r="S154" s="107"/>
      <c r="T154" s="107"/>
      <c r="U154" s="107"/>
      <c r="V154" s="107"/>
      <c r="W154" s="107"/>
      <c r="X154" s="107"/>
      <c r="Y154" s="107"/>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04"/>
      <c r="BJ154" s="204"/>
      <c r="BK154" s="204"/>
      <c r="BL154" s="204"/>
      <c r="BM154" s="204"/>
      <c r="BN154" s="20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idden="1" outlineLevel="2">
      <c r="A155" s="9"/>
      <c r="B155" s="9"/>
      <c r="C155" s="26"/>
      <c r="D155" s="392"/>
      <c r="E155" s="91">
        <v>4</v>
      </c>
      <c r="F155" s="27"/>
      <c r="G155" s="27"/>
      <c r="H155" s="149"/>
      <c r="I155" s="151"/>
      <c r="J155" s="151"/>
      <c r="K155" s="150"/>
      <c r="L155" s="73">
        <f>IF(A7taxstdlife="n/a","n/a",IF(L$3&gt;(A7taxstdlife+$E155),(Input!$K$149-Input!$K$183)-SUM($K155:K155),(Input!$K$149-Input!$K$183)/A7taxstdlife))</f>
        <v>0</v>
      </c>
      <c r="M155" s="73">
        <f>IF(A7taxstdlife="n/a","n/a",IF(M$3&gt;(A7taxstdlife+$E155),(Input!$K$149-Input!$K$183)-SUM($K155:L155),(Input!$K$149-Input!$K$183)/A7taxstdlife))</f>
        <v>0</v>
      </c>
      <c r="N155" s="73">
        <f>IF(A7taxstdlife="n/a","n/a",IF(N$3&gt;(A7taxstdlife+$E155),(Input!$K$149-Input!$K$183)-SUM($K155:M155),(Input!$K$149-Input!$K$183)/A7taxstdlife))</f>
        <v>0</v>
      </c>
      <c r="O155" s="73">
        <f>IF(A7taxstdlife="n/a","n/a",IF(O$3&gt;(A7taxstdlife+$E155),(Input!$K$149-Input!$K$183)-SUM($K155:N155),(Input!$K$149-Input!$K$183)/A7taxstdlife))</f>
        <v>0</v>
      </c>
      <c r="P155" s="73">
        <f>IF(A7taxstdlife="n/a","n/a",IF(P$3&gt;(A7taxstdlife+$E155),(Input!$K$149-Input!$K$183)-SUM($K155:O155),(Input!$K$149-Input!$K$183)/A7taxstdlife))</f>
        <v>0</v>
      </c>
      <c r="Q155" s="73">
        <f>IF(A7taxstdlife="n/a","n/a",IF(Q$3&gt;(A7taxstdlife+$E155),(Input!$K$149-Input!$K$183)-SUM($K155:P155),(Input!$K$149-Input!$K$183)/A7taxstdlife))</f>
        <v>0</v>
      </c>
      <c r="R155" s="73"/>
      <c r="S155" s="107"/>
      <c r="T155" s="107"/>
      <c r="U155" s="107"/>
      <c r="V155" s="107"/>
      <c r="W155" s="107"/>
      <c r="X155" s="107"/>
      <c r="Y155" s="107"/>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04"/>
      <c r="BJ155" s="204"/>
      <c r="BK155" s="204"/>
      <c r="BL155" s="204"/>
      <c r="BM155" s="204"/>
      <c r="BN155" s="204"/>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idden="1" outlineLevel="2">
      <c r="A156" s="9"/>
      <c r="B156" s="9"/>
      <c r="C156" s="26"/>
      <c r="D156" s="392"/>
      <c r="E156" s="91">
        <v>5</v>
      </c>
      <c r="F156" s="27"/>
      <c r="G156" s="27"/>
      <c r="H156" s="149"/>
      <c r="I156" s="151"/>
      <c r="J156" s="151"/>
      <c r="K156" s="151"/>
      <c r="L156" s="150"/>
      <c r="M156" s="73">
        <f>IF(A7taxstdlife="n/a","n/a",IF(M$3&gt;(A7taxstdlife+$E156),(Input!$L$149-Input!$L$183)-SUM($L156:L156),(Input!$L$149-Input!$L$183)/A7taxstdlife))</f>
        <v>0</v>
      </c>
      <c r="N156" s="73">
        <f>IF(A7taxstdlife="n/a","n/a",IF(N$3&gt;(A7taxstdlife+$E156),(Input!$L$149-Input!$L$183)-SUM($L156:M156),(Input!$L$149-Input!$L$183)/A7taxstdlife))</f>
        <v>0</v>
      </c>
      <c r="O156" s="73">
        <f>IF(A7taxstdlife="n/a","n/a",IF(O$3&gt;(A7taxstdlife+$E156),(Input!$L$149-Input!$L$183)-SUM($L156:N156),(Input!$L$149-Input!$L$183)/A7taxstdlife))</f>
        <v>0</v>
      </c>
      <c r="P156" s="73">
        <f>IF(A7taxstdlife="n/a","n/a",IF(P$3&gt;(A7taxstdlife+$E156),(Input!$L$149-Input!$L$183)-SUM($L156:O156),(Input!$L$149-Input!$L$183)/A7taxstdlife))</f>
        <v>0</v>
      </c>
      <c r="Q156" s="73">
        <f>IF(A7taxstdlife="n/a","n/a",IF(Q$3&gt;(A7taxstdlife+$E156),(Input!$L$149-Input!$L$183)-SUM($L156:P156),(Input!$L$149-Input!$L$183)/A7taxstdlife))</f>
        <v>0</v>
      </c>
      <c r="R156" s="73"/>
      <c r="S156" s="107"/>
      <c r="T156" s="107"/>
      <c r="U156" s="107"/>
      <c r="V156" s="107"/>
      <c r="W156" s="107"/>
      <c r="X156" s="107"/>
      <c r="Y156" s="107"/>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04"/>
      <c r="BJ156" s="204"/>
      <c r="BK156" s="204"/>
      <c r="BL156" s="204"/>
      <c r="BM156" s="204"/>
      <c r="BN156" s="204"/>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idden="1" outlineLevel="2">
      <c r="A157" s="9"/>
      <c r="B157" s="9"/>
      <c r="C157" s="26"/>
      <c r="D157" s="392"/>
      <c r="E157" s="91">
        <v>6</v>
      </c>
      <c r="F157" s="27"/>
      <c r="G157" s="27"/>
      <c r="H157" s="149"/>
      <c r="I157" s="151"/>
      <c r="J157" s="151"/>
      <c r="K157" s="151"/>
      <c r="L157" s="151"/>
      <c r="M157" s="150"/>
      <c r="N157" s="73">
        <f>IF(A7taxstdlife="n/a","n/a",IF(N$3&gt;(A7taxstdlife+$E157),(Input!$M$149-Input!$M$183)-SUM($M157:M157),(Input!$M$149-Input!$M$183)/A7taxstdlife))</f>
        <v>0</v>
      </c>
      <c r="O157" s="73">
        <f>IF(A7taxstdlife="n/a","n/a",IF(O$3&gt;(A7taxstdlife+$E157),(Input!$M$149-Input!$M$183)-SUM($M157:N157),(Input!$M$149-Input!$M$183)/A7taxstdlife))</f>
        <v>0</v>
      </c>
      <c r="P157" s="73">
        <f>IF(A7taxstdlife="n/a","n/a",IF(P$3&gt;(A7taxstdlife+$E157),(Input!$M$149-Input!$M$183)-SUM($M157:O157),(Input!$M$149-Input!$M$183)/A7taxstdlife))</f>
        <v>0</v>
      </c>
      <c r="Q157" s="73">
        <f>IF(A7taxstdlife="n/a","n/a",IF(Q$3&gt;(A7taxstdlife+$E157),(Input!$M$149-Input!$M$183)-SUM($M157:P157),(Input!$M$149-Input!$M$183)/A7taxstdlife))</f>
        <v>0</v>
      </c>
      <c r="R157" s="73"/>
      <c r="S157" s="107"/>
      <c r="T157" s="107"/>
      <c r="U157" s="107"/>
      <c r="V157" s="107"/>
      <c r="W157" s="107"/>
      <c r="X157" s="107"/>
      <c r="Y157" s="107"/>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04"/>
      <c r="BJ157" s="204"/>
      <c r="BK157" s="204"/>
      <c r="BL157" s="204"/>
      <c r="BM157" s="204"/>
      <c r="BN157" s="204"/>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idden="1" outlineLevel="2">
      <c r="A158" s="9"/>
      <c r="B158" s="9"/>
      <c r="C158" s="26"/>
      <c r="D158" s="392"/>
      <c r="E158" s="91">
        <v>7</v>
      </c>
      <c r="F158" s="27"/>
      <c r="G158" s="27"/>
      <c r="H158" s="149"/>
      <c r="I158" s="151"/>
      <c r="J158" s="151"/>
      <c r="K158" s="151"/>
      <c r="L158" s="151"/>
      <c r="M158" s="151"/>
      <c r="N158" s="150"/>
      <c r="O158" s="73">
        <f>IF(A7taxstdlife="n/a","n/a",IF(O$3&gt;(A7taxstdlife+$E158),(Input!$N$149-Input!$N$183)-SUM($N158:N158),(Input!$N$149-Input!$N$183)/A7taxstdlife))</f>
        <v>0</v>
      </c>
      <c r="P158" s="73">
        <f>IF(A7taxstdlife="n/a","n/a",IF(P$3&gt;(A7taxstdlife+$E158),(Input!$N$149-Input!$N$183)-SUM($N158:O158),(Input!$N$149-Input!$N$183)/A7taxstdlife))</f>
        <v>0</v>
      </c>
      <c r="Q158" s="73">
        <f>IF(A7taxstdlife="n/a","n/a",IF(Q$3&gt;(A7taxstdlife+$E158),(Input!$N$149-Input!$N$183)-SUM($N158:P158),(Input!$N$149-Input!$N$183)/A7taxstdlife))</f>
        <v>0</v>
      </c>
      <c r="R158" s="73"/>
      <c r="S158" s="107"/>
      <c r="T158" s="107"/>
      <c r="U158" s="107"/>
      <c r="V158" s="107"/>
      <c r="W158" s="107"/>
      <c r="X158" s="107"/>
      <c r="Y158" s="107"/>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04"/>
      <c r="BJ158" s="204"/>
      <c r="BK158" s="204"/>
      <c r="BL158" s="204"/>
      <c r="BM158" s="204"/>
      <c r="BN158" s="204"/>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idden="1" outlineLevel="2">
      <c r="A159" s="9"/>
      <c r="B159" s="9"/>
      <c r="C159" s="26"/>
      <c r="D159" s="392"/>
      <c r="E159" s="91">
        <v>8</v>
      </c>
      <c r="F159" s="27"/>
      <c r="G159" s="27"/>
      <c r="H159" s="149"/>
      <c r="I159" s="151"/>
      <c r="J159" s="151"/>
      <c r="K159" s="151"/>
      <c r="L159" s="151"/>
      <c r="M159" s="151"/>
      <c r="N159" s="151"/>
      <c r="O159" s="150"/>
      <c r="P159" s="73">
        <f>IF(A7taxstdlife="n/a","n/a",IF(P$3&gt;(A7taxstdlife+$E159),(Input!$O$149-Input!$O$183)-SUM($O159:O159),(Input!$O$149-Input!$O$183)/A7taxstdlife))</f>
        <v>0</v>
      </c>
      <c r="Q159" s="73">
        <f>IF(A7taxstdlife="n/a","n/a",IF(Q$3&gt;(A7taxstdlife+$E159),(Input!$O$149-Input!$O$183)-SUM($O159:P159),(Input!$O$149-Input!$O$183)/A7taxstdlife))</f>
        <v>0</v>
      </c>
      <c r="R159" s="73"/>
      <c r="S159" s="107"/>
      <c r="T159" s="107"/>
      <c r="U159" s="107"/>
      <c r="V159" s="107"/>
      <c r="W159" s="107"/>
      <c r="X159" s="107"/>
      <c r="Y159" s="107"/>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04"/>
      <c r="BJ159" s="204"/>
      <c r="BK159" s="204"/>
      <c r="BL159" s="204"/>
      <c r="BM159" s="204"/>
      <c r="BN159" s="204"/>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idden="1" outlineLevel="2">
      <c r="A160" s="9"/>
      <c r="B160" s="9"/>
      <c r="C160" s="26"/>
      <c r="D160" s="392"/>
      <c r="E160" s="91">
        <v>9</v>
      </c>
      <c r="F160" s="27"/>
      <c r="G160" s="27"/>
      <c r="H160" s="149"/>
      <c r="I160" s="151"/>
      <c r="J160" s="151"/>
      <c r="K160" s="151"/>
      <c r="L160" s="151"/>
      <c r="M160" s="151"/>
      <c r="N160" s="151"/>
      <c r="O160" s="151"/>
      <c r="P160" s="150"/>
      <c r="Q160" s="73">
        <f>IF(A7taxstdlife="n/a","n/a",IF(Q$3&gt;(A7taxstdlife+$E160),(Input!$P$149-Input!$P$183)-SUM($P160:P160),(Input!$P$149-Input!$P$183)/A7taxstdlife))</f>
        <v>0</v>
      </c>
      <c r="R160" s="73"/>
      <c r="S160" s="107"/>
      <c r="T160" s="107"/>
      <c r="U160" s="107"/>
      <c r="V160" s="107"/>
      <c r="W160" s="107"/>
      <c r="X160" s="107"/>
      <c r="Y160" s="107"/>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04"/>
      <c r="BJ160" s="204"/>
      <c r="BK160" s="204"/>
      <c r="BL160" s="204"/>
      <c r="BM160" s="204"/>
      <c r="BN160" s="204"/>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idden="1" outlineLevel="2">
      <c r="A161" s="9"/>
      <c r="B161" s="9"/>
      <c r="C161" s="26"/>
      <c r="D161" s="392"/>
      <c r="E161" s="92">
        <v>10</v>
      </c>
      <c r="F161" s="27"/>
      <c r="G161" s="27"/>
      <c r="H161" s="149"/>
      <c r="I161" s="151"/>
      <c r="J161" s="151"/>
      <c r="K161" s="151"/>
      <c r="L161" s="151"/>
      <c r="M161" s="151"/>
      <c r="N161" s="151"/>
      <c r="O161" s="151"/>
      <c r="P161" s="151"/>
      <c r="Q161" s="150"/>
      <c r="R161" s="73"/>
      <c r="S161" s="107"/>
      <c r="T161" s="107"/>
      <c r="U161" s="107"/>
      <c r="V161" s="107"/>
      <c r="W161" s="107"/>
      <c r="X161" s="107"/>
      <c r="Y161" s="107"/>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04"/>
      <c r="BJ161" s="204"/>
      <c r="BK161" s="204"/>
      <c r="BL161" s="204"/>
      <c r="BM161" s="204"/>
      <c r="BN161" s="204"/>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79" t="str">
        <f>Asset7</f>
        <v>Other - General</v>
      </c>
      <c r="D162" s="9"/>
      <c r="E162" s="9"/>
      <c r="F162" s="23"/>
      <c r="G162" s="23"/>
      <c r="H162" s="305">
        <f>-SUM(H150:H161)</f>
        <v>1.1458810596063962</v>
      </c>
      <c r="I162" s="164">
        <f>-SUM(I150:I161)</f>
        <v>1.1458810596063962</v>
      </c>
      <c r="J162" s="164">
        <f>-SUM(J150:J161)</f>
        <v>1.1458810596063962</v>
      </c>
      <c r="K162" s="164">
        <f>-SUM(K150:K161)</f>
        <v>0</v>
      </c>
      <c r="L162" s="164">
        <f>-SUM(L150:L161)</f>
        <v>0</v>
      </c>
      <c r="M162" s="164">
        <f>IF(COUNT($H162:L162)&gt;=Input!$W$7,0, -SUM(M150:M161))</f>
        <v>0</v>
      </c>
      <c r="N162" s="164">
        <f>IF(COUNT($H162:M162)&gt;=Input!$W$7,0, -SUM(N150:N161))</f>
        <v>0</v>
      </c>
      <c r="O162" s="164">
        <f>IF(COUNT($H162:N162)&gt;=Input!$W$7,0, -SUM(O150:O161))</f>
        <v>0</v>
      </c>
      <c r="P162" s="164">
        <f>IF(COUNT($H162:O162)&gt;=Input!$W$7,0, -SUM(P150:P161))</f>
        <v>0</v>
      </c>
      <c r="Q162" s="164">
        <f>IF(COUNT($H162:P162)&gt;=Input!$W$7,0, -SUM(Q150:Q161))</f>
        <v>0</v>
      </c>
      <c r="R162" s="164"/>
      <c r="S162" s="106"/>
      <c r="T162" s="106"/>
      <c r="U162" s="106"/>
      <c r="V162" s="106"/>
      <c r="W162" s="106"/>
      <c r="X162" s="106"/>
      <c r="Y162" s="106"/>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04"/>
      <c r="BJ162" s="204"/>
      <c r="BK162" s="204"/>
      <c r="BL162" s="204"/>
      <c r="BM162" s="204"/>
      <c r="BN162" s="204"/>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idden="1" outlineLevel="2">
      <c r="A163" s="9"/>
      <c r="B163" s="280" t="str">
        <f>Asset8</f>
        <v>Other - Buildings</v>
      </c>
      <c r="C163" s="31"/>
      <c r="D163" s="32" t="s">
        <v>65</v>
      </c>
      <c r="E163" s="31"/>
      <c r="F163" s="308"/>
      <c r="G163" s="308"/>
      <c r="H163" s="72">
        <f>IF(H$3&gt;A8taxremlife,A8taxvalue-SUM($F163:F163),IF(A8taxremlife="N/A","n/a",A8taxvalue/A8taxremlife))</f>
        <v>0.58968111781521348</v>
      </c>
      <c r="I163" s="72">
        <f>IF(I$3&gt;A8taxremlife,A8taxvalue-SUM($F163:H163),IF(A8taxremlife="N/A","n/a",A8taxvalue/A8taxremlife))</f>
        <v>0.58968111781521348</v>
      </c>
      <c r="J163" s="72">
        <f>IF(J$3&gt;A8taxremlife,A8taxvalue-SUM($F163:I163),IF(A8taxremlife="N/A","n/a",A8taxvalue/A8taxremlife))</f>
        <v>0.58968111781521348</v>
      </c>
      <c r="K163" s="72">
        <f>IF(K$3&gt;A8taxremlife,A8taxvalue-SUM($F163:J163),IF(A8taxremlife="N/A","n/a",A8taxvalue/A8taxremlife))</f>
        <v>0.58968111781521348</v>
      </c>
      <c r="L163" s="72">
        <f>IF(L$3&gt;A8taxremlife,A8taxvalue-SUM($F163:K163),IF(A8taxremlife="N/A","n/a",A8taxvalue/A8taxremlife))</f>
        <v>0.58968111781521348</v>
      </c>
      <c r="M163" s="72">
        <f>IF(M$3&gt;A8taxremlife,A8taxvalue-SUM($F163:L163),IF(A8taxremlife="N/A","n/a",A8taxvalue/A8taxremlife))</f>
        <v>0.58968111781521348</v>
      </c>
      <c r="N163" s="72">
        <f>IF(N$3&gt;A8taxremlife,A8taxvalue-SUM($F163:M163),IF(A8taxremlife="N/A","n/a",A8taxvalue/A8taxremlife))</f>
        <v>0.58968111781521348</v>
      </c>
      <c r="O163" s="72">
        <f>IF(O$3&gt;A8taxremlife,A8taxvalue-SUM($F163:N163),IF(A8taxremlife="N/A","n/a",A8taxvalue/A8taxremlife))</f>
        <v>0.58968111781521348</v>
      </c>
      <c r="P163" s="72">
        <f>IF(P$3&gt;A8taxremlife,A8taxvalue-SUM($F163:O163),IF(A8taxremlife="N/A","n/a",A8taxvalue/A8taxremlife))</f>
        <v>0.58968111781521348</v>
      </c>
      <c r="Q163" s="72">
        <f>IF(Q$3&gt;A8taxremlife,A8taxvalue-SUM($F163:P163),IF(A8taxremlife="N/A","n/a",A8taxvalue/A8taxremlife))</f>
        <v>0.58968111781521348</v>
      </c>
      <c r="R163" s="72"/>
      <c r="S163" s="107"/>
      <c r="T163" s="107"/>
      <c r="U163" s="107"/>
      <c r="V163" s="107"/>
      <c r="W163" s="107"/>
      <c r="X163" s="107"/>
      <c r="Y163" s="107"/>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04"/>
      <c r="BJ163" s="204"/>
      <c r="BK163" s="204"/>
      <c r="BL163" s="204"/>
      <c r="BM163" s="204"/>
      <c r="BN163" s="204"/>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6"/>
      <c r="D164" s="391" t="s">
        <v>81</v>
      </c>
      <c r="E164" s="91"/>
      <c r="F164" s="27"/>
      <c r="G164" s="27"/>
      <c r="H164" s="107"/>
      <c r="I164" s="73"/>
      <c r="J164" s="73"/>
      <c r="K164" s="73"/>
      <c r="L164" s="73"/>
      <c r="M164" s="73"/>
      <c r="N164" s="73"/>
      <c r="O164" s="73"/>
      <c r="P164" s="73"/>
      <c r="Q164" s="73"/>
      <c r="R164" s="73"/>
      <c r="S164" s="107"/>
      <c r="T164" s="107"/>
      <c r="U164" s="107"/>
      <c r="V164" s="107"/>
      <c r="W164" s="107"/>
      <c r="X164" s="107"/>
      <c r="Y164" s="107"/>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04"/>
      <c r="BJ164" s="204"/>
      <c r="BK164" s="204"/>
      <c r="BL164" s="204"/>
      <c r="BM164" s="204"/>
      <c r="BN164" s="20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idden="1" outlineLevel="2">
      <c r="A165" s="9"/>
      <c r="B165" s="9"/>
      <c r="C165" s="26"/>
      <c r="D165" s="392"/>
      <c r="E165" s="91">
        <v>1</v>
      </c>
      <c r="F165" s="27"/>
      <c r="G165" s="27"/>
      <c r="H165" s="148"/>
      <c r="I165" s="73">
        <f>IF(A8taxstdlife="n/a","n/a",IF(I$3&gt;(A8taxstdlife+$E165),(Input!$H$150-Input!$H$184)-SUM($H165:H165),(Input!$H$150-Input!$H$184)/A8taxstdlife))</f>
        <v>0</v>
      </c>
      <c r="J165" s="73">
        <f>IF(A8taxstdlife="n/a","n/a",IF(J$3&gt;(A8taxstdlife+$E165),(Input!$H$150-Input!$H$184)-SUM($H165:I165),(Input!$H$150-Input!$H$184)/A8taxstdlife))</f>
        <v>0</v>
      </c>
      <c r="K165" s="73">
        <f>IF(A8taxstdlife="n/a","n/a",IF(K$3&gt;(A8taxstdlife+$E165),(Input!$H$150-Input!$H$184)-SUM($H165:J165),(Input!$H$150-Input!$H$184)/A8taxstdlife))</f>
        <v>0</v>
      </c>
      <c r="L165" s="73">
        <f>IF(A8taxstdlife="n/a","n/a",IF(L$3&gt;(A8taxstdlife+$E165),(Input!$H$150-Input!$H$184)-SUM($H165:K165),(Input!$H$150-Input!$H$184)/A8taxstdlife))</f>
        <v>0</v>
      </c>
      <c r="M165" s="73">
        <f>IF(A8taxstdlife="n/a","n/a",IF(M$3&gt;(A8taxstdlife+$E165),(Input!$H$150-Input!$H$184)-SUM($H165:L165),(Input!$H$150-Input!$H$184)/A8taxstdlife))</f>
        <v>0</v>
      </c>
      <c r="N165" s="73">
        <f>IF(A8taxstdlife="n/a","n/a",IF(N$3&gt;(A8taxstdlife+$E165),(Input!$H$150-Input!$H$184)-SUM($H165:M165),(Input!$H$150-Input!$H$184)/A8taxstdlife))</f>
        <v>0</v>
      </c>
      <c r="O165" s="73">
        <f>IF(A8taxstdlife="n/a","n/a",IF(O$3&gt;(A8taxstdlife+$E165),(Input!$H$150-Input!$H$184)-SUM($H165:N165),(Input!$H$150-Input!$H$184)/A8taxstdlife))</f>
        <v>0</v>
      </c>
      <c r="P165" s="73">
        <f>IF(A8taxstdlife="n/a","n/a",IF(P$3&gt;(A8taxstdlife+$E165),(Input!$H$150-Input!$H$184)-SUM($H165:O165),(Input!$H$150-Input!$H$184)/A8taxstdlife))</f>
        <v>0</v>
      </c>
      <c r="Q165" s="73">
        <f>IF(A8taxstdlife="n/a","n/a",IF(Q$3&gt;(A8taxstdlife+$E165),(Input!$H$150-Input!$H$184)-SUM($H165:P165),(Input!$H$150-Input!$H$184)/A8taxstdlife))</f>
        <v>0</v>
      </c>
      <c r="R165" s="73"/>
      <c r="S165" s="107"/>
      <c r="T165" s="107"/>
      <c r="U165" s="107"/>
      <c r="V165" s="107"/>
      <c r="W165" s="107"/>
      <c r="X165" s="107"/>
      <c r="Y165" s="107"/>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04"/>
      <c r="BJ165" s="204"/>
      <c r="BK165" s="204"/>
      <c r="BL165" s="204"/>
      <c r="BM165" s="204"/>
      <c r="BN165" s="204"/>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idden="1" outlineLevel="2">
      <c r="A166" s="9"/>
      <c r="B166" s="9"/>
      <c r="C166" s="26"/>
      <c r="D166" s="392"/>
      <c r="E166" s="91">
        <v>2</v>
      </c>
      <c r="F166" s="27"/>
      <c r="G166" s="27"/>
      <c r="H166" s="149"/>
      <c r="I166" s="150"/>
      <c r="J166" s="73">
        <f>IF(A8taxstdlife="n/a","n/a",IF(J$3&gt;(A8taxstdlife+$E166),(Input!$I$150-Input!$I$184)-SUM($I166:I166),(Input!$I$150-Input!$I$184)/A8taxstdlife))</f>
        <v>0</v>
      </c>
      <c r="K166" s="73">
        <f>IF(A8taxstdlife="n/a","n/a",IF(K$3&gt;(A8taxstdlife+$E166),(Input!$I$150-Input!$I$184)-SUM($I166:J166),(Input!$I$150-Input!$I$184)/A8taxstdlife))</f>
        <v>0</v>
      </c>
      <c r="L166" s="73">
        <f>IF(A8taxstdlife="n/a","n/a",IF(L$3&gt;(A8taxstdlife+$E166),(Input!$I$150-Input!$I$184)-SUM($I166:K166),(Input!$I$150-Input!$I$184)/A8taxstdlife))</f>
        <v>0</v>
      </c>
      <c r="M166" s="73">
        <f>IF(A8taxstdlife="n/a","n/a",IF(M$3&gt;(A8taxstdlife+$E166),(Input!$I$150-Input!$I$184)-SUM($I166:L166),(Input!$I$150-Input!$I$184)/A8taxstdlife))</f>
        <v>0</v>
      </c>
      <c r="N166" s="73">
        <f>IF(A8taxstdlife="n/a","n/a",IF(N$3&gt;(A8taxstdlife+$E166),(Input!$I$150-Input!$I$184)-SUM($I166:M166),(Input!$I$150-Input!$I$184)/A8taxstdlife))</f>
        <v>0</v>
      </c>
      <c r="O166" s="73">
        <f>IF(A8taxstdlife="n/a","n/a",IF(O$3&gt;(A8taxstdlife+$E166),(Input!$I$150-Input!$I$184)-SUM($I166:N166),(Input!$I$150-Input!$I$184)/A8taxstdlife))</f>
        <v>0</v>
      </c>
      <c r="P166" s="73">
        <f>IF(A8taxstdlife="n/a","n/a",IF(P$3&gt;(A8taxstdlife+$E166),(Input!$I$150-Input!$I$184)-SUM($I166:O166),(Input!$I$150-Input!$I$184)/A8taxstdlife))</f>
        <v>0</v>
      </c>
      <c r="Q166" s="73">
        <f>IF(A8taxstdlife="n/a","n/a",IF(Q$3&gt;(A8taxstdlife+$E166),(Input!$I$150-Input!$I$184)-SUM($I166:P166),(Input!$I$150-Input!$I$184)/A8taxstdlife))</f>
        <v>0</v>
      </c>
      <c r="R166" s="73"/>
      <c r="S166" s="107"/>
      <c r="T166" s="107"/>
      <c r="U166" s="107"/>
      <c r="V166" s="107"/>
      <c r="W166" s="107"/>
      <c r="X166" s="107"/>
      <c r="Y166" s="107"/>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04"/>
      <c r="BJ166" s="204"/>
      <c r="BK166" s="204"/>
      <c r="BL166" s="204"/>
      <c r="BM166" s="204"/>
      <c r="BN166" s="204"/>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idden="1" outlineLevel="2">
      <c r="A167" s="9"/>
      <c r="B167" s="9"/>
      <c r="C167" s="26"/>
      <c r="D167" s="392"/>
      <c r="E167" s="91">
        <v>3</v>
      </c>
      <c r="F167" s="27"/>
      <c r="G167" s="27"/>
      <c r="H167" s="149"/>
      <c r="I167" s="151"/>
      <c r="J167" s="150"/>
      <c r="K167" s="73">
        <f>IF(A8taxstdlife="n/a","n/a",IF(K$3&gt;(A8taxstdlife+$E167),(Input!$J$150-Input!$J$184)-SUM($J167:J167),(Input!$J$150-Input!$J$184)/A8taxstdlife))</f>
        <v>0</v>
      </c>
      <c r="L167" s="73">
        <f>IF(A8taxstdlife="n/a","n/a",IF(L$3&gt;(A8taxstdlife+$E167),(Input!$J$150-Input!$J$184)-SUM($J167:K167),(Input!$J$150-Input!$J$184)/A8taxstdlife))</f>
        <v>0</v>
      </c>
      <c r="M167" s="73">
        <f>IF(A8taxstdlife="n/a","n/a",IF(M$3&gt;(A8taxstdlife+$E167),(Input!$J$150-Input!$J$184)-SUM($J167:L167),(Input!$J$150-Input!$J$184)/A8taxstdlife))</f>
        <v>0</v>
      </c>
      <c r="N167" s="73">
        <f>IF(A8taxstdlife="n/a","n/a",IF(N$3&gt;(A8taxstdlife+$E167),(Input!$J$150-Input!$J$184)-SUM($J167:M167),(Input!$J$150-Input!$J$184)/A8taxstdlife))</f>
        <v>0</v>
      </c>
      <c r="O167" s="73">
        <f>IF(A8taxstdlife="n/a","n/a",IF(O$3&gt;(A8taxstdlife+$E167),(Input!$J$150-Input!$J$184)-SUM($J167:N167),(Input!$J$150-Input!$J$184)/A8taxstdlife))</f>
        <v>0</v>
      </c>
      <c r="P167" s="73">
        <f>IF(A8taxstdlife="n/a","n/a",IF(P$3&gt;(A8taxstdlife+$E167),(Input!$J$150-Input!$J$184)-SUM($J167:O167),(Input!$J$150-Input!$J$184)/A8taxstdlife))</f>
        <v>0</v>
      </c>
      <c r="Q167" s="73">
        <f>IF(A8taxstdlife="n/a","n/a",IF(Q$3&gt;(A8taxstdlife+$E167),(Input!$J$150-Input!$J$184)-SUM($J167:P167),(Input!$J$150-Input!$J$184)/A8taxstdlife))</f>
        <v>0</v>
      </c>
      <c r="R167" s="73"/>
      <c r="S167" s="107"/>
      <c r="T167" s="107"/>
      <c r="U167" s="107"/>
      <c r="V167" s="107"/>
      <c r="W167" s="107"/>
      <c r="X167" s="107"/>
      <c r="Y167" s="107"/>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04"/>
      <c r="BJ167" s="204"/>
      <c r="BK167" s="204"/>
      <c r="BL167" s="204"/>
      <c r="BM167" s="204"/>
      <c r="BN167" s="204"/>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idden="1" outlineLevel="2">
      <c r="A168" s="9"/>
      <c r="B168" s="9"/>
      <c r="C168" s="26"/>
      <c r="D168" s="392"/>
      <c r="E168" s="91">
        <v>4</v>
      </c>
      <c r="F168" s="27"/>
      <c r="G168" s="27"/>
      <c r="H168" s="149"/>
      <c r="I168" s="151"/>
      <c r="J168" s="151"/>
      <c r="K168" s="150"/>
      <c r="L168" s="73">
        <f>IF(A8taxstdlife="n/a","n/a",IF(L$3&gt;(A8taxstdlife+$E168),(Input!$K$150-Input!$K$184)-SUM($K168:K168),(Input!$K$150-Input!$K$184)/A8taxstdlife))</f>
        <v>0</v>
      </c>
      <c r="M168" s="73">
        <f>IF(A8taxstdlife="n/a","n/a",IF(M$3&gt;(A8taxstdlife+$E168),(Input!$K$150-Input!$K$184)-SUM($K168:L168),(Input!$K$150-Input!$K$184)/A8taxstdlife))</f>
        <v>0</v>
      </c>
      <c r="N168" s="73">
        <f>IF(A8taxstdlife="n/a","n/a",IF(N$3&gt;(A8taxstdlife+$E168),(Input!$K$150-Input!$K$184)-SUM($K168:M168),(Input!$K$150-Input!$K$184)/A8taxstdlife))</f>
        <v>0</v>
      </c>
      <c r="O168" s="73">
        <f>IF(A8taxstdlife="n/a","n/a",IF(O$3&gt;(A8taxstdlife+$E168),(Input!$K$150-Input!$K$184)-SUM($K168:N168),(Input!$K$150-Input!$K$184)/A8taxstdlife))</f>
        <v>0</v>
      </c>
      <c r="P168" s="73">
        <f>IF(A8taxstdlife="n/a","n/a",IF(P$3&gt;(A8taxstdlife+$E168),(Input!$K$150-Input!$K$184)-SUM($K168:O168),(Input!$K$150-Input!$K$184)/A8taxstdlife))</f>
        <v>0</v>
      </c>
      <c r="Q168" s="73">
        <f>IF(A8taxstdlife="n/a","n/a",IF(Q$3&gt;(A8taxstdlife+$E168),(Input!$K$150-Input!$K$184)-SUM($K168:P168),(Input!$K$150-Input!$K$184)/A8taxstdlife))</f>
        <v>0</v>
      </c>
      <c r="R168" s="73"/>
      <c r="S168" s="107"/>
      <c r="T168" s="107"/>
      <c r="U168" s="107"/>
      <c r="V168" s="107"/>
      <c r="W168" s="107"/>
      <c r="X168" s="107"/>
      <c r="Y168" s="107"/>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04"/>
      <c r="BJ168" s="204"/>
      <c r="BK168" s="204"/>
      <c r="BL168" s="204"/>
      <c r="BM168" s="204"/>
      <c r="BN168" s="204"/>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idden="1" outlineLevel="2">
      <c r="A169" s="9"/>
      <c r="B169" s="9"/>
      <c r="C169" s="26"/>
      <c r="D169" s="392"/>
      <c r="E169" s="91">
        <v>5</v>
      </c>
      <c r="F169" s="27"/>
      <c r="G169" s="27"/>
      <c r="H169" s="149"/>
      <c r="I169" s="151"/>
      <c r="J169" s="151"/>
      <c r="K169" s="151"/>
      <c r="L169" s="150"/>
      <c r="M169" s="73">
        <f>IF(A8taxstdlife="n/a","n/a",IF(M$3&gt;(A8taxstdlife+$E169),(Input!$L$150-Input!$L$184)-SUM($L169:L169),(Input!$L$150-Input!$L$184)/A8taxstdlife))</f>
        <v>0</v>
      </c>
      <c r="N169" s="73">
        <f>IF(A8taxstdlife="n/a","n/a",IF(N$3&gt;(A8taxstdlife+$E169),(Input!$L$150-Input!$L$184)-SUM($L169:M169),(Input!$L$150-Input!$L$184)/A8taxstdlife))</f>
        <v>0</v>
      </c>
      <c r="O169" s="73">
        <f>IF(A8taxstdlife="n/a","n/a",IF(O$3&gt;(A8taxstdlife+$E169),(Input!$L$150-Input!$L$184)-SUM($L169:N169),(Input!$L$150-Input!$L$184)/A8taxstdlife))</f>
        <v>0</v>
      </c>
      <c r="P169" s="73">
        <f>IF(A8taxstdlife="n/a","n/a",IF(P$3&gt;(A8taxstdlife+$E169),(Input!$L$150-Input!$L$184)-SUM($L169:O169),(Input!$L$150-Input!$L$184)/A8taxstdlife))</f>
        <v>0</v>
      </c>
      <c r="Q169" s="73">
        <f>IF(A8taxstdlife="n/a","n/a",IF(Q$3&gt;(A8taxstdlife+$E169),(Input!$L$150-Input!$L$184)-SUM($L169:P169),(Input!$L$150-Input!$L$184)/A8taxstdlife))</f>
        <v>0</v>
      </c>
      <c r="R169" s="73"/>
      <c r="S169" s="107"/>
      <c r="T169" s="107"/>
      <c r="U169" s="107"/>
      <c r="V169" s="107"/>
      <c r="W169" s="107"/>
      <c r="X169" s="107"/>
      <c r="Y169" s="107"/>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04"/>
      <c r="BJ169" s="204"/>
      <c r="BK169" s="204"/>
      <c r="BL169" s="204"/>
      <c r="BM169" s="204"/>
      <c r="BN169" s="204"/>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idden="1" outlineLevel="2">
      <c r="A170" s="9"/>
      <c r="B170" s="9"/>
      <c r="C170" s="26"/>
      <c r="D170" s="392"/>
      <c r="E170" s="91">
        <v>6</v>
      </c>
      <c r="F170" s="27"/>
      <c r="G170" s="27"/>
      <c r="H170" s="149"/>
      <c r="I170" s="151"/>
      <c r="J170" s="151"/>
      <c r="K170" s="151"/>
      <c r="L170" s="151"/>
      <c r="M170" s="150"/>
      <c r="N170" s="73">
        <f>IF(A8taxstdlife="n/a","n/a",IF(N$3&gt;(A8taxstdlife+$E170),(Input!$M$150-Input!$M$184)-SUM($M170:M170),(Input!$M$150-Input!$M$184)/A8taxstdlife))</f>
        <v>0</v>
      </c>
      <c r="O170" s="73">
        <f>IF(A8taxstdlife="n/a","n/a",IF(O$3&gt;(A8taxstdlife+$E170),(Input!$M$150-Input!$M$184)-SUM($M170:N170),(Input!$M$150-Input!$M$184)/A8taxstdlife))</f>
        <v>0</v>
      </c>
      <c r="P170" s="73">
        <f>IF(A8taxstdlife="n/a","n/a",IF(P$3&gt;(A8taxstdlife+$E170),(Input!$M$150-Input!$M$184)-SUM($M170:O170),(Input!$M$150-Input!$M$184)/A8taxstdlife))</f>
        <v>0</v>
      </c>
      <c r="Q170" s="73">
        <f>IF(A8taxstdlife="n/a","n/a",IF(Q$3&gt;(A8taxstdlife+$E170),(Input!$M$150-Input!$M$184)-SUM($M170:P170),(Input!$M$150-Input!$M$184)/A8taxstdlife))</f>
        <v>0</v>
      </c>
      <c r="R170" s="73"/>
      <c r="S170" s="107"/>
      <c r="T170" s="107"/>
      <c r="U170" s="107"/>
      <c r="V170" s="107"/>
      <c r="W170" s="107"/>
      <c r="X170" s="107"/>
      <c r="Y170" s="107"/>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04"/>
      <c r="BJ170" s="204"/>
      <c r="BK170" s="204"/>
      <c r="BL170" s="204"/>
      <c r="BM170" s="204"/>
      <c r="BN170" s="204"/>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idden="1" outlineLevel="2">
      <c r="A171" s="9"/>
      <c r="B171" s="9"/>
      <c r="C171" s="26"/>
      <c r="D171" s="392"/>
      <c r="E171" s="91">
        <v>7</v>
      </c>
      <c r="F171" s="27"/>
      <c r="G171" s="27"/>
      <c r="H171" s="149"/>
      <c r="I171" s="151"/>
      <c r="J171" s="151"/>
      <c r="K171" s="151"/>
      <c r="L171" s="151"/>
      <c r="M171" s="151"/>
      <c r="N171" s="150"/>
      <c r="O171" s="73">
        <f>IF(A8taxstdlife="n/a","n/a",IF(O$3&gt;(A8taxstdlife+$E171),(Input!$N$150-Input!$N$184)-SUM($N171:N171),(Input!$N$150-Input!$N$184)/A8taxstdlife))</f>
        <v>0</v>
      </c>
      <c r="P171" s="73">
        <f>IF(A8taxstdlife="n/a","n/a",IF(P$3&gt;(A8taxstdlife+$E171),(Input!$N$150-Input!$N$184)-SUM($N171:O171),(Input!$N$150-Input!$N$184)/A8taxstdlife))</f>
        <v>0</v>
      </c>
      <c r="Q171" s="73">
        <f>IF(A8taxstdlife="n/a","n/a",IF(Q$3&gt;(A8taxstdlife+$E171),(Input!$N$150-Input!$N$184)-SUM($N171:P171),(Input!$N$150-Input!$N$184)/A8taxstdlife))</f>
        <v>0</v>
      </c>
      <c r="R171" s="73"/>
      <c r="S171" s="107"/>
      <c r="T171" s="107"/>
      <c r="U171" s="107"/>
      <c r="V171" s="107"/>
      <c r="W171" s="107"/>
      <c r="X171" s="107"/>
      <c r="Y171" s="107"/>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04"/>
      <c r="BJ171" s="204"/>
      <c r="BK171" s="204"/>
      <c r="BL171" s="204"/>
      <c r="BM171" s="204"/>
      <c r="BN171" s="204"/>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idden="1" outlineLevel="2">
      <c r="A172" s="9"/>
      <c r="B172" s="9"/>
      <c r="C172" s="26"/>
      <c r="D172" s="392"/>
      <c r="E172" s="91">
        <v>8</v>
      </c>
      <c r="F172" s="27"/>
      <c r="G172" s="27"/>
      <c r="H172" s="149"/>
      <c r="I172" s="151"/>
      <c r="J172" s="151"/>
      <c r="K172" s="151"/>
      <c r="L172" s="151"/>
      <c r="M172" s="151"/>
      <c r="N172" s="151"/>
      <c r="O172" s="150"/>
      <c r="P172" s="73">
        <f>IF(A8taxstdlife="n/a","n/a",IF(P$3&gt;(A8taxstdlife+$E172),(Input!$O$150-Input!$O$184)-SUM($O172:O172),(Input!$O$150-Input!$O$184)/A8taxstdlife))</f>
        <v>0</v>
      </c>
      <c r="Q172" s="73">
        <f>IF(A8taxstdlife="n/a","n/a",IF(Q$3&gt;(A8taxstdlife+$E172),(Input!$O$150-Input!$O$184)-SUM($O172:P172),(Input!$O$150-Input!$O$184)/A8taxstdlife))</f>
        <v>0</v>
      </c>
      <c r="R172" s="73"/>
      <c r="S172" s="107"/>
      <c r="T172" s="107"/>
      <c r="U172" s="107"/>
      <c r="V172" s="107"/>
      <c r="W172" s="107"/>
      <c r="X172" s="107"/>
      <c r="Y172" s="107"/>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04"/>
      <c r="BJ172" s="204"/>
      <c r="BK172" s="204"/>
      <c r="BL172" s="204"/>
      <c r="BM172" s="204"/>
      <c r="BN172" s="204"/>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idden="1" outlineLevel="2">
      <c r="A173" s="9"/>
      <c r="B173" s="9"/>
      <c r="C173" s="26"/>
      <c r="D173" s="392"/>
      <c r="E173" s="91">
        <v>9</v>
      </c>
      <c r="F173" s="27"/>
      <c r="G173" s="27"/>
      <c r="H173" s="149"/>
      <c r="I173" s="151"/>
      <c r="J173" s="151"/>
      <c r="K173" s="151"/>
      <c r="L173" s="151"/>
      <c r="M173" s="151"/>
      <c r="N173" s="151"/>
      <c r="O173" s="151"/>
      <c r="P173" s="150"/>
      <c r="Q173" s="73">
        <f>IF(A8taxstdlife="n/a","n/a",IF(Q$3&gt;(A8taxstdlife+$E173),(Input!$P$150-Input!$P$184)-SUM($P173:P173),(Input!$P$150-Input!$P$184)/A8taxstdlife))</f>
        <v>0</v>
      </c>
      <c r="R173" s="73"/>
      <c r="S173" s="107"/>
      <c r="T173" s="107"/>
      <c r="U173" s="107"/>
      <c r="V173" s="107"/>
      <c r="W173" s="107"/>
      <c r="X173" s="107"/>
      <c r="Y173" s="107"/>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04"/>
      <c r="BJ173" s="204"/>
      <c r="BK173" s="204"/>
      <c r="BL173" s="204"/>
      <c r="BM173" s="204"/>
      <c r="BN173" s="204"/>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idden="1" outlineLevel="2">
      <c r="A174" s="9"/>
      <c r="B174" s="9"/>
      <c r="C174" s="26"/>
      <c r="D174" s="392"/>
      <c r="E174" s="92">
        <v>10</v>
      </c>
      <c r="F174" s="27"/>
      <c r="G174" s="27"/>
      <c r="H174" s="149"/>
      <c r="I174" s="151"/>
      <c r="J174" s="151"/>
      <c r="K174" s="151"/>
      <c r="L174" s="151"/>
      <c r="M174" s="151"/>
      <c r="N174" s="151"/>
      <c r="O174" s="151"/>
      <c r="P174" s="151"/>
      <c r="Q174" s="150"/>
      <c r="R174" s="73"/>
      <c r="S174" s="107"/>
      <c r="T174" s="107"/>
      <c r="U174" s="107"/>
      <c r="V174" s="107"/>
      <c r="W174" s="107"/>
      <c r="X174" s="107"/>
      <c r="Y174" s="107"/>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04"/>
      <c r="BJ174" s="204"/>
      <c r="BK174" s="204"/>
      <c r="BL174" s="204"/>
      <c r="BM174" s="204"/>
      <c r="BN174" s="20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79" t="str">
        <f>Asset8</f>
        <v>Other - Buildings</v>
      </c>
      <c r="D175" s="9"/>
      <c r="E175" s="9"/>
      <c r="F175" s="23"/>
      <c r="G175" s="23"/>
      <c r="H175" s="305">
        <f>-SUM(H163:H174)</f>
        <v>-0.58968111781521348</v>
      </c>
      <c r="I175" s="164">
        <f>-SUM(I163:I174)</f>
        <v>-0.58968111781521348</v>
      </c>
      <c r="J175" s="164">
        <f>-SUM(J163:J174)</f>
        <v>-0.58968111781521348</v>
      </c>
      <c r="K175" s="164">
        <f>-SUM(K163:K174)</f>
        <v>-0.58968111781521348</v>
      </c>
      <c r="L175" s="164">
        <f>-SUM(L163:L174)</f>
        <v>-0.58968111781521348</v>
      </c>
      <c r="M175" s="164">
        <f>IF(COUNT($H175:L175)&gt;=Input!$W$7,0, -SUM(M163:M174))</f>
        <v>0</v>
      </c>
      <c r="N175" s="164">
        <f>IF(COUNT($H175:M175)&gt;=Input!$W$7,0, -SUM(N163:N174))</f>
        <v>0</v>
      </c>
      <c r="O175" s="164">
        <f>IF(COUNT($H175:N175)&gt;=Input!$W$7,0, -SUM(O163:O174))</f>
        <v>0</v>
      </c>
      <c r="P175" s="164">
        <f>IF(COUNT($H175:O175)&gt;=Input!$W$7,0, -SUM(P163:P174))</f>
        <v>0</v>
      </c>
      <c r="Q175" s="164">
        <f>IF(COUNT($H175:P175)&gt;=Input!$W$7,0, -SUM(Q163:Q174))</f>
        <v>0</v>
      </c>
      <c r="R175" s="164"/>
      <c r="S175" s="106"/>
      <c r="T175" s="106"/>
      <c r="U175" s="106"/>
      <c r="V175" s="106"/>
      <c r="W175" s="106"/>
      <c r="X175" s="106"/>
      <c r="Y175" s="106"/>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04"/>
      <c r="BJ175" s="204"/>
      <c r="BK175" s="204"/>
      <c r="BL175" s="204"/>
      <c r="BM175" s="204"/>
      <c r="BN175" s="204"/>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idden="1" outlineLevel="2">
      <c r="A176" s="9"/>
      <c r="B176" s="280" t="str">
        <f>Asset9</f>
        <v>Land and Easements</v>
      </c>
      <c r="C176" s="31"/>
      <c r="D176" s="32" t="s">
        <v>65</v>
      </c>
      <c r="E176" s="31"/>
      <c r="F176" s="308"/>
      <c r="G176" s="308"/>
      <c r="H176" s="72" t="str">
        <f>IF(H$3&gt;A9taxremlife,A9taxvalue-SUM($F176:F176),IF(A9taxremlife="N/A","n/a",A9taxvalue/A9taxremlife))</f>
        <v>n/a</v>
      </c>
      <c r="I176" s="72" t="str">
        <f>IF(I$3&gt;A9taxremlife,A9taxvalue-SUM($F176:H176),IF(A9taxremlife="N/A","n/a",A9taxvalue/A9taxremlife))</f>
        <v>n/a</v>
      </c>
      <c r="J176" s="72" t="str">
        <f>IF(J$3&gt;A9taxremlife,A9taxvalue-SUM($F176:I176),IF(A9taxremlife="N/A","n/a",A9taxvalue/A9taxremlife))</f>
        <v>n/a</v>
      </c>
      <c r="K176" s="72" t="str">
        <f>IF(K$3&gt;A9taxremlife,A9taxvalue-SUM($F176:J176),IF(A9taxremlife="N/A","n/a",A9taxvalue/A9taxremlife))</f>
        <v>n/a</v>
      </c>
      <c r="L176" s="72" t="str">
        <f>IF(L$3&gt;A9taxremlife,A9taxvalue-SUM($F176:K176),IF(A9taxremlife="N/A","n/a",A9taxvalue/A9taxremlife))</f>
        <v>n/a</v>
      </c>
      <c r="M176" s="72" t="str">
        <f>IF(M$3&gt;A9taxremlife,A9taxvalue-SUM($F176:L176),IF(A9taxremlife="N/A","n/a",A9taxvalue/A9taxremlife))</f>
        <v>n/a</v>
      </c>
      <c r="N176" s="72" t="str">
        <f>IF(N$3&gt;A9taxremlife,A9taxvalue-SUM($F176:M176),IF(A9taxremlife="N/A","n/a",A9taxvalue/A9taxremlife))</f>
        <v>n/a</v>
      </c>
      <c r="O176" s="72" t="str">
        <f>IF(O$3&gt;A9taxremlife,A9taxvalue-SUM($F176:N176),IF(A9taxremlife="N/A","n/a",A9taxvalue/A9taxremlife))</f>
        <v>n/a</v>
      </c>
      <c r="P176" s="72" t="str">
        <f>IF(P$3&gt;A9taxremlife,A9taxvalue-SUM($F176:O176),IF(A9taxremlife="N/A","n/a",A9taxvalue/A9taxremlife))</f>
        <v>n/a</v>
      </c>
      <c r="Q176" s="72" t="str">
        <f>IF(Q$3&gt;A9taxremlife,A9taxvalue-SUM($F176:P176),IF(A9taxremlife="N/A","n/a",A9taxvalue/A9taxremlife))</f>
        <v>n/a</v>
      </c>
      <c r="R176" s="72"/>
      <c r="S176" s="107"/>
      <c r="T176" s="107"/>
      <c r="U176" s="107"/>
      <c r="V176" s="107"/>
      <c r="W176" s="107"/>
      <c r="X176" s="107"/>
      <c r="Y176" s="107"/>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04"/>
      <c r="BJ176" s="204"/>
      <c r="BK176" s="204"/>
      <c r="BL176" s="204"/>
      <c r="BM176" s="204"/>
      <c r="BN176" s="204"/>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6"/>
      <c r="D177" s="391" t="s">
        <v>81</v>
      </c>
      <c r="E177" s="91"/>
      <c r="F177" s="27"/>
      <c r="G177" s="27"/>
      <c r="H177" s="107"/>
      <c r="I177" s="73"/>
      <c r="J177" s="73"/>
      <c r="K177" s="73"/>
      <c r="L177" s="73"/>
      <c r="M177" s="73"/>
      <c r="N177" s="73"/>
      <c r="O177" s="73"/>
      <c r="P177" s="73"/>
      <c r="Q177" s="73"/>
      <c r="R177" s="73"/>
      <c r="S177" s="107"/>
      <c r="T177" s="107"/>
      <c r="U177" s="107"/>
      <c r="V177" s="107"/>
      <c r="W177" s="107"/>
      <c r="X177" s="107"/>
      <c r="Y177" s="107"/>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04"/>
      <c r="BJ177" s="204"/>
      <c r="BK177" s="204"/>
      <c r="BL177" s="204"/>
      <c r="BM177" s="204"/>
      <c r="BN177" s="204"/>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idden="1" outlineLevel="2">
      <c r="A178" s="9"/>
      <c r="B178" s="9"/>
      <c r="C178" s="26"/>
      <c r="D178" s="392"/>
      <c r="E178" s="91">
        <v>1</v>
      </c>
      <c r="F178" s="27"/>
      <c r="G178" s="27"/>
      <c r="H178" s="148"/>
      <c r="I178" s="73" t="str">
        <f>IF(A9taxstdlife="n/a","n/a",IF(I$3&gt;(A9taxstdlife+$E178),(Input!$H$151-Input!$H$185)-SUM($H178:H178),(Input!$H$151-Input!$H$185)/A9taxstdlife))</f>
        <v>n/a</v>
      </c>
      <c r="J178" s="73" t="str">
        <f>IF(A9taxstdlife="n/a","n/a",IF(J$3&gt;(A9taxstdlife+$E178),(Input!$H$151-Input!$H$185)-SUM($H178:I178),(Input!$H$151-Input!$H$185)/A9taxstdlife))</f>
        <v>n/a</v>
      </c>
      <c r="K178" s="73" t="str">
        <f>IF(A9taxstdlife="n/a","n/a",IF(K$3&gt;(A9taxstdlife+$E178),(Input!$H$151-Input!$H$185)-SUM($H178:J178),(Input!$H$151-Input!$H$185)/A9taxstdlife))</f>
        <v>n/a</v>
      </c>
      <c r="L178" s="73" t="str">
        <f>IF(A9taxstdlife="n/a","n/a",IF(L$3&gt;(A9taxstdlife+$E178),(Input!$H$151-Input!$H$185)-SUM($H178:K178),(Input!$H$151-Input!$H$185)/A9taxstdlife))</f>
        <v>n/a</v>
      </c>
      <c r="M178" s="73" t="str">
        <f>IF(A9taxstdlife="n/a","n/a",IF(M$3&gt;(A9taxstdlife+$E178),(Input!$H$151-Input!$H$185)-SUM($H178:L178),(Input!$H$151-Input!$H$185)/A9taxstdlife))</f>
        <v>n/a</v>
      </c>
      <c r="N178" s="73" t="str">
        <f>IF(A9taxstdlife="n/a","n/a",IF(N$3&gt;(A9taxstdlife+$E178),(Input!$H$151-Input!$H$185)-SUM($H178:M178),(Input!$H$151-Input!$H$185)/A9taxstdlife))</f>
        <v>n/a</v>
      </c>
      <c r="O178" s="73" t="str">
        <f>IF(A9taxstdlife="n/a","n/a",IF(O$3&gt;(A9taxstdlife+$E178),(Input!$H$151-Input!$H$185)-SUM($H178:N178),(Input!$H$151-Input!$H$185)/A9taxstdlife))</f>
        <v>n/a</v>
      </c>
      <c r="P178" s="73" t="str">
        <f>IF(A9taxstdlife="n/a","n/a",IF(P$3&gt;(A9taxstdlife+$E178),(Input!$H$151-Input!$H$185)-SUM($H178:O178),(Input!$H$151-Input!$H$185)/A9taxstdlife))</f>
        <v>n/a</v>
      </c>
      <c r="Q178" s="73" t="str">
        <f>IF(A9taxstdlife="n/a","n/a",IF(Q$3&gt;(A9taxstdlife+$E178),(Input!$H$151-Input!$H$185)-SUM($H178:P178),(Input!$H$151-Input!$H$185)/A9taxstdlife))</f>
        <v>n/a</v>
      </c>
      <c r="R178" s="73"/>
      <c r="S178" s="107"/>
      <c r="T178" s="107"/>
      <c r="U178" s="107"/>
      <c r="V178" s="107"/>
      <c r="W178" s="107"/>
      <c r="X178" s="107"/>
      <c r="Y178" s="107"/>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04"/>
      <c r="BJ178" s="204"/>
      <c r="BK178" s="204"/>
      <c r="BL178" s="204"/>
      <c r="BM178" s="204"/>
      <c r="BN178" s="204"/>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idden="1" outlineLevel="2">
      <c r="A179" s="9"/>
      <c r="B179" s="9"/>
      <c r="C179" s="26"/>
      <c r="D179" s="392"/>
      <c r="E179" s="91">
        <v>2</v>
      </c>
      <c r="F179" s="27"/>
      <c r="G179" s="27"/>
      <c r="H179" s="149"/>
      <c r="I179" s="150"/>
      <c r="J179" s="73" t="str">
        <f>IF(A9taxstdlife="n/a","n/a",IF(J$3&gt;(A9taxstdlife+$E179),(Input!$I$151-Input!$I$185)-SUM($I179:I179),(Input!$I$151-Input!$I$185)/A9taxstdlife))</f>
        <v>n/a</v>
      </c>
      <c r="K179" s="73" t="str">
        <f>IF(A9taxstdlife="n/a","n/a",IF(K$3&gt;(A9taxstdlife+$E179),(Input!$I$151-Input!$I$185)-SUM($I179:J179),(Input!$I$151-Input!$I$185)/A9taxstdlife))</f>
        <v>n/a</v>
      </c>
      <c r="L179" s="73" t="str">
        <f>IF(A9taxstdlife="n/a","n/a",IF(L$3&gt;(A9taxstdlife+$E179),(Input!$I$151-Input!$I$185)-SUM($I179:K179),(Input!$I$151-Input!$I$185)/A9taxstdlife))</f>
        <v>n/a</v>
      </c>
      <c r="M179" s="73" t="str">
        <f>IF(A9taxstdlife="n/a","n/a",IF(M$3&gt;(A9taxstdlife+$E179),(Input!$I$151-Input!$I$185)-SUM($I179:L179),(Input!$I$151-Input!$I$185)/A9taxstdlife))</f>
        <v>n/a</v>
      </c>
      <c r="N179" s="73" t="str">
        <f>IF(A9taxstdlife="n/a","n/a",IF(N$3&gt;(A9taxstdlife+$E179),(Input!$I$151-Input!$I$185)-SUM($I179:M179),(Input!$I$151-Input!$I$185)/A9taxstdlife))</f>
        <v>n/a</v>
      </c>
      <c r="O179" s="73" t="str">
        <f>IF(A9taxstdlife="n/a","n/a",IF(O$3&gt;(A9taxstdlife+$E179),(Input!$I$151-Input!$I$185)-SUM($I179:N179),(Input!$I$151-Input!$I$185)/A9taxstdlife))</f>
        <v>n/a</v>
      </c>
      <c r="P179" s="73" t="str">
        <f>IF(A9taxstdlife="n/a","n/a",IF(P$3&gt;(A9taxstdlife+$E179),(Input!$I$151-Input!$I$185)-SUM($I179:O179),(Input!$I$151-Input!$I$185)/A9taxstdlife))</f>
        <v>n/a</v>
      </c>
      <c r="Q179" s="73" t="str">
        <f>IF(A9taxstdlife="n/a","n/a",IF(Q$3&gt;(A9taxstdlife+$E179),(Input!$I$151-Input!$I$185)-SUM($I179:P179),(Input!$I$151-Input!$I$185)/A9taxstdlife))</f>
        <v>n/a</v>
      </c>
      <c r="R179" s="73"/>
      <c r="S179" s="107"/>
      <c r="T179" s="107"/>
      <c r="U179" s="107"/>
      <c r="V179" s="107"/>
      <c r="W179" s="107"/>
      <c r="X179" s="107"/>
      <c r="Y179" s="107"/>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04"/>
      <c r="BJ179" s="204"/>
      <c r="BK179" s="204"/>
      <c r="BL179" s="204"/>
      <c r="BM179" s="204"/>
      <c r="BN179" s="204"/>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idden="1" outlineLevel="2">
      <c r="A180" s="9"/>
      <c r="B180" s="9"/>
      <c r="C180" s="26"/>
      <c r="D180" s="392"/>
      <c r="E180" s="91">
        <v>3</v>
      </c>
      <c r="F180" s="27"/>
      <c r="G180" s="27"/>
      <c r="H180" s="149"/>
      <c r="I180" s="151"/>
      <c r="J180" s="150"/>
      <c r="K180" s="73" t="str">
        <f>IF(A9taxstdlife="n/a","n/a",IF(K$3&gt;(A9taxstdlife+$E180),(Input!$J$151-Input!$J$185)-SUM($J180:J180),(Input!$J$151-Input!$J$185)/A9taxstdlife))</f>
        <v>n/a</v>
      </c>
      <c r="L180" s="73" t="str">
        <f>IF(A9taxstdlife="n/a","n/a",IF(L$3&gt;(A9taxstdlife+$E180),(Input!$J$151-Input!$J$185)-SUM($J180:K180),(Input!$J$151-Input!$J$185)/A9taxstdlife))</f>
        <v>n/a</v>
      </c>
      <c r="M180" s="73" t="str">
        <f>IF(A9taxstdlife="n/a","n/a",IF(M$3&gt;(A9taxstdlife+$E180),(Input!$J$151-Input!$J$185)-SUM($J180:L180),(Input!$J$151-Input!$J$185)/A9taxstdlife))</f>
        <v>n/a</v>
      </c>
      <c r="N180" s="73" t="str">
        <f>IF(A9taxstdlife="n/a","n/a",IF(N$3&gt;(A9taxstdlife+$E180),(Input!$J$151-Input!$J$185)-SUM($J180:M180),(Input!$J$151-Input!$J$185)/A9taxstdlife))</f>
        <v>n/a</v>
      </c>
      <c r="O180" s="73" t="str">
        <f>IF(A9taxstdlife="n/a","n/a",IF(O$3&gt;(A9taxstdlife+$E180),(Input!$J$151-Input!$J$185)-SUM($J180:N180),(Input!$J$151-Input!$J$185)/A9taxstdlife))</f>
        <v>n/a</v>
      </c>
      <c r="P180" s="73" t="str">
        <f>IF(A9taxstdlife="n/a","n/a",IF(P$3&gt;(A9taxstdlife+$E180),(Input!$J$151-Input!$J$185)-SUM($J180:O180),(Input!$J$151-Input!$J$185)/A9taxstdlife))</f>
        <v>n/a</v>
      </c>
      <c r="Q180" s="73" t="str">
        <f>IF(A9taxstdlife="n/a","n/a",IF(Q$3&gt;(A9taxstdlife+$E180),(Input!$J$151-Input!$J$185)-SUM($J180:P180),(Input!$J$151-Input!$J$185)/A9taxstdlife))</f>
        <v>n/a</v>
      </c>
      <c r="R180" s="73"/>
      <c r="S180" s="107"/>
      <c r="T180" s="107"/>
      <c r="U180" s="107"/>
      <c r="V180" s="107"/>
      <c r="W180" s="107"/>
      <c r="X180" s="107"/>
      <c r="Y180" s="107"/>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04"/>
      <c r="BJ180" s="204"/>
      <c r="BK180" s="204"/>
      <c r="BL180" s="204"/>
      <c r="BM180" s="204"/>
      <c r="BN180" s="204"/>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idden="1" outlineLevel="2">
      <c r="A181" s="9"/>
      <c r="B181" s="9"/>
      <c r="C181" s="26"/>
      <c r="D181" s="392"/>
      <c r="E181" s="91">
        <v>4</v>
      </c>
      <c r="F181" s="27"/>
      <c r="G181" s="27"/>
      <c r="H181" s="149"/>
      <c r="I181" s="151"/>
      <c r="J181" s="151"/>
      <c r="K181" s="150"/>
      <c r="L181" s="73" t="str">
        <f>IF(A9taxstdlife="n/a","n/a",IF(L$3&gt;(A9taxstdlife+$E181),(Input!$K$151-Input!$K$185)-SUM($K181:K181),(Input!$K$151-Input!$K$185)/A9taxstdlife))</f>
        <v>n/a</v>
      </c>
      <c r="M181" s="73" t="str">
        <f>IF(A9taxstdlife="n/a","n/a",IF(M$3&gt;(A9taxstdlife+$E181),(Input!$K$151-Input!$K$185)-SUM($K181:L181),(Input!$K$151-Input!$K$185)/A9taxstdlife))</f>
        <v>n/a</v>
      </c>
      <c r="N181" s="73" t="str">
        <f>IF(A9taxstdlife="n/a","n/a",IF(N$3&gt;(A9taxstdlife+$E181),(Input!$K$151-Input!$K$185)-SUM($K181:M181),(Input!$K$151-Input!$K$185)/A9taxstdlife))</f>
        <v>n/a</v>
      </c>
      <c r="O181" s="73" t="str">
        <f>IF(A9taxstdlife="n/a","n/a",IF(O$3&gt;(A9taxstdlife+$E181),(Input!$K$151-Input!$K$185)-SUM($K181:N181),(Input!$K$151-Input!$K$185)/A9taxstdlife))</f>
        <v>n/a</v>
      </c>
      <c r="P181" s="73" t="str">
        <f>IF(A9taxstdlife="n/a","n/a",IF(P$3&gt;(A9taxstdlife+$E181),(Input!$K$151-Input!$K$185)-SUM($K181:O181),(Input!$K$151-Input!$K$185)/A9taxstdlife))</f>
        <v>n/a</v>
      </c>
      <c r="Q181" s="73" t="str">
        <f>IF(A9taxstdlife="n/a","n/a",IF(Q$3&gt;(A9taxstdlife+$E181),(Input!$K$151-Input!$K$185)-SUM($K181:P181),(Input!$K$151-Input!$K$185)/A9taxstdlife))</f>
        <v>n/a</v>
      </c>
      <c r="R181" s="73"/>
      <c r="S181" s="107"/>
      <c r="T181" s="107"/>
      <c r="U181" s="107"/>
      <c r="V181" s="107"/>
      <c r="W181" s="107"/>
      <c r="X181" s="107"/>
      <c r="Y181" s="107"/>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04"/>
      <c r="BJ181" s="204"/>
      <c r="BK181" s="204"/>
      <c r="BL181" s="204"/>
      <c r="BM181" s="204"/>
      <c r="BN181" s="204"/>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idden="1" outlineLevel="2">
      <c r="A182" s="9"/>
      <c r="B182" s="9"/>
      <c r="C182" s="26"/>
      <c r="D182" s="392"/>
      <c r="E182" s="91">
        <v>5</v>
      </c>
      <c r="F182" s="27"/>
      <c r="G182" s="27"/>
      <c r="H182" s="149"/>
      <c r="I182" s="151"/>
      <c r="J182" s="151"/>
      <c r="K182" s="151"/>
      <c r="L182" s="150"/>
      <c r="M182" s="73" t="str">
        <f>IF(A9taxstdlife="n/a","n/a",IF(M$3&gt;(A9taxstdlife+$E182),(Input!$L$151-Input!$L$185)-SUM($L182:L182),(Input!$L$151-Input!$L$185)/A9taxstdlife))</f>
        <v>n/a</v>
      </c>
      <c r="N182" s="73" t="str">
        <f>IF(A9taxstdlife="n/a","n/a",IF(N$3&gt;(A9taxstdlife+$E182),(Input!$L$151-Input!$L$185)-SUM($L182:M182),(Input!$L$151-Input!$L$185)/A9taxstdlife))</f>
        <v>n/a</v>
      </c>
      <c r="O182" s="73" t="str">
        <f>IF(A9taxstdlife="n/a","n/a",IF(O$3&gt;(A9taxstdlife+$E182),(Input!$L$151-Input!$L$185)-SUM($L182:N182),(Input!$L$151-Input!$L$185)/A9taxstdlife))</f>
        <v>n/a</v>
      </c>
      <c r="P182" s="73" t="str">
        <f>IF(A9taxstdlife="n/a","n/a",IF(P$3&gt;(A9taxstdlife+$E182),(Input!$L$151-Input!$L$185)-SUM($L182:O182),(Input!$L$151-Input!$L$185)/A9taxstdlife))</f>
        <v>n/a</v>
      </c>
      <c r="Q182" s="73" t="str">
        <f>IF(A9taxstdlife="n/a","n/a",IF(Q$3&gt;(A9taxstdlife+$E182),(Input!$L$151-Input!$L$185)-SUM($L182:P182),(Input!$L$151-Input!$L$185)/A9taxstdlife))</f>
        <v>n/a</v>
      </c>
      <c r="R182" s="73"/>
      <c r="S182" s="107"/>
      <c r="T182" s="107"/>
      <c r="U182" s="107"/>
      <c r="V182" s="107"/>
      <c r="W182" s="107"/>
      <c r="X182" s="107"/>
      <c r="Y182" s="107"/>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5"/>
      <c r="BJ182" s="204"/>
      <c r="BK182" s="204"/>
      <c r="BL182" s="204"/>
      <c r="BM182" s="204"/>
      <c r="BN182" s="204"/>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idden="1" outlineLevel="2">
      <c r="A183" s="9"/>
      <c r="B183" s="9"/>
      <c r="C183" s="26"/>
      <c r="D183" s="392"/>
      <c r="E183" s="91">
        <v>6</v>
      </c>
      <c r="F183" s="27"/>
      <c r="G183" s="27"/>
      <c r="H183" s="149"/>
      <c r="I183" s="151"/>
      <c r="J183" s="151"/>
      <c r="K183" s="151"/>
      <c r="L183" s="151"/>
      <c r="M183" s="150"/>
      <c r="N183" s="73" t="str">
        <f>IF(A9taxstdlife="n/a","n/a",IF(N$3&gt;(A9taxstdlife+$E183),(Input!$M$151-Input!$M$185)-SUM($M183:M183),(Input!$M$151-Input!$M$185)/A9taxstdlife))</f>
        <v>n/a</v>
      </c>
      <c r="O183" s="73" t="str">
        <f>IF(A9taxstdlife="n/a","n/a",IF(O$3&gt;(A9taxstdlife+$E183),(Input!$M$151-Input!$M$185)-SUM($M183:N183),(Input!$M$151-Input!$M$185)/A9taxstdlife))</f>
        <v>n/a</v>
      </c>
      <c r="P183" s="73" t="str">
        <f>IF(A9taxstdlife="n/a","n/a",IF(P$3&gt;(A9taxstdlife+$E183),(Input!$M$151-Input!$M$185)-SUM($M183:O183),(Input!$M$151-Input!$M$185)/A9taxstdlife))</f>
        <v>n/a</v>
      </c>
      <c r="Q183" s="73" t="str">
        <f>IF(A9taxstdlife="n/a","n/a",IF(Q$3&gt;(A9taxstdlife+$E183),(Input!$M$151-Input!$M$185)-SUM($M183:P183),(Input!$M$151-Input!$M$185)/A9taxstdlife))</f>
        <v>n/a</v>
      </c>
      <c r="R183" s="73"/>
      <c r="S183" s="107"/>
      <c r="T183" s="107"/>
      <c r="U183" s="107"/>
      <c r="V183" s="107"/>
      <c r="W183" s="107"/>
      <c r="X183" s="107"/>
      <c r="Y183" s="107"/>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04"/>
      <c r="BJ183" s="204"/>
      <c r="BK183" s="204"/>
      <c r="BL183" s="204"/>
      <c r="BM183" s="204"/>
      <c r="BN183" s="204"/>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idden="1" outlineLevel="2">
      <c r="A184" s="9"/>
      <c r="B184" s="9"/>
      <c r="C184" s="26"/>
      <c r="D184" s="392"/>
      <c r="E184" s="91">
        <v>7</v>
      </c>
      <c r="F184" s="27"/>
      <c r="G184" s="27"/>
      <c r="H184" s="149"/>
      <c r="I184" s="151"/>
      <c r="J184" s="151"/>
      <c r="K184" s="151"/>
      <c r="L184" s="151"/>
      <c r="M184" s="151"/>
      <c r="N184" s="150"/>
      <c r="O184" s="73" t="str">
        <f>IF(A9taxstdlife="n/a","n/a",IF(O$3&gt;(A9taxstdlife+$E184),(Input!$N$151-Input!$N$185)-SUM($N184:N184),(Input!$N$151-Input!$N$185)/A9taxstdlife))</f>
        <v>n/a</v>
      </c>
      <c r="P184" s="73" t="str">
        <f>IF(A9taxstdlife="n/a","n/a",IF(P$3&gt;(A9taxstdlife+$E184),(Input!$N$151-Input!$N$185)-SUM($N184:O184),(Input!$N$151-Input!$N$185)/A9taxstdlife))</f>
        <v>n/a</v>
      </c>
      <c r="Q184" s="73" t="str">
        <f>IF(A9taxstdlife="n/a","n/a",IF(Q$3&gt;(A9taxstdlife+$E184),(Input!$N$151-Input!$N$185)-SUM($N184:P184),(Input!$N$151-Input!$N$185)/A9taxstdlife))</f>
        <v>n/a</v>
      </c>
      <c r="R184" s="73"/>
      <c r="S184" s="107"/>
      <c r="T184" s="107"/>
      <c r="U184" s="107"/>
      <c r="V184" s="107"/>
      <c r="W184" s="107"/>
      <c r="X184" s="107"/>
      <c r="Y184" s="107"/>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04"/>
      <c r="BJ184" s="204"/>
      <c r="BK184" s="204"/>
      <c r="BL184" s="204"/>
      <c r="BM184" s="204"/>
      <c r="BN184" s="20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idden="1" outlineLevel="2">
      <c r="A185" s="9"/>
      <c r="B185" s="9"/>
      <c r="C185" s="26"/>
      <c r="D185" s="392"/>
      <c r="E185" s="91">
        <v>8</v>
      </c>
      <c r="F185" s="27"/>
      <c r="G185" s="27"/>
      <c r="H185" s="149"/>
      <c r="I185" s="151"/>
      <c r="J185" s="151"/>
      <c r="K185" s="151"/>
      <c r="L185" s="151"/>
      <c r="M185" s="151"/>
      <c r="N185" s="151"/>
      <c r="O185" s="150"/>
      <c r="P185" s="73" t="str">
        <f>IF(A9taxstdlife="n/a","n/a",IF(P$3&gt;(A9taxstdlife+$E185),(Input!$O$151-Input!$O$185)-SUM($O185:O185),(Input!$O$151-Input!$O$185)/A9taxstdlife))</f>
        <v>n/a</v>
      </c>
      <c r="Q185" s="73" t="str">
        <f>IF(A9taxstdlife="n/a","n/a",IF(Q$3&gt;(A9taxstdlife+$E185),(Input!$O$151-Input!$O$185)-SUM($O185:P185),(Input!$O$151-Input!$O$185)/A9taxstdlife))</f>
        <v>n/a</v>
      </c>
      <c r="R185" s="73"/>
      <c r="S185" s="107"/>
      <c r="T185" s="107"/>
      <c r="U185" s="107"/>
      <c r="V185" s="107"/>
      <c r="W185" s="107"/>
      <c r="X185" s="107"/>
      <c r="Y185" s="107"/>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04"/>
      <c r="BJ185" s="204"/>
      <c r="BK185" s="204"/>
      <c r="BL185" s="204"/>
      <c r="BM185" s="204"/>
      <c r="BN185" s="204"/>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idden="1" outlineLevel="2">
      <c r="A186" s="9"/>
      <c r="B186" s="9"/>
      <c r="C186" s="26"/>
      <c r="D186" s="392"/>
      <c r="E186" s="91">
        <v>9</v>
      </c>
      <c r="F186" s="27"/>
      <c r="G186" s="27"/>
      <c r="H186" s="149"/>
      <c r="I186" s="151"/>
      <c r="J186" s="151"/>
      <c r="K186" s="151"/>
      <c r="L186" s="151"/>
      <c r="M186" s="151"/>
      <c r="N186" s="151"/>
      <c r="O186" s="151"/>
      <c r="P186" s="150"/>
      <c r="Q186" s="73" t="str">
        <f>IF(A9taxstdlife="n/a","n/a",IF(Q$3&gt;(A9taxstdlife+$E186),(Input!$P$151-Input!$P$185)-SUM($P186:P186),(Input!$P$151-Input!$P$185)/A9taxstdlife))</f>
        <v>n/a</v>
      </c>
      <c r="R186" s="73"/>
      <c r="S186" s="107"/>
      <c r="T186" s="107"/>
      <c r="U186" s="107"/>
      <c r="V186" s="107"/>
      <c r="W186" s="107"/>
      <c r="X186" s="107"/>
      <c r="Y186" s="107"/>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04"/>
      <c r="BJ186" s="204"/>
      <c r="BK186" s="204"/>
      <c r="BL186" s="204"/>
      <c r="BM186" s="204"/>
      <c r="BN186" s="204"/>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idden="1" outlineLevel="2">
      <c r="A187" s="9"/>
      <c r="B187" s="9"/>
      <c r="C187" s="26"/>
      <c r="D187" s="392"/>
      <c r="E187" s="92">
        <v>10</v>
      </c>
      <c r="F187" s="27"/>
      <c r="G187" s="27"/>
      <c r="H187" s="149"/>
      <c r="I187" s="151"/>
      <c r="J187" s="151"/>
      <c r="K187" s="151"/>
      <c r="L187" s="151"/>
      <c r="M187" s="151"/>
      <c r="N187" s="151"/>
      <c r="O187" s="151"/>
      <c r="P187" s="151"/>
      <c r="Q187" s="150"/>
      <c r="R187" s="73"/>
      <c r="S187" s="107"/>
      <c r="T187" s="107"/>
      <c r="U187" s="107"/>
      <c r="V187" s="107"/>
      <c r="W187" s="107"/>
      <c r="X187" s="107"/>
      <c r="Y187" s="107"/>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04"/>
      <c r="BJ187" s="204"/>
      <c r="BK187" s="204"/>
      <c r="BL187" s="204"/>
      <c r="BM187" s="204"/>
      <c r="BN187" s="204"/>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idden="1" outlineLevel="1" collapsed="1">
      <c r="A188" s="9"/>
      <c r="B188" s="9"/>
      <c r="C188" s="279" t="str">
        <f>Asset9</f>
        <v>Land and Easements</v>
      </c>
      <c r="D188" s="9"/>
      <c r="E188" s="9"/>
      <c r="F188" s="23"/>
      <c r="G188" s="23"/>
      <c r="H188" s="305">
        <f>-SUM(H176:H187)</f>
        <v>0</v>
      </c>
      <c r="I188" s="164">
        <f>-SUM(I176:I187)</f>
        <v>0</v>
      </c>
      <c r="J188" s="164">
        <f>-SUM(J176:J187)</f>
        <v>0</v>
      </c>
      <c r="K188" s="164">
        <f>-SUM(K176:K187)</f>
        <v>0</v>
      </c>
      <c r="L188" s="164">
        <f>-SUM(L176:L187)</f>
        <v>0</v>
      </c>
      <c r="M188" s="164">
        <f>IF(COUNT($H188:L188)&gt;=Input!$W$7,0, -SUM(M176:M187))</f>
        <v>0</v>
      </c>
      <c r="N188" s="164">
        <f>IF(COUNT($H188:M188)&gt;=Input!$W$7,0, -SUM(N176:N187))</f>
        <v>0</v>
      </c>
      <c r="O188" s="164">
        <f>IF(COUNT($H188:N188)&gt;=Input!$W$7,0, -SUM(O176:O187))</f>
        <v>0</v>
      </c>
      <c r="P188" s="164">
        <f>IF(COUNT($H188:O188)&gt;=Input!$W$7,0, -SUM(P176:P187))</f>
        <v>0</v>
      </c>
      <c r="Q188" s="164">
        <f>IF(COUNT($H188:P188)&gt;=Input!$W$7,0, -SUM(Q176:Q187))</f>
        <v>0</v>
      </c>
      <c r="R188" s="164"/>
      <c r="S188" s="106"/>
      <c r="T188" s="106"/>
      <c r="U188" s="106"/>
      <c r="V188" s="106"/>
      <c r="W188" s="106"/>
      <c r="X188" s="106"/>
      <c r="Y188" s="106"/>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04"/>
      <c r="BJ188" s="204"/>
      <c r="BK188" s="204"/>
      <c r="BL188" s="204"/>
      <c r="BM188" s="204"/>
      <c r="BN188" s="204"/>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idden="1" outlineLevel="2">
      <c r="A189" s="9"/>
      <c r="B189" s="280" t="str">
        <f>Asset10</f>
        <v>Transmission line assets - long life (60)</v>
      </c>
      <c r="C189" s="31"/>
      <c r="D189" s="32" t="s">
        <v>65</v>
      </c>
      <c r="E189" s="31"/>
      <c r="F189" s="308"/>
      <c r="G189" s="308"/>
      <c r="H189" s="72" t="str">
        <f>IF(H$3&gt;A10taxremlife,A10taxvalue-SUM($F189:F189),IF(A10taxremlife="N/A","n/a",A10taxvalue/A10taxremlife))</f>
        <v>n/a</v>
      </c>
      <c r="I189" s="72" t="str">
        <f>IF(I$3&gt;A10taxremlife,A10taxvalue-SUM($F189:H189),IF(A10taxremlife="N/A","n/a",A10taxvalue/A10taxremlife))</f>
        <v>n/a</v>
      </c>
      <c r="J189" s="72" t="str">
        <f>IF(J$3&gt;A10taxremlife,A10taxvalue-SUM($F189:I189),IF(A10taxremlife="N/A","n/a",A10taxvalue/A10taxremlife))</f>
        <v>n/a</v>
      </c>
      <c r="K189" s="72" t="str">
        <f>IF(K$3&gt;A10taxremlife,A10taxvalue-SUM($F189:J189),IF(A10taxremlife="N/A","n/a",A10taxvalue/A10taxremlife))</f>
        <v>n/a</v>
      </c>
      <c r="L189" s="72" t="str">
        <f>IF(L$3&gt;A10taxremlife,A10taxvalue-SUM($F189:K189),IF(A10taxremlife="N/A","n/a",A10taxvalue/A10taxremlife))</f>
        <v>n/a</v>
      </c>
      <c r="M189" s="72" t="str">
        <f>IF(M$3&gt;A10taxremlife,A10taxvalue-SUM($F189:L189),IF(A10taxremlife="N/A","n/a",A10taxvalue/A10taxremlife))</f>
        <v>n/a</v>
      </c>
      <c r="N189" s="72" t="str">
        <f>IF(N$3&gt;A10taxremlife,A10taxvalue-SUM($F189:M189),IF(A10taxremlife="N/A","n/a",A10taxvalue/A10taxremlife))</f>
        <v>n/a</v>
      </c>
      <c r="O189" s="72" t="str">
        <f>IF(O$3&gt;A10taxremlife,A10taxvalue-SUM($F189:N189),IF(A10taxremlife="N/A","n/a",A10taxvalue/A10taxremlife))</f>
        <v>n/a</v>
      </c>
      <c r="P189" s="72" t="str">
        <f>IF(P$3&gt;A10taxremlife,A10taxvalue-SUM($F189:O189),IF(A10taxremlife="N/A","n/a",A10taxvalue/A10taxremlife))</f>
        <v>n/a</v>
      </c>
      <c r="Q189" s="72" t="str">
        <f>IF(Q$3&gt;A10taxremlife,A10taxvalue-SUM($F189:P189),IF(A10taxremlife="N/A","n/a",A10taxvalue/A10taxremlife))</f>
        <v>n/a</v>
      </c>
      <c r="R189" s="72"/>
      <c r="S189" s="107"/>
      <c r="T189" s="107"/>
      <c r="U189" s="107"/>
      <c r="V189" s="107"/>
      <c r="W189" s="107"/>
      <c r="X189" s="107"/>
      <c r="Y189" s="107"/>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04"/>
      <c r="BJ189" s="204"/>
      <c r="BK189" s="204"/>
      <c r="BL189" s="204"/>
      <c r="BM189" s="204"/>
      <c r="BN189" s="204"/>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6"/>
      <c r="D190" s="391" t="s">
        <v>81</v>
      </c>
      <c r="E190" s="91"/>
      <c r="F190" s="27"/>
      <c r="G190" s="27"/>
      <c r="H190" s="107"/>
      <c r="I190" s="73"/>
      <c r="J190" s="73"/>
      <c r="K190" s="73"/>
      <c r="L190" s="73"/>
      <c r="M190" s="73"/>
      <c r="N190" s="73"/>
      <c r="O190" s="73"/>
      <c r="P190" s="73"/>
      <c r="Q190" s="73"/>
      <c r="R190" s="73"/>
      <c r="S190" s="107"/>
      <c r="T190" s="107"/>
      <c r="U190" s="107"/>
      <c r="V190" s="107"/>
      <c r="W190" s="107"/>
      <c r="X190" s="107"/>
      <c r="Y190" s="107"/>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04"/>
      <c r="BJ190" s="204"/>
      <c r="BK190" s="204"/>
      <c r="BL190" s="204"/>
      <c r="BM190" s="204"/>
      <c r="BN190" s="204"/>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idden="1" outlineLevel="2">
      <c r="A191" s="9"/>
      <c r="B191" s="9"/>
      <c r="C191" s="26"/>
      <c r="D191" s="392"/>
      <c r="E191" s="91">
        <v>1</v>
      </c>
      <c r="F191" s="27"/>
      <c r="G191" s="27"/>
      <c r="H191" s="148"/>
      <c r="I191" s="73">
        <f>IF(A10taxstdlife="n/a","n/a",IF(I$3&gt;(A10taxstdlife+$E191),(Input!$H$152-Input!$H$186)-SUM($H191:H191),(Input!$H$152-Input!$H$186)/A10taxstdlife))</f>
        <v>1.9961300000000001E-2</v>
      </c>
      <c r="J191" s="73">
        <f>IF(A10taxstdlife="n/a","n/a",IF(J$3&gt;(A10taxstdlife+$E191),(Input!$H$152-Input!$H$186)-SUM($H191:I191),(Input!$H$152-Input!$H$186)/A10taxstdlife))</f>
        <v>1.9961300000000001E-2</v>
      </c>
      <c r="K191" s="73">
        <f>IF(A10taxstdlife="n/a","n/a",IF(K$3&gt;(A10taxstdlife+$E191),(Input!$H$152-Input!$H$186)-SUM($H191:J191),(Input!$H$152-Input!$H$186)/A10taxstdlife))</f>
        <v>1.9961300000000001E-2</v>
      </c>
      <c r="L191" s="73">
        <f>IF(A10taxstdlife="n/a","n/a",IF(L$3&gt;(A10taxstdlife+$E191),(Input!$H$152-Input!$H$186)-SUM($H191:K191),(Input!$H$152-Input!$H$186)/A10taxstdlife))</f>
        <v>1.9961300000000001E-2</v>
      </c>
      <c r="M191" s="73">
        <f>IF(A10taxstdlife="n/a","n/a",IF(M$3&gt;(A10taxstdlife+$E191),(Input!$H$152-Input!$H$186)-SUM($H191:L191),(Input!$H$152-Input!$H$186)/A10taxstdlife))</f>
        <v>1.9961300000000001E-2</v>
      </c>
      <c r="N191" s="73">
        <f>IF(A10taxstdlife="n/a","n/a",IF(N$3&gt;(A10taxstdlife+$E191),(Input!$H$152-Input!$H$186)-SUM($H191:M191),(Input!$H$152-Input!$H$186)/A10taxstdlife))</f>
        <v>1.9961300000000001E-2</v>
      </c>
      <c r="O191" s="73">
        <f>IF(A10taxstdlife="n/a","n/a",IF(O$3&gt;(A10taxstdlife+$E191),(Input!$H$152-Input!$H$186)-SUM($H191:N191),(Input!$H$152-Input!$H$186)/A10taxstdlife))</f>
        <v>1.9961300000000001E-2</v>
      </c>
      <c r="P191" s="73">
        <f>IF(A10taxstdlife="n/a","n/a",IF(P$3&gt;(A10taxstdlife+$E191),(Input!$H$152-Input!$H$186)-SUM($H191:O191),(Input!$H$152-Input!$H$186)/A10taxstdlife))</f>
        <v>1.9961300000000001E-2</v>
      </c>
      <c r="Q191" s="73">
        <f>IF(A10taxstdlife="n/a","n/a",IF(Q$3&gt;(A10taxstdlife+$E191),(Input!$H$152-Input!$H$186)-SUM($H191:P191),(Input!$H$152-Input!$H$186)/A10taxstdlife))</f>
        <v>1.9961300000000001E-2</v>
      </c>
      <c r="R191" s="73"/>
      <c r="S191" s="107"/>
      <c r="T191" s="107"/>
      <c r="U191" s="107"/>
      <c r="V191" s="107"/>
      <c r="W191" s="107"/>
      <c r="X191" s="107"/>
      <c r="Y191" s="107"/>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04"/>
      <c r="BJ191" s="204"/>
      <c r="BK191" s="204"/>
      <c r="BL191" s="204"/>
      <c r="BM191" s="204"/>
      <c r="BN191" s="204"/>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idden="1" outlineLevel="2">
      <c r="A192" s="9"/>
      <c r="B192" s="9"/>
      <c r="C192" s="26"/>
      <c r="D192" s="392"/>
      <c r="E192" s="91">
        <v>2</v>
      </c>
      <c r="F192" s="27"/>
      <c r="G192" s="27"/>
      <c r="H192" s="149"/>
      <c r="I192" s="150"/>
      <c r="J192" s="73">
        <f>IF(A10taxstdlife="n/a","n/a",IF(J$3&gt;(A10taxstdlife+$E192),(Input!$I$152-Input!$I$186)-SUM($I192:I192),(Input!$I$152-Input!$I$186)/A10taxstdlife))</f>
        <v>1.8443333333333334</v>
      </c>
      <c r="K192" s="73">
        <f>IF(A10taxstdlife="n/a","n/a",IF(K$3&gt;(A10taxstdlife+$E192),(Input!$I$152-Input!$I$186)-SUM($I192:J192),(Input!$I$152-Input!$I$186)/A10taxstdlife))</f>
        <v>1.8443333333333334</v>
      </c>
      <c r="L192" s="73">
        <f>IF(A10taxstdlife="n/a","n/a",IF(L$3&gt;(A10taxstdlife+$E192),(Input!$I$152-Input!$I$186)-SUM($I192:K192),(Input!$I$152-Input!$I$186)/A10taxstdlife))</f>
        <v>1.8443333333333334</v>
      </c>
      <c r="M192" s="73">
        <f>IF(A10taxstdlife="n/a","n/a",IF(M$3&gt;(A10taxstdlife+$E192),(Input!$I$152-Input!$I$186)-SUM($I192:L192),(Input!$I$152-Input!$I$186)/A10taxstdlife))</f>
        <v>1.8443333333333334</v>
      </c>
      <c r="N192" s="73">
        <f>IF(A10taxstdlife="n/a","n/a",IF(N$3&gt;(A10taxstdlife+$E192),(Input!$I$152-Input!$I$186)-SUM($I192:M192),(Input!$I$152-Input!$I$186)/A10taxstdlife))</f>
        <v>1.8443333333333334</v>
      </c>
      <c r="O192" s="73">
        <f>IF(A10taxstdlife="n/a","n/a",IF(O$3&gt;(A10taxstdlife+$E192),(Input!$I$152-Input!$I$186)-SUM($I192:N192),(Input!$I$152-Input!$I$186)/A10taxstdlife))</f>
        <v>1.8443333333333334</v>
      </c>
      <c r="P192" s="73">
        <f>IF(A10taxstdlife="n/a","n/a",IF(P$3&gt;(A10taxstdlife+$E192),(Input!$I$152-Input!$I$186)-SUM($I192:O192),(Input!$I$152-Input!$I$186)/A10taxstdlife))</f>
        <v>1.8443333333333334</v>
      </c>
      <c r="Q192" s="73">
        <f>IF(A10taxstdlife="n/a","n/a",IF(Q$3&gt;(A10taxstdlife+$E192),(Input!$I$152-Input!$I$186)-SUM($I192:P192),(Input!$I$152-Input!$I$186)/A10taxstdlife))</f>
        <v>1.8443333333333334</v>
      </c>
      <c r="R192" s="73"/>
      <c r="S192" s="107"/>
      <c r="T192" s="107"/>
      <c r="U192" s="107"/>
      <c r="V192" s="107"/>
      <c r="W192" s="107"/>
      <c r="X192" s="107"/>
      <c r="Y192" s="107"/>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04"/>
      <c r="BJ192" s="204"/>
      <c r="BK192" s="204"/>
      <c r="BL192" s="204"/>
      <c r="BM192" s="204"/>
      <c r="BN192" s="204"/>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idden="1" outlineLevel="2">
      <c r="A193" s="9"/>
      <c r="B193" s="9"/>
      <c r="C193" s="26"/>
      <c r="D193" s="392"/>
      <c r="E193" s="91">
        <v>3</v>
      </c>
      <c r="F193" s="27"/>
      <c r="G193" s="27"/>
      <c r="H193" s="149"/>
      <c r="I193" s="151"/>
      <c r="J193" s="150"/>
      <c r="K193" s="73">
        <f>IF(A10taxstdlife="n/a","n/a",IF(K$3&gt;(A10taxstdlife+$E193),(Input!$J$152-Input!$J$186)-SUM($J193:J193),(Input!$J$152-Input!$J$186)/A10taxstdlife))</f>
        <v>0.2936333333333333</v>
      </c>
      <c r="L193" s="73">
        <f>IF(A10taxstdlife="n/a","n/a",IF(L$3&gt;(A10taxstdlife+$E193),(Input!$J$152-Input!$J$186)-SUM($J193:K193),(Input!$J$152-Input!$J$186)/A10taxstdlife))</f>
        <v>0.2936333333333333</v>
      </c>
      <c r="M193" s="73">
        <f>IF(A10taxstdlife="n/a","n/a",IF(M$3&gt;(A10taxstdlife+$E193),(Input!$J$152-Input!$J$186)-SUM($J193:L193),(Input!$J$152-Input!$J$186)/A10taxstdlife))</f>
        <v>0.2936333333333333</v>
      </c>
      <c r="N193" s="73">
        <f>IF(A10taxstdlife="n/a","n/a",IF(N$3&gt;(A10taxstdlife+$E193),(Input!$J$152-Input!$J$186)-SUM($J193:M193),(Input!$J$152-Input!$J$186)/A10taxstdlife))</f>
        <v>0.2936333333333333</v>
      </c>
      <c r="O193" s="73">
        <f>IF(A10taxstdlife="n/a","n/a",IF(O$3&gt;(A10taxstdlife+$E193),(Input!$J$152-Input!$J$186)-SUM($J193:N193),(Input!$J$152-Input!$J$186)/A10taxstdlife))</f>
        <v>0.2936333333333333</v>
      </c>
      <c r="P193" s="73">
        <f>IF(A10taxstdlife="n/a","n/a",IF(P$3&gt;(A10taxstdlife+$E193),(Input!$J$152-Input!$J$186)-SUM($J193:O193),(Input!$J$152-Input!$J$186)/A10taxstdlife))</f>
        <v>0.2936333333333333</v>
      </c>
      <c r="Q193" s="73">
        <f>IF(A10taxstdlife="n/a","n/a",IF(Q$3&gt;(A10taxstdlife+$E193),(Input!$J$152-Input!$J$186)-SUM($J193:P193),(Input!$J$152-Input!$J$186)/A10taxstdlife))</f>
        <v>0.2936333333333333</v>
      </c>
      <c r="R193" s="73"/>
      <c r="S193" s="107"/>
      <c r="T193" s="107"/>
      <c r="U193" s="107"/>
      <c r="V193" s="107"/>
      <c r="W193" s="107"/>
      <c r="X193" s="107"/>
      <c r="Y193" s="107"/>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04"/>
      <c r="BJ193" s="204"/>
      <c r="BK193" s="204"/>
      <c r="BL193" s="204"/>
      <c r="BM193" s="204"/>
      <c r="BN193" s="204"/>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idden="1" outlineLevel="2">
      <c r="A194" s="9"/>
      <c r="B194" s="9"/>
      <c r="C194" s="26"/>
      <c r="D194" s="392"/>
      <c r="E194" s="91">
        <v>4</v>
      </c>
      <c r="F194" s="27"/>
      <c r="G194" s="27"/>
      <c r="H194" s="149"/>
      <c r="I194" s="151"/>
      <c r="J194" s="151"/>
      <c r="K194" s="150"/>
      <c r="L194" s="73">
        <f>IF(A10taxstdlife="n/a","n/a",IF(L$3&gt;(A10taxstdlife+$E194),(Input!$K$152-Input!$K$186)-SUM($K194:K194),(Input!$K$152-Input!$K$186)/A10taxstdlife))</f>
        <v>0.1623</v>
      </c>
      <c r="M194" s="73">
        <f>IF(A10taxstdlife="n/a","n/a",IF(M$3&gt;(A10taxstdlife+$E194),(Input!$K$152-Input!$K$186)-SUM($K194:L194),(Input!$K$152-Input!$K$186)/A10taxstdlife))</f>
        <v>0.1623</v>
      </c>
      <c r="N194" s="73">
        <f>IF(A10taxstdlife="n/a","n/a",IF(N$3&gt;(A10taxstdlife+$E194),(Input!$K$152-Input!$K$186)-SUM($K194:M194),(Input!$K$152-Input!$K$186)/A10taxstdlife))</f>
        <v>0.1623</v>
      </c>
      <c r="O194" s="73">
        <f>IF(A10taxstdlife="n/a","n/a",IF(O$3&gt;(A10taxstdlife+$E194),(Input!$K$152-Input!$K$186)-SUM($K194:N194),(Input!$K$152-Input!$K$186)/A10taxstdlife))</f>
        <v>0.1623</v>
      </c>
      <c r="P194" s="73">
        <f>IF(A10taxstdlife="n/a","n/a",IF(P$3&gt;(A10taxstdlife+$E194),(Input!$K$152-Input!$K$186)-SUM($K194:O194),(Input!$K$152-Input!$K$186)/A10taxstdlife))</f>
        <v>0.1623</v>
      </c>
      <c r="Q194" s="73">
        <f>IF(A10taxstdlife="n/a","n/a",IF(Q$3&gt;(A10taxstdlife+$E194),(Input!$K$152-Input!$K$186)-SUM($K194:P194),(Input!$K$152-Input!$K$186)/A10taxstdlife))</f>
        <v>0.1623</v>
      </c>
      <c r="R194" s="73"/>
      <c r="S194" s="107"/>
      <c r="T194" s="107"/>
      <c r="U194" s="107"/>
      <c r="V194" s="107"/>
      <c r="W194" s="107"/>
      <c r="X194" s="107"/>
      <c r="Y194" s="107"/>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04"/>
      <c r="BJ194" s="204"/>
      <c r="BK194" s="204"/>
      <c r="BL194" s="204"/>
      <c r="BM194" s="204"/>
      <c r="BN194" s="20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idden="1" outlineLevel="2">
      <c r="A195" s="9"/>
      <c r="B195" s="9"/>
      <c r="C195" s="26"/>
      <c r="D195" s="392"/>
      <c r="E195" s="91">
        <v>5</v>
      </c>
      <c r="F195" s="27"/>
      <c r="G195" s="27"/>
      <c r="H195" s="149"/>
      <c r="I195" s="151"/>
      <c r="J195" s="151"/>
      <c r="K195" s="151"/>
      <c r="L195" s="150"/>
      <c r="M195" s="73">
        <f>IF(A10taxstdlife="n/a","n/a",IF(M$3&gt;(A10taxstdlife+$E195),(Input!$L$152-Input!$L$186)-SUM($L195:L195),(Input!$L$152-Input!$L$186)/A10taxstdlife))</f>
        <v>0.68847401776132378</v>
      </c>
      <c r="N195" s="73">
        <f>IF(A10taxstdlife="n/a","n/a",IF(N$3&gt;(A10taxstdlife+$E195),(Input!$L$152-Input!$L$186)-SUM($L195:M195),(Input!$L$152-Input!$L$186)/A10taxstdlife))</f>
        <v>0.68847401776132378</v>
      </c>
      <c r="O195" s="73">
        <f>IF(A10taxstdlife="n/a","n/a",IF(O$3&gt;(A10taxstdlife+$E195),(Input!$L$152-Input!$L$186)-SUM($L195:N195),(Input!$L$152-Input!$L$186)/A10taxstdlife))</f>
        <v>0.68847401776132378</v>
      </c>
      <c r="P195" s="73">
        <f>IF(A10taxstdlife="n/a","n/a",IF(P$3&gt;(A10taxstdlife+$E195),(Input!$L$152-Input!$L$186)-SUM($L195:O195),(Input!$L$152-Input!$L$186)/A10taxstdlife))</f>
        <v>0.68847401776132378</v>
      </c>
      <c r="Q195" s="73">
        <f>IF(A10taxstdlife="n/a","n/a",IF(Q$3&gt;(A10taxstdlife+$E195),(Input!$L$152-Input!$L$186)-SUM($L195:P195),(Input!$L$152-Input!$L$186)/A10taxstdlife))</f>
        <v>0.68847401776132378</v>
      </c>
      <c r="R195" s="73"/>
      <c r="S195" s="107"/>
      <c r="T195" s="107"/>
      <c r="U195" s="107"/>
      <c r="V195" s="107"/>
      <c r="W195" s="107"/>
      <c r="X195" s="107"/>
      <c r="Y195" s="107"/>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04"/>
      <c r="BJ195" s="204"/>
      <c r="BK195" s="204"/>
      <c r="BL195" s="204"/>
      <c r="BM195" s="204"/>
      <c r="BN195" s="204"/>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idden="1" outlineLevel="2">
      <c r="A196" s="9"/>
      <c r="B196" s="9"/>
      <c r="C196" s="26"/>
      <c r="D196" s="392"/>
      <c r="E196" s="91">
        <v>6</v>
      </c>
      <c r="F196" s="27"/>
      <c r="G196" s="27"/>
      <c r="H196" s="149"/>
      <c r="I196" s="151"/>
      <c r="J196" s="151"/>
      <c r="K196" s="151"/>
      <c r="L196" s="151"/>
      <c r="M196" s="150"/>
      <c r="N196" s="73">
        <f>IF(A10taxstdlife="n/a","n/a",IF(N$3&gt;(A10taxstdlife+$E196),(Input!$M$152-Input!$M$186)-SUM($M196:M196),(Input!$M$152-Input!$M$186)/A10taxstdlife))</f>
        <v>0</v>
      </c>
      <c r="O196" s="73">
        <f>IF(A10taxstdlife="n/a","n/a",IF(O$3&gt;(A10taxstdlife+$E196),(Input!$M$152-Input!$M$186)-SUM($M196:N196),(Input!$M$152-Input!$M$186)/A10taxstdlife))</f>
        <v>0</v>
      </c>
      <c r="P196" s="73">
        <f>IF(A10taxstdlife="n/a","n/a",IF(P$3&gt;(A10taxstdlife+$E196),(Input!$M$152-Input!$M$186)-SUM($M196:O196),(Input!$M$152-Input!$M$186)/A10taxstdlife))</f>
        <v>0</v>
      </c>
      <c r="Q196" s="73">
        <f>IF(A10taxstdlife="n/a","n/a",IF(Q$3&gt;(A10taxstdlife+$E196),(Input!$M$152-Input!$M$186)-SUM($M196:P196),(Input!$M$152-Input!$M$186)/A10taxstdlife))</f>
        <v>0</v>
      </c>
      <c r="R196" s="73"/>
      <c r="S196" s="107"/>
      <c r="T196" s="107"/>
      <c r="U196" s="107"/>
      <c r="V196" s="107"/>
      <c r="W196" s="107"/>
      <c r="X196" s="107"/>
      <c r="Y196" s="107"/>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04"/>
      <c r="BJ196" s="204"/>
      <c r="BK196" s="204"/>
      <c r="BL196" s="204"/>
      <c r="BM196" s="204"/>
      <c r="BN196" s="204"/>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idden="1" outlineLevel="2">
      <c r="A197" s="9"/>
      <c r="B197" s="9"/>
      <c r="C197" s="26"/>
      <c r="D197" s="392"/>
      <c r="E197" s="91">
        <v>7</v>
      </c>
      <c r="F197" s="27"/>
      <c r="G197" s="27"/>
      <c r="H197" s="149"/>
      <c r="I197" s="151"/>
      <c r="J197" s="151"/>
      <c r="K197" s="151"/>
      <c r="L197" s="151"/>
      <c r="M197" s="151"/>
      <c r="N197" s="150"/>
      <c r="O197" s="73">
        <f>IF(A10taxstdlife="n/a","n/a",IF(O$3&gt;(A10taxstdlife+$E197),(Input!$N$152-Input!$N$186)-SUM($N197:N197),(Input!$N$152-Input!$N$186)/A10taxstdlife))</f>
        <v>0</v>
      </c>
      <c r="P197" s="73">
        <f>IF(A10taxstdlife="n/a","n/a",IF(P$3&gt;(A10taxstdlife+$E197),(Input!$N$152-Input!$N$186)-SUM($N197:O197),(Input!$N$152-Input!$N$186)/A10taxstdlife))</f>
        <v>0</v>
      </c>
      <c r="Q197" s="73">
        <f>IF(A10taxstdlife="n/a","n/a",IF(Q$3&gt;(A10taxstdlife+$E197),(Input!$N$152-Input!$N$186)-SUM($N197:P197),(Input!$N$152-Input!$N$186)/A10taxstdlife))</f>
        <v>0</v>
      </c>
      <c r="R197" s="73"/>
      <c r="S197" s="107"/>
      <c r="T197" s="107"/>
      <c r="U197" s="107"/>
      <c r="V197" s="107"/>
      <c r="W197" s="107"/>
      <c r="X197" s="107"/>
      <c r="Y197" s="107"/>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04"/>
      <c r="BJ197" s="204"/>
      <c r="BK197" s="204"/>
      <c r="BL197" s="204"/>
      <c r="BM197" s="204"/>
      <c r="BN197" s="204"/>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idden="1" outlineLevel="2">
      <c r="A198" s="9"/>
      <c r="B198" s="9"/>
      <c r="C198" s="26"/>
      <c r="D198" s="392"/>
      <c r="E198" s="91">
        <v>8</v>
      </c>
      <c r="F198" s="27"/>
      <c r="G198" s="27"/>
      <c r="H198" s="149"/>
      <c r="I198" s="151"/>
      <c r="J198" s="151"/>
      <c r="K198" s="151"/>
      <c r="L198" s="151"/>
      <c r="M198" s="151"/>
      <c r="N198" s="151"/>
      <c r="O198" s="150"/>
      <c r="P198" s="73">
        <f>IF(A10taxstdlife="n/a","n/a",IF(P$3&gt;(A10taxstdlife+$E198),(Input!$O$152-Input!$O$186)-SUM($O198:O198),(Input!$O$152-Input!$O$186)/A10taxstdlife))</f>
        <v>0</v>
      </c>
      <c r="Q198" s="73">
        <f>IF(A10taxstdlife="n/a","n/a",IF(Q$3&gt;(A10taxstdlife+$E198),(Input!$O$152-Input!$O$186)-SUM($O198:P198),(Input!$O$152-Input!$O$186)/A10taxstdlife))</f>
        <v>0</v>
      </c>
      <c r="R198" s="73"/>
      <c r="S198" s="107"/>
      <c r="T198" s="107"/>
      <c r="U198" s="107"/>
      <c r="V198" s="107"/>
      <c r="W198" s="107"/>
      <c r="X198" s="107"/>
      <c r="Y198" s="107"/>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04"/>
      <c r="BJ198" s="204"/>
      <c r="BK198" s="204"/>
      <c r="BL198" s="204"/>
      <c r="BM198" s="204"/>
      <c r="BN198" s="204"/>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idden="1" outlineLevel="2">
      <c r="A199" s="9"/>
      <c r="B199" s="9"/>
      <c r="C199" s="26"/>
      <c r="D199" s="392"/>
      <c r="E199" s="91">
        <v>9</v>
      </c>
      <c r="F199" s="27"/>
      <c r="G199" s="27"/>
      <c r="H199" s="149"/>
      <c r="I199" s="151"/>
      <c r="J199" s="151"/>
      <c r="K199" s="151"/>
      <c r="L199" s="151"/>
      <c r="M199" s="151"/>
      <c r="N199" s="151"/>
      <c r="O199" s="151"/>
      <c r="P199" s="150"/>
      <c r="Q199" s="73">
        <f>IF(A10taxstdlife="n/a","n/a",IF(Q$3&gt;(A10taxstdlife+$E199),(Input!$P$152-Input!$P$186)-SUM($P199:P199),(Input!$P$152-Input!$P$186)/A10taxstdlife))</f>
        <v>0</v>
      </c>
      <c r="R199" s="73"/>
      <c r="S199" s="107"/>
      <c r="T199" s="107"/>
      <c r="U199" s="107"/>
      <c r="V199" s="107"/>
      <c r="W199" s="107"/>
      <c r="X199" s="107"/>
      <c r="Y199" s="107"/>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6"/>
      <c r="BJ199" s="204"/>
      <c r="BK199" s="204"/>
      <c r="BL199" s="204"/>
      <c r="BM199" s="204"/>
      <c r="BN199" s="204"/>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idden="1" outlineLevel="2">
      <c r="A200" s="9"/>
      <c r="B200" s="9"/>
      <c r="C200" s="26"/>
      <c r="D200" s="392"/>
      <c r="E200" s="92">
        <v>10</v>
      </c>
      <c r="F200" s="27"/>
      <c r="G200" s="27"/>
      <c r="H200" s="149"/>
      <c r="I200" s="151"/>
      <c r="J200" s="151"/>
      <c r="K200" s="151"/>
      <c r="L200" s="151"/>
      <c r="M200" s="151"/>
      <c r="N200" s="151"/>
      <c r="O200" s="151"/>
      <c r="P200" s="151"/>
      <c r="Q200" s="150"/>
      <c r="R200" s="73"/>
      <c r="S200" s="107"/>
      <c r="T200" s="107"/>
      <c r="U200" s="107"/>
      <c r="V200" s="107"/>
      <c r="W200" s="107"/>
      <c r="X200" s="107"/>
      <c r="Y200" s="107"/>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04"/>
      <c r="BJ200" s="204"/>
      <c r="BK200" s="204"/>
      <c r="BL200" s="204"/>
      <c r="BM200" s="204"/>
      <c r="BN200" s="204"/>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idden="1" outlineLevel="1" collapsed="1">
      <c r="A201" s="9"/>
      <c r="B201" s="9"/>
      <c r="C201" s="279" t="str">
        <f>Asset10</f>
        <v>Transmission line assets - long life (60)</v>
      </c>
      <c r="D201" s="9"/>
      <c r="E201" s="9"/>
      <c r="F201" s="23"/>
      <c r="G201" s="23"/>
      <c r="H201" s="305">
        <f>-SUM(H189:H200)</f>
        <v>0</v>
      </c>
      <c r="I201" s="164">
        <f>-SUM(I189:I200)</f>
        <v>-1.9961300000000001E-2</v>
      </c>
      <c r="J201" s="164">
        <f>-SUM(J189:J200)</f>
        <v>-1.8642946333333335</v>
      </c>
      <c r="K201" s="164">
        <f>-SUM(K189:K200)</f>
        <v>-2.1579279666666666</v>
      </c>
      <c r="L201" s="164">
        <f>-SUM(L189:L200)</f>
        <v>-2.3202279666666668</v>
      </c>
      <c r="M201" s="164">
        <f>IF(COUNT($H201:L201)&gt;=Input!$W$7,0, -SUM(M189:M200))</f>
        <v>0</v>
      </c>
      <c r="N201" s="164">
        <f>IF(COUNT($H201:M201)&gt;=Input!$W$7,0, -SUM(N189:N200))</f>
        <v>0</v>
      </c>
      <c r="O201" s="164">
        <f>IF(COUNT($H201:N201)&gt;=Input!$W$7,0, -SUM(O189:O200))</f>
        <v>0</v>
      </c>
      <c r="P201" s="164">
        <f>IF(COUNT($H201:O201)&gt;=Input!$W$7,0, -SUM(P189:P200))</f>
        <v>0</v>
      </c>
      <c r="Q201" s="164">
        <f>IF(COUNT($H201:P201)&gt;=Input!$W$7,0, -SUM(Q189:Q200))</f>
        <v>0</v>
      </c>
      <c r="R201" s="164"/>
      <c r="S201" s="106"/>
      <c r="T201" s="106"/>
      <c r="U201" s="106"/>
      <c r="V201" s="106"/>
      <c r="W201" s="106"/>
      <c r="X201" s="106"/>
      <c r="Y201" s="106"/>
      <c r="Z201" s="224"/>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04"/>
      <c r="BJ201" s="204"/>
      <c r="BK201" s="204"/>
      <c r="BL201" s="204"/>
      <c r="BM201" s="204"/>
      <c r="BN201" s="204"/>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idden="1" outlineLevel="2">
      <c r="A202" s="9"/>
      <c r="B202" s="280" t="str">
        <f>Asset11</f>
        <v>Transmission line assets - medium life (45)</v>
      </c>
      <c r="C202" s="31"/>
      <c r="D202" s="32" t="s">
        <v>65</v>
      </c>
      <c r="E202" s="31"/>
      <c r="F202" s="308"/>
      <c r="G202" s="308"/>
      <c r="H202" s="72" t="str">
        <f>IF(H$3&gt;A11taxremlife,A11taxvalue-SUM($F202:F202),IF(A11taxremlife="N/A","n/a",A11taxvalue/A11taxremlife))</f>
        <v>n/a</v>
      </c>
      <c r="I202" s="72" t="str">
        <f>IF(I$3&gt;A11taxremlife,A11taxvalue-SUM($F202:H202),IF(A11taxremlife="N/A","n/a",A11taxvalue/A11taxremlife))</f>
        <v>n/a</v>
      </c>
      <c r="J202" s="72" t="str">
        <f>IF(J$3&gt;A11taxremlife,A11taxvalue-SUM($F202:I202),IF(A11taxremlife="N/A","n/a",A11taxvalue/A11taxremlife))</f>
        <v>n/a</v>
      </c>
      <c r="K202" s="72" t="str">
        <f>IF(K$3&gt;A11taxremlife,A11taxvalue-SUM($F202:J202),IF(A11taxremlife="N/A","n/a",A11taxvalue/A11taxremlife))</f>
        <v>n/a</v>
      </c>
      <c r="L202" s="72" t="str">
        <f>IF(L$3&gt;A11taxremlife,A11taxvalue-SUM($F202:K202),IF(A11taxremlife="N/A","n/a",A11taxvalue/A11taxremlife))</f>
        <v>n/a</v>
      </c>
      <c r="M202" s="72" t="str">
        <f>IF(M$3&gt;A11taxremlife,A11taxvalue-SUM($F202:L202),IF(A11taxremlife="N/A","n/a",A11taxvalue/A11taxremlife))</f>
        <v>n/a</v>
      </c>
      <c r="N202" s="72" t="str">
        <f>IF(N$3&gt;A11taxremlife,A11taxvalue-SUM($F202:M202),IF(A11taxremlife="N/A","n/a",A11taxvalue/A11taxremlife))</f>
        <v>n/a</v>
      </c>
      <c r="O202" s="72" t="str">
        <f>IF(O$3&gt;A11taxremlife,A11taxvalue-SUM($F202:N202),IF(A11taxremlife="N/A","n/a",A11taxvalue/A11taxremlife))</f>
        <v>n/a</v>
      </c>
      <c r="P202" s="72" t="str">
        <f>IF(P$3&gt;A11taxremlife,A11taxvalue-SUM($F202:O202),IF(A11taxremlife="N/A","n/a",A11taxvalue/A11taxremlife))</f>
        <v>n/a</v>
      </c>
      <c r="Q202" s="72" t="str">
        <f>IF(Q$3&gt;A11taxremlife,A11taxvalue-SUM($F202:P202),IF(A11taxremlife="N/A","n/a",A11taxvalue/A11taxremlife))</f>
        <v>n/a</v>
      </c>
      <c r="R202" s="72"/>
      <c r="S202" s="107"/>
      <c r="T202" s="107"/>
      <c r="U202" s="107"/>
      <c r="V202" s="107"/>
      <c r="W202" s="107"/>
      <c r="X202" s="107"/>
      <c r="Y202" s="107"/>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04"/>
      <c r="BJ202" s="204"/>
      <c r="BK202" s="204"/>
      <c r="BL202" s="204"/>
      <c r="BM202" s="204"/>
      <c r="BN202" s="204"/>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6"/>
      <c r="D203" s="391" t="s">
        <v>81</v>
      </c>
      <c r="E203" s="91"/>
      <c r="F203" s="27"/>
      <c r="G203" s="27"/>
      <c r="H203" s="107"/>
      <c r="I203" s="73"/>
      <c r="J203" s="73"/>
      <c r="K203" s="73"/>
      <c r="L203" s="73"/>
      <c r="M203" s="73"/>
      <c r="N203" s="73"/>
      <c r="O203" s="73"/>
      <c r="P203" s="73"/>
      <c r="Q203" s="73"/>
      <c r="R203" s="73"/>
      <c r="S203" s="107"/>
      <c r="T203" s="107"/>
      <c r="U203" s="107"/>
      <c r="V203" s="107"/>
      <c r="W203" s="107"/>
      <c r="X203" s="107"/>
      <c r="Y203" s="107"/>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04"/>
      <c r="BJ203" s="204"/>
      <c r="BK203" s="204"/>
      <c r="BL203" s="204"/>
      <c r="BM203" s="204"/>
      <c r="BN203" s="204"/>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idden="1" outlineLevel="2">
      <c r="A204" s="9"/>
      <c r="B204" s="9"/>
      <c r="C204" s="26"/>
      <c r="D204" s="392"/>
      <c r="E204" s="91">
        <v>1</v>
      </c>
      <c r="F204" s="27"/>
      <c r="G204" s="27"/>
      <c r="H204" s="148"/>
      <c r="I204" s="73">
        <f>IF(A11taxstdlife="n/a","n/a",IF(I$3&gt;(A11taxstdlife+$E204),(Input!$H$153-Input!$H$187)-SUM($H204:H204),(Input!$H$153-Input!$H$187)/A11taxstdlife))</f>
        <v>2.8566666666666665E-4</v>
      </c>
      <c r="J204" s="73">
        <f>IF(A11taxstdlife="n/a","n/a",IF(J$3&gt;(A11taxstdlife+$E204),(Input!$H$153-Input!$H$187)-SUM($H204:I204),(Input!$H$153-Input!$H$187)/A11taxstdlife))</f>
        <v>2.8566666666666665E-4</v>
      </c>
      <c r="K204" s="73">
        <f>IF(A11taxstdlife="n/a","n/a",IF(K$3&gt;(A11taxstdlife+$E204),(Input!$H$153-Input!$H$187)-SUM($H204:J204),(Input!$H$153-Input!$H$187)/A11taxstdlife))</f>
        <v>2.8566666666666665E-4</v>
      </c>
      <c r="L204" s="73">
        <f>IF(A11taxstdlife="n/a","n/a",IF(L$3&gt;(A11taxstdlife+$E204),(Input!$H$153-Input!$H$187)-SUM($H204:K204),(Input!$H$153-Input!$H$187)/A11taxstdlife))</f>
        <v>2.8566666666666665E-4</v>
      </c>
      <c r="M204" s="73">
        <f>IF(A11taxstdlife="n/a","n/a",IF(M$3&gt;(A11taxstdlife+$E204),(Input!$H$153-Input!$H$187)-SUM($H204:L204),(Input!$H$153-Input!$H$187)/A11taxstdlife))</f>
        <v>2.8566666666666665E-4</v>
      </c>
      <c r="N204" s="73">
        <f>IF(A11taxstdlife="n/a","n/a",IF(N$3&gt;(A11taxstdlife+$E204),(Input!$H$153-Input!$H$187)-SUM($H204:M204),(Input!$H$153-Input!$H$187)/A11taxstdlife))</f>
        <v>2.8566666666666665E-4</v>
      </c>
      <c r="O204" s="73">
        <f>IF(A11taxstdlife="n/a","n/a",IF(O$3&gt;(A11taxstdlife+$E204),(Input!$H$153-Input!$H$187)-SUM($H204:N204),(Input!$H$153-Input!$H$187)/A11taxstdlife))</f>
        <v>2.8566666666666665E-4</v>
      </c>
      <c r="P204" s="73">
        <f>IF(A11taxstdlife="n/a","n/a",IF(P$3&gt;(A11taxstdlife+$E204),(Input!$H$153-Input!$H$187)-SUM($H204:O204),(Input!$H$153-Input!$H$187)/A11taxstdlife))</f>
        <v>2.8566666666666665E-4</v>
      </c>
      <c r="Q204" s="73">
        <f>IF(A11taxstdlife="n/a","n/a",IF(Q$3&gt;(A11taxstdlife+$E204),(Input!$H$153-Input!$H$187)-SUM($H204:P204),(Input!$H$153-Input!$H$187)/A11taxstdlife))</f>
        <v>2.8566666666666665E-4</v>
      </c>
      <c r="R204" s="73"/>
      <c r="S204" s="107"/>
      <c r="T204" s="107"/>
      <c r="U204" s="107"/>
      <c r="V204" s="107"/>
      <c r="W204" s="107"/>
      <c r="X204" s="107"/>
      <c r="Y204" s="107"/>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04"/>
      <c r="BJ204" s="204"/>
      <c r="BK204" s="204"/>
      <c r="BL204" s="204"/>
      <c r="BM204" s="204"/>
      <c r="BN204" s="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idden="1" outlineLevel="2">
      <c r="A205" s="9"/>
      <c r="B205" s="9"/>
      <c r="C205" s="26"/>
      <c r="D205" s="392"/>
      <c r="E205" s="91">
        <v>2</v>
      </c>
      <c r="F205" s="27"/>
      <c r="G205" s="27"/>
      <c r="H205" s="149"/>
      <c r="I205" s="150"/>
      <c r="J205" s="73">
        <f>IF(A11taxstdlife="n/a","n/a",IF(J$3&gt;(A11taxstdlife+$E205),(Input!$I$153-Input!$I$187)-SUM($I205:I205),(Input!$I$153-Input!$I$187)/A11taxstdlife))</f>
        <v>6.6666666666666664E-4</v>
      </c>
      <c r="K205" s="73">
        <f>IF(A11taxstdlife="n/a","n/a",IF(K$3&gt;(A11taxstdlife+$E205),(Input!$I$153-Input!$I$187)-SUM($I205:J205),(Input!$I$153-Input!$I$187)/A11taxstdlife))</f>
        <v>6.6666666666666664E-4</v>
      </c>
      <c r="L205" s="73">
        <f>IF(A11taxstdlife="n/a","n/a",IF(L$3&gt;(A11taxstdlife+$E205),(Input!$I$153-Input!$I$187)-SUM($I205:K205),(Input!$I$153-Input!$I$187)/A11taxstdlife))</f>
        <v>6.6666666666666664E-4</v>
      </c>
      <c r="M205" s="73">
        <f>IF(A11taxstdlife="n/a","n/a",IF(M$3&gt;(A11taxstdlife+$E205),(Input!$I$153-Input!$I$187)-SUM($I205:L205),(Input!$I$153-Input!$I$187)/A11taxstdlife))</f>
        <v>6.6666666666666664E-4</v>
      </c>
      <c r="N205" s="73">
        <f>IF(A11taxstdlife="n/a","n/a",IF(N$3&gt;(A11taxstdlife+$E205),(Input!$I$153-Input!$I$187)-SUM($I205:M205),(Input!$I$153-Input!$I$187)/A11taxstdlife))</f>
        <v>6.6666666666666664E-4</v>
      </c>
      <c r="O205" s="73">
        <f>IF(A11taxstdlife="n/a","n/a",IF(O$3&gt;(A11taxstdlife+$E205),(Input!$I$153-Input!$I$187)-SUM($I205:N205),(Input!$I$153-Input!$I$187)/A11taxstdlife))</f>
        <v>6.6666666666666664E-4</v>
      </c>
      <c r="P205" s="73">
        <f>IF(A11taxstdlife="n/a","n/a",IF(P$3&gt;(A11taxstdlife+$E205),(Input!$I$153-Input!$I$187)-SUM($I205:O205),(Input!$I$153-Input!$I$187)/A11taxstdlife))</f>
        <v>6.6666666666666664E-4</v>
      </c>
      <c r="Q205" s="73">
        <f>IF(A11taxstdlife="n/a","n/a",IF(Q$3&gt;(A11taxstdlife+$E205),(Input!$I$153-Input!$I$187)-SUM($I205:P205),(Input!$I$153-Input!$I$187)/A11taxstdlife))</f>
        <v>6.6666666666666664E-4</v>
      </c>
      <c r="R205" s="73"/>
      <c r="S205" s="107"/>
      <c r="T205" s="107"/>
      <c r="U205" s="107"/>
      <c r="V205" s="107"/>
      <c r="W205" s="107"/>
      <c r="X205" s="107"/>
      <c r="Y205" s="107"/>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04"/>
      <c r="BJ205" s="204"/>
      <c r="BK205" s="204"/>
      <c r="BL205" s="204"/>
      <c r="BM205" s="204"/>
      <c r="BN205" s="204"/>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idden="1" outlineLevel="2">
      <c r="A206" s="9"/>
      <c r="B206" s="9"/>
      <c r="C206" s="26"/>
      <c r="D206" s="392"/>
      <c r="E206" s="91">
        <v>3</v>
      </c>
      <c r="F206" s="27"/>
      <c r="G206" s="27"/>
      <c r="H206" s="149"/>
      <c r="I206" s="151"/>
      <c r="J206" s="150"/>
      <c r="K206" s="73">
        <f>IF(A11taxstdlife="n/a","n/a",IF(K$3&gt;(A11taxstdlife+$E206),(Input!$J$153-Input!$J$187)-SUM($J206:J206),(Input!$J$153-Input!$J$187)/A11taxstdlife))</f>
        <v>4.1999999999999997E-3</v>
      </c>
      <c r="L206" s="73">
        <f>IF(A11taxstdlife="n/a","n/a",IF(L$3&gt;(A11taxstdlife+$E206),(Input!$J$153-Input!$J$187)-SUM($J206:K206),(Input!$J$153-Input!$J$187)/A11taxstdlife))</f>
        <v>4.1999999999999997E-3</v>
      </c>
      <c r="M206" s="73">
        <f>IF(A11taxstdlife="n/a","n/a",IF(M$3&gt;(A11taxstdlife+$E206),(Input!$J$153-Input!$J$187)-SUM($J206:L206),(Input!$J$153-Input!$J$187)/A11taxstdlife))</f>
        <v>4.1999999999999997E-3</v>
      </c>
      <c r="N206" s="73">
        <f>IF(A11taxstdlife="n/a","n/a",IF(N$3&gt;(A11taxstdlife+$E206),(Input!$J$153-Input!$J$187)-SUM($J206:M206),(Input!$J$153-Input!$J$187)/A11taxstdlife))</f>
        <v>4.1999999999999997E-3</v>
      </c>
      <c r="O206" s="73">
        <f>IF(A11taxstdlife="n/a","n/a",IF(O$3&gt;(A11taxstdlife+$E206),(Input!$J$153-Input!$J$187)-SUM($J206:N206),(Input!$J$153-Input!$J$187)/A11taxstdlife))</f>
        <v>4.1999999999999997E-3</v>
      </c>
      <c r="P206" s="73">
        <f>IF(A11taxstdlife="n/a","n/a",IF(P$3&gt;(A11taxstdlife+$E206),(Input!$J$153-Input!$J$187)-SUM($J206:O206),(Input!$J$153-Input!$J$187)/A11taxstdlife))</f>
        <v>4.1999999999999997E-3</v>
      </c>
      <c r="Q206" s="73">
        <f>IF(A11taxstdlife="n/a","n/a",IF(Q$3&gt;(A11taxstdlife+$E206),(Input!$J$153-Input!$J$187)-SUM($J206:P206),(Input!$J$153-Input!$J$187)/A11taxstdlife))</f>
        <v>4.1999999999999997E-3</v>
      </c>
      <c r="R206" s="73"/>
      <c r="S206" s="107"/>
      <c r="T206" s="107"/>
      <c r="U206" s="107"/>
      <c r="V206" s="107"/>
      <c r="W206" s="107"/>
      <c r="X206" s="107"/>
      <c r="Y206" s="107"/>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04"/>
      <c r="BJ206" s="204"/>
      <c r="BK206" s="204"/>
      <c r="BL206" s="204"/>
      <c r="BM206" s="204"/>
      <c r="BN206" s="204"/>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idden="1" outlineLevel="2">
      <c r="A207" s="9"/>
      <c r="B207" s="9"/>
      <c r="C207" s="26"/>
      <c r="D207" s="392"/>
      <c r="E207" s="91">
        <v>4</v>
      </c>
      <c r="F207" s="27"/>
      <c r="G207" s="27"/>
      <c r="H207" s="149"/>
      <c r="I207" s="151"/>
      <c r="J207" s="151"/>
      <c r="K207" s="150"/>
      <c r="L207" s="73">
        <f>IF(A11taxstdlife="n/a","n/a",IF(L$3&gt;(A11taxstdlife+$E207),(Input!$K$153-Input!$K$187)-SUM($K207:K207),(Input!$K$153-Input!$K$187)/A11taxstdlife))</f>
        <v>8.4666666666666675E-3</v>
      </c>
      <c r="M207" s="73">
        <f>IF(A11taxstdlife="n/a","n/a",IF(M$3&gt;(A11taxstdlife+$E207),(Input!$K$153-Input!$K$187)-SUM($K207:L207),(Input!$K$153-Input!$K$187)/A11taxstdlife))</f>
        <v>8.4666666666666675E-3</v>
      </c>
      <c r="N207" s="73">
        <f>IF(A11taxstdlife="n/a","n/a",IF(N$3&gt;(A11taxstdlife+$E207),(Input!$K$153-Input!$K$187)-SUM($K207:M207),(Input!$K$153-Input!$K$187)/A11taxstdlife))</f>
        <v>8.4666666666666675E-3</v>
      </c>
      <c r="O207" s="73">
        <f>IF(A11taxstdlife="n/a","n/a",IF(O$3&gt;(A11taxstdlife+$E207),(Input!$K$153-Input!$K$187)-SUM($K207:N207),(Input!$K$153-Input!$K$187)/A11taxstdlife))</f>
        <v>8.4666666666666675E-3</v>
      </c>
      <c r="P207" s="73">
        <f>IF(A11taxstdlife="n/a","n/a",IF(P$3&gt;(A11taxstdlife+$E207),(Input!$K$153-Input!$K$187)-SUM($K207:O207),(Input!$K$153-Input!$K$187)/A11taxstdlife))</f>
        <v>8.4666666666666675E-3</v>
      </c>
      <c r="Q207" s="73">
        <f>IF(A11taxstdlife="n/a","n/a",IF(Q$3&gt;(A11taxstdlife+$E207),(Input!$K$153-Input!$K$187)-SUM($K207:P207),(Input!$K$153-Input!$K$187)/A11taxstdlife))</f>
        <v>8.4666666666666675E-3</v>
      </c>
      <c r="R207" s="73"/>
      <c r="S207" s="107"/>
      <c r="T207" s="107"/>
      <c r="U207" s="107"/>
      <c r="V207" s="107"/>
      <c r="W207" s="107"/>
      <c r="X207" s="107"/>
      <c r="Y207" s="107"/>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04"/>
      <c r="BJ207" s="204"/>
      <c r="BK207" s="204"/>
      <c r="BL207" s="204"/>
      <c r="BM207" s="204"/>
      <c r="BN207" s="204"/>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idden="1" outlineLevel="2">
      <c r="A208" s="9"/>
      <c r="B208" s="9"/>
      <c r="C208" s="26"/>
      <c r="D208" s="392"/>
      <c r="E208" s="91">
        <v>5</v>
      </c>
      <c r="F208" s="27"/>
      <c r="G208" s="27"/>
      <c r="H208" s="149"/>
      <c r="I208" s="151"/>
      <c r="J208" s="151"/>
      <c r="K208" s="151"/>
      <c r="L208" s="150"/>
      <c r="M208" s="73">
        <f>IF(A11taxstdlife="n/a","n/a",IF(M$3&gt;(A11taxstdlife+$E208),(Input!$L$153-Input!$L$187)-SUM($L208:L208),(Input!$L$153-Input!$L$187)/A11taxstdlife))</f>
        <v>3.3741999999999999E-3</v>
      </c>
      <c r="N208" s="73">
        <f>IF(A11taxstdlife="n/a","n/a",IF(N$3&gt;(A11taxstdlife+$E208),(Input!$L$153-Input!$L$187)-SUM($L208:M208),(Input!$L$153-Input!$L$187)/A11taxstdlife))</f>
        <v>3.3741999999999999E-3</v>
      </c>
      <c r="O208" s="73">
        <f>IF(A11taxstdlife="n/a","n/a",IF(O$3&gt;(A11taxstdlife+$E208),(Input!$L$153-Input!$L$187)-SUM($L208:N208),(Input!$L$153-Input!$L$187)/A11taxstdlife))</f>
        <v>3.3741999999999999E-3</v>
      </c>
      <c r="P208" s="73">
        <f>IF(A11taxstdlife="n/a","n/a",IF(P$3&gt;(A11taxstdlife+$E208),(Input!$L$153-Input!$L$187)-SUM($L208:O208),(Input!$L$153-Input!$L$187)/A11taxstdlife))</f>
        <v>3.3741999999999999E-3</v>
      </c>
      <c r="Q208" s="73">
        <f>IF(A11taxstdlife="n/a","n/a",IF(Q$3&gt;(A11taxstdlife+$E208),(Input!$L$153-Input!$L$187)-SUM($L208:P208),(Input!$L$153-Input!$L$187)/A11taxstdlife))</f>
        <v>3.3741999999999999E-3</v>
      </c>
      <c r="R208" s="73"/>
      <c r="S208" s="107"/>
      <c r="T208" s="107"/>
      <c r="U208" s="107"/>
      <c r="V208" s="107"/>
      <c r="W208" s="107"/>
      <c r="X208" s="107"/>
      <c r="Y208" s="107"/>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04"/>
      <c r="BJ208" s="204"/>
      <c r="BK208" s="204"/>
      <c r="BL208" s="204"/>
      <c r="BM208" s="204"/>
      <c r="BN208" s="204"/>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idden="1" outlineLevel="2">
      <c r="A209" s="9"/>
      <c r="B209" s="9"/>
      <c r="C209" s="26"/>
      <c r="D209" s="392"/>
      <c r="E209" s="91">
        <v>6</v>
      </c>
      <c r="F209" s="27"/>
      <c r="G209" s="27"/>
      <c r="H209" s="149"/>
      <c r="I209" s="151"/>
      <c r="J209" s="151"/>
      <c r="K209" s="151"/>
      <c r="L209" s="151"/>
      <c r="M209" s="150"/>
      <c r="N209" s="73">
        <f>IF(A11taxstdlife="n/a","n/a",IF(N$3&gt;(A11taxstdlife+$E209),(Input!$M$153-Input!$M$187)-SUM($M209:M209),(Input!$M$153-Input!$M$187)/A11taxstdlife))</f>
        <v>0</v>
      </c>
      <c r="O209" s="73">
        <f>IF(A11taxstdlife="n/a","n/a",IF(O$3&gt;(A11taxstdlife+$E209),(Input!$M$153-Input!$M$187)-SUM($M209:N209),(Input!$M$153-Input!$M$187)/A11taxstdlife))</f>
        <v>0</v>
      </c>
      <c r="P209" s="73">
        <f>IF(A11taxstdlife="n/a","n/a",IF(P$3&gt;(A11taxstdlife+$E209),(Input!$M$153-Input!$M$187)-SUM($M209:O209),(Input!$M$153-Input!$M$187)/A11taxstdlife))</f>
        <v>0</v>
      </c>
      <c r="Q209" s="73">
        <f>IF(A11taxstdlife="n/a","n/a",IF(Q$3&gt;(A11taxstdlife+$E209),(Input!$M$153-Input!$M$187)-SUM($M209:P209),(Input!$M$153-Input!$M$187)/A11taxstdlife))</f>
        <v>0</v>
      </c>
      <c r="R209" s="73"/>
      <c r="S209" s="107"/>
      <c r="T209" s="107"/>
      <c r="U209" s="107"/>
      <c r="V209" s="107"/>
      <c r="W209" s="107"/>
      <c r="X209" s="107"/>
      <c r="Y209" s="107"/>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04"/>
      <c r="BJ209" s="204"/>
      <c r="BK209" s="204"/>
      <c r="BL209" s="204"/>
      <c r="BM209" s="204"/>
      <c r="BN209" s="204"/>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idden="1" outlineLevel="2">
      <c r="A210" s="9"/>
      <c r="B210" s="9"/>
      <c r="C210" s="26"/>
      <c r="D210" s="392"/>
      <c r="E210" s="91">
        <v>7</v>
      </c>
      <c r="F210" s="27"/>
      <c r="G210" s="27"/>
      <c r="H210" s="149"/>
      <c r="I210" s="151"/>
      <c r="J210" s="151"/>
      <c r="K210" s="151"/>
      <c r="L210" s="151"/>
      <c r="M210" s="151"/>
      <c r="N210" s="150"/>
      <c r="O210" s="73">
        <f>IF(A11taxstdlife="n/a","n/a",IF(O$3&gt;(A11taxstdlife+$E210),(Input!$N$153-Input!$N$187)-SUM($N210:N210),(Input!$N$153-Input!$N$187)/A11taxstdlife))</f>
        <v>0</v>
      </c>
      <c r="P210" s="73">
        <f>IF(A11taxstdlife="n/a","n/a",IF(P$3&gt;(A11taxstdlife+$E210),(Input!$N$153-Input!$N$187)-SUM($N210:O210),(Input!$N$153-Input!$N$187)/A11taxstdlife))</f>
        <v>0</v>
      </c>
      <c r="Q210" s="73">
        <f>IF(A11taxstdlife="n/a","n/a",IF(Q$3&gt;(A11taxstdlife+$E210),(Input!$N$153-Input!$N$187)-SUM($N210:P210),(Input!$N$153-Input!$N$187)/A11taxstdlife))</f>
        <v>0</v>
      </c>
      <c r="R210" s="73"/>
      <c r="S210" s="107"/>
      <c r="T210" s="107"/>
      <c r="U210" s="107"/>
      <c r="V210" s="107"/>
      <c r="W210" s="107"/>
      <c r="X210" s="107"/>
      <c r="Y210" s="107"/>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04"/>
      <c r="BJ210" s="204"/>
      <c r="BK210" s="204"/>
      <c r="BL210" s="204"/>
      <c r="BM210" s="204"/>
      <c r="BN210" s="204"/>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idden="1" outlineLevel="2">
      <c r="A211" s="9"/>
      <c r="B211" s="9"/>
      <c r="C211" s="26"/>
      <c r="D211" s="392"/>
      <c r="E211" s="91">
        <v>8</v>
      </c>
      <c r="F211" s="27"/>
      <c r="G211" s="27"/>
      <c r="H211" s="149"/>
      <c r="I211" s="151"/>
      <c r="J211" s="151"/>
      <c r="K211" s="151"/>
      <c r="L211" s="151"/>
      <c r="M211" s="151"/>
      <c r="N211" s="151"/>
      <c r="O211" s="150"/>
      <c r="P211" s="73">
        <f>IF(A11taxstdlife="n/a","n/a",IF(P$3&gt;(A11taxstdlife+$E211),(Input!$O$153-Input!$O$187)-SUM($O211:O211),(Input!$O$153-Input!$O$187)/A11taxstdlife))</f>
        <v>0</v>
      </c>
      <c r="Q211" s="73">
        <f>IF(A11taxstdlife="n/a","n/a",IF(Q$3&gt;(A11taxstdlife+$E211),(Input!$O$153-Input!$O$187)-SUM($O211:P211),(Input!$O$153-Input!$O$187)/A11taxstdlife))</f>
        <v>0</v>
      </c>
      <c r="R211" s="73"/>
      <c r="S211" s="107"/>
      <c r="T211" s="107"/>
      <c r="U211" s="107"/>
      <c r="V211" s="107"/>
      <c r="W211" s="107"/>
      <c r="X211" s="107"/>
      <c r="Y211" s="107"/>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04"/>
      <c r="BJ211" s="204"/>
      <c r="BK211" s="204"/>
      <c r="BL211" s="204"/>
      <c r="BM211" s="204"/>
      <c r="BN211" s="204"/>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idden="1" outlineLevel="2">
      <c r="A212" s="9"/>
      <c r="B212" s="9"/>
      <c r="C212" s="26"/>
      <c r="D212" s="392"/>
      <c r="E212" s="91">
        <v>9</v>
      </c>
      <c r="F212" s="27"/>
      <c r="G212" s="27"/>
      <c r="H212" s="149"/>
      <c r="I212" s="151"/>
      <c r="J212" s="151"/>
      <c r="K212" s="151"/>
      <c r="L212" s="151"/>
      <c r="M212" s="151"/>
      <c r="N212" s="151"/>
      <c r="O212" s="151"/>
      <c r="P212" s="150"/>
      <c r="Q212" s="73">
        <f>IF(A11taxstdlife="n/a","n/a",IF(Q$3&gt;(A11taxstdlife+$E212),(Input!$P$153-Input!$P$187)-SUM($P212:P212),(Input!$P$153-Input!$P$187)/A11taxstdlife))</f>
        <v>0</v>
      </c>
      <c r="R212" s="73"/>
      <c r="S212" s="107"/>
      <c r="T212" s="107"/>
      <c r="U212" s="107"/>
      <c r="V212" s="107"/>
      <c r="W212" s="107"/>
      <c r="X212" s="107"/>
      <c r="Y212" s="107"/>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04"/>
      <c r="BJ212" s="204"/>
      <c r="BK212" s="204"/>
      <c r="BL212" s="204"/>
      <c r="BM212" s="204"/>
      <c r="BN212" s="204"/>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idden="1" outlineLevel="2">
      <c r="A213" s="9"/>
      <c r="B213" s="9"/>
      <c r="C213" s="26"/>
      <c r="D213" s="392"/>
      <c r="E213" s="92">
        <v>10</v>
      </c>
      <c r="F213" s="27"/>
      <c r="G213" s="27"/>
      <c r="H213" s="149"/>
      <c r="I213" s="151"/>
      <c r="J213" s="151"/>
      <c r="K213" s="151"/>
      <c r="L213" s="151"/>
      <c r="M213" s="151"/>
      <c r="N213" s="151"/>
      <c r="O213" s="151"/>
      <c r="P213" s="151"/>
      <c r="Q213" s="150"/>
      <c r="R213" s="73"/>
      <c r="S213" s="107"/>
      <c r="T213" s="107"/>
      <c r="U213" s="107"/>
      <c r="V213" s="107"/>
      <c r="W213" s="107"/>
      <c r="X213" s="107"/>
      <c r="Y213" s="107"/>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04"/>
      <c r="BJ213" s="204"/>
      <c r="BK213" s="204"/>
      <c r="BL213" s="204"/>
      <c r="BM213" s="204"/>
      <c r="BN213" s="204"/>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idden="1" outlineLevel="1" collapsed="1">
      <c r="A214" s="9"/>
      <c r="B214" s="9"/>
      <c r="C214" s="279" t="str">
        <f>Asset11</f>
        <v>Transmission line assets - medium life (45)</v>
      </c>
      <c r="D214" s="9"/>
      <c r="E214" s="9"/>
      <c r="F214" s="23"/>
      <c r="G214" s="23"/>
      <c r="H214" s="305">
        <f>-SUM(H202:H213)</f>
        <v>0</v>
      </c>
      <c r="I214" s="164">
        <f>-SUM(I202:I213)</f>
        <v>-2.8566666666666665E-4</v>
      </c>
      <c r="J214" s="164">
        <f>-SUM(J202:J213)</f>
        <v>-9.5233333333333324E-4</v>
      </c>
      <c r="K214" s="164">
        <f>-SUM(K202:K213)</f>
        <v>-5.1523333333333334E-3</v>
      </c>
      <c r="L214" s="164">
        <f>-SUM(L202:L213)</f>
        <v>-1.3619000000000001E-2</v>
      </c>
      <c r="M214" s="164">
        <f>IF(COUNT($H214:L214)&gt;=Input!$W$7,0, -SUM(M202:M213))</f>
        <v>0</v>
      </c>
      <c r="N214" s="164">
        <f>IF(COUNT($H214:M214)&gt;=Input!$W$7,0, -SUM(N202:N213))</f>
        <v>0</v>
      </c>
      <c r="O214" s="164">
        <f>IF(COUNT($H214:N214)&gt;=Input!$W$7,0, -SUM(O202:O213))</f>
        <v>0</v>
      </c>
      <c r="P214" s="164">
        <f>IF(COUNT($H214:O214)&gt;=Input!$W$7,0, -SUM(P202:P213))</f>
        <v>0</v>
      </c>
      <c r="Q214" s="164">
        <f>IF(COUNT($H214:P214)&gt;=Input!$W$7,0, -SUM(Q202:Q213))</f>
        <v>0</v>
      </c>
      <c r="R214" s="164"/>
      <c r="S214" s="106"/>
      <c r="T214" s="106"/>
      <c r="U214" s="106"/>
      <c r="V214" s="106"/>
      <c r="W214" s="106"/>
      <c r="X214" s="106"/>
      <c r="Y214" s="106"/>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04"/>
      <c r="BJ214" s="204"/>
      <c r="BK214" s="204"/>
      <c r="BL214" s="204"/>
      <c r="BM214" s="204"/>
      <c r="BN214" s="20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idden="1" outlineLevel="2">
      <c r="A215" s="9"/>
      <c r="B215" s="280" t="str">
        <f>Asset12</f>
        <v>Transmission line assets - short life (10)</v>
      </c>
      <c r="C215" s="31"/>
      <c r="D215" s="32" t="s">
        <v>65</v>
      </c>
      <c r="E215" s="31"/>
      <c r="F215" s="308"/>
      <c r="G215" s="308"/>
      <c r="H215" s="72" t="str">
        <f>IF(H$3&gt;A12taxremlife,A12taxvalue-SUM($F215:F215),IF(A12taxremlife="N/A","n/a",A12taxvalue/A12taxremlife))</f>
        <v>n/a</v>
      </c>
      <c r="I215" s="72" t="str">
        <f>IF(I$3&gt;A12taxremlife,A12taxvalue-SUM($F215:H215),IF(A12taxremlife="N/A","n/a",A12taxvalue/A12taxremlife))</f>
        <v>n/a</v>
      </c>
      <c r="J215" s="72" t="str">
        <f>IF(J$3&gt;A12taxremlife,A12taxvalue-SUM($F215:I215),IF(A12taxremlife="N/A","n/a",A12taxvalue/A12taxremlife))</f>
        <v>n/a</v>
      </c>
      <c r="K215" s="72" t="str">
        <f>IF(K$3&gt;A12taxremlife,A12taxvalue-SUM($F215:J215),IF(A12taxremlife="N/A","n/a",A12taxvalue/A12taxremlife))</f>
        <v>n/a</v>
      </c>
      <c r="L215" s="72" t="str">
        <f>IF(L$3&gt;A12taxremlife,A12taxvalue-SUM($F215:K215),IF(A12taxremlife="N/A","n/a",A12taxvalue/A12taxremlife))</f>
        <v>n/a</v>
      </c>
      <c r="M215" s="72" t="str">
        <f>IF(M$3&gt;A12taxremlife,A12taxvalue-SUM($F215:L215),IF(A12taxremlife="N/A","n/a",A12taxvalue/A12taxremlife))</f>
        <v>n/a</v>
      </c>
      <c r="N215" s="72" t="str">
        <f>IF(N$3&gt;A12taxremlife,A12taxvalue-SUM($F215:M215),IF(A12taxremlife="N/A","n/a",A12taxvalue/A12taxremlife))</f>
        <v>n/a</v>
      </c>
      <c r="O215" s="72" t="str">
        <f>IF(O$3&gt;A12taxremlife,A12taxvalue-SUM($F215:N215),IF(A12taxremlife="N/A","n/a",A12taxvalue/A12taxremlife))</f>
        <v>n/a</v>
      </c>
      <c r="P215" s="72" t="str">
        <f>IF(P$3&gt;A12taxremlife,A12taxvalue-SUM($F215:O215),IF(A12taxremlife="N/A","n/a",A12taxvalue/A12taxremlife))</f>
        <v>n/a</v>
      </c>
      <c r="Q215" s="72" t="str">
        <f>IF(Q$3&gt;A12taxremlife,A12taxvalue-SUM($F215:P215),IF(A12taxremlife="N/A","n/a",A12taxvalue/A12taxremlife))</f>
        <v>n/a</v>
      </c>
      <c r="R215" s="72"/>
      <c r="S215" s="107"/>
      <c r="T215" s="107"/>
      <c r="U215" s="107"/>
      <c r="V215" s="107"/>
      <c r="W215" s="107"/>
      <c r="X215" s="107"/>
      <c r="Y215" s="107"/>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04"/>
      <c r="BJ215" s="204"/>
      <c r="BK215" s="204"/>
      <c r="BL215" s="204"/>
      <c r="BM215" s="204"/>
      <c r="BN215" s="204"/>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6"/>
      <c r="D216" s="391" t="s">
        <v>81</v>
      </c>
      <c r="E216" s="91"/>
      <c r="F216" s="27"/>
      <c r="G216" s="27"/>
      <c r="H216" s="107"/>
      <c r="I216" s="73"/>
      <c r="J216" s="73"/>
      <c r="K216" s="73"/>
      <c r="L216" s="73"/>
      <c r="M216" s="73"/>
      <c r="N216" s="73"/>
      <c r="O216" s="73"/>
      <c r="P216" s="73"/>
      <c r="Q216" s="73"/>
      <c r="R216" s="73"/>
      <c r="S216" s="107"/>
      <c r="T216" s="107"/>
      <c r="U216" s="107"/>
      <c r="V216" s="107"/>
      <c r="W216" s="107"/>
      <c r="X216" s="107"/>
      <c r="Y216" s="107"/>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04"/>
      <c r="BJ216" s="204"/>
      <c r="BK216" s="204"/>
      <c r="BL216" s="204"/>
      <c r="BM216" s="204"/>
      <c r="BN216" s="204"/>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idden="1" outlineLevel="2">
      <c r="A217" s="9"/>
      <c r="B217" s="9"/>
      <c r="C217" s="26"/>
      <c r="D217" s="392"/>
      <c r="E217" s="91">
        <v>1</v>
      </c>
      <c r="F217" s="27"/>
      <c r="G217" s="27"/>
      <c r="H217" s="148"/>
      <c r="I217" s="73">
        <f>IF(A12taxstdlife="n/a","n/a",IF(I$3&gt;(A12taxstdlife+$E217),(Input!$H$154-Input!$H$188)-SUM($H217:H217),(Input!$H$154-Input!$H$188)/A12taxstdlife))</f>
        <v>3.6027799999999999E-2</v>
      </c>
      <c r="J217" s="73">
        <f>IF(A12taxstdlife="n/a","n/a",IF(J$3&gt;(A12taxstdlife+$E217),(Input!$H$154-Input!$H$188)-SUM($H217:I217),(Input!$H$154-Input!$H$188)/A12taxstdlife))</f>
        <v>3.6027799999999999E-2</v>
      </c>
      <c r="K217" s="73">
        <f>IF(A12taxstdlife="n/a","n/a",IF(K$3&gt;(A12taxstdlife+$E217),(Input!$H$154-Input!$H$188)-SUM($H217:J217),(Input!$H$154-Input!$H$188)/A12taxstdlife))</f>
        <v>3.6027799999999999E-2</v>
      </c>
      <c r="L217" s="73">
        <f>IF(A12taxstdlife="n/a","n/a",IF(L$3&gt;(A12taxstdlife+$E217),(Input!$H$154-Input!$H$188)-SUM($H217:K217),(Input!$H$154-Input!$H$188)/A12taxstdlife))</f>
        <v>3.6027799999999999E-2</v>
      </c>
      <c r="M217" s="73">
        <f>IF(A12taxstdlife="n/a","n/a",IF(M$3&gt;(A12taxstdlife+$E217),(Input!$H$154-Input!$H$188)-SUM($H217:L217),(Input!$H$154-Input!$H$188)/A12taxstdlife))</f>
        <v>3.6027799999999999E-2</v>
      </c>
      <c r="N217" s="73">
        <f>IF(A12taxstdlife="n/a","n/a",IF(N$3&gt;(A12taxstdlife+$E217),(Input!$H$154-Input!$H$188)-SUM($H217:M217),(Input!$H$154-Input!$H$188)/A12taxstdlife))</f>
        <v>3.6027799999999999E-2</v>
      </c>
      <c r="O217" s="73">
        <f>IF(A12taxstdlife="n/a","n/a",IF(O$3&gt;(A12taxstdlife+$E217),(Input!$H$154-Input!$H$188)-SUM($H217:N217),(Input!$H$154-Input!$H$188)/A12taxstdlife))</f>
        <v>3.6027799999999999E-2</v>
      </c>
      <c r="P217" s="73">
        <f>IF(A12taxstdlife="n/a","n/a",IF(P$3&gt;(A12taxstdlife+$E217),(Input!$H$154-Input!$H$188)-SUM($H217:O217),(Input!$H$154-Input!$H$188)/A12taxstdlife))</f>
        <v>3.6027799999999999E-2</v>
      </c>
      <c r="Q217" s="73">
        <f>IF(A12taxstdlife="n/a","n/a",IF(Q$3&gt;(A12taxstdlife+$E217),(Input!$H$154-Input!$H$188)-SUM($H217:P217),(Input!$H$154-Input!$H$188)/A12taxstdlife))</f>
        <v>3.6027799999999999E-2</v>
      </c>
      <c r="R217" s="73"/>
      <c r="S217" s="107"/>
      <c r="T217" s="107"/>
      <c r="U217" s="107"/>
      <c r="V217" s="107"/>
      <c r="W217" s="107"/>
      <c r="X217" s="107"/>
      <c r="Y217" s="107"/>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04"/>
      <c r="BJ217" s="204"/>
      <c r="BK217" s="204"/>
      <c r="BL217" s="204"/>
      <c r="BM217" s="204"/>
      <c r="BN217" s="204"/>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idden="1" outlineLevel="2">
      <c r="A218" s="9"/>
      <c r="B218" s="9"/>
      <c r="C218" s="26"/>
      <c r="D218" s="392"/>
      <c r="E218" s="91">
        <v>2</v>
      </c>
      <c r="F218" s="27"/>
      <c r="G218" s="27"/>
      <c r="H218" s="149"/>
      <c r="I218" s="150"/>
      <c r="J218" s="73">
        <f>IF(A12taxstdlife="n/a","n/a",IF(J$3&gt;(A12taxstdlife+$E218),(Input!$I$154-Input!$I$188)-SUM($I218:I218),(Input!$I$154-Input!$I$188)/A12taxstdlife))</f>
        <v>3.8300000000000001E-2</v>
      </c>
      <c r="K218" s="73">
        <f>IF(A12taxstdlife="n/a","n/a",IF(K$3&gt;(A12taxstdlife+$E218),(Input!$I$154-Input!$I$188)-SUM($I218:J218),(Input!$I$154-Input!$I$188)/A12taxstdlife))</f>
        <v>3.8300000000000001E-2</v>
      </c>
      <c r="L218" s="73">
        <f>IF(A12taxstdlife="n/a","n/a",IF(L$3&gt;(A12taxstdlife+$E218),(Input!$I$154-Input!$I$188)-SUM($I218:K218),(Input!$I$154-Input!$I$188)/A12taxstdlife))</f>
        <v>3.8300000000000001E-2</v>
      </c>
      <c r="M218" s="73">
        <f>IF(A12taxstdlife="n/a","n/a",IF(M$3&gt;(A12taxstdlife+$E218),(Input!$I$154-Input!$I$188)-SUM($I218:L218),(Input!$I$154-Input!$I$188)/A12taxstdlife))</f>
        <v>3.8300000000000001E-2</v>
      </c>
      <c r="N218" s="73">
        <f>IF(A12taxstdlife="n/a","n/a",IF(N$3&gt;(A12taxstdlife+$E218),(Input!$I$154-Input!$I$188)-SUM($I218:M218),(Input!$I$154-Input!$I$188)/A12taxstdlife))</f>
        <v>3.8300000000000001E-2</v>
      </c>
      <c r="O218" s="73">
        <f>IF(A12taxstdlife="n/a","n/a",IF(O$3&gt;(A12taxstdlife+$E218),(Input!$I$154-Input!$I$188)-SUM($I218:N218),(Input!$I$154-Input!$I$188)/A12taxstdlife))</f>
        <v>3.8300000000000001E-2</v>
      </c>
      <c r="P218" s="73">
        <f>IF(A12taxstdlife="n/a","n/a",IF(P$3&gt;(A12taxstdlife+$E218),(Input!$I$154-Input!$I$188)-SUM($I218:O218),(Input!$I$154-Input!$I$188)/A12taxstdlife))</f>
        <v>3.8300000000000001E-2</v>
      </c>
      <c r="Q218" s="73">
        <f>IF(A12taxstdlife="n/a","n/a",IF(Q$3&gt;(A12taxstdlife+$E218),(Input!$I$154-Input!$I$188)-SUM($I218:P218),(Input!$I$154-Input!$I$188)/A12taxstdlife))</f>
        <v>3.8300000000000001E-2</v>
      </c>
      <c r="R218" s="73"/>
      <c r="S218" s="107"/>
      <c r="T218" s="107"/>
      <c r="U218" s="107"/>
      <c r="V218" s="107"/>
      <c r="W218" s="107"/>
      <c r="X218" s="107"/>
      <c r="Y218" s="107"/>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04"/>
      <c r="BJ218" s="204"/>
      <c r="BK218" s="204"/>
      <c r="BL218" s="204"/>
      <c r="BM218" s="204"/>
      <c r="BN218" s="204"/>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idden="1" outlineLevel="2">
      <c r="A219" s="9"/>
      <c r="B219" s="9"/>
      <c r="C219" s="26"/>
      <c r="D219" s="392"/>
      <c r="E219" s="91">
        <v>3</v>
      </c>
      <c r="F219" s="27"/>
      <c r="G219" s="27"/>
      <c r="H219" s="149"/>
      <c r="I219" s="151"/>
      <c r="J219" s="150"/>
      <c r="K219" s="73">
        <f>IF(A12taxstdlife="n/a","n/a",IF(K$3&gt;(A12taxstdlife+$E219),(Input!$J$154-Input!$J$188)-SUM($J219:J219),(Input!$J$154-Input!$J$188)/A12taxstdlife))</f>
        <v>5.1700000000000003E-2</v>
      </c>
      <c r="L219" s="73">
        <f>IF(A12taxstdlife="n/a","n/a",IF(L$3&gt;(A12taxstdlife+$E219),(Input!$J$154-Input!$J$188)-SUM($J219:K219),(Input!$J$154-Input!$J$188)/A12taxstdlife))</f>
        <v>5.1700000000000003E-2</v>
      </c>
      <c r="M219" s="73">
        <f>IF(A12taxstdlife="n/a","n/a",IF(M$3&gt;(A12taxstdlife+$E219),(Input!$J$154-Input!$J$188)-SUM($J219:L219),(Input!$J$154-Input!$J$188)/A12taxstdlife))</f>
        <v>5.1700000000000003E-2</v>
      </c>
      <c r="N219" s="73">
        <f>IF(A12taxstdlife="n/a","n/a",IF(N$3&gt;(A12taxstdlife+$E219),(Input!$J$154-Input!$J$188)-SUM($J219:M219),(Input!$J$154-Input!$J$188)/A12taxstdlife))</f>
        <v>5.1700000000000003E-2</v>
      </c>
      <c r="O219" s="73">
        <f>IF(A12taxstdlife="n/a","n/a",IF(O$3&gt;(A12taxstdlife+$E219),(Input!$J$154-Input!$J$188)-SUM($J219:N219),(Input!$J$154-Input!$J$188)/A12taxstdlife))</f>
        <v>5.1700000000000003E-2</v>
      </c>
      <c r="P219" s="73">
        <f>IF(A12taxstdlife="n/a","n/a",IF(P$3&gt;(A12taxstdlife+$E219),(Input!$J$154-Input!$J$188)-SUM($J219:O219),(Input!$J$154-Input!$J$188)/A12taxstdlife))</f>
        <v>5.1700000000000003E-2</v>
      </c>
      <c r="Q219" s="73">
        <f>IF(A12taxstdlife="n/a","n/a",IF(Q$3&gt;(A12taxstdlife+$E219),(Input!$J$154-Input!$J$188)-SUM($J219:P219),(Input!$J$154-Input!$J$188)/A12taxstdlife))</f>
        <v>5.1700000000000003E-2</v>
      </c>
      <c r="R219" s="73"/>
      <c r="S219" s="107"/>
      <c r="T219" s="107"/>
      <c r="U219" s="107"/>
      <c r="V219" s="107"/>
      <c r="W219" s="107"/>
      <c r="X219" s="107"/>
      <c r="Y219" s="107"/>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04"/>
      <c r="BJ219" s="204"/>
      <c r="BK219" s="204"/>
      <c r="BL219" s="204"/>
      <c r="BM219" s="204"/>
      <c r="BN219" s="204"/>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idden="1" outlineLevel="2">
      <c r="A220" s="9"/>
      <c r="B220" s="9"/>
      <c r="C220" s="26"/>
      <c r="D220" s="392"/>
      <c r="E220" s="91">
        <v>4</v>
      </c>
      <c r="F220" s="27"/>
      <c r="G220" s="27"/>
      <c r="H220" s="149"/>
      <c r="I220" s="151"/>
      <c r="J220" s="151"/>
      <c r="K220" s="150"/>
      <c r="L220" s="73">
        <f>IF(A12taxstdlife="n/a","n/a",IF(L$3&gt;(A12taxstdlife+$E220),(Input!$K$154-Input!$K$188)-SUM($K220:K220),(Input!$K$154-Input!$K$188)/A12taxstdlife))</f>
        <v>6.3799999999999996E-2</v>
      </c>
      <c r="M220" s="73">
        <f>IF(A12taxstdlife="n/a","n/a",IF(M$3&gt;(A12taxstdlife+$E220),(Input!$K$154-Input!$K$188)-SUM($K220:L220),(Input!$K$154-Input!$K$188)/A12taxstdlife))</f>
        <v>6.3799999999999996E-2</v>
      </c>
      <c r="N220" s="73">
        <f>IF(A12taxstdlife="n/a","n/a",IF(N$3&gt;(A12taxstdlife+$E220),(Input!$K$154-Input!$K$188)-SUM($K220:M220),(Input!$K$154-Input!$K$188)/A12taxstdlife))</f>
        <v>6.3799999999999996E-2</v>
      </c>
      <c r="O220" s="73">
        <f>IF(A12taxstdlife="n/a","n/a",IF(O$3&gt;(A12taxstdlife+$E220),(Input!$K$154-Input!$K$188)-SUM($K220:N220),(Input!$K$154-Input!$K$188)/A12taxstdlife))</f>
        <v>6.3799999999999996E-2</v>
      </c>
      <c r="P220" s="73">
        <f>IF(A12taxstdlife="n/a","n/a",IF(P$3&gt;(A12taxstdlife+$E220),(Input!$K$154-Input!$K$188)-SUM($K220:O220),(Input!$K$154-Input!$K$188)/A12taxstdlife))</f>
        <v>6.3799999999999996E-2</v>
      </c>
      <c r="Q220" s="73">
        <f>IF(A12taxstdlife="n/a","n/a",IF(Q$3&gt;(A12taxstdlife+$E220),(Input!$K$154-Input!$K$188)-SUM($K220:P220),(Input!$K$154-Input!$K$188)/A12taxstdlife))</f>
        <v>6.3799999999999996E-2</v>
      </c>
      <c r="R220" s="73"/>
      <c r="S220" s="107"/>
      <c r="T220" s="107"/>
      <c r="U220" s="107"/>
      <c r="V220" s="107"/>
      <c r="W220" s="107"/>
      <c r="X220" s="107"/>
      <c r="Y220" s="107"/>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04"/>
      <c r="BJ220" s="204"/>
      <c r="BK220" s="204"/>
      <c r="BL220" s="204"/>
      <c r="BM220" s="204"/>
      <c r="BN220" s="204"/>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idden="1" outlineLevel="2">
      <c r="A221" s="9"/>
      <c r="B221" s="9"/>
      <c r="C221" s="26"/>
      <c r="D221" s="392"/>
      <c r="E221" s="91">
        <v>5</v>
      </c>
      <c r="F221" s="27"/>
      <c r="G221" s="27"/>
      <c r="H221" s="149"/>
      <c r="I221" s="151"/>
      <c r="J221" s="151"/>
      <c r="K221" s="151"/>
      <c r="L221" s="150"/>
      <c r="M221" s="73">
        <f>IF(A12taxstdlife="n/a","n/a",IF(M$3&gt;(A12taxstdlife+$E221),(Input!$L$154-Input!$L$188)-SUM($L221:L221),(Input!$L$154-Input!$L$188)/A12taxstdlife))</f>
        <v>0.35146089782399498</v>
      </c>
      <c r="N221" s="73">
        <f>IF(A12taxstdlife="n/a","n/a",IF(N$3&gt;(A12taxstdlife+$E221),(Input!$L$154-Input!$L$188)-SUM($L221:M221),(Input!$L$154-Input!$L$188)/A12taxstdlife))</f>
        <v>0.35146089782399498</v>
      </c>
      <c r="O221" s="73">
        <f>IF(A12taxstdlife="n/a","n/a",IF(O$3&gt;(A12taxstdlife+$E221),(Input!$L$154-Input!$L$188)-SUM($L221:N221),(Input!$L$154-Input!$L$188)/A12taxstdlife))</f>
        <v>0.35146089782399498</v>
      </c>
      <c r="P221" s="73">
        <f>IF(A12taxstdlife="n/a","n/a",IF(P$3&gt;(A12taxstdlife+$E221),(Input!$L$154-Input!$L$188)-SUM($L221:O221),(Input!$L$154-Input!$L$188)/A12taxstdlife))</f>
        <v>0.35146089782399498</v>
      </c>
      <c r="Q221" s="73">
        <f>IF(A12taxstdlife="n/a","n/a",IF(Q$3&gt;(A12taxstdlife+$E221),(Input!$L$154-Input!$L$188)-SUM($L221:P221),(Input!$L$154-Input!$L$188)/A12taxstdlife))</f>
        <v>0.35146089782399498</v>
      </c>
      <c r="R221" s="73"/>
      <c r="S221" s="107"/>
      <c r="T221" s="107"/>
      <c r="U221" s="107"/>
      <c r="V221" s="107"/>
      <c r="W221" s="107"/>
      <c r="X221" s="107"/>
      <c r="Y221" s="107"/>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04"/>
      <c r="BJ221" s="204"/>
      <c r="BK221" s="204"/>
      <c r="BL221" s="204"/>
      <c r="BM221" s="204"/>
      <c r="BN221" s="204"/>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idden="1" outlineLevel="2">
      <c r="A222" s="9"/>
      <c r="B222" s="9"/>
      <c r="C222" s="26"/>
      <c r="D222" s="392"/>
      <c r="E222" s="91">
        <v>6</v>
      </c>
      <c r="F222" s="27"/>
      <c r="G222" s="27"/>
      <c r="H222" s="149"/>
      <c r="I222" s="151"/>
      <c r="J222" s="151"/>
      <c r="K222" s="151"/>
      <c r="L222" s="151"/>
      <c r="M222" s="150"/>
      <c r="N222" s="73">
        <f>IF(A12taxstdlife="n/a","n/a",IF(N$3&gt;(A12taxstdlife+$E222),(Input!$M$154-Input!$M$188)-SUM($M222:M222),(Input!$M$154-Input!$M$188)/A12taxstdlife))</f>
        <v>0</v>
      </c>
      <c r="O222" s="73">
        <f>IF(A12taxstdlife="n/a","n/a",IF(O$3&gt;(A12taxstdlife+$E222),(Input!$M$154-Input!$M$188)-SUM($M222:N222),(Input!$M$154-Input!$M$188)/A12taxstdlife))</f>
        <v>0</v>
      </c>
      <c r="P222" s="73">
        <f>IF(A12taxstdlife="n/a","n/a",IF(P$3&gt;(A12taxstdlife+$E222),(Input!$M$154-Input!$M$188)-SUM($M222:O222),(Input!$M$154-Input!$M$188)/A12taxstdlife))</f>
        <v>0</v>
      </c>
      <c r="Q222" s="73">
        <f>IF(A12taxstdlife="n/a","n/a",IF(Q$3&gt;(A12taxstdlife+$E222),(Input!$M$154-Input!$M$188)-SUM($M222:P222),(Input!$M$154-Input!$M$188)/A12taxstdlife))</f>
        <v>0</v>
      </c>
      <c r="R222" s="73"/>
      <c r="S222" s="107"/>
      <c r="T222" s="107"/>
      <c r="U222" s="107"/>
      <c r="V222" s="107"/>
      <c r="W222" s="107"/>
      <c r="X222" s="107"/>
      <c r="Y222" s="107"/>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04"/>
      <c r="BJ222" s="204"/>
      <c r="BK222" s="204"/>
      <c r="BL222" s="204"/>
      <c r="BM222" s="204"/>
      <c r="BN222" s="204"/>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idden="1" outlineLevel="2">
      <c r="A223" s="9"/>
      <c r="B223" s="9"/>
      <c r="C223" s="26"/>
      <c r="D223" s="392"/>
      <c r="E223" s="91">
        <v>7</v>
      </c>
      <c r="F223" s="27"/>
      <c r="G223" s="27"/>
      <c r="H223" s="149"/>
      <c r="I223" s="151"/>
      <c r="J223" s="151"/>
      <c r="K223" s="151"/>
      <c r="L223" s="151"/>
      <c r="M223" s="151"/>
      <c r="N223" s="150"/>
      <c r="O223" s="73">
        <f>IF(A12taxstdlife="n/a","n/a",IF(O$3&gt;(A12taxstdlife+$E223),(Input!$N$154-Input!$N$188)-SUM($N223:N223),(Input!$N$154-Input!$N$188)/A12taxstdlife))</f>
        <v>0</v>
      </c>
      <c r="P223" s="73">
        <f>IF(A12taxstdlife="n/a","n/a",IF(P$3&gt;(A12taxstdlife+$E223),(Input!$N$154-Input!$N$188)-SUM($N223:O223),(Input!$N$154-Input!$N$188)/A12taxstdlife))</f>
        <v>0</v>
      </c>
      <c r="Q223" s="73">
        <f>IF(A12taxstdlife="n/a","n/a",IF(Q$3&gt;(A12taxstdlife+$E223),(Input!$N$154-Input!$N$188)-SUM($N223:P223),(Input!$N$154-Input!$N$188)/A12taxstdlife))</f>
        <v>0</v>
      </c>
      <c r="R223" s="73"/>
      <c r="S223" s="107"/>
      <c r="T223" s="107"/>
      <c r="U223" s="107"/>
      <c r="V223" s="107"/>
      <c r="W223" s="107"/>
      <c r="X223" s="107"/>
      <c r="Y223" s="107"/>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04"/>
      <c r="BJ223" s="204"/>
      <c r="BK223" s="204"/>
      <c r="BL223" s="204"/>
      <c r="BM223" s="204"/>
      <c r="BN223" s="204"/>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idden="1" outlineLevel="2">
      <c r="A224" s="9"/>
      <c r="B224" s="9"/>
      <c r="C224" s="26"/>
      <c r="D224" s="392"/>
      <c r="E224" s="91">
        <v>8</v>
      </c>
      <c r="F224" s="27"/>
      <c r="G224" s="27"/>
      <c r="H224" s="149"/>
      <c r="I224" s="151"/>
      <c r="J224" s="151"/>
      <c r="K224" s="151"/>
      <c r="L224" s="151"/>
      <c r="M224" s="151"/>
      <c r="N224" s="151"/>
      <c r="O224" s="150"/>
      <c r="P224" s="73">
        <f>IF(A12taxstdlife="n/a","n/a",IF(P$3&gt;(A12taxstdlife+$E224),(Input!$O$154-Input!$O$188)-SUM($O224:O224),(Input!$O$154-Input!$O$188)/A12taxstdlife))</f>
        <v>0</v>
      </c>
      <c r="Q224" s="73">
        <f>IF(A12taxstdlife="n/a","n/a",IF(Q$3&gt;(A12taxstdlife+$E224),(Input!$O$154-Input!$O$188)-SUM($O224:P224),(Input!$O$154-Input!$O$188)/A12taxstdlife))</f>
        <v>0</v>
      </c>
      <c r="R224" s="73"/>
      <c r="S224" s="107"/>
      <c r="T224" s="107"/>
      <c r="U224" s="107"/>
      <c r="V224" s="107"/>
      <c r="W224" s="107"/>
      <c r="X224" s="107"/>
      <c r="Y224" s="107"/>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04"/>
      <c r="BJ224" s="204"/>
      <c r="BK224" s="204"/>
      <c r="BL224" s="204"/>
      <c r="BM224" s="204"/>
      <c r="BN224" s="20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idden="1" outlineLevel="2">
      <c r="A225" s="9"/>
      <c r="B225" s="9"/>
      <c r="C225" s="26"/>
      <c r="D225" s="392"/>
      <c r="E225" s="91">
        <v>9</v>
      </c>
      <c r="F225" s="27"/>
      <c r="G225" s="27"/>
      <c r="H225" s="149"/>
      <c r="I225" s="151"/>
      <c r="J225" s="151"/>
      <c r="K225" s="151"/>
      <c r="L225" s="151"/>
      <c r="M225" s="151"/>
      <c r="N225" s="151"/>
      <c r="O225" s="151"/>
      <c r="P225" s="150"/>
      <c r="Q225" s="73">
        <f>IF(A12taxstdlife="n/a","n/a",IF(Q$3&gt;(A12taxstdlife+$E225),(Input!$P$154-Input!$P$188)-SUM($P225:P225),(Input!$P$154-Input!$P$188)/A12taxstdlife))</f>
        <v>0</v>
      </c>
      <c r="R225" s="73"/>
      <c r="S225" s="107"/>
      <c r="T225" s="107"/>
      <c r="U225" s="107"/>
      <c r="V225" s="107"/>
      <c r="W225" s="107"/>
      <c r="X225" s="107"/>
      <c r="Y225" s="107"/>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04"/>
      <c r="BJ225" s="204"/>
      <c r="BK225" s="204"/>
      <c r="BL225" s="204"/>
      <c r="BM225" s="204"/>
      <c r="BN225" s="204"/>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idden="1" outlineLevel="2">
      <c r="A226" s="9"/>
      <c r="B226" s="9"/>
      <c r="C226" s="26"/>
      <c r="D226" s="392"/>
      <c r="E226" s="92">
        <v>10</v>
      </c>
      <c r="F226" s="27"/>
      <c r="G226" s="27"/>
      <c r="H226" s="149"/>
      <c r="I226" s="151"/>
      <c r="J226" s="151"/>
      <c r="K226" s="151"/>
      <c r="L226" s="151"/>
      <c r="M226" s="151"/>
      <c r="N226" s="151"/>
      <c r="O226" s="151"/>
      <c r="P226" s="151"/>
      <c r="Q226" s="150"/>
      <c r="R226" s="73"/>
      <c r="S226" s="107"/>
      <c r="T226" s="107"/>
      <c r="U226" s="107"/>
      <c r="V226" s="107"/>
      <c r="W226" s="107"/>
      <c r="X226" s="107"/>
      <c r="Y226" s="107"/>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04"/>
      <c r="BJ226" s="204"/>
      <c r="BK226" s="204"/>
      <c r="BL226" s="204"/>
      <c r="BM226" s="204"/>
      <c r="BN226" s="204"/>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idden="1" outlineLevel="1" collapsed="1">
      <c r="A227" s="9"/>
      <c r="B227" s="9"/>
      <c r="C227" s="279" t="str">
        <f>Asset12</f>
        <v>Transmission line assets - short life (10)</v>
      </c>
      <c r="D227" s="9"/>
      <c r="E227" s="9"/>
      <c r="F227" s="23"/>
      <c r="G227" s="23"/>
      <c r="H227" s="305">
        <f>-SUM(H215:H226)</f>
        <v>0</v>
      </c>
      <c r="I227" s="164">
        <f>-SUM(I215:I226)</f>
        <v>-3.6027799999999999E-2</v>
      </c>
      <c r="J227" s="164">
        <f>-SUM(J215:J226)</f>
        <v>-7.4327799999999999E-2</v>
      </c>
      <c r="K227" s="164">
        <f>-SUM(K215:K226)</f>
        <v>-0.1260278</v>
      </c>
      <c r="L227" s="164">
        <f>-SUM(L215:L226)</f>
        <v>-0.18982779999999999</v>
      </c>
      <c r="M227" s="164">
        <f>IF(COUNT($H227:L227)&gt;=Input!$W$7,0, -SUM(M215:M226))</f>
        <v>0</v>
      </c>
      <c r="N227" s="164">
        <f>IF(COUNT($H227:M227)&gt;=Input!$W$7,0, -SUM(N215:N226))</f>
        <v>0</v>
      </c>
      <c r="O227" s="164">
        <f>IF(COUNT($H227:N227)&gt;=Input!$W$7,0, -SUM(O215:O226))</f>
        <v>0</v>
      </c>
      <c r="P227" s="164">
        <f>IF(COUNT($H227:O227)&gt;=Input!$W$7,0, -SUM(P215:P226))</f>
        <v>0</v>
      </c>
      <c r="Q227" s="164">
        <f>IF(COUNT($H227:P227)&gt;=Input!$W$7,0, -SUM(Q215:Q226))</f>
        <v>0</v>
      </c>
      <c r="R227" s="164"/>
      <c r="S227" s="106"/>
      <c r="T227" s="106"/>
      <c r="U227" s="106"/>
      <c r="V227" s="106"/>
      <c r="W227" s="106"/>
      <c r="X227" s="106"/>
      <c r="Y227" s="106"/>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04"/>
      <c r="BJ227" s="204"/>
      <c r="BK227" s="204"/>
      <c r="BL227" s="204"/>
      <c r="BM227" s="204"/>
      <c r="BN227" s="204"/>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idden="1" outlineLevel="2">
      <c r="A228" s="9"/>
      <c r="B228" s="280" t="str">
        <f>Asset13</f>
        <v>Substation assets - long life (60)</v>
      </c>
      <c r="C228" s="31"/>
      <c r="D228" s="32" t="s">
        <v>65</v>
      </c>
      <c r="E228" s="31"/>
      <c r="F228" s="308"/>
      <c r="G228" s="308"/>
      <c r="H228" s="72" t="str">
        <f>IF(H$3&gt;A13taxremlife,A13taxvalue-SUM($F228:F228),IF(A13taxremlife="N/A","n/a",A13taxvalue/A13taxremlife))</f>
        <v>n/a</v>
      </c>
      <c r="I228" s="72" t="str">
        <f>IF(I$3&gt;A13taxremlife,A13taxvalue-SUM($F228:H228),IF(A13taxremlife="N/A","n/a",A13taxvalue/A13taxremlife))</f>
        <v>n/a</v>
      </c>
      <c r="J228" s="72" t="str">
        <f>IF(J$3&gt;A13taxremlife,A13taxvalue-SUM($F228:I228),IF(A13taxremlife="N/A","n/a",A13taxvalue/A13taxremlife))</f>
        <v>n/a</v>
      </c>
      <c r="K228" s="72" t="str">
        <f>IF(K$3&gt;A13taxremlife,A13taxvalue-SUM($F228:J228),IF(A13taxremlife="N/A","n/a",A13taxvalue/A13taxremlife))</f>
        <v>n/a</v>
      </c>
      <c r="L228" s="72" t="str">
        <f>IF(L$3&gt;A13taxremlife,A13taxvalue-SUM($F228:K228),IF(A13taxremlife="N/A","n/a",A13taxvalue/A13taxremlife))</f>
        <v>n/a</v>
      </c>
      <c r="M228" s="72" t="str">
        <f>IF(M$3&gt;A13taxremlife,A13taxvalue-SUM($F228:L228),IF(A13taxremlife="N/A","n/a",A13taxvalue/A13taxremlife))</f>
        <v>n/a</v>
      </c>
      <c r="N228" s="72" t="str">
        <f>IF(N$3&gt;A13taxremlife,A13taxvalue-SUM($F228:M228),IF(A13taxremlife="N/A","n/a",A13taxvalue/A13taxremlife))</f>
        <v>n/a</v>
      </c>
      <c r="O228" s="72" t="str">
        <f>IF(O$3&gt;A13taxremlife,A13taxvalue-SUM($F228:N228),IF(A13taxremlife="N/A","n/a",A13taxvalue/A13taxremlife))</f>
        <v>n/a</v>
      </c>
      <c r="P228" s="72" t="str">
        <f>IF(P$3&gt;A13taxremlife,A13taxvalue-SUM($F228:O228),IF(A13taxremlife="N/A","n/a",A13taxvalue/A13taxremlife))</f>
        <v>n/a</v>
      </c>
      <c r="Q228" s="72" t="str">
        <f>IF(Q$3&gt;A13taxremlife,A13taxvalue-SUM($F228:P228),IF(A13taxremlife="N/A","n/a",A13taxvalue/A13taxremlife))</f>
        <v>n/a</v>
      </c>
      <c r="R228" s="72"/>
      <c r="S228" s="107"/>
      <c r="T228" s="107"/>
      <c r="U228" s="107"/>
      <c r="V228" s="107"/>
      <c r="W228" s="107"/>
      <c r="X228" s="107"/>
      <c r="Y228" s="107"/>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04"/>
      <c r="BJ228" s="204"/>
      <c r="BK228" s="204"/>
      <c r="BL228" s="204"/>
      <c r="BM228" s="204"/>
      <c r="BN228" s="204"/>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6"/>
      <c r="D229" s="391" t="s">
        <v>81</v>
      </c>
      <c r="E229" s="91"/>
      <c r="F229" s="27"/>
      <c r="G229" s="27"/>
      <c r="H229" s="107"/>
      <c r="I229" s="73"/>
      <c r="J229" s="73"/>
      <c r="K229" s="73"/>
      <c r="L229" s="73"/>
      <c r="M229" s="73"/>
      <c r="N229" s="73"/>
      <c r="O229" s="73"/>
      <c r="P229" s="73"/>
      <c r="Q229" s="73"/>
      <c r="R229" s="73"/>
      <c r="S229" s="107"/>
      <c r="T229" s="107"/>
      <c r="U229" s="107"/>
      <c r="V229" s="107"/>
      <c r="W229" s="107"/>
      <c r="X229" s="107"/>
      <c r="Y229" s="107"/>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04"/>
      <c r="BJ229" s="204"/>
      <c r="BK229" s="204"/>
      <c r="BL229" s="204"/>
      <c r="BM229" s="204"/>
      <c r="BN229" s="204"/>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idden="1" outlineLevel="2">
      <c r="A230" s="9"/>
      <c r="B230" s="9"/>
      <c r="C230" s="26"/>
      <c r="D230" s="392"/>
      <c r="E230" s="91">
        <v>1</v>
      </c>
      <c r="F230" s="27"/>
      <c r="G230" s="27"/>
      <c r="H230" s="148"/>
      <c r="I230" s="73">
        <f>IF(A13taxstdlife="n/a","n/a",IF(I$3&gt;(A13taxstdlife+$E230),(Input!$H$155-Input!$H$189)-SUM($H230:H230),(Input!$H$155-Input!$H$189)/A13taxstdlife))</f>
        <v>3.9605083333333332E-2</v>
      </c>
      <c r="J230" s="73">
        <f>IF(A13taxstdlife="n/a","n/a",IF(J$3&gt;(A13taxstdlife+$E230),(Input!$H$155-Input!$H$189)-SUM($H230:I230),(Input!$H$155-Input!$H$189)/A13taxstdlife))</f>
        <v>3.9605083333333332E-2</v>
      </c>
      <c r="K230" s="73">
        <f>IF(A13taxstdlife="n/a","n/a",IF(K$3&gt;(A13taxstdlife+$E230),(Input!$H$155-Input!$H$189)-SUM($H230:J230),(Input!$H$155-Input!$H$189)/A13taxstdlife))</f>
        <v>3.9605083333333332E-2</v>
      </c>
      <c r="L230" s="73">
        <f>IF(A13taxstdlife="n/a","n/a",IF(L$3&gt;(A13taxstdlife+$E230),(Input!$H$155-Input!$H$189)-SUM($H230:K230),(Input!$H$155-Input!$H$189)/A13taxstdlife))</f>
        <v>3.9605083333333332E-2</v>
      </c>
      <c r="M230" s="73">
        <f>IF(A13taxstdlife="n/a","n/a",IF(M$3&gt;(A13taxstdlife+$E230),(Input!$H$155-Input!$H$189)-SUM($H230:L230),(Input!$H$155-Input!$H$189)/A13taxstdlife))</f>
        <v>3.9605083333333332E-2</v>
      </c>
      <c r="N230" s="73">
        <f>IF(A13taxstdlife="n/a","n/a",IF(N$3&gt;(A13taxstdlife+$E230),(Input!$H$155-Input!$H$189)-SUM($H230:M230),(Input!$H$155-Input!$H$189)/A13taxstdlife))</f>
        <v>3.9605083333333332E-2</v>
      </c>
      <c r="O230" s="73">
        <f>IF(A13taxstdlife="n/a","n/a",IF(O$3&gt;(A13taxstdlife+$E230),(Input!$H$155-Input!$H$189)-SUM($H230:N230),(Input!$H$155-Input!$H$189)/A13taxstdlife))</f>
        <v>3.9605083333333332E-2</v>
      </c>
      <c r="P230" s="73">
        <f>IF(A13taxstdlife="n/a","n/a",IF(P$3&gt;(A13taxstdlife+$E230),(Input!$H$155-Input!$H$189)-SUM($H230:O230),(Input!$H$155-Input!$H$189)/A13taxstdlife))</f>
        <v>3.9605083333333332E-2</v>
      </c>
      <c r="Q230" s="73">
        <f>IF(A13taxstdlife="n/a","n/a",IF(Q$3&gt;(A13taxstdlife+$E230),(Input!$H$155-Input!$H$189)-SUM($H230:P230),(Input!$H$155-Input!$H$189)/A13taxstdlife))</f>
        <v>3.9605083333333332E-2</v>
      </c>
      <c r="R230" s="73"/>
      <c r="S230" s="107"/>
      <c r="T230" s="107"/>
      <c r="U230" s="107"/>
      <c r="V230" s="107"/>
      <c r="W230" s="107"/>
      <c r="X230" s="107"/>
      <c r="Y230" s="107"/>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04"/>
      <c r="BJ230" s="204"/>
      <c r="BK230" s="204"/>
      <c r="BL230" s="204"/>
      <c r="BM230" s="204"/>
      <c r="BN230" s="204"/>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idden="1" outlineLevel="2">
      <c r="A231" s="9"/>
      <c r="B231" s="9"/>
      <c r="C231" s="26"/>
      <c r="D231" s="392"/>
      <c r="E231" s="91">
        <v>2</v>
      </c>
      <c r="F231" s="27"/>
      <c r="G231" s="27"/>
      <c r="H231" s="149"/>
      <c r="I231" s="150"/>
      <c r="J231" s="73">
        <f>IF(A13taxstdlife="n/a","n/a",IF(J$3&gt;(A13taxstdlife+$E231),(Input!$I$155-Input!$I$189)-SUM($I231:I231),(Input!$I$155-Input!$I$189)/A13taxstdlife))</f>
        <v>0.36514999999999997</v>
      </c>
      <c r="K231" s="73">
        <f>IF(A13taxstdlife="n/a","n/a",IF(K$3&gt;(A13taxstdlife+$E231),(Input!$I$155-Input!$I$189)-SUM($I231:J231),(Input!$I$155-Input!$I$189)/A13taxstdlife))</f>
        <v>0.36514999999999997</v>
      </c>
      <c r="L231" s="73">
        <f>IF(A13taxstdlife="n/a","n/a",IF(L$3&gt;(A13taxstdlife+$E231),(Input!$I$155-Input!$I$189)-SUM($I231:K231),(Input!$I$155-Input!$I$189)/A13taxstdlife))</f>
        <v>0.36514999999999997</v>
      </c>
      <c r="M231" s="73">
        <f>IF(A13taxstdlife="n/a","n/a",IF(M$3&gt;(A13taxstdlife+$E231),(Input!$I$155-Input!$I$189)-SUM($I231:L231),(Input!$I$155-Input!$I$189)/A13taxstdlife))</f>
        <v>0.36514999999999997</v>
      </c>
      <c r="N231" s="73">
        <f>IF(A13taxstdlife="n/a","n/a",IF(N$3&gt;(A13taxstdlife+$E231),(Input!$I$155-Input!$I$189)-SUM($I231:M231),(Input!$I$155-Input!$I$189)/A13taxstdlife))</f>
        <v>0.36514999999999997</v>
      </c>
      <c r="O231" s="73">
        <f>IF(A13taxstdlife="n/a","n/a",IF(O$3&gt;(A13taxstdlife+$E231),(Input!$I$155-Input!$I$189)-SUM($I231:N231),(Input!$I$155-Input!$I$189)/A13taxstdlife))</f>
        <v>0.36514999999999997</v>
      </c>
      <c r="P231" s="73">
        <f>IF(A13taxstdlife="n/a","n/a",IF(P$3&gt;(A13taxstdlife+$E231),(Input!$I$155-Input!$I$189)-SUM($I231:O231),(Input!$I$155-Input!$I$189)/A13taxstdlife))</f>
        <v>0.36514999999999997</v>
      </c>
      <c r="Q231" s="73">
        <f>IF(A13taxstdlife="n/a","n/a",IF(Q$3&gt;(A13taxstdlife+$E231),(Input!$I$155-Input!$I$189)-SUM($I231:P231),(Input!$I$155-Input!$I$189)/A13taxstdlife))</f>
        <v>0.36514999999999997</v>
      </c>
      <c r="R231" s="73"/>
      <c r="S231" s="107"/>
      <c r="T231" s="107"/>
      <c r="U231" s="107"/>
      <c r="V231" s="107"/>
      <c r="W231" s="107"/>
      <c r="X231" s="107"/>
      <c r="Y231" s="107"/>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04"/>
      <c r="BJ231" s="204"/>
      <c r="BK231" s="204"/>
      <c r="BL231" s="204"/>
      <c r="BM231" s="204"/>
      <c r="BN231" s="204"/>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idden="1" outlineLevel="2">
      <c r="A232" s="9"/>
      <c r="B232" s="9"/>
      <c r="C232" s="26"/>
      <c r="D232" s="392"/>
      <c r="E232" s="91">
        <v>3</v>
      </c>
      <c r="F232" s="27"/>
      <c r="G232" s="27"/>
      <c r="H232" s="149"/>
      <c r="I232" s="151"/>
      <c r="J232" s="150"/>
      <c r="K232" s="73">
        <f>IF(A13taxstdlife="n/a","n/a",IF(K$3&gt;(A13taxstdlife+$E232),(Input!$J$155-Input!$J$189)-SUM($J232:J232),(Input!$J$155-Input!$J$189)/A13taxstdlife))</f>
        <v>0.18150000000000002</v>
      </c>
      <c r="L232" s="73">
        <f>IF(A13taxstdlife="n/a","n/a",IF(L$3&gt;(A13taxstdlife+$E232),(Input!$J$155-Input!$J$189)-SUM($J232:K232),(Input!$J$155-Input!$J$189)/A13taxstdlife))</f>
        <v>0.18150000000000002</v>
      </c>
      <c r="M232" s="73">
        <f>IF(A13taxstdlife="n/a","n/a",IF(M$3&gt;(A13taxstdlife+$E232),(Input!$J$155-Input!$J$189)-SUM($J232:L232),(Input!$J$155-Input!$J$189)/A13taxstdlife))</f>
        <v>0.18150000000000002</v>
      </c>
      <c r="N232" s="73">
        <f>IF(A13taxstdlife="n/a","n/a",IF(N$3&gt;(A13taxstdlife+$E232),(Input!$J$155-Input!$J$189)-SUM($J232:M232),(Input!$J$155-Input!$J$189)/A13taxstdlife))</f>
        <v>0.18150000000000002</v>
      </c>
      <c r="O232" s="73">
        <f>IF(A13taxstdlife="n/a","n/a",IF(O$3&gt;(A13taxstdlife+$E232),(Input!$J$155-Input!$J$189)-SUM($J232:N232),(Input!$J$155-Input!$J$189)/A13taxstdlife))</f>
        <v>0.18150000000000002</v>
      </c>
      <c r="P232" s="73">
        <f>IF(A13taxstdlife="n/a","n/a",IF(P$3&gt;(A13taxstdlife+$E232),(Input!$J$155-Input!$J$189)-SUM($J232:O232),(Input!$J$155-Input!$J$189)/A13taxstdlife))</f>
        <v>0.18150000000000002</v>
      </c>
      <c r="Q232" s="73">
        <f>IF(A13taxstdlife="n/a","n/a",IF(Q$3&gt;(A13taxstdlife+$E232),(Input!$J$155-Input!$J$189)-SUM($J232:P232),(Input!$J$155-Input!$J$189)/A13taxstdlife))</f>
        <v>0.18150000000000002</v>
      </c>
      <c r="R232" s="73"/>
      <c r="S232" s="107"/>
      <c r="T232" s="107"/>
      <c r="U232" s="107"/>
      <c r="V232" s="107"/>
      <c r="W232" s="107"/>
      <c r="X232" s="107"/>
      <c r="Y232" s="107"/>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04"/>
      <c r="BJ232" s="204"/>
      <c r="BK232" s="204"/>
      <c r="BL232" s="204"/>
      <c r="BM232" s="204"/>
      <c r="BN232" s="204"/>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idden="1" outlineLevel="2">
      <c r="A233" s="9"/>
      <c r="B233" s="9"/>
      <c r="C233" s="26"/>
      <c r="D233" s="392"/>
      <c r="E233" s="91">
        <v>4</v>
      </c>
      <c r="F233" s="27"/>
      <c r="G233" s="27"/>
      <c r="H233" s="149"/>
      <c r="I233" s="151"/>
      <c r="J233" s="151"/>
      <c r="K233" s="150"/>
      <c r="L233" s="73">
        <f>IF(A13taxstdlife="n/a","n/a",IF(L$3&gt;(A13taxstdlife+$E233),(Input!$K$155-Input!$K$189)-SUM($K233:K233),(Input!$K$155-Input!$K$189)/A13taxstdlife))</f>
        <v>0.13306666666666667</v>
      </c>
      <c r="M233" s="73">
        <f>IF(A13taxstdlife="n/a","n/a",IF(M$3&gt;(A13taxstdlife+$E233),(Input!$K$155-Input!$K$189)-SUM($K233:L233),(Input!$K$155-Input!$K$189)/A13taxstdlife))</f>
        <v>0.13306666666666667</v>
      </c>
      <c r="N233" s="73">
        <f>IF(A13taxstdlife="n/a","n/a",IF(N$3&gt;(A13taxstdlife+$E233),(Input!$K$155-Input!$K$189)-SUM($K233:M233),(Input!$K$155-Input!$K$189)/A13taxstdlife))</f>
        <v>0.13306666666666667</v>
      </c>
      <c r="O233" s="73">
        <f>IF(A13taxstdlife="n/a","n/a",IF(O$3&gt;(A13taxstdlife+$E233),(Input!$K$155-Input!$K$189)-SUM($K233:N233),(Input!$K$155-Input!$K$189)/A13taxstdlife))</f>
        <v>0.13306666666666667</v>
      </c>
      <c r="P233" s="73">
        <f>IF(A13taxstdlife="n/a","n/a",IF(P$3&gt;(A13taxstdlife+$E233),(Input!$K$155-Input!$K$189)-SUM($K233:O233),(Input!$K$155-Input!$K$189)/A13taxstdlife))</f>
        <v>0.13306666666666667</v>
      </c>
      <c r="Q233" s="73">
        <f>IF(A13taxstdlife="n/a","n/a",IF(Q$3&gt;(A13taxstdlife+$E233),(Input!$K$155-Input!$K$189)-SUM($K233:P233),(Input!$K$155-Input!$K$189)/A13taxstdlife))</f>
        <v>0.13306666666666667</v>
      </c>
      <c r="R233" s="73"/>
      <c r="S233" s="107"/>
      <c r="T233" s="107"/>
      <c r="U233" s="107"/>
      <c r="V233" s="107"/>
      <c r="W233" s="107"/>
      <c r="X233" s="107"/>
      <c r="Y233" s="107"/>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04"/>
      <c r="BJ233" s="204"/>
      <c r="BK233" s="204"/>
      <c r="BL233" s="204"/>
      <c r="BM233" s="204"/>
      <c r="BN233" s="204"/>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idden="1" outlineLevel="2">
      <c r="A234" s="9"/>
      <c r="B234" s="9"/>
      <c r="C234" s="26"/>
      <c r="D234" s="392"/>
      <c r="E234" s="91">
        <v>5</v>
      </c>
      <c r="F234" s="27"/>
      <c r="G234" s="27"/>
      <c r="H234" s="149"/>
      <c r="I234" s="151"/>
      <c r="J234" s="151"/>
      <c r="K234" s="151"/>
      <c r="L234" s="150"/>
      <c r="M234" s="73">
        <f>IF(A13taxstdlife="n/a","n/a",IF(M$3&gt;(A13taxstdlife+$E234),(Input!$L$155-Input!$L$189)-SUM($L234:L234),(Input!$L$155-Input!$L$189)/A13taxstdlife))</f>
        <v>0.16419196185408905</v>
      </c>
      <c r="N234" s="73">
        <f>IF(A13taxstdlife="n/a","n/a",IF(N$3&gt;(A13taxstdlife+$E234),(Input!$L$155-Input!$L$189)-SUM($L234:M234),(Input!$L$155-Input!$L$189)/A13taxstdlife))</f>
        <v>0.16419196185408905</v>
      </c>
      <c r="O234" s="73">
        <f>IF(A13taxstdlife="n/a","n/a",IF(O$3&gt;(A13taxstdlife+$E234),(Input!$L$155-Input!$L$189)-SUM($L234:N234),(Input!$L$155-Input!$L$189)/A13taxstdlife))</f>
        <v>0.16419196185408905</v>
      </c>
      <c r="P234" s="73">
        <f>IF(A13taxstdlife="n/a","n/a",IF(P$3&gt;(A13taxstdlife+$E234),(Input!$L$155-Input!$L$189)-SUM($L234:O234),(Input!$L$155-Input!$L$189)/A13taxstdlife))</f>
        <v>0.16419196185408905</v>
      </c>
      <c r="Q234" s="73">
        <f>IF(A13taxstdlife="n/a","n/a",IF(Q$3&gt;(A13taxstdlife+$E234),(Input!$L$155-Input!$L$189)-SUM($L234:P234),(Input!$L$155-Input!$L$189)/A13taxstdlife))</f>
        <v>0.16419196185408905</v>
      </c>
      <c r="R234" s="73"/>
      <c r="S234" s="107"/>
      <c r="T234" s="107"/>
      <c r="U234" s="107"/>
      <c r="V234" s="107"/>
      <c r="W234" s="107"/>
      <c r="X234" s="107"/>
      <c r="Y234" s="107"/>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04"/>
      <c r="BJ234" s="204"/>
      <c r="BK234" s="204"/>
      <c r="BL234" s="204"/>
      <c r="BM234" s="204"/>
      <c r="BN234" s="20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idden="1" outlineLevel="2">
      <c r="A235" s="9"/>
      <c r="B235" s="9"/>
      <c r="C235" s="26"/>
      <c r="D235" s="392"/>
      <c r="E235" s="91">
        <v>6</v>
      </c>
      <c r="F235" s="27"/>
      <c r="G235" s="27"/>
      <c r="H235" s="149"/>
      <c r="I235" s="151"/>
      <c r="J235" s="151"/>
      <c r="K235" s="151"/>
      <c r="L235" s="151"/>
      <c r="M235" s="150"/>
      <c r="N235" s="73">
        <f>IF(A13taxstdlife="n/a","n/a",IF(N$3&gt;(A13taxstdlife+$E235),(Input!$M$155-Input!$M$189)-SUM($M235:M235),(Input!$M$155-Input!$M$189)/A13taxstdlife))</f>
        <v>0</v>
      </c>
      <c r="O235" s="73">
        <f>IF(A13taxstdlife="n/a","n/a",IF(O$3&gt;(A13taxstdlife+$E235),(Input!$M$155-Input!$M$189)-SUM($M235:N235),(Input!$M$155-Input!$M$189)/A13taxstdlife))</f>
        <v>0</v>
      </c>
      <c r="P235" s="73">
        <f>IF(A13taxstdlife="n/a","n/a",IF(P$3&gt;(A13taxstdlife+$E235),(Input!$M$155-Input!$M$189)-SUM($M235:O235),(Input!$M$155-Input!$M$189)/A13taxstdlife))</f>
        <v>0</v>
      </c>
      <c r="Q235" s="73">
        <f>IF(A13taxstdlife="n/a","n/a",IF(Q$3&gt;(A13taxstdlife+$E235),(Input!$M$155-Input!$M$189)-SUM($M235:P235),(Input!$M$155-Input!$M$189)/A13taxstdlife))</f>
        <v>0</v>
      </c>
      <c r="R235" s="73"/>
      <c r="S235" s="107"/>
      <c r="T235" s="107"/>
      <c r="U235" s="107"/>
      <c r="V235" s="107"/>
      <c r="W235" s="107"/>
      <c r="X235" s="107"/>
      <c r="Y235" s="107"/>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04"/>
      <c r="BJ235" s="204"/>
      <c r="BK235" s="204"/>
      <c r="BL235" s="204"/>
      <c r="BM235" s="204"/>
      <c r="BN235" s="204"/>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idden="1" outlineLevel="2">
      <c r="A236" s="9"/>
      <c r="B236" s="9"/>
      <c r="C236" s="26"/>
      <c r="D236" s="392"/>
      <c r="E236" s="91">
        <v>7</v>
      </c>
      <c r="F236" s="27"/>
      <c r="G236" s="27"/>
      <c r="H236" s="149"/>
      <c r="I236" s="151"/>
      <c r="J236" s="151"/>
      <c r="K236" s="151"/>
      <c r="L236" s="151"/>
      <c r="M236" s="151"/>
      <c r="N236" s="150"/>
      <c r="O236" s="73">
        <f>IF(A13taxstdlife="n/a","n/a",IF(O$3&gt;(A13taxstdlife+$E236),(Input!$N$155-Input!$N$189)-SUM($N236:N236),(Input!$N$155-Input!$N$189)/A13taxstdlife))</f>
        <v>0</v>
      </c>
      <c r="P236" s="73">
        <f>IF(A13taxstdlife="n/a","n/a",IF(P$3&gt;(A13taxstdlife+$E236),(Input!$N$155-Input!$N$189)-SUM($N236:O236),(Input!$N$155-Input!$N$189)/A13taxstdlife))</f>
        <v>0</v>
      </c>
      <c r="Q236" s="73">
        <f>IF(A13taxstdlife="n/a","n/a",IF(Q$3&gt;(A13taxstdlife+$E236),(Input!$N$155-Input!$N$189)-SUM($N236:P236),(Input!$N$155-Input!$N$189)/A13taxstdlife))</f>
        <v>0</v>
      </c>
      <c r="R236" s="73"/>
      <c r="S236" s="107"/>
      <c r="T236" s="107"/>
      <c r="U236" s="107"/>
      <c r="V236" s="107"/>
      <c r="W236" s="107"/>
      <c r="X236" s="107"/>
      <c r="Y236" s="107"/>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04"/>
      <c r="BJ236" s="204"/>
      <c r="BK236" s="204"/>
      <c r="BL236" s="204"/>
      <c r="BM236" s="204"/>
      <c r="BN236" s="204"/>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idden="1" outlineLevel="2">
      <c r="A237" s="9"/>
      <c r="B237" s="9"/>
      <c r="C237" s="26"/>
      <c r="D237" s="392"/>
      <c r="E237" s="91">
        <v>8</v>
      </c>
      <c r="F237" s="27"/>
      <c r="G237" s="27"/>
      <c r="H237" s="149"/>
      <c r="I237" s="151"/>
      <c r="J237" s="151"/>
      <c r="K237" s="151"/>
      <c r="L237" s="151"/>
      <c r="M237" s="151"/>
      <c r="N237" s="151"/>
      <c r="O237" s="150"/>
      <c r="P237" s="73">
        <f>IF(A13taxstdlife="n/a","n/a",IF(P$3&gt;(A13taxstdlife+$E237),(Input!$O$155-Input!$O$189)-SUM($O237:O237),(Input!$O$155-Input!$O$189)/A13taxstdlife))</f>
        <v>0</v>
      </c>
      <c r="Q237" s="73">
        <f>IF(A13taxstdlife="n/a","n/a",IF(Q$3&gt;(A13taxstdlife+$E237),(Input!$O$155-Input!$O$189)-SUM($O237:P237),(Input!$O$155-Input!$O$189)/A13taxstdlife))</f>
        <v>0</v>
      </c>
      <c r="R237" s="73"/>
      <c r="S237" s="107"/>
      <c r="T237" s="107"/>
      <c r="U237" s="107"/>
      <c r="V237" s="107"/>
      <c r="W237" s="107"/>
      <c r="X237" s="107"/>
      <c r="Y237" s="107"/>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04"/>
      <c r="BJ237" s="204"/>
      <c r="BK237" s="204"/>
      <c r="BL237" s="204"/>
      <c r="BM237" s="204"/>
      <c r="BN237" s="204"/>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idden="1" outlineLevel="2">
      <c r="A238" s="9"/>
      <c r="B238" s="9"/>
      <c r="C238" s="26"/>
      <c r="D238" s="392"/>
      <c r="E238" s="91">
        <v>9</v>
      </c>
      <c r="F238" s="27"/>
      <c r="G238" s="27"/>
      <c r="H238" s="149"/>
      <c r="I238" s="151"/>
      <c r="J238" s="151"/>
      <c r="K238" s="151"/>
      <c r="L238" s="151"/>
      <c r="M238" s="151"/>
      <c r="N238" s="151"/>
      <c r="O238" s="151"/>
      <c r="P238" s="150"/>
      <c r="Q238" s="73">
        <f>IF(A13taxstdlife="n/a","n/a",IF(Q$3&gt;(A13taxstdlife+$E238),(Input!$P$155-Input!$P$189)-SUM($P238:P238),(Input!$P$155-Input!$P$189)/A13taxstdlife))</f>
        <v>0</v>
      </c>
      <c r="R238" s="73"/>
      <c r="S238" s="107"/>
      <c r="T238" s="107"/>
      <c r="U238" s="107"/>
      <c r="V238" s="107"/>
      <c r="W238" s="107"/>
      <c r="X238" s="107"/>
      <c r="Y238" s="107"/>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04"/>
      <c r="BJ238" s="204"/>
      <c r="BK238" s="204"/>
      <c r="BL238" s="204"/>
      <c r="BM238" s="204"/>
      <c r="BN238" s="204"/>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idden="1" outlineLevel="2">
      <c r="A239" s="9"/>
      <c r="B239" s="9"/>
      <c r="C239" s="26"/>
      <c r="D239" s="392"/>
      <c r="E239" s="92">
        <v>10</v>
      </c>
      <c r="F239" s="27"/>
      <c r="G239" s="27"/>
      <c r="H239" s="149"/>
      <c r="I239" s="151"/>
      <c r="J239" s="151"/>
      <c r="K239" s="151"/>
      <c r="L239" s="151"/>
      <c r="M239" s="151"/>
      <c r="N239" s="151"/>
      <c r="O239" s="151"/>
      <c r="P239" s="151"/>
      <c r="Q239" s="150"/>
      <c r="R239" s="73"/>
      <c r="S239" s="107"/>
      <c r="T239" s="107"/>
      <c r="U239" s="107"/>
      <c r="V239" s="107"/>
      <c r="W239" s="107"/>
      <c r="X239" s="107"/>
      <c r="Y239" s="107"/>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04"/>
      <c r="BJ239" s="204"/>
      <c r="BK239" s="204"/>
      <c r="BL239" s="204"/>
      <c r="BM239" s="204"/>
      <c r="BN239" s="204"/>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idden="1" outlineLevel="1" collapsed="1">
      <c r="A240" s="9"/>
      <c r="B240" s="9"/>
      <c r="C240" s="279" t="str">
        <f>Asset13</f>
        <v>Substation assets - long life (60)</v>
      </c>
      <c r="D240" s="9"/>
      <c r="E240" s="9"/>
      <c r="F240" s="23"/>
      <c r="G240" s="23"/>
      <c r="H240" s="305">
        <f>-SUM(H228:H239)</f>
        <v>0</v>
      </c>
      <c r="I240" s="164">
        <f>-SUM(I228:I239)</f>
        <v>-3.9605083333333332E-2</v>
      </c>
      <c r="J240" s="164">
        <f>-SUM(J228:J239)</f>
        <v>-0.40475508333333332</v>
      </c>
      <c r="K240" s="164">
        <f>-SUM(K228:K239)</f>
        <v>-0.58625508333333332</v>
      </c>
      <c r="L240" s="164">
        <f>-SUM(L228:L239)</f>
        <v>-0.71932174999999998</v>
      </c>
      <c r="M240" s="164">
        <f>IF(COUNT($H240:L240)&gt;=Input!$W$7,0, -SUM(M228:M239))</f>
        <v>0</v>
      </c>
      <c r="N240" s="164">
        <f>IF(COUNT($H240:M240)&gt;=Input!$W$7,0, -SUM(N228:N239))</f>
        <v>0</v>
      </c>
      <c r="O240" s="164">
        <f>IF(COUNT($H240:N240)&gt;=Input!$W$7,0, -SUM(O228:O239))</f>
        <v>0</v>
      </c>
      <c r="P240" s="164">
        <f>IF(COUNT($H240:O240)&gt;=Input!$W$7,0, -SUM(P228:P239))</f>
        <v>0</v>
      </c>
      <c r="Q240" s="164">
        <f>IF(COUNT($H240:P240)&gt;=Input!$W$7,0, -SUM(Q228:Q239))</f>
        <v>0</v>
      </c>
      <c r="R240" s="164"/>
      <c r="S240" s="106"/>
      <c r="T240" s="106"/>
      <c r="U240" s="106"/>
      <c r="V240" s="106"/>
      <c r="W240" s="106"/>
      <c r="X240" s="106"/>
      <c r="Y240" s="106"/>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04"/>
      <c r="BJ240" s="204"/>
      <c r="BK240" s="204"/>
      <c r="BL240" s="204"/>
      <c r="BM240" s="204"/>
      <c r="BN240" s="204"/>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idden="1" outlineLevel="2">
      <c r="A241" s="9"/>
      <c r="B241" s="280" t="str">
        <f>Asset14</f>
        <v>Substation assets - medium life (45)</v>
      </c>
      <c r="C241" s="31"/>
      <c r="D241" s="32" t="s">
        <v>65</v>
      </c>
      <c r="E241" s="31"/>
      <c r="F241" s="308"/>
      <c r="G241" s="308"/>
      <c r="H241" s="72" t="str">
        <f>IF(H$3&gt;A14taxremlife,A14taxvalue-SUM($F241:F241),IF(A14taxremlife="N/A","n/a",A14taxvalue/A14taxremlife))</f>
        <v>n/a</v>
      </c>
      <c r="I241" s="72" t="str">
        <f>IF(I$3&gt;A14taxremlife,A14taxvalue-SUM($F241:H241),IF(A14taxremlife="N/A","n/a",A14taxvalue/A14taxremlife))</f>
        <v>n/a</v>
      </c>
      <c r="J241" s="72" t="str">
        <f>IF(J$3&gt;A14taxremlife,A14taxvalue-SUM($F241:I241),IF(A14taxremlife="N/A","n/a",A14taxvalue/A14taxremlife))</f>
        <v>n/a</v>
      </c>
      <c r="K241" s="72" t="str">
        <f>IF(K$3&gt;A14taxremlife,A14taxvalue-SUM($F241:J241),IF(A14taxremlife="N/A","n/a",A14taxvalue/A14taxremlife))</f>
        <v>n/a</v>
      </c>
      <c r="L241" s="72" t="str">
        <f>IF(L$3&gt;A14taxremlife,A14taxvalue-SUM($F241:K241),IF(A14taxremlife="N/A","n/a",A14taxvalue/A14taxremlife))</f>
        <v>n/a</v>
      </c>
      <c r="M241" s="72" t="str">
        <f>IF(M$3&gt;A14taxremlife,A14taxvalue-SUM($F241:L241),IF(A14taxremlife="N/A","n/a",A14taxvalue/A14taxremlife))</f>
        <v>n/a</v>
      </c>
      <c r="N241" s="72" t="str">
        <f>IF(N$3&gt;A14taxremlife,A14taxvalue-SUM($F241:M241),IF(A14taxremlife="N/A","n/a",A14taxvalue/A14taxremlife))</f>
        <v>n/a</v>
      </c>
      <c r="O241" s="72" t="str">
        <f>IF(O$3&gt;A14taxremlife,A14taxvalue-SUM($F241:N241),IF(A14taxremlife="N/A","n/a",A14taxvalue/A14taxremlife))</f>
        <v>n/a</v>
      </c>
      <c r="P241" s="72" t="str">
        <f>IF(P$3&gt;A14taxremlife,A14taxvalue-SUM($F241:O241),IF(A14taxremlife="N/A","n/a",A14taxvalue/A14taxremlife))</f>
        <v>n/a</v>
      </c>
      <c r="Q241" s="72" t="str">
        <f>IF(Q$3&gt;A14taxremlife,A14taxvalue-SUM($F241:P241),IF(A14taxremlife="N/A","n/a",A14taxvalue/A14taxremlife))</f>
        <v>n/a</v>
      </c>
      <c r="R241" s="72"/>
      <c r="S241" s="107"/>
      <c r="T241" s="107"/>
      <c r="U241" s="107"/>
      <c r="V241" s="107"/>
      <c r="W241" s="107"/>
      <c r="X241" s="107"/>
      <c r="Y241" s="107"/>
      <c r="Z241" s="223"/>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04"/>
      <c r="BJ241" s="204"/>
      <c r="BK241" s="204"/>
      <c r="BL241" s="204"/>
      <c r="BM241" s="204"/>
      <c r="BN241" s="204"/>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6"/>
      <c r="D242" s="391" t="s">
        <v>81</v>
      </c>
      <c r="E242" s="91"/>
      <c r="F242" s="27"/>
      <c r="G242" s="27"/>
      <c r="H242" s="107"/>
      <c r="I242" s="73"/>
      <c r="J242" s="73"/>
      <c r="K242" s="73"/>
      <c r="L242" s="73"/>
      <c r="M242" s="73"/>
      <c r="N242" s="73"/>
      <c r="O242" s="73"/>
      <c r="P242" s="73"/>
      <c r="Q242" s="73"/>
      <c r="R242" s="73"/>
      <c r="S242" s="107"/>
      <c r="T242" s="107"/>
      <c r="U242" s="107"/>
      <c r="V242" s="107"/>
      <c r="W242" s="107"/>
      <c r="X242" s="107"/>
      <c r="Y242" s="107"/>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04"/>
      <c r="BJ242" s="204"/>
      <c r="BK242" s="204"/>
      <c r="BL242" s="204"/>
      <c r="BM242" s="204"/>
      <c r="BN242" s="204"/>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idden="1" outlineLevel="2">
      <c r="A243" s="9"/>
      <c r="B243" s="9"/>
      <c r="C243" s="26"/>
      <c r="D243" s="392"/>
      <c r="E243" s="91">
        <v>1</v>
      </c>
      <c r="F243" s="27"/>
      <c r="G243" s="27"/>
      <c r="H243" s="148"/>
      <c r="I243" s="73">
        <f>IF(A14taxstdlife="n/a","n/a",IF(I$3&gt;(A14taxstdlife+$E243),(Input!$H$156-Input!$H$190)-SUM($H243:H243),(Input!$H$156-Input!$H$190)/A14taxstdlife))</f>
        <v>0.24894660000000002</v>
      </c>
      <c r="J243" s="73">
        <f>IF(A14taxstdlife="n/a","n/a",IF(J$3&gt;(A14taxstdlife+$E243),(Input!$H$156-Input!$H$190)-SUM($H243:I243),(Input!$H$156-Input!$H$190)/A14taxstdlife))</f>
        <v>0.24894660000000002</v>
      </c>
      <c r="K243" s="73">
        <f>IF(A14taxstdlife="n/a","n/a",IF(K$3&gt;(A14taxstdlife+$E243),(Input!$H$156-Input!$H$190)-SUM($H243:J243),(Input!$H$156-Input!$H$190)/A14taxstdlife))</f>
        <v>0.24894660000000002</v>
      </c>
      <c r="L243" s="73">
        <f>IF(A14taxstdlife="n/a","n/a",IF(L$3&gt;(A14taxstdlife+$E243),(Input!$H$156-Input!$H$190)-SUM($H243:K243),(Input!$H$156-Input!$H$190)/A14taxstdlife))</f>
        <v>0.24894660000000002</v>
      </c>
      <c r="M243" s="73">
        <f>IF(A14taxstdlife="n/a","n/a",IF(M$3&gt;(A14taxstdlife+$E243),(Input!$H$156-Input!$H$190)-SUM($H243:L243),(Input!$H$156-Input!$H$190)/A14taxstdlife))</f>
        <v>0.24894660000000002</v>
      </c>
      <c r="N243" s="73">
        <f>IF(A14taxstdlife="n/a","n/a",IF(N$3&gt;(A14taxstdlife+$E243),(Input!$H$156-Input!$H$190)-SUM($H243:M243),(Input!$H$156-Input!$H$190)/A14taxstdlife))</f>
        <v>0.24894660000000002</v>
      </c>
      <c r="O243" s="73">
        <f>IF(A14taxstdlife="n/a","n/a",IF(O$3&gt;(A14taxstdlife+$E243),(Input!$H$156-Input!$H$190)-SUM($H243:N243),(Input!$H$156-Input!$H$190)/A14taxstdlife))</f>
        <v>0.24894660000000002</v>
      </c>
      <c r="P243" s="73">
        <f>IF(A14taxstdlife="n/a","n/a",IF(P$3&gt;(A14taxstdlife+$E243),(Input!$H$156-Input!$H$190)-SUM($H243:O243),(Input!$H$156-Input!$H$190)/A14taxstdlife))</f>
        <v>0.24894660000000002</v>
      </c>
      <c r="Q243" s="73">
        <f>IF(A14taxstdlife="n/a","n/a",IF(Q$3&gt;(A14taxstdlife+$E243),(Input!$H$156-Input!$H$190)-SUM($H243:P243),(Input!$H$156-Input!$H$190)/A14taxstdlife))</f>
        <v>0.24894660000000002</v>
      </c>
      <c r="R243" s="73"/>
      <c r="S243" s="107"/>
      <c r="T243" s="107"/>
      <c r="U243" s="107"/>
      <c r="V243" s="107"/>
      <c r="W243" s="107"/>
      <c r="X243" s="107"/>
      <c r="Y243" s="107"/>
      <c r="Z243" s="223"/>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04"/>
      <c r="BJ243" s="204"/>
      <c r="BK243" s="204"/>
      <c r="BL243" s="204"/>
      <c r="BM243" s="204"/>
      <c r="BN243" s="204"/>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idden="1" outlineLevel="2">
      <c r="A244" s="9"/>
      <c r="B244" s="9"/>
      <c r="C244" s="26"/>
      <c r="D244" s="392"/>
      <c r="E244" s="91">
        <v>2</v>
      </c>
      <c r="F244" s="27"/>
      <c r="G244" s="27"/>
      <c r="H244" s="149"/>
      <c r="I244" s="150"/>
      <c r="J244" s="73">
        <f>IF(A14taxstdlife="n/a","n/a",IF(J$3&gt;(A14taxstdlife+$E244),(Input!$I$156-Input!$I$190)-SUM($I244:I244),(Input!$I$156-Input!$I$190)/A14taxstdlife))</f>
        <v>1.1866666666666665</v>
      </c>
      <c r="K244" s="73">
        <f>IF(A14taxstdlife="n/a","n/a",IF(K$3&gt;(A14taxstdlife+$E244),(Input!$I$156-Input!$I$190)-SUM($I244:J244),(Input!$I$156-Input!$I$190)/A14taxstdlife))</f>
        <v>1.1866666666666665</v>
      </c>
      <c r="L244" s="73">
        <f>IF(A14taxstdlife="n/a","n/a",IF(L$3&gt;(A14taxstdlife+$E244),(Input!$I$156-Input!$I$190)-SUM($I244:K244),(Input!$I$156-Input!$I$190)/A14taxstdlife))</f>
        <v>1.1866666666666665</v>
      </c>
      <c r="M244" s="73">
        <f>IF(A14taxstdlife="n/a","n/a",IF(M$3&gt;(A14taxstdlife+$E244),(Input!$I$156-Input!$I$190)-SUM($I244:L244),(Input!$I$156-Input!$I$190)/A14taxstdlife))</f>
        <v>1.1866666666666665</v>
      </c>
      <c r="N244" s="73">
        <f>IF(A14taxstdlife="n/a","n/a",IF(N$3&gt;(A14taxstdlife+$E244),(Input!$I$156-Input!$I$190)-SUM($I244:M244),(Input!$I$156-Input!$I$190)/A14taxstdlife))</f>
        <v>1.1866666666666665</v>
      </c>
      <c r="O244" s="73">
        <f>IF(A14taxstdlife="n/a","n/a",IF(O$3&gt;(A14taxstdlife+$E244),(Input!$I$156-Input!$I$190)-SUM($I244:N244),(Input!$I$156-Input!$I$190)/A14taxstdlife))</f>
        <v>1.1866666666666665</v>
      </c>
      <c r="P244" s="73">
        <f>IF(A14taxstdlife="n/a","n/a",IF(P$3&gt;(A14taxstdlife+$E244),(Input!$I$156-Input!$I$190)-SUM($I244:O244),(Input!$I$156-Input!$I$190)/A14taxstdlife))</f>
        <v>1.1866666666666665</v>
      </c>
      <c r="Q244" s="73">
        <f>IF(A14taxstdlife="n/a","n/a",IF(Q$3&gt;(A14taxstdlife+$E244),(Input!$I$156-Input!$I$190)-SUM($I244:P244),(Input!$I$156-Input!$I$190)/A14taxstdlife))</f>
        <v>1.1866666666666665</v>
      </c>
      <c r="R244" s="73"/>
      <c r="S244" s="107"/>
      <c r="T244" s="107"/>
      <c r="U244" s="107"/>
      <c r="V244" s="107"/>
      <c r="W244" s="107"/>
      <c r="X244" s="107"/>
      <c r="Y244" s="107"/>
      <c r="Z244" s="223"/>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04"/>
      <c r="BJ244" s="204"/>
      <c r="BK244" s="204"/>
      <c r="BL244" s="204"/>
      <c r="BM244" s="204"/>
      <c r="BN244" s="20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idden="1" outlineLevel="2">
      <c r="A245" s="9"/>
      <c r="B245" s="9"/>
      <c r="C245" s="26"/>
      <c r="D245" s="392"/>
      <c r="E245" s="91">
        <v>3</v>
      </c>
      <c r="F245" s="27"/>
      <c r="G245" s="27"/>
      <c r="H245" s="149"/>
      <c r="I245" s="151"/>
      <c r="J245" s="150"/>
      <c r="K245" s="73">
        <f>IF(A14taxstdlife="n/a","n/a",IF(K$3&gt;(A14taxstdlife+$E245),(Input!$J$156-Input!$J$190)-SUM($J245:J245),(Input!$J$156-Input!$J$190)/A14taxstdlife))</f>
        <v>1.0314888888888889</v>
      </c>
      <c r="L245" s="73">
        <f>IF(A14taxstdlife="n/a","n/a",IF(L$3&gt;(A14taxstdlife+$E245),(Input!$J$156-Input!$J$190)-SUM($J245:K245),(Input!$J$156-Input!$J$190)/A14taxstdlife))</f>
        <v>1.0314888888888889</v>
      </c>
      <c r="M245" s="73">
        <f>IF(A14taxstdlife="n/a","n/a",IF(M$3&gt;(A14taxstdlife+$E245),(Input!$J$156-Input!$J$190)-SUM($J245:L245),(Input!$J$156-Input!$J$190)/A14taxstdlife))</f>
        <v>1.0314888888888889</v>
      </c>
      <c r="N245" s="73">
        <f>IF(A14taxstdlife="n/a","n/a",IF(N$3&gt;(A14taxstdlife+$E245),(Input!$J$156-Input!$J$190)-SUM($J245:M245),(Input!$J$156-Input!$J$190)/A14taxstdlife))</f>
        <v>1.0314888888888889</v>
      </c>
      <c r="O245" s="73">
        <f>IF(A14taxstdlife="n/a","n/a",IF(O$3&gt;(A14taxstdlife+$E245),(Input!$J$156-Input!$J$190)-SUM($J245:N245),(Input!$J$156-Input!$J$190)/A14taxstdlife))</f>
        <v>1.0314888888888889</v>
      </c>
      <c r="P245" s="73">
        <f>IF(A14taxstdlife="n/a","n/a",IF(P$3&gt;(A14taxstdlife+$E245),(Input!$J$156-Input!$J$190)-SUM($J245:O245),(Input!$J$156-Input!$J$190)/A14taxstdlife))</f>
        <v>1.0314888888888889</v>
      </c>
      <c r="Q245" s="73">
        <f>IF(A14taxstdlife="n/a","n/a",IF(Q$3&gt;(A14taxstdlife+$E245),(Input!$J$156-Input!$J$190)-SUM($J245:P245),(Input!$J$156-Input!$J$190)/A14taxstdlife))</f>
        <v>1.0314888888888889</v>
      </c>
      <c r="R245" s="73"/>
      <c r="S245" s="107"/>
      <c r="T245" s="107"/>
      <c r="U245" s="107"/>
      <c r="V245" s="107"/>
      <c r="W245" s="107"/>
      <c r="X245" s="107"/>
      <c r="Y245" s="107"/>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04"/>
      <c r="BJ245" s="204"/>
      <c r="BK245" s="204"/>
      <c r="BL245" s="204"/>
      <c r="BM245" s="204"/>
      <c r="BN245" s="204"/>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idden="1" outlineLevel="2">
      <c r="A246" s="9"/>
      <c r="B246" s="9"/>
      <c r="C246" s="26"/>
      <c r="D246" s="392"/>
      <c r="E246" s="91">
        <v>4</v>
      </c>
      <c r="F246" s="27"/>
      <c r="G246" s="27"/>
      <c r="H246" s="149"/>
      <c r="I246" s="151"/>
      <c r="J246" s="151"/>
      <c r="K246" s="150"/>
      <c r="L246" s="73">
        <f>IF(A14taxstdlife="n/a","n/a",IF(L$3&gt;(A14taxstdlife+$E246),(Input!$K$156-Input!$K$190)-SUM($K246:K246),(Input!$K$156-Input!$K$190)/A14taxstdlife))</f>
        <v>0.8312222222222222</v>
      </c>
      <c r="M246" s="73">
        <f>IF(A14taxstdlife="n/a","n/a",IF(M$3&gt;(A14taxstdlife+$E246),(Input!$K$156-Input!$K$190)-SUM($K246:L246),(Input!$K$156-Input!$K$190)/A14taxstdlife))</f>
        <v>0.8312222222222222</v>
      </c>
      <c r="N246" s="73">
        <f>IF(A14taxstdlife="n/a","n/a",IF(N$3&gt;(A14taxstdlife+$E246),(Input!$K$156-Input!$K$190)-SUM($K246:M246),(Input!$K$156-Input!$K$190)/A14taxstdlife))</f>
        <v>0.8312222222222222</v>
      </c>
      <c r="O246" s="73">
        <f>IF(A14taxstdlife="n/a","n/a",IF(O$3&gt;(A14taxstdlife+$E246),(Input!$K$156-Input!$K$190)-SUM($K246:N246),(Input!$K$156-Input!$K$190)/A14taxstdlife))</f>
        <v>0.8312222222222222</v>
      </c>
      <c r="P246" s="73">
        <f>IF(A14taxstdlife="n/a","n/a",IF(P$3&gt;(A14taxstdlife+$E246),(Input!$K$156-Input!$K$190)-SUM($K246:O246),(Input!$K$156-Input!$K$190)/A14taxstdlife))</f>
        <v>0.8312222222222222</v>
      </c>
      <c r="Q246" s="73">
        <f>IF(A14taxstdlife="n/a","n/a",IF(Q$3&gt;(A14taxstdlife+$E246),(Input!$K$156-Input!$K$190)-SUM($K246:P246),(Input!$K$156-Input!$K$190)/A14taxstdlife))</f>
        <v>0.8312222222222222</v>
      </c>
      <c r="R246" s="73"/>
      <c r="S246" s="107"/>
      <c r="T246" s="107"/>
      <c r="U246" s="107"/>
      <c r="V246" s="107"/>
      <c r="W246" s="107"/>
      <c r="X246" s="107"/>
      <c r="Y246" s="107"/>
      <c r="Z246" s="223"/>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04"/>
      <c r="BJ246" s="204"/>
      <c r="BK246" s="204"/>
      <c r="BL246" s="204"/>
      <c r="BM246" s="204"/>
      <c r="BN246" s="204"/>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idden="1" outlineLevel="2">
      <c r="A247" s="9"/>
      <c r="B247" s="9"/>
      <c r="C247" s="26"/>
      <c r="D247" s="392"/>
      <c r="E247" s="91">
        <v>5</v>
      </c>
      <c r="F247" s="27"/>
      <c r="G247" s="27"/>
      <c r="H247" s="149"/>
      <c r="I247" s="151"/>
      <c r="J247" s="151"/>
      <c r="K247" s="151"/>
      <c r="L247" s="150"/>
      <c r="M247" s="73">
        <f>IF(A14taxstdlife="n/a","n/a",IF(M$3&gt;(A14taxstdlife+$E247),(Input!$L$156-Input!$L$190)-SUM($L247:L247),(Input!$L$156-Input!$L$190)/A14taxstdlife))</f>
        <v>0.66577745309269087</v>
      </c>
      <c r="N247" s="73">
        <f>IF(A14taxstdlife="n/a","n/a",IF(N$3&gt;(A14taxstdlife+$E247),(Input!$L$156-Input!$L$190)-SUM($L247:M247),(Input!$L$156-Input!$L$190)/A14taxstdlife))</f>
        <v>0.66577745309269087</v>
      </c>
      <c r="O247" s="73">
        <f>IF(A14taxstdlife="n/a","n/a",IF(O$3&gt;(A14taxstdlife+$E247),(Input!$L$156-Input!$L$190)-SUM($L247:N247),(Input!$L$156-Input!$L$190)/A14taxstdlife))</f>
        <v>0.66577745309269087</v>
      </c>
      <c r="P247" s="73">
        <f>IF(A14taxstdlife="n/a","n/a",IF(P$3&gt;(A14taxstdlife+$E247),(Input!$L$156-Input!$L$190)-SUM($L247:O247),(Input!$L$156-Input!$L$190)/A14taxstdlife))</f>
        <v>0.66577745309269087</v>
      </c>
      <c r="Q247" s="73">
        <f>IF(A14taxstdlife="n/a","n/a",IF(Q$3&gt;(A14taxstdlife+$E247),(Input!$L$156-Input!$L$190)-SUM($L247:P247),(Input!$L$156-Input!$L$190)/A14taxstdlife))</f>
        <v>0.66577745309269087</v>
      </c>
      <c r="R247" s="73"/>
      <c r="S247" s="107"/>
      <c r="T247" s="107"/>
      <c r="U247" s="107"/>
      <c r="V247" s="107"/>
      <c r="W247" s="107"/>
      <c r="X247" s="107"/>
      <c r="Y247" s="107"/>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04"/>
      <c r="BJ247" s="204"/>
      <c r="BK247" s="204"/>
      <c r="BL247" s="204"/>
      <c r="BM247" s="204"/>
      <c r="BN247" s="204"/>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idden="1" outlineLevel="2">
      <c r="A248" s="9"/>
      <c r="B248" s="9"/>
      <c r="C248" s="26"/>
      <c r="D248" s="392"/>
      <c r="E248" s="91">
        <v>6</v>
      </c>
      <c r="F248" s="27"/>
      <c r="G248" s="27"/>
      <c r="H248" s="149"/>
      <c r="I248" s="151"/>
      <c r="J248" s="151"/>
      <c r="K248" s="151"/>
      <c r="L248" s="151"/>
      <c r="M248" s="150"/>
      <c r="N248" s="73">
        <f>IF(A14taxstdlife="n/a","n/a",IF(N$3&gt;(A14taxstdlife+$E248),(Input!$M$156-Input!$M$190)-SUM($M248:M248),(Input!$M$156-Input!$M$190)/A14taxstdlife))</f>
        <v>0</v>
      </c>
      <c r="O248" s="73">
        <f>IF(A14taxstdlife="n/a","n/a",IF(O$3&gt;(A14taxstdlife+$E248),(Input!$M$156-Input!$M$190)-SUM($M248:N248),(Input!$M$156-Input!$M$190)/A14taxstdlife))</f>
        <v>0</v>
      </c>
      <c r="P248" s="73">
        <f>IF(A14taxstdlife="n/a","n/a",IF(P$3&gt;(A14taxstdlife+$E248),(Input!$M$156-Input!$M$190)-SUM($M248:O248),(Input!$M$156-Input!$M$190)/A14taxstdlife))</f>
        <v>0</v>
      </c>
      <c r="Q248" s="73">
        <f>IF(A14taxstdlife="n/a","n/a",IF(Q$3&gt;(A14taxstdlife+$E248),(Input!$M$156-Input!$M$190)-SUM($M248:P248),(Input!$M$156-Input!$M$190)/A14taxstdlife))</f>
        <v>0</v>
      </c>
      <c r="R248" s="73"/>
      <c r="S248" s="107"/>
      <c r="T248" s="107"/>
      <c r="U248" s="107"/>
      <c r="V248" s="107"/>
      <c r="W248" s="107"/>
      <c r="X248" s="107"/>
      <c r="Y248" s="107"/>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04"/>
      <c r="BJ248" s="204"/>
      <c r="BK248" s="204"/>
      <c r="BL248" s="204"/>
      <c r="BM248" s="204"/>
      <c r="BN248" s="204"/>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idden="1" outlineLevel="2">
      <c r="A249" s="9"/>
      <c r="B249" s="9"/>
      <c r="C249" s="26"/>
      <c r="D249" s="392"/>
      <c r="E249" s="91">
        <v>7</v>
      </c>
      <c r="F249" s="27"/>
      <c r="G249" s="27"/>
      <c r="H249" s="149"/>
      <c r="I249" s="151"/>
      <c r="J249" s="151"/>
      <c r="K249" s="151"/>
      <c r="L249" s="151"/>
      <c r="M249" s="151"/>
      <c r="N249" s="150"/>
      <c r="O249" s="73">
        <f>IF(A14taxstdlife="n/a","n/a",IF(O$3&gt;(A14taxstdlife+$E249),(Input!$N$156-Input!$N$190)-SUM($N249:N249),(Input!$N$156-Input!$N$190)/A14taxstdlife))</f>
        <v>0</v>
      </c>
      <c r="P249" s="73">
        <f>IF(A14taxstdlife="n/a","n/a",IF(P$3&gt;(A14taxstdlife+$E249),(Input!$N$156-Input!$N$190)-SUM($N249:O249),(Input!$N$156-Input!$N$190)/A14taxstdlife))</f>
        <v>0</v>
      </c>
      <c r="Q249" s="73">
        <f>IF(A14taxstdlife="n/a","n/a",IF(Q$3&gt;(A14taxstdlife+$E249),(Input!$N$156-Input!$N$190)-SUM($N249:P249),(Input!$N$156-Input!$N$190)/A14taxstdlife))</f>
        <v>0</v>
      </c>
      <c r="R249" s="73"/>
      <c r="S249" s="107"/>
      <c r="T249" s="107"/>
      <c r="U249" s="107"/>
      <c r="V249" s="107"/>
      <c r="W249" s="107"/>
      <c r="X249" s="107"/>
      <c r="Y249" s="107"/>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04"/>
      <c r="BJ249" s="204"/>
      <c r="BK249" s="204"/>
      <c r="BL249" s="204"/>
      <c r="BM249" s="204"/>
      <c r="BN249" s="204"/>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idden="1" outlineLevel="2">
      <c r="A250" s="9"/>
      <c r="B250" s="9"/>
      <c r="C250" s="26"/>
      <c r="D250" s="392"/>
      <c r="E250" s="91">
        <v>8</v>
      </c>
      <c r="F250" s="27"/>
      <c r="G250" s="27"/>
      <c r="H250" s="149"/>
      <c r="I250" s="151"/>
      <c r="J250" s="151"/>
      <c r="K250" s="151"/>
      <c r="L250" s="151"/>
      <c r="M250" s="151"/>
      <c r="N250" s="151"/>
      <c r="O250" s="150"/>
      <c r="P250" s="73">
        <f>IF(A14taxstdlife="n/a","n/a",IF(P$3&gt;(A14taxstdlife+$E250),(Input!$O$156-Input!$O$190)-SUM($O250:O250),(Input!$O$156-Input!$O$190)/A14taxstdlife))</f>
        <v>0</v>
      </c>
      <c r="Q250" s="73">
        <f>IF(A14taxstdlife="n/a","n/a",IF(Q$3&gt;(A14taxstdlife+$E250),(Input!$O$156-Input!$O$190)-SUM($O250:P250),(Input!$O$156-Input!$O$190)/A14taxstdlife))</f>
        <v>0</v>
      </c>
      <c r="R250" s="73"/>
      <c r="S250" s="107"/>
      <c r="T250" s="107"/>
      <c r="U250" s="107"/>
      <c r="V250" s="107"/>
      <c r="W250" s="107"/>
      <c r="X250" s="107"/>
      <c r="Y250" s="107"/>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04"/>
      <c r="BJ250" s="204"/>
      <c r="BK250" s="204"/>
      <c r="BL250" s="204"/>
      <c r="BM250" s="204"/>
      <c r="BN250" s="204"/>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idden="1" outlineLevel="2">
      <c r="A251" s="9"/>
      <c r="B251" s="9"/>
      <c r="C251" s="26"/>
      <c r="D251" s="392"/>
      <c r="E251" s="91">
        <v>9</v>
      </c>
      <c r="F251" s="27"/>
      <c r="G251" s="27"/>
      <c r="H251" s="149"/>
      <c r="I251" s="151"/>
      <c r="J251" s="151"/>
      <c r="K251" s="151"/>
      <c r="L251" s="151"/>
      <c r="M251" s="151"/>
      <c r="N251" s="151"/>
      <c r="O251" s="151"/>
      <c r="P251" s="150"/>
      <c r="Q251" s="73">
        <f>IF(A14taxstdlife="n/a","n/a",IF(Q$3&gt;(A14taxstdlife+$E251),(Input!$P$156-Input!$P$190)-SUM($P251:P251),(Input!$P$156-Input!$P$190)/A14taxstdlife))</f>
        <v>0</v>
      </c>
      <c r="R251" s="73"/>
      <c r="S251" s="107"/>
      <c r="T251" s="107"/>
      <c r="U251" s="107"/>
      <c r="V251" s="107"/>
      <c r="W251" s="107"/>
      <c r="X251" s="107"/>
      <c r="Y251" s="107"/>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04"/>
      <c r="BJ251" s="204"/>
      <c r="BK251" s="204"/>
      <c r="BL251" s="204"/>
      <c r="BM251" s="204"/>
      <c r="BN251" s="204"/>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idden="1" outlineLevel="2">
      <c r="A252" s="9"/>
      <c r="B252" s="9"/>
      <c r="C252" s="26"/>
      <c r="D252" s="392"/>
      <c r="E252" s="92">
        <v>10</v>
      </c>
      <c r="F252" s="27"/>
      <c r="G252" s="27"/>
      <c r="H252" s="149"/>
      <c r="I252" s="151"/>
      <c r="J252" s="151"/>
      <c r="K252" s="151"/>
      <c r="L252" s="151"/>
      <c r="M252" s="151"/>
      <c r="N252" s="151"/>
      <c r="O252" s="151"/>
      <c r="P252" s="151"/>
      <c r="Q252" s="150"/>
      <c r="R252" s="73"/>
      <c r="S252" s="107"/>
      <c r="T252" s="107"/>
      <c r="U252" s="107"/>
      <c r="V252" s="107"/>
      <c r="W252" s="107"/>
      <c r="X252" s="107"/>
      <c r="Y252" s="107"/>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04"/>
      <c r="BJ252" s="204"/>
      <c r="BK252" s="204"/>
      <c r="BL252" s="204"/>
      <c r="BM252" s="204"/>
      <c r="BN252" s="204"/>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idden="1" outlineLevel="1" collapsed="1">
      <c r="A253" s="9"/>
      <c r="B253" s="9"/>
      <c r="C253" s="279" t="str">
        <f>Asset14</f>
        <v>Substation assets - medium life (45)</v>
      </c>
      <c r="D253" s="9"/>
      <c r="E253" s="9"/>
      <c r="F253" s="23"/>
      <c r="G253" s="23"/>
      <c r="H253" s="305">
        <f>-SUM(H241:H252)</f>
        <v>0</v>
      </c>
      <c r="I253" s="164">
        <f>-SUM(I241:I252)</f>
        <v>-0.24894660000000002</v>
      </c>
      <c r="J253" s="164">
        <f>-SUM(J241:J252)</f>
        <v>-1.4356132666666666</v>
      </c>
      <c r="K253" s="164">
        <f>-SUM(K241:K252)</f>
        <v>-2.4671021555555557</v>
      </c>
      <c r="L253" s="164">
        <f>-SUM(L241:L252)</f>
        <v>-3.298324377777778</v>
      </c>
      <c r="M253" s="164">
        <f>IF(COUNT($H253:L253)&gt;=Input!$W$7,0, -SUM(M241:M252))</f>
        <v>0</v>
      </c>
      <c r="N253" s="164">
        <f>IF(COUNT($H253:M253)&gt;=Input!$W$7,0, -SUM(N241:N252))</f>
        <v>0</v>
      </c>
      <c r="O253" s="164">
        <f>IF(COUNT($H253:N253)&gt;=Input!$W$7,0, -SUM(O241:O252))</f>
        <v>0</v>
      </c>
      <c r="P253" s="164">
        <f>IF(COUNT($H253:O253)&gt;=Input!$W$7,0, -SUM(P241:P252))</f>
        <v>0</v>
      </c>
      <c r="Q253" s="164">
        <f>IF(COUNT($H253:P253)&gt;=Input!$W$7,0, -SUM(Q241:Q252))</f>
        <v>0</v>
      </c>
      <c r="R253" s="164"/>
      <c r="S253" s="106"/>
      <c r="T253" s="106"/>
      <c r="U253" s="106"/>
      <c r="V253" s="106"/>
      <c r="W253" s="106"/>
      <c r="X253" s="106"/>
      <c r="Y253" s="106"/>
      <c r="Z253" s="22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04"/>
      <c r="BJ253" s="204"/>
      <c r="BK253" s="204"/>
      <c r="BL253" s="204"/>
      <c r="BM253" s="204"/>
      <c r="BN253" s="204"/>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idden="1" outlineLevel="2">
      <c r="A254" s="9"/>
      <c r="B254" s="280" t="str">
        <f>Asset15</f>
        <v>Substation assets - short life (15)</v>
      </c>
      <c r="C254" s="31"/>
      <c r="D254" s="32" t="s">
        <v>65</v>
      </c>
      <c r="E254" s="31"/>
      <c r="F254" s="308"/>
      <c r="G254" s="308"/>
      <c r="H254" s="72" t="str">
        <f>IF(H$3&gt;A15taxremlife,A15taxvalue-SUM($F254:F254),IF(A15taxremlife="N/A","n/a",A15taxvalue/A15taxremlife))</f>
        <v>n/a</v>
      </c>
      <c r="I254" s="72" t="str">
        <f>IF(I$3&gt;A15taxremlife,A15taxvalue-SUM($F254:H254),IF(A15taxremlife="N/A","n/a",A15taxvalue/A15taxremlife))</f>
        <v>n/a</v>
      </c>
      <c r="J254" s="72" t="str">
        <f>IF(J$3&gt;A15taxremlife,A15taxvalue-SUM($F254:I254),IF(A15taxremlife="N/A","n/a",A15taxvalue/A15taxremlife))</f>
        <v>n/a</v>
      </c>
      <c r="K254" s="72" t="str">
        <f>IF(K$3&gt;A15taxremlife,A15taxvalue-SUM($F254:J254),IF(A15taxremlife="N/A","n/a",A15taxvalue/A15taxremlife))</f>
        <v>n/a</v>
      </c>
      <c r="L254" s="72" t="str">
        <f>IF(L$3&gt;A15taxremlife,A15taxvalue-SUM($F254:K254),IF(A15taxremlife="N/A","n/a",A15taxvalue/A15taxremlife))</f>
        <v>n/a</v>
      </c>
      <c r="M254" s="72" t="str">
        <f>IF(M$3&gt;A15taxremlife,A15taxvalue-SUM($F254:L254),IF(A15taxremlife="N/A","n/a",A15taxvalue/A15taxremlife))</f>
        <v>n/a</v>
      </c>
      <c r="N254" s="72" t="str">
        <f>IF(N$3&gt;A15taxremlife,A15taxvalue-SUM($F254:M254),IF(A15taxremlife="N/A","n/a",A15taxvalue/A15taxremlife))</f>
        <v>n/a</v>
      </c>
      <c r="O254" s="72" t="str">
        <f>IF(O$3&gt;A15taxremlife,A15taxvalue-SUM($F254:N254),IF(A15taxremlife="N/A","n/a",A15taxvalue/A15taxremlife))</f>
        <v>n/a</v>
      </c>
      <c r="P254" s="72" t="str">
        <f>IF(P$3&gt;A15taxremlife,A15taxvalue-SUM($F254:O254),IF(A15taxremlife="N/A","n/a",A15taxvalue/A15taxremlife))</f>
        <v>n/a</v>
      </c>
      <c r="Q254" s="72" t="str">
        <f>IF(Q$3&gt;A15taxremlife,A15taxvalue-SUM($F254:P254),IF(A15taxremlife="N/A","n/a",A15taxvalue/A15taxremlife))</f>
        <v>n/a</v>
      </c>
      <c r="R254" s="72"/>
      <c r="S254" s="107"/>
      <c r="T254" s="107"/>
      <c r="U254" s="107"/>
      <c r="V254" s="107"/>
      <c r="W254" s="107"/>
      <c r="X254" s="107"/>
      <c r="Y254" s="107"/>
      <c r="Z254" s="223"/>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04"/>
      <c r="BJ254" s="204"/>
      <c r="BK254" s="204"/>
      <c r="BL254" s="204"/>
      <c r="BM254" s="204"/>
      <c r="BN254" s="20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6"/>
      <c r="D255" s="391" t="s">
        <v>81</v>
      </c>
      <c r="E255" s="91">
        <v>0</v>
      </c>
      <c r="F255" s="27"/>
      <c r="G255" s="27"/>
      <c r="H255" s="107"/>
      <c r="I255" s="73"/>
      <c r="J255" s="73"/>
      <c r="K255" s="73"/>
      <c r="L255" s="73"/>
      <c r="M255" s="73"/>
      <c r="N255" s="73"/>
      <c r="O255" s="73"/>
      <c r="P255" s="73"/>
      <c r="Q255" s="73"/>
      <c r="R255" s="73"/>
      <c r="S255" s="107"/>
      <c r="T255" s="107"/>
      <c r="U255" s="107"/>
      <c r="V255" s="107"/>
      <c r="W255" s="107"/>
      <c r="X255" s="107"/>
      <c r="Y255" s="107"/>
      <c r="Z255" s="223"/>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04"/>
      <c r="BJ255" s="204"/>
      <c r="BK255" s="204"/>
      <c r="BL255" s="204"/>
      <c r="BM255" s="204"/>
      <c r="BN255" s="204"/>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idden="1" outlineLevel="2">
      <c r="A256" s="9"/>
      <c r="B256" s="9"/>
      <c r="C256" s="26"/>
      <c r="D256" s="392"/>
      <c r="E256" s="91">
        <v>1</v>
      </c>
      <c r="F256" s="27"/>
      <c r="G256" s="27"/>
      <c r="H256" s="148"/>
      <c r="I256" s="73">
        <f>IF(A15taxstdlife="n/a","n/a",IF(I$3&gt;(A15taxstdlife+$E256),(Input!$H$157-Input!$H$191)-SUM($H256:H256),(Input!$H$157-Input!$H$191)/A15taxstdlife))</f>
        <v>0.7838666666666666</v>
      </c>
      <c r="J256" s="73">
        <f>IF(A15taxstdlife="n/a","n/a",IF(J$3&gt;(A15taxstdlife+$E256),(Input!$H$157-Input!$H$191)-SUM($H256:I256),(Input!$H$157-Input!$H$191)/A15taxstdlife))</f>
        <v>0.7838666666666666</v>
      </c>
      <c r="K256" s="73">
        <f>IF(A15taxstdlife="n/a","n/a",IF(K$3&gt;(A15taxstdlife+$E256),(Input!$H$157-Input!$H$191)-SUM($H256:J256),(Input!$H$157-Input!$H$191)/A15taxstdlife))</f>
        <v>0.7838666666666666</v>
      </c>
      <c r="L256" s="73">
        <f>IF(A15taxstdlife="n/a","n/a",IF(L$3&gt;(A15taxstdlife+$E256),(Input!$H$157-Input!$H$191)-SUM($H256:K256),(Input!$H$157-Input!$H$191)/A15taxstdlife))</f>
        <v>0.7838666666666666</v>
      </c>
      <c r="M256" s="73">
        <f>IF(A15taxstdlife="n/a","n/a",IF(M$3&gt;(A15taxstdlife+$E256),(Input!$H$157-Input!$H$191)-SUM($H256:L256),(Input!$H$157-Input!$H$191)/A15taxstdlife))</f>
        <v>0.7838666666666666</v>
      </c>
      <c r="N256" s="73">
        <f>IF(A15taxstdlife="n/a","n/a",IF(N$3&gt;(A15taxstdlife+$E256),(Input!$H$157-Input!$H$191)-SUM($H256:M256),(Input!$H$157-Input!$H$191)/A15taxstdlife))</f>
        <v>0.7838666666666666</v>
      </c>
      <c r="O256" s="73">
        <f>IF(A15taxstdlife="n/a","n/a",IF(O$3&gt;(A15taxstdlife+$E256),(Input!$H$157-Input!$H$191)-SUM($H256:N256),(Input!$H$157-Input!$H$191)/A15taxstdlife))</f>
        <v>0.7838666666666666</v>
      </c>
      <c r="P256" s="73">
        <f>IF(A15taxstdlife="n/a","n/a",IF(P$3&gt;(A15taxstdlife+$E256),(Input!$H$157-Input!$H$191)-SUM($H256:O256),(Input!$H$157-Input!$H$191)/A15taxstdlife))</f>
        <v>0.7838666666666666</v>
      </c>
      <c r="Q256" s="73">
        <f>IF(A15taxstdlife="n/a","n/a",IF(Q$3&gt;(A15taxstdlife+$E256),(Input!$H$157-Input!$H$191)-SUM($H256:P256),(Input!$H$157-Input!$H$191)/A15taxstdlife))</f>
        <v>0.7838666666666666</v>
      </c>
      <c r="R256" s="73"/>
      <c r="S256" s="107"/>
      <c r="T256" s="107"/>
      <c r="U256" s="107"/>
      <c r="V256" s="107"/>
      <c r="W256" s="107"/>
      <c r="X256" s="107"/>
      <c r="Y256" s="107"/>
      <c r="Z256" s="223"/>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04"/>
      <c r="BJ256" s="204"/>
      <c r="BK256" s="204"/>
      <c r="BL256" s="204"/>
      <c r="BM256" s="204"/>
      <c r="BN256" s="204"/>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idden="1" outlineLevel="2">
      <c r="A257" s="9"/>
      <c r="B257" s="9"/>
      <c r="C257" s="26"/>
      <c r="D257" s="392"/>
      <c r="E257" s="91">
        <v>2</v>
      </c>
      <c r="F257" s="27"/>
      <c r="G257" s="27"/>
      <c r="H257" s="149"/>
      <c r="I257" s="150"/>
      <c r="J257" s="73">
        <f>IF(A15taxstdlife="n/a","n/a",IF(J$3&gt;(A15taxstdlife+$E257),(Input!$I$157-Input!$I$191)-SUM($I257:I257),(Input!$I$157-Input!$I$191)/A15taxstdlife))</f>
        <v>0.1024</v>
      </c>
      <c r="K257" s="73">
        <f>IF(A15taxstdlife="n/a","n/a",IF(K$3&gt;(A15taxstdlife+$E257),(Input!$I$157-Input!$I$191)-SUM($I257:J257),(Input!$I$157-Input!$I$191)/A15taxstdlife))</f>
        <v>0.1024</v>
      </c>
      <c r="L257" s="73">
        <f>IF(A15taxstdlife="n/a","n/a",IF(L$3&gt;(A15taxstdlife+$E257),(Input!$I$157-Input!$I$191)-SUM($I257:K257),(Input!$I$157-Input!$I$191)/A15taxstdlife))</f>
        <v>0.1024</v>
      </c>
      <c r="M257" s="73">
        <f>IF(A15taxstdlife="n/a","n/a",IF(M$3&gt;(A15taxstdlife+$E257),(Input!$I$157-Input!$I$191)-SUM($I257:L257),(Input!$I$157-Input!$I$191)/A15taxstdlife))</f>
        <v>0.1024</v>
      </c>
      <c r="N257" s="73">
        <f>IF(A15taxstdlife="n/a","n/a",IF(N$3&gt;(A15taxstdlife+$E257),(Input!$I$157-Input!$I$191)-SUM($I257:M257),(Input!$I$157-Input!$I$191)/A15taxstdlife))</f>
        <v>0.1024</v>
      </c>
      <c r="O257" s="73">
        <f>IF(A15taxstdlife="n/a","n/a",IF(O$3&gt;(A15taxstdlife+$E257),(Input!$I$157-Input!$I$191)-SUM($I257:N257),(Input!$I$157-Input!$I$191)/A15taxstdlife))</f>
        <v>0.1024</v>
      </c>
      <c r="P257" s="73">
        <f>IF(A15taxstdlife="n/a","n/a",IF(P$3&gt;(A15taxstdlife+$E257),(Input!$I$157-Input!$I$191)-SUM($I257:O257),(Input!$I$157-Input!$I$191)/A15taxstdlife))</f>
        <v>0.1024</v>
      </c>
      <c r="Q257" s="73">
        <f>IF(A15taxstdlife="n/a","n/a",IF(Q$3&gt;(A15taxstdlife+$E257),(Input!$I$157-Input!$I$191)-SUM($I257:P257),(Input!$I$157-Input!$I$191)/A15taxstdlife))</f>
        <v>0.1024</v>
      </c>
      <c r="R257" s="73"/>
      <c r="S257" s="107"/>
      <c r="T257" s="107"/>
      <c r="U257" s="107"/>
      <c r="V257" s="107"/>
      <c r="W257" s="107"/>
      <c r="X257" s="107"/>
      <c r="Y257" s="107"/>
      <c r="Z257" s="223"/>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04"/>
      <c r="BJ257" s="204"/>
      <c r="BK257" s="204"/>
      <c r="BL257" s="204"/>
      <c r="BM257" s="204"/>
      <c r="BN257" s="204"/>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idden="1" outlineLevel="2">
      <c r="A258" s="9"/>
      <c r="B258" s="9"/>
      <c r="C258" s="26"/>
      <c r="D258" s="392"/>
      <c r="E258" s="91">
        <v>3</v>
      </c>
      <c r="F258" s="27"/>
      <c r="G258" s="27"/>
      <c r="H258" s="149"/>
      <c r="I258" s="151"/>
      <c r="J258" s="150"/>
      <c r="K258" s="73">
        <f>IF(A15taxstdlife="n/a","n/a",IF(K$3&gt;(A15taxstdlife+$E258),(Input!$J$157-Input!$J$191)-SUM($J258:J258),(Input!$J$157-Input!$J$191)/A15taxstdlife))</f>
        <v>7.1866666666666676E-2</v>
      </c>
      <c r="L258" s="73">
        <f>IF(A15taxstdlife="n/a","n/a",IF(L$3&gt;(A15taxstdlife+$E258),(Input!$J$157-Input!$J$191)-SUM($J258:K258),(Input!$J$157-Input!$J$191)/A15taxstdlife))</f>
        <v>7.1866666666666676E-2</v>
      </c>
      <c r="M258" s="73">
        <f>IF(A15taxstdlife="n/a","n/a",IF(M$3&gt;(A15taxstdlife+$E258),(Input!$J$157-Input!$J$191)-SUM($J258:L258),(Input!$J$157-Input!$J$191)/A15taxstdlife))</f>
        <v>7.1866666666666676E-2</v>
      </c>
      <c r="N258" s="73">
        <f>IF(A15taxstdlife="n/a","n/a",IF(N$3&gt;(A15taxstdlife+$E258),(Input!$J$157-Input!$J$191)-SUM($J258:M258),(Input!$J$157-Input!$J$191)/A15taxstdlife))</f>
        <v>7.1866666666666676E-2</v>
      </c>
      <c r="O258" s="73">
        <f>IF(A15taxstdlife="n/a","n/a",IF(O$3&gt;(A15taxstdlife+$E258),(Input!$J$157-Input!$J$191)-SUM($J258:N258),(Input!$J$157-Input!$J$191)/A15taxstdlife))</f>
        <v>7.1866666666666676E-2</v>
      </c>
      <c r="P258" s="73">
        <f>IF(A15taxstdlife="n/a","n/a",IF(P$3&gt;(A15taxstdlife+$E258),(Input!$J$157-Input!$J$191)-SUM($J258:O258),(Input!$J$157-Input!$J$191)/A15taxstdlife))</f>
        <v>7.1866666666666676E-2</v>
      </c>
      <c r="Q258" s="73">
        <f>IF(A15taxstdlife="n/a","n/a",IF(Q$3&gt;(A15taxstdlife+$E258),(Input!$J$157-Input!$J$191)-SUM($J258:P258),(Input!$J$157-Input!$J$191)/A15taxstdlife))</f>
        <v>7.1866666666666676E-2</v>
      </c>
      <c r="R258" s="73"/>
      <c r="S258" s="107"/>
      <c r="T258" s="107"/>
      <c r="U258" s="107"/>
      <c r="V258" s="107"/>
      <c r="W258" s="107"/>
      <c r="X258" s="107"/>
      <c r="Y258" s="107"/>
      <c r="Z258" s="223"/>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04"/>
      <c r="BJ258" s="204"/>
      <c r="BK258" s="204"/>
      <c r="BL258" s="204"/>
      <c r="BM258" s="204"/>
      <c r="BN258" s="204"/>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idden="1" outlineLevel="2">
      <c r="A259" s="9"/>
      <c r="B259" s="9"/>
      <c r="C259" s="26"/>
      <c r="D259" s="392"/>
      <c r="E259" s="91">
        <v>4</v>
      </c>
      <c r="F259" s="27"/>
      <c r="G259" s="27"/>
      <c r="H259" s="149"/>
      <c r="I259" s="151"/>
      <c r="J259" s="151"/>
      <c r="K259" s="150"/>
      <c r="L259" s="73">
        <f>IF(A15taxstdlife="n/a","n/a",IF(L$3&gt;(A15taxstdlife+$E259),(Input!$K$157-Input!$K$191)-SUM($K259:K259),(Input!$K$157-Input!$K$191)/A15taxstdlife))</f>
        <v>0.26973333333333332</v>
      </c>
      <c r="M259" s="73">
        <f>IF(A15taxstdlife="n/a","n/a",IF(M$3&gt;(A15taxstdlife+$E259),(Input!$K$157-Input!$K$191)-SUM($K259:L259),(Input!$K$157-Input!$K$191)/A15taxstdlife))</f>
        <v>0.26973333333333332</v>
      </c>
      <c r="N259" s="73">
        <f>IF(A15taxstdlife="n/a","n/a",IF(N$3&gt;(A15taxstdlife+$E259),(Input!$K$157-Input!$K$191)-SUM($K259:M259),(Input!$K$157-Input!$K$191)/A15taxstdlife))</f>
        <v>0.26973333333333332</v>
      </c>
      <c r="O259" s="73">
        <f>IF(A15taxstdlife="n/a","n/a",IF(O$3&gt;(A15taxstdlife+$E259),(Input!$K$157-Input!$K$191)-SUM($K259:N259),(Input!$K$157-Input!$K$191)/A15taxstdlife))</f>
        <v>0.26973333333333332</v>
      </c>
      <c r="P259" s="73">
        <f>IF(A15taxstdlife="n/a","n/a",IF(P$3&gt;(A15taxstdlife+$E259),(Input!$K$157-Input!$K$191)-SUM($K259:O259),(Input!$K$157-Input!$K$191)/A15taxstdlife))</f>
        <v>0.26973333333333332</v>
      </c>
      <c r="Q259" s="73">
        <f>IF(A15taxstdlife="n/a","n/a",IF(Q$3&gt;(A15taxstdlife+$E259),(Input!$K$157-Input!$K$191)-SUM($K259:P259),(Input!$K$157-Input!$K$191)/A15taxstdlife))</f>
        <v>0.26973333333333332</v>
      </c>
      <c r="R259" s="73"/>
      <c r="S259" s="107"/>
      <c r="T259" s="107"/>
      <c r="U259" s="107"/>
      <c r="V259" s="107"/>
      <c r="W259" s="107"/>
      <c r="X259" s="107"/>
      <c r="Y259" s="107"/>
      <c r="Z259" s="223"/>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04"/>
      <c r="BJ259" s="204"/>
      <c r="BK259" s="204"/>
      <c r="BL259" s="204"/>
      <c r="BM259" s="204"/>
      <c r="BN259" s="204"/>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idden="1" outlineLevel="2">
      <c r="A260" s="9"/>
      <c r="B260" s="9"/>
      <c r="C260" s="26"/>
      <c r="D260" s="392"/>
      <c r="E260" s="91">
        <v>5</v>
      </c>
      <c r="F260" s="27"/>
      <c r="G260" s="27"/>
      <c r="H260" s="149"/>
      <c r="I260" s="151"/>
      <c r="J260" s="151"/>
      <c r="K260" s="151"/>
      <c r="L260" s="150"/>
      <c r="M260" s="73">
        <f>IF(A15taxstdlife="n/a","n/a",IF(M$3&gt;(A15taxstdlife+$E260),(Input!$L$157-Input!$L$191)-SUM($L260:L260),(Input!$L$157-Input!$L$191)/A15taxstdlife))</f>
        <v>0.33407810512778541</v>
      </c>
      <c r="N260" s="73">
        <f>IF(A15taxstdlife="n/a","n/a",IF(N$3&gt;(A15taxstdlife+$E260),(Input!$L$157-Input!$L$191)-SUM($L260:M260),(Input!$L$157-Input!$L$191)/A15taxstdlife))</f>
        <v>0.33407810512778541</v>
      </c>
      <c r="O260" s="73">
        <f>IF(A15taxstdlife="n/a","n/a",IF(O$3&gt;(A15taxstdlife+$E260),(Input!$L$157-Input!$L$191)-SUM($L260:N260),(Input!$L$157-Input!$L$191)/A15taxstdlife))</f>
        <v>0.33407810512778541</v>
      </c>
      <c r="P260" s="73">
        <f>IF(A15taxstdlife="n/a","n/a",IF(P$3&gt;(A15taxstdlife+$E260),(Input!$L$157-Input!$L$191)-SUM($L260:O260),(Input!$L$157-Input!$L$191)/A15taxstdlife))</f>
        <v>0.33407810512778541</v>
      </c>
      <c r="Q260" s="73">
        <f>IF(A15taxstdlife="n/a","n/a",IF(Q$3&gt;(A15taxstdlife+$E260),(Input!$L$157-Input!$L$191)-SUM($L260:P260),(Input!$L$157-Input!$L$191)/A15taxstdlife))</f>
        <v>0.33407810512778541</v>
      </c>
      <c r="R260" s="73"/>
      <c r="S260" s="107"/>
      <c r="T260" s="107"/>
      <c r="U260" s="107"/>
      <c r="V260" s="107"/>
      <c r="W260" s="107"/>
      <c r="X260" s="107"/>
      <c r="Y260" s="107"/>
      <c r="Z260" s="223"/>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04"/>
      <c r="BJ260" s="204"/>
      <c r="BK260" s="204"/>
      <c r="BL260" s="204"/>
      <c r="BM260" s="204"/>
      <c r="BN260" s="204"/>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idden="1" outlineLevel="2">
      <c r="A261" s="9"/>
      <c r="B261" s="9"/>
      <c r="C261" s="26"/>
      <c r="D261" s="392"/>
      <c r="E261" s="91">
        <v>6</v>
      </c>
      <c r="F261" s="27"/>
      <c r="G261" s="27"/>
      <c r="H261" s="149"/>
      <c r="I261" s="151"/>
      <c r="J261" s="151"/>
      <c r="K261" s="151"/>
      <c r="L261" s="151"/>
      <c r="M261" s="150"/>
      <c r="N261" s="73">
        <f>IF(A15taxstdlife="n/a","n/a",IF(N$3&gt;(A15taxstdlife+$E261),(Input!$M$157-Input!$M$191)-SUM($M261:M261),(Input!$M$157-Input!$M$191)/A15taxstdlife))</f>
        <v>0</v>
      </c>
      <c r="O261" s="73">
        <f>IF(A15taxstdlife="n/a","n/a",IF(O$3&gt;(A15taxstdlife+$E261),(Input!$M$157-Input!$M$191)-SUM($M261:N261),(Input!$M$157-Input!$M$191)/A15taxstdlife))</f>
        <v>0</v>
      </c>
      <c r="P261" s="73">
        <f>IF(A15taxstdlife="n/a","n/a",IF(P$3&gt;(A15taxstdlife+$E261),(Input!$M$157-Input!$M$191)-SUM($M261:O261),(Input!$M$157-Input!$M$191)/A15taxstdlife))</f>
        <v>0</v>
      </c>
      <c r="Q261" s="73">
        <f>IF(A15taxstdlife="n/a","n/a",IF(Q$3&gt;(A15taxstdlife+$E261),(Input!$M$157-Input!$M$191)-SUM($M261:P261),(Input!$M$157-Input!$M$191)/A15taxstdlife))</f>
        <v>0</v>
      </c>
      <c r="R261" s="73"/>
      <c r="S261" s="107"/>
      <c r="T261" s="107"/>
      <c r="U261" s="107"/>
      <c r="V261" s="107"/>
      <c r="W261" s="107"/>
      <c r="X261" s="107"/>
      <c r="Y261" s="107"/>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04"/>
      <c r="BJ261" s="204"/>
      <c r="BK261" s="204"/>
      <c r="BL261" s="204"/>
      <c r="BM261" s="204"/>
      <c r="BN261" s="204"/>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idden="1" outlineLevel="2">
      <c r="A262" s="9"/>
      <c r="B262" s="9"/>
      <c r="C262" s="26"/>
      <c r="D262" s="392"/>
      <c r="E262" s="91">
        <v>7</v>
      </c>
      <c r="F262" s="27"/>
      <c r="G262" s="27"/>
      <c r="H262" s="149"/>
      <c r="I262" s="151"/>
      <c r="J262" s="151"/>
      <c r="K262" s="151"/>
      <c r="L262" s="151"/>
      <c r="M262" s="151"/>
      <c r="N262" s="150"/>
      <c r="O262" s="73">
        <f>IF(A15taxstdlife="n/a","n/a",IF(O$3&gt;(A15taxstdlife+$E262),(Input!$N$157-Input!$N$191)-SUM($N262:N262),(Input!$N$157-Input!$N$191)/A15taxstdlife))</f>
        <v>0</v>
      </c>
      <c r="P262" s="73">
        <f>IF(A15taxstdlife="n/a","n/a",IF(P$3&gt;(A15taxstdlife+$E262),(Input!$N$157-Input!$N$191)-SUM($N262:O262),(Input!$N$157-Input!$N$191)/A15taxstdlife))</f>
        <v>0</v>
      </c>
      <c r="Q262" s="73">
        <f>IF(A15taxstdlife="n/a","n/a",IF(Q$3&gt;(A15taxstdlife+$E262),(Input!$N$157-Input!$N$191)-SUM($N262:P262),(Input!$N$157-Input!$N$191)/A15taxstdlife))</f>
        <v>0</v>
      </c>
      <c r="R262" s="73"/>
      <c r="S262" s="107"/>
      <c r="T262" s="107"/>
      <c r="U262" s="107"/>
      <c r="V262" s="107"/>
      <c r="W262" s="107"/>
      <c r="X262" s="107"/>
      <c r="Y262" s="107"/>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04"/>
      <c r="BJ262" s="204"/>
      <c r="BK262" s="204"/>
      <c r="BL262" s="204"/>
      <c r="BM262" s="204"/>
      <c r="BN262" s="204"/>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idden="1" outlineLevel="2">
      <c r="A263" s="9"/>
      <c r="B263" s="9"/>
      <c r="C263" s="26"/>
      <c r="D263" s="392"/>
      <c r="E263" s="91">
        <v>8</v>
      </c>
      <c r="F263" s="27"/>
      <c r="G263" s="27"/>
      <c r="H263" s="149"/>
      <c r="I263" s="151"/>
      <c r="J263" s="151"/>
      <c r="K263" s="151"/>
      <c r="L263" s="151"/>
      <c r="M263" s="151"/>
      <c r="N263" s="151"/>
      <c r="O263" s="150"/>
      <c r="P263" s="73">
        <f>IF(A15taxstdlife="n/a","n/a",IF(P$3&gt;(A15taxstdlife+$E263),(Input!$O$157-Input!$O$191)-SUM($O263:O263),(Input!$O$157-Input!$O$191)/A15taxstdlife))</f>
        <v>0</v>
      </c>
      <c r="Q263" s="73">
        <f>IF(A15taxstdlife="n/a","n/a",IF(Q$3&gt;(A15taxstdlife+$E263),(Input!$O$157-Input!$O$191)-SUM($O263:P263),(Input!$O$157-Input!$O$191)/A15taxstdlife))</f>
        <v>0</v>
      </c>
      <c r="R263" s="73"/>
      <c r="S263" s="107"/>
      <c r="T263" s="107"/>
      <c r="U263" s="107"/>
      <c r="V263" s="107"/>
      <c r="W263" s="107"/>
      <c r="X263" s="107"/>
      <c r="Y263" s="107"/>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04"/>
      <c r="BJ263" s="204"/>
      <c r="BK263" s="204"/>
      <c r="BL263" s="204"/>
      <c r="BM263" s="204"/>
      <c r="BN263" s="204"/>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idden="1" outlineLevel="2">
      <c r="A264" s="9"/>
      <c r="B264" s="9"/>
      <c r="C264" s="26"/>
      <c r="D264" s="392"/>
      <c r="E264" s="91">
        <v>9</v>
      </c>
      <c r="F264" s="27"/>
      <c r="G264" s="27"/>
      <c r="H264" s="149"/>
      <c r="I264" s="151"/>
      <c r="J264" s="151"/>
      <c r="K264" s="151"/>
      <c r="L264" s="151"/>
      <c r="M264" s="151"/>
      <c r="N264" s="151"/>
      <c r="O264" s="151"/>
      <c r="P264" s="150"/>
      <c r="Q264" s="73">
        <f>IF(A15taxstdlife="n/a","n/a",IF(Q$3&gt;(A15taxstdlife+$E264),(Input!$P$157-Input!$P$191)-SUM($P264:P264),(Input!$P$157-Input!$P$191)/A15taxstdlife))</f>
        <v>0</v>
      </c>
      <c r="R264" s="73"/>
      <c r="S264" s="107"/>
      <c r="T264" s="107"/>
      <c r="U264" s="107"/>
      <c r="V264" s="107"/>
      <c r="W264" s="107"/>
      <c r="X264" s="107"/>
      <c r="Y264" s="107"/>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04"/>
      <c r="BJ264" s="204"/>
      <c r="BK264" s="204"/>
      <c r="BL264" s="204"/>
      <c r="BM264" s="204"/>
      <c r="BN264" s="20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idden="1" outlineLevel="2">
      <c r="A265" s="9"/>
      <c r="B265" s="9"/>
      <c r="C265" s="26"/>
      <c r="D265" s="392"/>
      <c r="E265" s="92">
        <v>10</v>
      </c>
      <c r="F265" s="27"/>
      <c r="G265" s="27"/>
      <c r="H265" s="149"/>
      <c r="I265" s="151"/>
      <c r="J265" s="151"/>
      <c r="K265" s="151"/>
      <c r="L265" s="151"/>
      <c r="M265" s="151"/>
      <c r="N265" s="151"/>
      <c r="O265" s="151"/>
      <c r="P265" s="151"/>
      <c r="Q265" s="150"/>
      <c r="R265" s="73"/>
      <c r="S265" s="107"/>
      <c r="T265" s="107"/>
      <c r="U265" s="107"/>
      <c r="V265" s="107"/>
      <c r="W265" s="107"/>
      <c r="X265" s="107"/>
      <c r="Y265" s="107"/>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04"/>
      <c r="BJ265" s="204"/>
      <c r="BK265" s="204"/>
      <c r="BL265" s="204"/>
      <c r="BM265" s="204"/>
      <c r="BN265" s="204"/>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idden="1" outlineLevel="1" collapsed="1">
      <c r="A266" s="9"/>
      <c r="B266" s="9"/>
      <c r="C266" s="279" t="str">
        <f>Asset15</f>
        <v>Substation assets - short life (15)</v>
      </c>
      <c r="D266" s="9"/>
      <c r="E266" s="9"/>
      <c r="F266" s="23"/>
      <c r="G266" s="23"/>
      <c r="H266" s="305">
        <f>-SUM(H254:H265)</f>
        <v>0</v>
      </c>
      <c r="I266" s="164">
        <f>-SUM(I254:I265)</f>
        <v>-0.7838666666666666</v>
      </c>
      <c r="J266" s="164">
        <f>-SUM(J254:J265)</f>
        <v>-0.88626666666666665</v>
      </c>
      <c r="K266" s="164">
        <f>-SUM(K254:K265)</f>
        <v>-0.95813333333333328</v>
      </c>
      <c r="L266" s="164">
        <f>-SUM(L254:L265)</f>
        <v>-1.2278666666666667</v>
      </c>
      <c r="M266" s="164">
        <f>IF(COUNT($H266:L266)&gt;=Input!$W$7,0, -SUM(M254:M265))</f>
        <v>0</v>
      </c>
      <c r="N266" s="164">
        <f>IF(COUNT($H266:M266)&gt;=Input!$W$7,0, -SUM(N254:N265))</f>
        <v>0</v>
      </c>
      <c r="O266" s="164">
        <f>IF(COUNT($H266:N266)&gt;=Input!$W$7,0, -SUM(O254:O265))</f>
        <v>0</v>
      </c>
      <c r="P266" s="164">
        <f>IF(COUNT($H266:O266)&gt;=Input!$W$7,0, -SUM(P254:P265))</f>
        <v>0</v>
      </c>
      <c r="Q266" s="164">
        <f>IF(COUNT($H266:P266)&gt;=Input!$W$7,0, -SUM(Q254:Q265))</f>
        <v>0</v>
      </c>
      <c r="R266" s="164"/>
      <c r="S266" s="106"/>
      <c r="T266" s="106"/>
      <c r="U266" s="106"/>
      <c r="V266" s="106"/>
      <c r="W266" s="106"/>
      <c r="X266" s="106"/>
      <c r="Y266" s="106"/>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04"/>
      <c r="BJ266" s="204"/>
      <c r="BK266" s="204"/>
      <c r="BL266" s="204"/>
      <c r="BM266" s="204"/>
      <c r="BN266" s="204"/>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idden="1" outlineLevel="2">
      <c r="A267" s="9"/>
      <c r="B267" s="280" t="str">
        <f>Asset16</f>
        <v>Protection and control - short life (15)</v>
      </c>
      <c r="C267" s="31"/>
      <c r="D267" s="32" t="s">
        <v>65</v>
      </c>
      <c r="E267" s="31"/>
      <c r="F267" s="308"/>
      <c r="G267" s="308"/>
      <c r="H267" s="72" t="str">
        <f>IF(H$3&gt;A16taxremlife,A16taxvalue-SUM($F267:F267),IF(A16taxremlife="N/A","n/a",A16taxvalue/A16taxremlife))</f>
        <v>n/a</v>
      </c>
      <c r="I267" s="72" t="str">
        <f>IF(I$3&gt;A16taxremlife,A16taxvalue-SUM($F267:H267),IF(A16taxremlife="N/A","n/a",A16taxvalue/A16taxremlife))</f>
        <v>n/a</v>
      </c>
      <c r="J267" s="72" t="str">
        <f>IF(J$3&gt;A16taxremlife,A16taxvalue-SUM($F267:I267),IF(A16taxremlife="N/A","n/a",A16taxvalue/A16taxremlife))</f>
        <v>n/a</v>
      </c>
      <c r="K267" s="72" t="str">
        <f>IF(K$3&gt;A16taxremlife,A16taxvalue-SUM($F267:J267),IF(A16taxremlife="N/A","n/a",A16taxvalue/A16taxremlife))</f>
        <v>n/a</v>
      </c>
      <c r="L267" s="72" t="str">
        <f>IF(L$3&gt;A16taxremlife,A16taxvalue-SUM($F267:K267),IF(A16taxremlife="N/A","n/a",A16taxvalue/A16taxremlife))</f>
        <v>n/a</v>
      </c>
      <c r="M267" s="72" t="str">
        <f>IF(M$3&gt;A16taxremlife,A16taxvalue-SUM($F267:L267),IF(A16taxremlife="N/A","n/a",A16taxvalue/A16taxremlife))</f>
        <v>n/a</v>
      </c>
      <c r="N267" s="72" t="str">
        <f>IF(N$3&gt;A16taxremlife,A16taxvalue-SUM($F267:M267),IF(A16taxremlife="N/A","n/a",A16taxvalue/A16taxremlife))</f>
        <v>n/a</v>
      </c>
      <c r="O267" s="72" t="str">
        <f>IF(O$3&gt;A16taxremlife,A16taxvalue-SUM($F267:N267),IF(A16taxremlife="N/A","n/a",A16taxvalue/A16taxremlife))</f>
        <v>n/a</v>
      </c>
      <c r="P267" s="72" t="str">
        <f>IF(P$3&gt;A16taxremlife,A16taxvalue-SUM($F267:O267),IF(A16taxremlife="N/A","n/a",A16taxvalue/A16taxremlife))</f>
        <v>n/a</v>
      </c>
      <c r="Q267" s="72" t="str">
        <f>IF(Q$3&gt;A16taxremlife,A16taxvalue-SUM($F267:P267),IF(A16taxremlife="N/A","n/a",A16taxvalue/A16taxremlife))</f>
        <v>n/a</v>
      </c>
      <c r="R267" s="72"/>
      <c r="S267" s="107"/>
      <c r="T267" s="107"/>
      <c r="U267" s="107"/>
      <c r="V267" s="107"/>
      <c r="W267" s="107"/>
      <c r="X267" s="107"/>
      <c r="Y267" s="107"/>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04"/>
      <c r="BJ267" s="204"/>
      <c r="BK267" s="204"/>
      <c r="BL267" s="204"/>
      <c r="BM267" s="204"/>
      <c r="BN267" s="204"/>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6"/>
      <c r="D268" s="391" t="s">
        <v>81</v>
      </c>
      <c r="E268" s="91"/>
      <c r="F268" s="27"/>
      <c r="G268" s="27"/>
      <c r="H268" s="107"/>
      <c r="I268" s="73"/>
      <c r="J268" s="73"/>
      <c r="K268" s="73"/>
      <c r="L268" s="73"/>
      <c r="M268" s="73"/>
      <c r="N268" s="73"/>
      <c r="O268" s="73"/>
      <c r="P268" s="73"/>
      <c r="Q268" s="73"/>
      <c r="R268" s="73"/>
      <c r="S268" s="107"/>
      <c r="T268" s="107"/>
      <c r="U268" s="107"/>
      <c r="V268" s="107"/>
      <c r="W268" s="107"/>
      <c r="X268" s="107"/>
      <c r="Y268" s="107"/>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04"/>
      <c r="BJ268" s="204"/>
      <c r="BK268" s="204"/>
      <c r="BL268" s="204"/>
      <c r="BM268" s="204"/>
      <c r="BN268" s="204"/>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idden="1" outlineLevel="2">
      <c r="A269" s="9"/>
      <c r="B269" s="9"/>
      <c r="C269" s="26"/>
      <c r="D269" s="392"/>
      <c r="E269" s="91">
        <v>1</v>
      </c>
      <c r="F269" s="27"/>
      <c r="G269" s="27"/>
      <c r="H269" s="148"/>
      <c r="I269" s="73">
        <f>IF(A16taxstdlife="n/a","n/a",IF(I$3&gt;(A16taxstdlife+$E269),(Input!$H$158-Input!$H$192)-SUM($H269:H269),(Input!$H$158-Input!$H$192)/A16taxstdlife))</f>
        <v>0.69850040000000002</v>
      </c>
      <c r="J269" s="73">
        <f>IF(A16taxstdlife="n/a","n/a",IF(J$3&gt;(A16taxstdlife+$E269),(Input!$H$158-Input!$H$192)-SUM($H269:I269),(Input!$H$158-Input!$H$192)/A16taxstdlife))</f>
        <v>0.69850040000000002</v>
      </c>
      <c r="K269" s="73">
        <f>IF(A16taxstdlife="n/a","n/a",IF(K$3&gt;(A16taxstdlife+$E269),(Input!$H$158-Input!$H$192)-SUM($H269:J269),(Input!$H$158-Input!$H$192)/A16taxstdlife))</f>
        <v>0.69850040000000002</v>
      </c>
      <c r="L269" s="73">
        <f>IF(A16taxstdlife="n/a","n/a",IF(L$3&gt;(A16taxstdlife+$E269),(Input!$H$158-Input!$H$192)-SUM($H269:K269),(Input!$H$158-Input!$H$192)/A16taxstdlife))</f>
        <v>0.69850040000000002</v>
      </c>
      <c r="M269" s="73">
        <f>IF(A16taxstdlife="n/a","n/a",IF(M$3&gt;(A16taxstdlife+$E269),(Input!$H$158-Input!$H$192)-SUM($H269:L269),(Input!$H$158-Input!$H$192)/A16taxstdlife))</f>
        <v>0.69850040000000002</v>
      </c>
      <c r="N269" s="73">
        <f>IF(A16taxstdlife="n/a","n/a",IF(N$3&gt;(A16taxstdlife+$E269),(Input!$H$158-Input!$H$192)-SUM($H269:M269),(Input!$H$158-Input!$H$192)/A16taxstdlife))</f>
        <v>0.69850040000000002</v>
      </c>
      <c r="O269" s="73">
        <f>IF(A16taxstdlife="n/a","n/a",IF(O$3&gt;(A16taxstdlife+$E269),(Input!$H$158-Input!$H$192)-SUM($H269:N269),(Input!$H$158-Input!$H$192)/A16taxstdlife))</f>
        <v>0.69850040000000002</v>
      </c>
      <c r="P269" s="73">
        <f>IF(A16taxstdlife="n/a","n/a",IF(P$3&gt;(A16taxstdlife+$E269),(Input!$H$158-Input!$H$192)-SUM($H269:O269),(Input!$H$158-Input!$H$192)/A16taxstdlife))</f>
        <v>0.69850040000000002</v>
      </c>
      <c r="Q269" s="73">
        <f>IF(A16taxstdlife="n/a","n/a",IF(Q$3&gt;(A16taxstdlife+$E269),(Input!$H$158-Input!$H$192)-SUM($H269:P269),(Input!$H$158-Input!$H$192)/A16taxstdlife))</f>
        <v>0.69850040000000002</v>
      </c>
      <c r="R269" s="73"/>
      <c r="S269" s="107"/>
      <c r="T269" s="107"/>
      <c r="U269" s="107"/>
      <c r="V269" s="107"/>
      <c r="W269" s="107"/>
      <c r="X269" s="107"/>
      <c r="Y269" s="107"/>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04"/>
      <c r="BJ269" s="204"/>
      <c r="BK269" s="204"/>
      <c r="BL269" s="204"/>
      <c r="BM269" s="204"/>
      <c r="BN269" s="204"/>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idden="1" outlineLevel="2">
      <c r="A270" s="9"/>
      <c r="B270" s="9"/>
      <c r="C270" s="26"/>
      <c r="D270" s="392"/>
      <c r="E270" s="91">
        <v>2</v>
      </c>
      <c r="F270" s="27"/>
      <c r="G270" s="27"/>
      <c r="H270" s="149"/>
      <c r="I270" s="150"/>
      <c r="J270" s="73">
        <f>IF(A16taxstdlife="n/a","n/a",IF(J$3&gt;(A16taxstdlife+$E270),(Input!$I$158-Input!$I$192)-SUM($I270:I270),(Input!$I$158-Input!$I$192)/A16taxstdlife))</f>
        <v>0.9052</v>
      </c>
      <c r="K270" s="73">
        <f>IF(A16taxstdlife="n/a","n/a",IF(K$3&gt;(A16taxstdlife+$E270),(Input!$I$158-Input!$I$192)-SUM($I270:J270),(Input!$I$158-Input!$I$192)/A16taxstdlife))</f>
        <v>0.9052</v>
      </c>
      <c r="L270" s="73">
        <f>IF(A16taxstdlife="n/a","n/a",IF(L$3&gt;(A16taxstdlife+$E270),(Input!$I$158-Input!$I$192)-SUM($I270:K270),(Input!$I$158-Input!$I$192)/A16taxstdlife))</f>
        <v>0.9052</v>
      </c>
      <c r="M270" s="73">
        <f>IF(A16taxstdlife="n/a","n/a",IF(M$3&gt;(A16taxstdlife+$E270),(Input!$I$158-Input!$I$192)-SUM($I270:L270),(Input!$I$158-Input!$I$192)/A16taxstdlife))</f>
        <v>0.9052</v>
      </c>
      <c r="N270" s="73">
        <f>IF(A16taxstdlife="n/a","n/a",IF(N$3&gt;(A16taxstdlife+$E270),(Input!$I$158-Input!$I$192)-SUM($I270:M270),(Input!$I$158-Input!$I$192)/A16taxstdlife))</f>
        <v>0.9052</v>
      </c>
      <c r="O270" s="73">
        <f>IF(A16taxstdlife="n/a","n/a",IF(O$3&gt;(A16taxstdlife+$E270),(Input!$I$158-Input!$I$192)-SUM($I270:N270),(Input!$I$158-Input!$I$192)/A16taxstdlife))</f>
        <v>0.9052</v>
      </c>
      <c r="P270" s="73">
        <f>IF(A16taxstdlife="n/a","n/a",IF(P$3&gt;(A16taxstdlife+$E270),(Input!$I$158-Input!$I$192)-SUM($I270:O270),(Input!$I$158-Input!$I$192)/A16taxstdlife))</f>
        <v>0.9052</v>
      </c>
      <c r="Q270" s="73">
        <f>IF(A16taxstdlife="n/a","n/a",IF(Q$3&gt;(A16taxstdlife+$E270),(Input!$I$158-Input!$I$192)-SUM($I270:P270),(Input!$I$158-Input!$I$192)/A16taxstdlife))</f>
        <v>0.9052</v>
      </c>
      <c r="R270" s="73"/>
      <c r="S270" s="107"/>
      <c r="T270" s="107"/>
      <c r="U270" s="107"/>
      <c r="V270" s="107"/>
      <c r="W270" s="107"/>
      <c r="X270" s="107"/>
      <c r="Y270" s="107"/>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04"/>
      <c r="BJ270" s="204"/>
      <c r="BK270" s="204"/>
      <c r="BL270" s="204"/>
      <c r="BM270" s="204"/>
      <c r="BN270" s="204"/>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idden="1" outlineLevel="2">
      <c r="A271" s="9"/>
      <c r="B271" s="9"/>
      <c r="C271" s="26"/>
      <c r="D271" s="392"/>
      <c r="E271" s="91">
        <v>3</v>
      </c>
      <c r="F271" s="27"/>
      <c r="G271" s="27"/>
      <c r="H271" s="149"/>
      <c r="I271" s="151"/>
      <c r="J271" s="150"/>
      <c r="K271" s="73">
        <f>IF(A16taxstdlife="n/a","n/a",IF(K$3&gt;(A16taxstdlife+$E271),(Input!$J$158-Input!$J$192)-SUM($J271:J271),(Input!$J$158-Input!$J$192)/A16taxstdlife))</f>
        <v>1.3123333333333334</v>
      </c>
      <c r="L271" s="73">
        <f>IF(A16taxstdlife="n/a","n/a",IF(L$3&gt;(A16taxstdlife+$E271),(Input!$J$158-Input!$J$192)-SUM($J271:K271),(Input!$J$158-Input!$J$192)/A16taxstdlife))</f>
        <v>1.3123333333333334</v>
      </c>
      <c r="M271" s="73">
        <f>IF(A16taxstdlife="n/a","n/a",IF(M$3&gt;(A16taxstdlife+$E271),(Input!$J$158-Input!$J$192)-SUM($J271:L271),(Input!$J$158-Input!$J$192)/A16taxstdlife))</f>
        <v>1.3123333333333334</v>
      </c>
      <c r="N271" s="73">
        <f>IF(A16taxstdlife="n/a","n/a",IF(N$3&gt;(A16taxstdlife+$E271),(Input!$J$158-Input!$J$192)-SUM($J271:M271),(Input!$J$158-Input!$J$192)/A16taxstdlife))</f>
        <v>1.3123333333333334</v>
      </c>
      <c r="O271" s="73">
        <f>IF(A16taxstdlife="n/a","n/a",IF(O$3&gt;(A16taxstdlife+$E271),(Input!$J$158-Input!$J$192)-SUM($J271:N271),(Input!$J$158-Input!$J$192)/A16taxstdlife))</f>
        <v>1.3123333333333334</v>
      </c>
      <c r="P271" s="73">
        <f>IF(A16taxstdlife="n/a","n/a",IF(P$3&gt;(A16taxstdlife+$E271),(Input!$J$158-Input!$J$192)-SUM($J271:O271),(Input!$J$158-Input!$J$192)/A16taxstdlife))</f>
        <v>1.3123333333333334</v>
      </c>
      <c r="Q271" s="73">
        <f>IF(A16taxstdlife="n/a","n/a",IF(Q$3&gt;(A16taxstdlife+$E271),(Input!$J$158-Input!$J$192)-SUM($J271:P271),(Input!$J$158-Input!$J$192)/A16taxstdlife))</f>
        <v>1.3123333333333334</v>
      </c>
      <c r="R271" s="73"/>
      <c r="S271" s="107"/>
      <c r="T271" s="107"/>
      <c r="U271" s="107"/>
      <c r="V271" s="107"/>
      <c r="W271" s="107"/>
      <c r="X271" s="107"/>
      <c r="Y271" s="107"/>
      <c r="Z271" s="223"/>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04"/>
      <c r="BJ271" s="204"/>
      <c r="BK271" s="204"/>
      <c r="BL271" s="204"/>
      <c r="BM271" s="204"/>
      <c r="BN271" s="204"/>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idden="1" outlineLevel="2">
      <c r="A272" s="9"/>
      <c r="B272" s="9"/>
      <c r="C272" s="26"/>
      <c r="D272" s="392"/>
      <c r="E272" s="91">
        <v>4</v>
      </c>
      <c r="F272" s="27"/>
      <c r="G272" s="27"/>
      <c r="H272" s="149"/>
      <c r="I272" s="151"/>
      <c r="J272" s="151"/>
      <c r="K272" s="150"/>
      <c r="L272" s="73">
        <f>IF(A16taxstdlife="n/a","n/a",IF(L$3&gt;(A16taxstdlife+$E272),(Input!$K$158-Input!$K$192)-SUM($K272:K272),(Input!$K$158-Input!$K$192)/A16taxstdlife))</f>
        <v>1.2068666666666668</v>
      </c>
      <c r="M272" s="73">
        <f>IF(A16taxstdlife="n/a","n/a",IF(M$3&gt;(A16taxstdlife+$E272),(Input!$K$158-Input!$K$192)-SUM($K272:L272),(Input!$K$158-Input!$K$192)/A16taxstdlife))</f>
        <v>1.2068666666666668</v>
      </c>
      <c r="N272" s="73">
        <f>IF(A16taxstdlife="n/a","n/a",IF(N$3&gt;(A16taxstdlife+$E272),(Input!$K$158-Input!$K$192)-SUM($K272:M272),(Input!$K$158-Input!$K$192)/A16taxstdlife))</f>
        <v>1.2068666666666668</v>
      </c>
      <c r="O272" s="73">
        <f>IF(A16taxstdlife="n/a","n/a",IF(O$3&gt;(A16taxstdlife+$E272),(Input!$K$158-Input!$K$192)-SUM($K272:N272),(Input!$K$158-Input!$K$192)/A16taxstdlife))</f>
        <v>1.2068666666666668</v>
      </c>
      <c r="P272" s="73">
        <f>IF(A16taxstdlife="n/a","n/a",IF(P$3&gt;(A16taxstdlife+$E272),(Input!$K$158-Input!$K$192)-SUM($K272:O272),(Input!$K$158-Input!$K$192)/A16taxstdlife))</f>
        <v>1.2068666666666668</v>
      </c>
      <c r="Q272" s="73">
        <f>IF(A16taxstdlife="n/a","n/a",IF(Q$3&gt;(A16taxstdlife+$E272),(Input!$K$158-Input!$K$192)-SUM($K272:P272),(Input!$K$158-Input!$K$192)/A16taxstdlife))</f>
        <v>1.2068666666666668</v>
      </c>
      <c r="R272" s="73"/>
      <c r="S272" s="107"/>
      <c r="T272" s="107"/>
      <c r="U272" s="107"/>
      <c r="V272" s="107"/>
      <c r="W272" s="107"/>
      <c r="X272" s="107"/>
      <c r="Y272" s="107"/>
      <c r="Z272" s="223"/>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04"/>
      <c r="BJ272" s="204"/>
      <c r="BK272" s="204"/>
      <c r="BL272" s="204"/>
      <c r="BM272" s="204"/>
      <c r="BN272" s="204"/>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idden="1" outlineLevel="2">
      <c r="A273" s="9"/>
      <c r="B273" s="9"/>
      <c r="C273" s="26"/>
      <c r="D273" s="392"/>
      <c r="E273" s="91">
        <v>5</v>
      </c>
      <c r="F273" s="27"/>
      <c r="G273" s="27"/>
      <c r="H273" s="149"/>
      <c r="I273" s="151"/>
      <c r="J273" s="151"/>
      <c r="K273" s="151"/>
      <c r="L273" s="150"/>
      <c r="M273" s="73">
        <f>IF(A16taxstdlife="n/a","n/a",IF(M$3&gt;(A16taxstdlife+$E273),(Input!$L$158-Input!$L$192)-SUM($L273:L273),(Input!$L$158-Input!$L$192)/A16taxstdlife))</f>
        <v>1.3353297783850169</v>
      </c>
      <c r="N273" s="73">
        <f>IF(A16taxstdlife="n/a","n/a",IF(N$3&gt;(A16taxstdlife+$E273),(Input!$L$158-Input!$L$192)-SUM($L273:M273),(Input!$L$158-Input!$L$192)/A16taxstdlife))</f>
        <v>1.3353297783850169</v>
      </c>
      <c r="O273" s="73">
        <f>IF(A16taxstdlife="n/a","n/a",IF(O$3&gt;(A16taxstdlife+$E273),(Input!$L$158-Input!$L$192)-SUM($L273:N273),(Input!$L$158-Input!$L$192)/A16taxstdlife))</f>
        <v>1.3353297783850169</v>
      </c>
      <c r="P273" s="73">
        <f>IF(A16taxstdlife="n/a","n/a",IF(P$3&gt;(A16taxstdlife+$E273),(Input!$L$158-Input!$L$192)-SUM($L273:O273),(Input!$L$158-Input!$L$192)/A16taxstdlife))</f>
        <v>1.3353297783850169</v>
      </c>
      <c r="Q273" s="73">
        <f>IF(A16taxstdlife="n/a","n/a",IF(Q$3&gt;(A16taxstdlife+$E273),(Input!$L$158-Input!$L$192)-SUM($L273:P273),(Input!$L$158-Input!$L$192)/A16taxstdlife))</f>
        <v>1.3353297783850169</v>
      </c>
      <c r="R273" s="73"/>
      <c r="S273" s="107"/>
      <c r="T273" s="107"/>
      <c r="U273" s="107"/>
      <c r="V273" s="107"/>
      <c r="W273" s="107"/>
      <c r="X273" s="107"/>
      <c r="Y273" s="107"/>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04"/>
      <c r="BJ273" s="204"/>
      <c r="BK273" s="204"/>
      <c r="BL273" s="204"/>
      <c r="BM273" s="204"/>
      <c r="BN273" s="204"/>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idden="1" outlineLevel="2">
      <c r="A274" s="9"/>
      <c r="B274" s="9"/>
      <c r="C274" s="26"/>
      <c r="D274" s="392"/>
      <c r="E274" s="91">
        <v>6</v>
      </c>
      <c r="F274" s="27"/>
      <c r="G274" s="27"/>
      <c r="H274" s="149"/>
      <c r="I274" s="151"/>
      <c r="J274" s="151"/>
      <c r="K274" s="151"/>
      <c r="L274" s="151"/>
      <c r="M274" s="150"/>
      <c r="N274" s="73">
        <f>IF(A16taxstdlife="n/a","n/a",IF(N$3&gt;(A16taxstdlife+$E274),(Input!$M$158-Input!$M$192)-SUM($M274:M274),(Input!$M$158-Input!$M$192)/A16taxstdlife))</f>
        <v>0</v>
      </c>
      <c r="O274" s="73">
        <f>IF(A16taxstdlife="n/a","n/a",IF(O$3&gt;(A16taxstdlife+$E274),(Input!$M$158-Input!$M$192)-SUM($M274:N274),(Input!$M$158-Input!$M$192)/A16taxstdlife))</f>
        <v>0</v>
      </c>
      <c r="P274" s="73">
        <f>IF(A16taxstdlife="n/a","n/a",IF(P$3&gt;(A16taxstdlife+$E274),(Input!$M$158-Input!$M$192)-SUM($M274:O274),(Input!$M$158-Input!$M$192)/A16taxstdlife))</f>
        <v>0</v>
      </c>
      <c r="Q274" s="73">
        <f>IF(A16taxstdlife="n/a","n/a",IF(Q$3&gt;(A16taxstdlife+$E274),(Input!$M$158-Input!$M$192)-SUM($M274:P274),(Input!$M$158-Input!$M$192)/A16taxstdlife))</f>
        <v>0</v>
      </c>
      <c r="R274" s="73"/>
      <c r="S274" s="107"/>
      <c r="T274" s="107"/>
      <c r="U274" s="107"/>
      <c r="V274" s="107"/>
      <c r="W274" s="107"/>
      <c r="X274" s="107"/>
      <c r="Y274" s="107"/>
      <c r="Z274" s="223"/>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04"/>
      <c r="BJ274" s="204"/>
      <c r="BK274" s="204"/>
      <c r="BL274" s="204"/>
      <c r="BM274" s="204"/>
      <c r="BN274" s="20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idden="1" outlineLevel="2">
      <c r="A275" s="9"/>
      <c r="B275" s="9"/>
      <c r="C275" s="26"/>
      <c r="D275" s="392"/>
      <c r="E275" s="91">
        <v>7</v>
      </c>
      <c r="F275" s="27"/>
      <c r="G275" s="27"/>
      <c r="H275" s="149"/>
      <c r="I275" s="151"/>
      <c r="J275" s="151"/>
      <c r="K275" s="151"/>
      <c r="L275" s="151"/>
      <c r="M275" s="151"/>
      <c r="N275" s="150"/>
      <c r="O275" s="73">
        <f>IF(A16taxstdlife="n/a","n/a",IF(O$3&gt;(A16taxstdlife+$E275),(Input!$N$158-Input!$N$192)-SUM($N275:N275),(Input!$N$158-Input!$N$192)/A16taxstdlife))</f>
        <v>0</v>
      </c>
      <c r="P275" s="73">
        <f>IF(A16taxstdlife="n/a","n/a",IF(P$3&gt;(A16taxstdlife+$E275),(Input!$N$158-Input!$N$192)-SUM($N275:O275),(Input!$N$158-Input!$N$192)/A16taxstdlife))</f>
        <v>0</v>
      </c>
      <c r="Q275" s="73">
        <f>IF(A16taxstdlife="n/a","n/a",IF(Q$3&gt;(A16taxstdlife+$E275),(Input!$N$158-Input!$N$192)-SUM($N275:P275),(Input!$N$158-Input!$N$192)/A16taxstdlife))</f>
        <v>0</v>
      </c>
      <c r="R275" s="73"/>
      <c r="S275" s="107"/>
      <c r="T275" s="107"/>
      <c r="U275" s="107"/>
      <c r="V275" s="107"/>
      <c r="W275" s="107"/>
      <c r="X275" s="107"/>
      <c r="Y275" s="107"/>
      <c r="Z275" s="223"/>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5"/>
      <c r="BJ275" s="204"/>
      <c r="BK275" s="204"/>
      <c r="BL275" s="204"/>
      <c r="BM275" s="204"/>
      <c r="BN275" s="204"/>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idden="1" outlineLevel="2">
      <c r="A276" s="9"/>
      <c r="B276" s="9"/>
      <c r="C276" s="26"/>
      <c r="D276" s="392"/>
      <c r="E276" s="91">
        <v>8</v>
      </c>
      <c r="F276" s="27"/>
      <c r="G276" s="27"/>
      <c r="H276" s="149"/>
      <c r="I276" s="151"/>
      <c r="J276" s="151"/>
      <c r="K276" s="151"/>
      <c r="L276" s="151"/>
      <c r="M276" s="151"/>
      <c r="N276" s="151"/>
      <c r="O276" s="150"/>
      <c r="P276" s="73">
        <f>IF(A16taxstdlife="n/a","n/a",IF(P$3&gt;(A16taxstdlife+$E276),(Input!$O$158-Input!$O$192)-SUM($O276:O276),(Input!$O$158-Input!$O$192)/A16taxstdlife))</f>
        <v>0</v>
      </c>
      <c r="Q276" s="73">
        <f>IF(A16taxstdlife="n/a","n/a",IF(Q$3&gt;(A16taxstdlife+$E276),(Input!$O$158-Input!$O$192)-SUM($O276:P276),(Input!$O$158-Input!$O$192)/A16taxstdlife))</f>
        <v>0</v>
      </c>
      <c r="R276" s="73"/>
      <c r="S276" s="107"/>
      <c r="T276" s="107"/>
      <c r="U276" s="107"/>
      <c r="V276" s="107"/>
      <c r="W276" s="107"/>
      <c r="X276" s="107"/>
      <c r="Y276" s="107"/>
      <c r="Z276" s="223"/>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04"/>
      <c r="BJ276" s="204"/>
      <c r="BK276" s="204"/>
      <c r="BL276" s="204"/>
      <c r="BM276" s="204"/>
      <c r="BN276" s="204"/>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idden="1" outlineLevel="2">
      <c r="A277" s="9"/>
      <c r="B277" s="9"/>
      <c r="C277" s="26"/>
      <c r="D277" s="392"/>
      <c r="E277" s="91">
        <v>9</v>
      </c>
      <c r="F277" s="27"/>
      <c r="G277" s="27"/>
      <c r="H277" s="149"/>
      <c r="I277" s="151"/>
      <c r="J277" s="151"/>
      <c r="K277" s="151"/>
      <c r="L277" s="151"/>
      <c r="M277" s="151"/>
      <c r="N277" s="151"/>
      <c r="O277" s="151"/>
      <c r="P277" s="150"/>
      <c r="Q277" s="73">
        <f>IF(A16taxstdlife="n/a","n/a",IF(Q$3&gt;(A16taxstdlife+$E277),(Input!$P$158-Input!$P$192)-SUM($P277:P277),(Input!$P$158-Input!$P$192)/A16taxstdlife))</f>
        <v>0</v>
      </c>
      <c r="R277" s="73"/>
      <c r="S277" s="107"/>
      <c r="T277" s="107"/>
      <c r="U277" s="107"/>
      <c r="V277" s="107"/>
      <c r="W277" s="107"/>
      <c r="X277" s="107"/>
      <c r="Y277" s="107"/>
      <c r="Z277" s="223"/>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04"/>
      <c r="BJ277" s="204"/>
      <c r="BK277" s="204"/>
      <c r="BL277" s="204"/>
      <c r="BM277" s="204"/>
      <c r="BN277" s="204"/>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idden="1" outlineLevel="2">
      <c r="A278" s="9"/>
      <c r="B278" s="9"/>
      <c r="C278" s="26"/>
      <c r="D278" s="392"/>
      <c r="E278" s="92">
        <v>10</v>
      </c>
      <c r="F278" s="27"/>
      <c r="G278" s="27"/>
      <c r="H278" s="149"/>
      <c r="I278" s="151"/>
      <c r="J278" s="151"/>
      <c r="K278" s="151"/>
      <c r="L278" s="151"/>
      <c r="M278" s="151"/>
      <c r="N278" s="151"/>
      <c r="O278" s="151"/>
      <c r="P278" s="151"/>
      <c r="Q278" s="150"/>
      <c r="R278" s="73"/>
      <c r="S278" s="107"/>
      <c r="T278" s="107"/>
      <c r="U278" s="107"/>
      <c r="V278" s="107"/>
      <c r="W278" s="107"/>
      <c r="X278" s="107"/>
      <c r="Y278" s="107"/>
      <c r="Z278" s="223"/>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04"/>
      <c r="BJ278" s="204"/>
      <c r="BK278" s="204"/>
      <c r="BL278" s="204"/>
      <c r="BM278" s="204"/>
      <c r="BN278" s="204"/>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idden="1" outlineLevel="1" collapsed="1">
      <c r="A279" s="9"/>
      <c r="B279" s="9"/>
      <c r="C279" s="279" t="str">
        <f>Asset16</f>
        <v>Protection and control - short life (15)</v>
      </c>
      <c r="D279" s="9"/>
      <c r="E279" s="9"/>
      <c r="F279" s="23"/>
      <c r="G279" s="23"/>
      <c r="H279" s="305">
        <f>-SUM(H267:H278)</f>
        <v>0</v>
      </c>
      <c r="I279" s="164">
        <f>-SUM(I267:I278)</f>
        <v>-0.69850040000000002</v>
      </c>
      <c r="J279" s="164">
        <f>-SUM(J267:J278)</f>
        <v>-1.6037004000000001</v>
      </c>
      <c r="K279" s="164">
        <f>-SUM(K267:K278)</f>
        <v>-2.9160337333333333</v>
      </c>
      <c r="L279" s="164">
        <f>-SUM(L267:L278)</f>
        <v>-4.1229003999999998</v>
      </c>
      <c r="M279" s="164">
        <f>IF(COUNT($H279:L279)&gt;=Input!$W$7,0, -SUM(M267:M278))</f>
        <v>0</v>
      </c>
      <c r="N279" s="164">
        <f>IF(COUNT($H279:M279)&gt;=Input!$W$7,0, -SUM(N267:N278))</f>
        <v>0</v>
      </c>
      <c r="O279" s="164">
        <f>IF(COUNT($H279:N279)&gt;=Input!$W$7,0, -SUM(O267:O278))</f>
        <v>0</v>
      </c>
      <c r="P279" s="164">
        <f>IF(COUNT($H279:O279)&gt;=Input!$W$7,0, -SUM(P267:P278))</f>
        <v>0</v>
      </c>
      <c r="Q279" s="164">
        <f>IF(COUNT($H279:P279)&gt;=Input!$W$7,0, -SUM(Q267:Q278))</f>
        <v>0</v>
      </c>
      <c r="R279" s="164"/>
      <c r="S279" s="106"/>
      <c r="T279" s="106"/>
      <c r="U279" s="106"/>
      <c r="V279" s="106"/>
      <c r="W279" s="106"/>
      <c r="X279" s="106"/>
      <c r="Y279" s="106"/>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04"/>
      <c r="BJ279" s="204"/>
      <c r="BK279" s="204"/>
      <c r="BL279" s="204"/>
      <c r="BM279" s="204"/>
      <c r="BN279" s="204"/>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idden="1" outlineLevel="2">
      <c r="A280" s="9"/>
      <c r="B280" s="281" t="str">
        <f>Asset17</f>
        <v>Protection and control - short life (4)</v>
      </c>
      <c r="C280" s="31"/>
      <c r="D280" s="32" t="s">
        <v>65</v>
      </c>
      <c r="E280" s="31"/>
      <c r="F280" s="308"/>
      <c r="G280" s="308"/>
      <c r="H280" s="72" t="str">
        <f>IF(H$3&gt;A17taxremlife,A17taxvalue-SUM($F280:F280),IF(A17taxremlife="N/A","n/a",A17taxvalue/A17taxremlife))</f>
        <v>n/a</v>
      </c>
      <c r="I280" s="72" t="str">
        <f>IF(I$3&gt;A17taxremlife,A17taxvalue-SUM($F280:H280),IF(A17taxremlife="N/A","n/a",A17taxvalue/A17taxremlife))</f>
        <v>n/a</v>
      </c>
      <c r="J280" s="72" t="str">
        <f>IF(J$3&gt;A17taxremlife,A17taxvalue-SUM($F280:I280),IF(A17taxremlife="N/A","n/a",A17taxvalue/A17taxremlife))</f>
        <v>n/a</v>
      </c>
      <c r="K280" s="72" t="str">
        <f>IF(K$3&gt;A17taxremlife,A17taxvalue-SUM($F280:J280),IF(A17taxremlife="N/A","n/a",A17taxvalue/A17taxremlife))</f>
        <v>n/a</v>
      </c>
      <c r="L280" s="72" t="str">
        <f>IF(L$3&gt;A17taxremlife,A17taxvalue-SUM($F280:K280),IF(A17taxremlife="N/A","n/a",A17taxvalue/A17taxremlife))</f>
        <v>n/a</v>
      </c>
      <c r="M280" s="72" t="str">
        <f>IF(M$3&gt;A17taxremlife,A17taxvalue-SUM($F280:L280),IF(A17taxremlife="N/A","n/a",A17taxvalue/A17taxremlife))</f>
        <v>n/a</v>
      </c>
      <c r="N280" s="72" t="str">
        <f>IF(N$3&gt;A17taxremlife,A17taxvalue-SUM($F280:M280),IF(A17taxremlife="N/A","n/a",A17taxvalue/A17taxremlife))</f>
        <v>n/a</v>
      </c>
      <c r="O280" s="72" t="str">
        <f>IF(O$3&gt;A17taxremlife,A17taxvalue-SUM($F280:N280),IF(A17taxremlife="N/A","n/a",A17taxvalue/A17taxremlife))</f>
        <v>n/a</v>
      </c>
      <c r="P280" s="72" t="str">
        <f>IF(P$3&gt;A17taxremlife,A17taxvalue-SUM($F280:O280),IF(A17taxremlife="N/A","n/a",A17taxvalue/A17taxremlife))</f>
        <v>n/a</v>
      </c>
      <c r="Q280" s="72" t="str">
        <f>IF(Q$3&gt;A17taxremlife,A17taxvalue-SUM($F280:P280),IF(A17taxremlife="N/A","n/a",A17taxvalue/A17taxremlife))</f>
        <v>n/a</v>
      </c>
      <c r="R280" s="72"/>
      <c r="S280" s="107"/>
      <c r="T280" s="107"/>
      <c r="U280" s="107"/>
      <c r="V280" s="107"/>
      <c r="W280" s="107"/>
      <c r="X280" s="107"/>
      <c r="Y280" s="107"/>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04"/>
      <c r="BJ280" s="204"/>
      <c r="BK280" s="204"/>
      <c r="BL280" s="204"/>
      <c r="BM280" s="204"/>
      <c r="BN280" s="204"/>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6"/>
      <c r="D281" s="391" t="s">
        <v>81</v>
      </c>
      <c r="E281" s="91"/>
      <c r="F281" s="27"/>
      <c r="G281" s="27"/>
      <c r="H281" s="107"/>
      <c r="I281" s="73"/>
      <c r="J281" s="73"/>
      <c r="K281" s="73"/>
      <c r="L281" s="73"/>
      <c r="M281" s="73"/>
      <c r="N281" s="73"/>
      <c r="O281" s="73"/>
      <c r="P281" s="73"/>
      <c r="Q281" s="73"/>
      <c r="R281" s="73"/>
      <c r="S281" s="107"/>
      <c r="T281" s="107"/>
      <c r="U281" s="107"/>
      <c r="V281" s="107"/>
      <c r="W281" s="107"/>
      <c r="X281" s="107"/>
      <c r="Y281" s="107"/>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04"/>
      <c r="BJ281" s="204"/>
      <c r="BK281" s="204"/>
      <c r="BL281" s="204"/>
      <c r="BM281" s="204"/>
      <c r="BN281" s="204"/>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idden="1" outlineLevel="2">
      <c r="A282" s="9"/>
      <c r="B282" s="9"/>
      <c r="C282" s="26"/>
      <c r="D282" s="392"/>
      <c r="E282" s="91">
        <v>1</v>
      </c>
      <c r="F282" s="27"/>
      <c r="G282" s="27"/>
      <c r="H282" s="148"/>
      <c r="I282" s="73">
        <f>IF(A17taxstdlife="n/a","n/a",IF(I$3&gt;(A17taxstdlife+$E282),(Input!$H$159-Input!$H$193)-SUM($H282:H282),(Input!$H$159-Input!$H$193)/A17taxstdlife))</f>
        <v>1.0312E-2</v>
      </c>
      <c r="J282" s="73">
        <f>IF(A17taxstdlife="n/a","n/a",IF(J$3&gt;(A17taxstdlife+$E282),(Input!$H$159-Input!$H$193)-SUM($H282:I282),(Input!$H$159-Input!$H$193)/A17taxstdlife))</f>
        <v>1.0312E-2</v>
      </c>
      <c r="K282" s="73">
        <f>IF(A17taxstdlife="n/a","n/a",IF(K$3&gt;(A17taxstdlife+$E282),(Input!$H$159-Input!$H$193)-SUM($H282:J282),(Input!$H$159-Input!$H$193)/A17taxstdlife))</f>
        <v>1.0312E-2</v>
      </c>
      <c r="L282" s="73">
        <f>IF(A17taxstdlife="n/a","n/a",IF(L$3&gt;(A17taxstdlife+$E282),(Input!$H$159-Input!$H$193)-SUM($H282:K282),(Input!$H$159-Input!$H$193)/A17taxstdlife))</f>
        <v>1.0312E-2</v>
      </c>
      <c r="M282" s="73">
        <f>IF(A17taxstdlife="n/a","n/a",IF(M$3&gt;(A17taxstdlife+$E282),(Input!$H$159-Input!$H$193)-SUM($H282:L282),(Input!$H$159-Input!$H$193)/A17taxstdlife))</f>
        <v>0</v>
      </c>
      <c r="N282" s="73">
        <f>IF(A17taxstdlife="n/a","n/a",IF(N$3&gt;(A17taxstdlife+$E282),(Input!$H$159-Input!$H$193)-SUM($H282:M282),(Input!$H$159-Input!$H$193)/A17taxstdlife))</f>
        <v>0</v>
      </c>
      <c r="O282" s="73">
        <f>IF(A17taxstdlife="n/a","n/a",IF(O$3&gt;(A17taxstdlife+$E282),(Input!$H$159-Input!$H$193)-SUM($H282:N282),(Input!$H$159-Input!$H$193)/A17taxstdlife))</f>
        <v>0</v>
      </c>
      <c r="P282" s="73">
        <f>IF(A17taxstdlife="n/a","n/a",IF(P$3&gt;(A17taxstdlife+$E282),(Input!$H$159-Input!$H$193)-SUM($H282:O282),(Input!$H$159-Input!$H$193)/A17taxstdlife))</f>
        <v>0</v>
      </c>
      <c r="Q282" s="73">
        <f>IF(A17taxstdlife="n/a","n/a",IF(Q$3&gt;(A17taxstdlife+$E282),(Input!$H$159-Input!$H$193)-SUM($H282:P282),(Input!$H$159-Input!$H$193)/A17taxstdlife))</f>
        <v>0</v>
      </c>
      <c r="R282" s="73"/>
      <c r="S282" s="107"/>
      <c r="T282" s="107"/>
      <c r="U282" s="107"/>
      <c r="V282" s="107"/>
      <c r="W282" s="107"/>
      <c r="X282" s="107"/>
      <c r="Y282" s="107"/>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04"/>
      <c r="BJ282" s="204"/>
      <c r="BK282" s="204"/>
      <c r="BL282" s="204"/>
      <c r="BM282" s="204"/>
      <c r="BN282" s="204"/>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idden="1" outlineLevel="2">
      <c r="A283" s="9"/>
      <c r="B283" s="9"/>
      <c r="C283" s="26"/>
      <c r="D283" s="392"/>
      <c r="E283" s="91">
        <v>2</v>
      </c>
      <c r="F283" s="27"/>
      <c r="G283" s="27"/>
      <c r="H283" s="149"/>
      <c r="I283" s="150"/>
      <c r="J283" s="73">
        <f>IF(A17taxstdlife="n/a","n/a",IF(J$3&gt;(A17taxstdlife+$E283),(Input!$I$159-Input!$I$193)-SUM($I283:I283),(Input!$I$159-Input!$I$193)/A17taxstdlife))</f>
        <v>1.8249999999999999E-2</v>
      </c>
      <c r="K283" s="73">
        <f>IF(A17taxstdlife="n/a","n/a",IF(K$3&gt;(A17taxstdlife+$E283),(Input!$I$159-Input!$I$193)-SUM($I283:J283),(Input!$I$159-Input!$I$193)/A17taxstdlife))</f>
        <v>1.8249999999999999E-2</v>
      </c>
      <c r="L283" s="73">
        <f>IF(A17taxstdlife="n/a","n/a",IF(L$3&gt;(A17taxstdlife+$E283),(Input!$I$159-Input!$I$193)-SUM($I283:K283),(Input!$I$159-Input!$I$193)/A17taxstdlife))</f>
        <v>1.8249999999999999E-2</v>
      </c>
      <c r="M283" s="73">
        <f>IF(A17taxstdlife="n/a","n/a",IF(M$3&gt;(A17taxstdlife+$E283),(Input!$I$159-Input!$I$193)-SUM($I283:L283),(Input!$I$159-Input!$I$193)/A17taxstdlife))</f>
        <v>1.8249999999999999E-2</v>
      </c>
      <c r="N283" s="73">
        <f>IF(A17taxstdlife="n/a","n/a",IF(N$3&gt;(A17taxstdlife+$E283),(Input!$I$159-Input!$I$193)-SUM($I283:M283),(Input!$I$159-Input!$I$193)/A17taxstdlife))</f>
        <v>0</v>
      </c>
      <c r="O283" s="73">
        <f>IF(A17taxstdlife="n/a","n/a",IF(O$3&gt;(A17taxstdlife+$E283),(Input!$I$159-Input!$I$193)-SUM($I283:N283),(Input!$I$159-Input!$I$193)/A17taxstdlife))</f>
        <v>0</v>
      </c>
      <c r="P283" s="73">
        <f>IF(A17taxstdlife="n/a","n/a",IF(P$3&gt;(A17taxstdlife+$E283),(Input!$I$159-Input!$I$193)-SUM($I283:O283),(Input!$I$159-Input!$I$193)/A17taxstdlife))</f>
        <v>0</v>
      </c>
      <c r="Q283" s="73">
        <f>IF(A17taxstdlife="n/a","n/a",IF(Q$3&gt;(A17taxstdlife+$E283),(Input!$I$159-Input!$I$193)-SUM($I283:P283),(Input!$I$159-Input!$I$193)/A17taxstdlife))</f>
        <v>0</v>
      </c>
      <c r="R283" s="73"/>
      <c r="S283" s="107"/>
      <c r="T283" s="107"/>
      <c r="U283" s="107"/>
      <c r="V283" s="107"/>
      <c r="W283" s="107"/>
      <c r="X283" s="107"/>
      <c r="Y283" s="107"/>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04"/>
      <c r="BJ283" s="204"/>
      <c r="BK283" s="204"/>
      <c r="BL283" s="204"/>
      <c r="BM283" s="204"/>
      <c r="BN283" s="204"/>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idden="1" outlineLevel="2">
      <c r="A284" s="9"/>
      <c r="B284" s="9"/>
      <c r="C284" s="26"/>
      <c r="D284" s="392"/>
      <c r="E284" s="91">
        <v>3</v>
      </c>
      <c r="F284" s="27"/>
      <c r="G284" s="27"/>
      <c r="H284" s="149"/>
      <c r="I284" s="151"/>
      <c r="J284" s="150"/>
      <c r="K284" s="73">
        <f>IF(A17taxstdlife="n/a","n/a",IF(K$3&gt;(A17taxstdlife+$E284),(Input!$J$159-Input!$J$193)-SUM($J284:J284),(Input!$J$159-Input!$J$193)/A17taxstdlife))</f>
        <v>0.316</v>
      </c>
      <c r="L284" s="73">
        <f>IF(A17taxstdlife="n/a","n/a",IF(L$3&gt;(A17taxstdlife+$E284),(Input!$J$159-Input!$J$193)-SUM($J284:K284),(Input!$J$159-Input!$J$193)/A17taxstdlife))</f>
        <v>0.316</v>
      </c>
      <c r="M284" s="73">
        <f>IF(A17taxstdlife="n/a","n/a",IF(M$3&gt;(A17taxstdlife+$E284),(Input!$J$159-Input!$J$193)-SUM($J284:L284),(Input!$J$159-Input!$J$193)/A17taxstdlife))</f>
        <v>0.316</v>
      </c>
      <c r="N284" s="73">
        <f>IF(A17taxstdlife="n/a","n/a",IF(N$3&gt;(A17taxstdlife+$E284),(Input!$J$159-Input!$J$193)-SUM($J284:M284),(Input!$J$159-Input!$J$193)/A17taxstdlife))</f>
        <v>0.316</v>
      </c>
      <c r="O284" s="73">
        <f>IF(A17taxstdlife="n/a","n/a",IF(O$3&gt;(A17taxstdlife+$E284),(Input!$J$159-Input!$J$193)-SUM($J284:N284),(Input!$J$159-Input!$J$193)/A17taxstdlife))</f>
        <v>0</v>
      </c>
      <c r="P284" s="73">
        <f>IF(A17taxstdlife="n/a","n/a",IF(P$3&gt;(A17taxstdlife+$E284),(Input!$J$159-Input!$J$193)-SUM($J284:O284),(Input!$J$159-Input!$J$193)/A17taxstdlife))</f>
        <v>0</v>
      </c>
      <c r="Q284" s="73">
        <f>IF(A17taxstdlife="n/a","n/a",IF(Q$3&gt;(A17taxstdlife+$E284),(Input!$J$159-Input!$J$193)-SUM($J284:P284),(Input!$J$159-Input!$J$193)/A17taxstdlife))</f>
        <v>0</v>
      </c>
      <c r="R284" s="73"/>
      <c r="S284" s="107"/>
      <c r="T284" s="107"/>
      <c r="U284" s="107"/>
      <c r="V284" s="107"/>
      <c r="W284" s="107"/>
      <c r="X284" s="107"/>
      <c r="Y284" s="107"/>
      <c r="Z284" s="223"/>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04"/>
      <c r="BJ284" s="204"/>
      <c r="BK284" s="204"/>
      <c r="BL284" s="204"/>
      <c r="BM284" s="204"/>
      <c r="BN284" s="20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idden="1" outlineLevel="2">
      <c r="A285" s="9"/>
      <c r="B285" s="9"/>
      <c r="C285" s="26"/>
      <c r="D285" s="392"/>
      <c r="E285" s="91">
        <v>4</v>
      </c>
      <c r="F285" s="27"/>
      <c r="G285" s="27"/>
      <c r="H285" s="149"/>
      <c r="I285" s="151"/>
      <c r="J285" s="151"/>
      <c r="K285" s="150"/>
      <c r="L285" s="73">
        <f>IF(A17taxstdlife="n/a","n/a",IF(L$3&gt;(A17taxstdlife+$E285),(Input!$K$159-Input!$K$193)-SUM($K285:K285),(Input!$K$159-Input!$K$193)/A17taxstdlife))</f>
        <v>7.5249999999999997E-2</v>
      </c>
      <c r="M285" s="73">
        <f>IF(A17taxstdlife="n/a","n/a",IF(M$3&gt;(A17taxstdlife+$E285),(Input!$K$159-Input!$K$193)-SUM($K285:L285),(Input!$K$159-Input!$K$193)/A17taxstdlife))</f>
        <v>7.5249999999999997E-2</v>
      </c>
      <c r="N285" s="73">
        <f>IF(A17taxstdlife="n/a","n/a",IF(N$3&gt;(A17taxstdlife+$E285),(Input!$K$159-Input!$K$193)-SUM($K285:M285),(Input!$K$159-Input!$K$193)/A17taxstdlife))</f>
        <v>7.5249999999999997E-2</v>
      </c>
      <c r="O285" s="73">
        <f>IF(A17taxstdlife="n/a","n/a",IF(O$3&gt;(A17taxstdlife+$E285),(Input!$K$159-Input!$K$193)-SUM($K285:N285),(Input!$K$159-Input!$K$193)/A17taxstdlife))</f>
        <v>7.5249999999999997E-2</v>
      </c>
      <c r="P285" s="73">
        <f>IF(A17taxstdlife="n/a","n/a",IF(P$3&gt;(A17taxstdlife+$E285),(Input!$K$159-Input!$K$193)-SUM($K285:O285),(Input!$K$159-Input!$K$193)/A17taxstdlife))</f>
        <v>0</v>
      </c>
      <c r="Q285" s="73">
        <f>IF(A17taxstdlife="n/a","n/a",IF(Q$3&gt;(A17taxstdlife+$E285),(Input!$K$159-Input!$K$193)-SUM($K285:P285),(Input!$K$159-Input!$K$193)/A17taxstdlife))</f>
        <v>0</v>
      </c>
      <c r="R285" s="73"/>
      <c r="S285" s="107"/>
      <c r="T285" s="107"/>
      <c r="U285" s="107"/>
      <c r="V285" s="107"/>
      <c r="W285" s="107"/>
      <c r="X285" s="107"/>
      <c r="Y285" s="107"/>
      <c r="Z285" s="223"/>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04"/>
      <c r="BJ285" s="204"/>
      <c r="BK285" s="204"/>
      <c r="BL285" s="204"/>
      <c r="BM285" s="204"/>
      <c r="BN285" s="204"/>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idden="1" outlineLevel="2">
      <c r="A286" s="9"/>
      <c r="B286" s="9"/>
      <c r="C286" s="26"/>
      <c r="D286" s="392"/>
      <c r="E286" s="91">
        <v>5</v>
      </c>
      <c r="F286" s="27"/>
      <c r="G286" s="27"/>
      <c r="H286" s="149"/>
      <c r="I286" s="151"/>
      <c r="J286" s="151"/>
      <c r="K286" s="151"/>
      <c r="L286" s="150"/>
      <c r="M286" s="73">
        <f>IF(A17taxstdlife="n/a","n/a",IF(M$3&gt;(A17taxstdlife+$E286),(Input!$L$159-Input!$L$193)-SUM($L286:L286),(Input!$L$159-Input!$L$193)/A17taxstdlife))</f>
        <v>0</v>
      </c>
      <c r="N286" s="73">
        <f>IF(A17taxstdlife="n/a","n/a",IF(N$3&gt;(A17taxstdlife+$E286),(Input!$L$159-Input!$L$193)-SUM($L286:M286),(Input!$L$159-Input!$L$193)/A17taxstdlife))</f>
        <v>0</v>
      </c>
      <c r="O286" s="73">
        <f>IF(A17taxstdlife="n/a","n/a",IF(O$3&gt;(A17taxstdlife+$E286),(Input!$L$159-Input!$L$193)-SUM($L286:N286),(Input!$L$159-Input!$L$193)/A17taxstdlife))</f>
        <v>0</v>
      </c>
      <c r="P286" s="73">
        <f>IF(A17taxstdlife="n/a","n/a",IF(P$3&gt;(A17taxstdlife+$E286),(Input!$L$159-Input!$L$193)-SUM($L286:O286),(Input!$L$159-Input!$L$193)/A17taxstdlife))</f>
        <v>0</v>
      </c>
      <c r="Q286" s="73">
        <f>IF(A17taxstdlife="n/a","n/a",IF(Q$3&gt;(A17taxstdlife+$E286),(Input!$L$159-Input!$L$193)-SUM($L286:P286),(Input!$L$159-Input!$L$193)/A17taxstdlife))</f>
        <v>0</v>
      </c>
      <c r="R286" s="73"/>
      <c r="S286" s="107"/>
      <c r="T286" s="107"/>
      <c r="U286" s="107"/>
      <c r="V286" s="107"/>
      <c r="W286" s="107"/>
      <c r="X286" s="107"/>
      <c r="Y286" s="107"/>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04"/>
      <c r="BJ286" s="204"/>
      <c r="BK286" s="204"/>
      <c r="BL286" s="204"/>
      <c r="BM286" s="204"/>
      <c r="BN286" s="204"/>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idden="1" outlineLevel="2">
      <c r="A287" s="9"/>
      <c r="B287" s="9"/>
      <c r="C287" s="26"/>
      <c r="D287" s="392"/>
      <c r="E287" s="91">
        <v>6</v>
      </c>
      <c r="F287" s="27"/>
      <c r="G287" s="27"/>
      <c r="H287" s="149"/>
      <c r="I287" s="151"/>
      <c r="J287" s="151"/>
      <c r="K287" s="151"/>
      <c r="L287" s="151"/>
      <c r="M287" s="150"/>
      <c r="N287" s="73">
        <f>IF(A17taxstdlife="n/a","n/a",IF(N$3&gt;(A17taxstdlife+$E287),(Input!$M$159-Input!$M$193)-SUM($M287:M287),(Input!$M$159-Input!$M$193)/A17taxstdlife))</f>
        <v>0</v>
      </c>
      <c r="O287" s="73">
        <f>IF(A17taxstdlife="n/a","n/a",IF(O$3&gt;(A17taxstdlife+$E287),(Input!$M$159-Input!$M$193)-SUM($M287:N287),(Input!$M$159-Input!$M$193)/A17taxstdlife))</f>
        <v>0</v>
      </c>
      <c r="P287" s="73">
        <f>IF(A17taxstdlife="n/a","n/a",IF(P$3&gt;(A17taxstdlife+$E287),(Input!$M$159-Input!$M$193)-SUM($M287:O287),(Input!$M$159-Input!$M$193)/A17taxstdlife))</f>
        <v>0</v>
      </c>
      <c r="Q287" s="73">
        <f>IF(A17taxstdlife="n/a","n/a",IF(Q$3&gt;(A17taxstdlife+$E287),(Input!$M$159-Input!$M$193)-SUM($M287:P287),(Input!$M$159-Input!$M$193)/A17taxstdlife))</f>
        <v>0</v>
      </c>
      <c r="R287" s="73"/>
      <c r="S287" s="107"/>
      <c r="T287" s="107"/>
      <c r="U287" s="107"/>
      <c r="V287" s="107"/>
      <c r="W287" s="107"/>
      <c r="X287" s="107"/>
      <c r="Y287" s="107"/>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04"/>
      <c r="BJ287" s="204"/>
      <c r="BK287" s="204"/>
      <c r="BL287" s="204"/>
      <c r="BM287" s="204"/>
      <c r="BN287" s="204"/>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idden="1" outlineLevel="2">
      <c r="A288" s="9"/>
      <c r="B288" s="9"/>
      <c r="C288" s="26"/>
      <c r="D288" s="392"/>
      <c r="E288" s="91">
        <v>7</v>
      </c>
      <c r="F288" s="27"/>
      <c r="G288" s="27"/>
      <c r="H288" s="149"/>
      <c r="I288" s="151"/>
      <c r="J288" s="151"/>
      <c r="K288" s="151"/>
      <c r="L288" s="151"/>
      <c r="M288" s="151"/>
      <c r="N288" s="150"/>
      <c r="O288" s="73">
        <f>IF(A17taxstdlife="n/a","n/a",IF(O$3&gt;(A17taxstdlife+$E288),(Input!$N$159-Input!$N$193)-SUM($N288:N288),(Input!$N$159-Input!$N$193)/A17taxstdlife))</f>
        <v>0</v>
      </c>
      <c r="P288" s="73">
        <f>IF(A17taxstdlife="n/a","n/a",IF(P$3&gt;(A17taxstdlife+$E288),(Input!$N$159-Input!$N$193)-SUM($N288:O288),(Input!$N$159-Input!$N$193)/A17taxstdlife))</f>
        <v>0</v>
      </c>
      <c r="Q288" s="73">
        <f>IF(A17taxstdlife="n/a","n/a",IF(Q$3&gt;(A17taxstdlife+$E288),(Input!$N$159-Input!$N$193)-SUM($N288:P288),(Input!$N$159-Input!$N$193)/A17taxstdlife))</f>
        <v>0</v>
      </c>
      <c r="R288" s="73"/>
      <c r="S288" s="107"/>
      <c r="T288" s="107"/>
      <c r="U288" s="107"/>
      <c r="V288" s="107"/>
      <c r="W288" s="107"/>
      <c r="X288" s="107"/>
      <c r="Y288" s="107"/>
      <c r="Z288" s="223"/>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04"/>
      <c r="BJ288" s="204"/>
      <c r="BK288" s="204"/>
      <c r="BL288" s="204"/>
      <c r="BM288" s="204"/>
      <c r="BN288" s="204"/>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idden="1" outlineLevel="2">
      <c r="A289" s="9"/>
      <c r="B289" s="9"/>
      <c r="C289" s="26"/>
      <c r="D289" s="392"/>
      <c r="E289" s="91">
        <v>8</v>
      </c>
      <c r="F289" s="27"/>
      <c r="G289" s="27"/>
      <c r="H289" s="149"/>
      <c r="I289" s="151"/>
      <c r="J289" s="151"/>
      <c r="K289" s="151"/>
      <c r="L289" s="151"/>
      <c r="M289" s="151"/>
      <c r="N289" s="151"/>
      <c r="O289" s="150"/>
      <c r="P289" s="73">
        <f>IF(A17taxstdlife="n/a","n/a",IF(P$3&gt;(A17taxstdlife+$E289),(Input!$O$159-Input!$O$193)-SUM($O289:O289),(Input!$O$159-Input!$O$193)/A17taxstdlife))</f>
        <v>0</v>
      </c>
      <c r="Q289" s="73">
        <f>IF(A17taxstdlife="n/a","n/a",IF(Q$3&gt;(A17taxstdlife+$E289),(Input!$O$159-Input!$O$193)-SUM($O289:P289),(Input!$O$159-Input!$O$193)/A17taxstdlife))</f>
        <v>0</v>
      </c>
      <c r="R289" s="73"/>
      <c r="S289" s="107"/>
      <c r="T289" s="107"/>
      <c r="U289" s="107"/>
      <c r="V289" s="107"/>
      <c r="W289" s="107"/>
      <c r="X289" s="107"/>
      <c r="Y289" s="107"/>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04"/>
      <c r="BJ289" s="204"/>
      <c r="BK289" s="204"/>
      <c r="BL289" s="204"/>
      <c r="BM289" s="204"/>
      <c r="BN289" s="204"/>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idden="1" outlineLevel="2">
      <c r="A290" s="9"/>
      <c r="B290" s="9"/>
      <c r="C290" s="26"/>
      <c r="D290" s="392"/>
      <c r="E290" s="91">
        <v>9</v>
      </c>
      <c r="F290" s="27"/>
      <c r="G290" s="27"/>
      <c r="H290" s="149"/>
      <c r="I290" s="151"/>
      <c r="J290" s="151"/>
      <c r="K290" s="151"/>
      <c r="L290" s="151"/>
      <c r="M290" s="151"/>
      <c r="N290" s="151"/>
      <c r="O290" s="151"/>
      <c r="P290" s="150"/>
      <c r="Q290" s="73">
        <f>IF(A17taxstdlife="n/a","n/a",IF(Q$3&gt;(A17taxstdlife+$E290),(Input!$P$159-Input!$P$193)-SUM($P290:P290),(Input!$P$159-Input!$P$193)/A17taxstdlife))</f>
        <v>0</v>
      </c>
      <c r="R290" s="73"/>
      <c r="S290" s="107"/>
      <c r="T290" s="107"/>
      <c r="U290" s="107"/>
      <c r="V290" s="107"/>
      <c r="W290" s="107"/>
      <c r="X290" s="107"/>
      <c r="Y290" s="107"/>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04"/>
      <c r="BJ290" s="204"/>
      <c r="BK290" s="204"/>
      <c r="BL290" s="204"/>
      <c r="BM290" s="204"/>
      <c r="BN290" s="204"/>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idden="1" outlineLevel="2">
      <c r="A291" s="9"/>
      <c r="B291" s="9"/>
      <c r="C291" s="26"/>
      <c r="D291" s="392"/>
      <c r="E291" s="92">
        <v>10</v>
      </c>
      <c r="F291" s="27"/>
      <c r="G291" s="27"/>
      <c r="H291" s="149"/>
      <c r="I291" s="151"/>
      <c r="J291" s="151"/>
      <c r="K291" s="151"/>
      <c r="L291" s="151"/>
      <c r="M291" s="151"/>
      <c r="N291" s="151"/>
      <c r="O291" s="151"/>
      <c r="P291" s="151"/>
      <c r="Q291" s="150"/>
      <c r="R291" s="73"/>
      <c r="S291" s="107"/>
      <c r="T291" s="107"/>
      <c r="U291" s="107"/>
      <c r="V291" s="107"/>
      <c r="W291" s="107"/>
      <c r="X291" s="107"/>
      <c r="Y291" s="107"/>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04"/>
      <c r="BJ291" s="204"/>
      <c r="BK291" s="204"/>
      <c r="BL291" s="204"/>
      <c r="BM291" s="204"/>
      <c r="BN291" s="204"/>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idden="1" outlineLevel="1" collapsed="1">
      <c r="A292" s="9"/>
      <c r="B292" s="9"/>
      <c r="C292" s="279" t="str">
        <f>Asset17</f>
        <v>Protection and control - short life (4)</v>
      </c>
      <c r="D292" s="9"/>
      <c r="E292" s="9"/>
      <c r="F292" s="23"/>
      <c r="G292" s="23"/>
      <c r="H292" s="305">
        <f>-SUM(H280:H291)</f>
        <v>0</v>
      </c>
      <c r="I292" s="164">
        <f>-SUM(I280:I291)</f>
        <v>-1.0312E-2</v>
      </c>
      <c r="J292" s="164">
        <f>-SUM(J280:J291)</f>
        <v>-2.8561999999999997E-2</v>
      </c>
      <c r="K292" s="164">
        <f>-SUM(K280:K291)</f>
        <v>-0.34456199999999998</v>
      </c>
      <c r="L292" s="164">
        <f>-SUM(L280:L291)</f>
        <v>-0.41981199999999996</v>
      </c>
      <c r="M292" s="164">
        <f>IF(COUNT($H292:L292)&gt;=Input!$W$7,0, -SUM(M280:M291))</f>
        <v>0</v>
      </c>
      <c r="N292" s="164">
        <f>IF(COUNT($H292:M292)&gt;=Input!$W$7,0, -SUM(N280:N291))</f>
        <v>0</v>
      </c>
      <c r="O292" s="164">
        <f>IF(COUNT($H292:N292)&gt;=Input!$W$7,0, -SUM(O280:O291))</f>
        <v>0</v>
      </c>
      <c r="P292" s="164">
        <f>IF(COUNT($H292:O292)&gt;=Input!$W$7,0, -SUM(P280:P291))</f>
        <v>0</v>
      </c>
      <c r="Q292" s="164">
        <f>IF(COUNT($H292:P292)&gt;=Input!$W$7,0, -SUM(Q280:Q291))</f>
        <v>0</v>
      </c>
      <c r="R292" s="164"/>
      <c r="S292" s="106"/>
      <c r="T292" s="106"/>
      <c r="U292" s="106"/>
      <c r="V292" s="106"/>
      <c r="W292" s="106"/>
      <c r="X292" s="106"/>
      <c r="Y292" s="106"/>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04"/>
      <c r="BJ292" s="204"/>
      <c r="BK292" s="204"/>
      <c r="BL292" s="204"/>
      <c r="BM292" s="204"/>
      <c r="BN292" s="204"/>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idden="1" outlineLevel="2">
      <c r="A293" s="9"/>
      <c r="B293" s="281" t="str">
        <f>Asset18</f>
        <v>Transmission operations - short life (10)</v>
      </c>
      <c r="C293" s="31"/>
      <c r="D293" s="32" t="s">
        <v>65</v>
      </c>
      <c r="E293" s="31"/>
      <c r="F293" s="308"/>
      <c r="G293" s="308"/>
      <c r="H293" s="72" t="str">
        <f>IF(H$3&gt;A18taxremlife,A18taxvalue-SUM($F293:F293),IF(A18taxremlife="N/A","n/a",A18taxvalue/A18taxremlife))</f>
        <v>n/a</v>
      </c>
      <c r="I293" s="72" t="str">
        <f>IF(I$3&gt;A18taxremlife,A18taxvalue-SUM($F293:H293),IF(A18taxremlife="N/A","n/a",A18taxvalue/A18taxremlife))</f>
        <v>n/a</v>
      </c>
      <c r="J293" s="72" t="str">
        <f>IF(J$3&gt;A18taxremlife,A18taxvalue-SUM($F293:I293),IF(A18taxremlife="N/A","n/a",A18taxvalue/A18taxremlife))</f>
        <v>n/a</v>
      </c>
      <c r="K293" s="72" t="str">
        <f>IF(K$3&gt;A18taxremlife,A18taxvalue-SUM($F293:J293),IF(A18taxremlife="N/A","n/a",A18taxvalue/A18taxremlife))</f>
        <v>n/a</v>
      </c>
      <c r="L293" s="72" t="str">
        <f>IF(L$3&gt;A18taxremlife,A18taxvalue-SUM($F293:K293),IF(A18taxremlife="N/A","n/a",A18taxvalue/A18taxremlife))</f>
        <v>n/a</v>
      </c>
      <c r="M293" s="72" t="str">
        <f>IF(M$3&gt;A18taxremlife,A18taxvalue-SUM($F293:L293),IF(A18taxremlife="N/A","n/a",A18taxvalue/A18taxremlife))</f>
        <v>n/a</v>
      </c>
      <c r="N293" s="72" t="str">
        <f>IF(N$3&gt;A18taxremlife,A18taxvalue-SUM($F293:M293),IF(A18taxremlife="N/A","n/a",A18taxvalue/A18taxremlife))</f>
        <v>n/a</v>
      </c>
      <c r="O293" s="72" t="str">
        <f>IF(O$3&gt;A18taxremlife,A18taxvalue-SUM($F293:N293),IF(A18taxremlife="N/A","n/a",A18taxvalue/A18taxremlife))</f>
        <v>n/a</v>
      </c>
      <c r="P293" s="72" t="str">
        <f>IF(P$3&gt;A18taxremlife,A18taxvalue-SUM($F293:O293),IF(A18taxremlife="N/A","n/a",A18taxvalue/A18taxremlife))</f>
        <v>n/a</v>
      </c>
      <c r="Q293" s="72" t="str">
        <f>IF(Q$3&gt;A18taxremlife,A18taxvalue-SUM($F293:P293),IF(A18taxremlife="N/A","n/a",A18taxvalue/A18taxremlife))</f>
        <v>n/a</v>
      </c>
      <c r="R293" s="72"/>
      <c r="S293" s="107"/>
      <c r="T293" s="107"/>
      <c r="U293" s="107"/>
      <c r="V293" s="107"/>
      <c r="W293" s="107"/>
      <c r="X293" s="107"/>
      <c r="Y293" s="107"/>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04"/>
      <c r="BJ293" s="204"/>
      <c r="BK293" s="204"/>
      <c r="BL293" s="204"/>
      <c r="BM293" s="204"/>
      <c r="BN293" s="204"/>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6"/>
      <c r="D294" s="391" t="s">
        <v>81</v>
      </c>
      <c r="E294" s="91"/>
      <c r="F294" s="27"/>
      <c r="G294" s="27"/>
      <c r="H294" s="107"/>
      <c r="I294" s="73"/>
      <c r="J294" s="73"/>
      <c r="K294" s="73"/>
      <c r="L294" s="73"/>
      <c r="M294" s="73"/>
      <c r="N294" s="73"/>
      <c r="O294" s="73"/>
      <c r="P294" s="73"/>
      <c r="Q294" s="73"/>
      <c r="R294" s="73"/>
      <c r="S294" s="107"/>
      <c r="T294" s="107"/>
      <c r="U294" s="107"/>
      <c r="V294" s="107"/>
      <c r="W294" s="107"/>
      <c r="X294" s="107"/>
      <c r="Y294" s="107"/>
      <c r="Z294" s="223"/>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04"/>
      <c r="BJ294" s="204"/>
      <c r="BK294" s="204"/>
      <c r="BL294" s="204"/>
      <c r="BM294" s="204"/>
      <c r="BN294" s="20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idden="1" outlineLevel="2">
      <c r="A295" s="9"/>
      <c r="B295" s="9"/>
      <c r="C295" s="26"/>
      <c r="D295" s="392"/>
      <c r="E295" s="91">
        <v>1</v>
      </c>
      <c r="F295" s="27"/>
      <c r="G295" s="27"/>
      <c r="H295" s="148"/>
      <c r="I295" s="73">
        <f>IF(A18taxstdlife="n/a","n/a",IF(I$3&gt;(A18taxstdlife+$E295),(Input!$H$160-Input!$H$194)-SUM($H295:H295),(Input!$H$160-Input!$H$194)/A18taxstdlife))</f>
        <v>0.11337280000000001</v>
      </c>
      <c r="J295" s="73">
        <f>IF(A18taxstdlife="n/a","n/a",IF(J$3&gt;(A18taxstdlife+$E295),(Input!$H$160-Input!$H$194)-SUM($H295:I295),(Input!$H$160-Input!$H$194)/A18taxstdlife))</f>
        <v>0.11337280000000001</v>
      </c>
      <c r="K295" s="73">
        <f>IF(A18taxstdlife="n/a","n/a",IF(K$3&gt;(A18taxstdlife+$E295),(Input!$H$160-Input!$H$194)-SUM($H295:J295),(Input!$H$160-Input!$H$194)/A18taxstdlife))</f>
        <v>0.11337280000000001</v>
      </c>
      <c r="L295" s="73">
        <f>IF(A18taxstdlife="n/a","n/a",IF(L$3&gt;(A18taxstdlife+$E295),(Input!$H$160-Input!$H$194)-SUM($H295:K295),(Input!$H$160-Input!$H$194)/A18taxstdlife))</f>
        <v>0.11337280000000001</v>
      </c>
      <c r="M295" s="73">
        <f>IF(A18taxstdlife="n/a","n/a",IF(M$3&gt;(A18taxstdlife+$E295),(Input!$H$160-Input!$H$194)-SUM($H295:L295),(Input!$H$160-Input!$H$194)/A18taxstdlife))</f>
        <v>0.11337280000000001</v>
      </c>
      <c r="N295" s="73">
        <f>IF(A18taxstdlife="n/a","n/a",IF(N$3&gt;(A18taxstdlife+$E295),(Input!$H$160-Input!$H$194)-SUM($H295:M295),(Input!$H$160-Input!$H$194)/A18taxstdlife))</f>
        <v>0.11337280000000001</v>
      </c>
      <c r="O295" s="73">
        <f>IF(A18taxstdlife="n/a","n/a",IF(O$3&gt;(A18taxstdlife+$E295),(Input!$H$160-Input!$H$194)-SUM($H295:N295),(Input!$H$160-Input!$H$194)/A18taxstdlife))</f>
        <v>0.11337280000000001</v>
      </c>
      <c r="P295" s="73">
        <f>IF(A18taxstdlife="n/a","n/a",IF(P$3&gt;(A18taxstdlife+$E295),(Input!$H$160-Input!$H$194)-SUM($H295:O295),(Input!$H$160-Input!$H$194)/A18taxstdlife))</f>
        <v>0.11337280000000001</v>
      </c>
      <c r="Q295" s="73">
        <f>IF(A18taxstdlife="n/a","n/a",IF(Q$3&gt;(A18taxstdlife+$E295),(Input!$H$160-Input!$H$194)-SUM($H295:P295),(Input!$H$160-Input!$H$194)/A18taxstdlife))</f>
        <v>0.11337280000000001</v>
      </c>
      <c r="R295" s="73"/>
      <c r="S295" s="107"/>
      <c r="T295" s="107"/>
      <c r="U295" s="107"/>
      <c r="V295" s="107"/>
      <c r="W295" s="107"/>
      <c r="X295" s="107"/>
      <c r="Y295" s="107"/>
      <c r="Z295" s="223"/>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04"/>
      <c r="BJ295" s="204"/>
      <c r="BK295" s="204"/>
      <c r="BL295" s="204"/>
      <c r="BM295" s="204"/>
      <c r="BN295" s="204"/>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idden="1" outlineLevel="2">
      <c r="A296" s="9"/>
      <c r="B296" s="9"/>
      <c r="C296" s="26"/>
      <c r="D296" s="392"/>
      <c r="E296" s="91">
        <v>2</v>
      </c>
      <c r="F296" s="27"/>
      <c r="G296" s="27"/>
      <c r="H296" s="149"/>
      <c r="I296" s="150"/>
      <c r="J296" s="73">
        <f>IF(A18taxstdlife="n/a","n/a",IF(J$3&gt;(A18taxstdlife+$E296),(Input!$I$160-Input!$I$194)-SUM($I296:I296),(Input!$I$160-Input!$I$194)/A18taxstdlife))</f>
        <v>0.159</v>
      </c>
      <c r="K296" s="73">
        <f>IF(A18taxstdlife="n/a","n/a",IF(K$3&gt;(A18taxstdlife+$E296),(Input!$I$160-Input!$I$194)-SUM($I296:J296),(Input!$I$160-Input!$I$194)/A18taxstdlife))</f>
        <v>0.159</v>
      </c>
      <c r="L296" s="73">
        <f>IF(A18taxstdlife="n/a","n/a",IF(L$3&gt;(A18taxstdlife+$E296),(Input!$I$160-Input!$I$194)-SUM($I296:K296),(Input!$I$160-Input!$I$194)/A18taxstdlife))</f>
        <v>0.159</v>
      </c>
      <c r="M296" s="73">
        <f>IF(A18taxstdlife="n/a","n/a",IF(M$3&gt;(A18taxstdlife+$E296),(Input!$I$160-Input!$I$194)-SUM($I296:L296),(Input!$I$160-Input!$I$194)/A18taxstdlife))</f>
        <v>0.159</v>
      </c>
      <c r="N296" s="73">
        <f>IF(A18taxstdlife="n/a","n/a",IF(N$3&gt;(A18taxstdlife+$E296),(Input!$I$160-Input!$I$194)-SUM($I296:M296),(Input!$I$160-Input!$I$194)/A18taxstdlife))</f>
        <v>0.159</v>
      </c>
      <c r="O296" s="73">
        <f>IF(A18taxstdlife="n/a","n/a",IF(O$3&gt;(A18taxstdlife+$E296),(Input!$I$160-Input!$I$194)-SUM($I296:N296),(Input!$I$160-Input!$I$194)/A18taxstdlife))</f>
        <v>0.159</v>
      </c>
      <c r="P296" s="73">
        <f>IF(A18taxstdlife="n/a","n/a",IF(P$3&gt;(A18taxstdlife+$E296),(Input!$I$160-Input!$I$194)-SUM($I296:O296),(Input!$I$160-Input!$I$194)/A18taxstdlife))</f>
        <v>0.159</v>
      </c>
      <c r="Q296" s="73">
        <f>IF(A18taxstdlife="n/a","n/a",IF(Q$3&gt;(A18taxstdlife+$E296),(Input!$I$160-Input!$I$194)-SUM($I296:P296),(Input!$I$160-Input!$I$194)/A18taxstdlife))</f>
        <v>0.159</v>
      </c>
      <c r="R296" s="73"/>
      <c r="S296" s="107"/>
      <c r="T296" s="107"/>
      <c r="U296" s="107"/>
      <c r="V296" s="107"/>
      <c r="W296" s="107"/>
      <c r="X296" s="107"/>
      <c r="Y296" s="107"/>
      <c r="Z296" s="223"/>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04"/>
      <c r="BJ296" s="204"/>
      <c r="BK296" s="204"/>
      <c r="BL296" s="204"/>
      <c r="BM296" s="204"/>
      <c r="BN296" s="204"/>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idden="1" outlineLevel="2">
      <c r="A297" s="9"/>
      <c r="B297" s="9"/>
      <c r="C297" s="26"/>
      <c r="D297" s="392"/>
      <c r="E297" s="91">
        <v>3</v>
      </c>
      <c r="F297" s="27"/>
      <c r="G297" s="27"/>
      <c r="H297" s="149"/>
      <c r="I297" s="151"/>
      <c r="J297" s="150"/>
      <c r="K297" s="73">
        <f>IF(A18taxstdlife="n/a","n/a",IF(K$3&gt;(A18taxstdlife+$E297),(Input!$J$160-Input!$J$194)-SUM($J297:J297),(Input!$J$160-Input!$J$194)/A18taxstdlife))</f>
        <v>0.25539999999999996</v>
      </c>
      <c r="L297" s="73">
        <f>IF(A18taxstdlife="n/a","n/a",IF(L$3&gt;(A18taxstdlife+$E297),(Input!$J$160-Input!$J$194)-SUM($J297:K297),(Input!$J$160-Input!$J$194)/A18taxstdlife))</f>
        <v>0.25539999999999996</v>
      </c>
      <c r="M297" s="73">
        <f>IF(A18taxstdlife="n/a","n/a",IF(M$3&gt;(A18taxstdlife+$E297),(Input!$J$160-Input!$J$194)-SUM($J297:L297),(Input!$J$160-Input!$J$194)/A18taxstdlife))</f>
        <v>0.25539999999999996</v>
      </c>
      <c r="N297" s="73">
        <f>IF(A18taxstdlife="n/a","n/a",IF(N$3&gt;(A18taxstdlife+$E297),(Input!$J$160-Input!$J$194)-SUM($J297:M297),(Input!$J$160-Input!$J$194)/A18taxstdlife))</f>
        <v>0.25539999999999996</v>
      </c>
      <c r="O297" s="73">
        <f>IF(A18taxstdlife="n/a","n/a",IF(O$3&gt;(A18taxstdlife+$E297),(Input!$J$160-Input!$J$194)-SUM($J297:N297),(Input!$J$160-Input!$J$194)/A18taxstdlife))</f>
        <v>0.25539999999999996</v>
      </c>
      <c r="P297" s="73">
        <f>IF(A18taxstdlife="n/a","n/a",IF(P$3&gt;(A18taxstdlife+$E297),(Input!$J$160-Input!$J$194)-SUM($J297:O297),(Input!$J$160-Input!$J$194)/A18taxstdlife))</f>
        <v>0.25539999999999996</v>
      </c>
      <c r="Q297" s="73">
        <f>IF(A18taxstdlife="n/a","n/a",IF(Q$3&gt;(A18taxstdlife+$E297),(Input!$J$160-Input!$J$194)-SUM($J297:P297),(Input!$J$160-Input!$J$194)/A18taxstdlife))</f>
        <v>0.25539999999999996</v>
      </c>
      <c r="R297" s="73"/>
      <c r="S297" s="107"/>
      <c r="T297" s="107"/>
      <c r="U297" s="107"/>
      <c r="V297" s="107"/>
      <c r="W297" s="107"/>
      <c r="X297" s="107"/>
      <c r="Y297" s="107"/>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04"/>
      <c r="BJ297" s="204"/>
      <c r="BK297" s="204"/>
      <c r="BL297" s="204"/>
      <c r="BM297" s="204"/>
      <c r="BN297" s="204"/>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idden="1" outlineLevel="2">
      <c r="A298" s="9"/>
      <c r="B298" s="9"/>
      <c r="C298" s="26"/>
      <c r="D298" s="392"/>
      <c r="E298" s="91">
        <v>4</v>
      </c>
      <c r="F298" s="27"/>
      <c r="G298" s="27"/>
      <c r="H298" s="149"/>
      <c r="I298" s="151"/>
      <c r="J298" s="151"/>
      <c r="K298" s="150"/>
      <c r="L298" s="73">
        <f>IF(A18taxstdlife="n/a","n/a",IF(L$3&gt;(A18taxstdlife+$E298),(Input!$K$160-Input!$K$194)-SUM($K298:K298),(Input!$K$160-Input!$K$194)/A18taxstdlife))</f>
        <v>0.18190000000000001</v>
      </c>
      <c r="M298" s="73">
        <f>IF(A18taxstdlife="n/a","n/a",IF(M$3&gt;(A18taxstdlife+$E298),(Input!$K$160-Input!$K$194)-SUM($K298:L298),(Input!$K$160-Input!$K$194)/A18taxstdlife))</f>
        <v>0.18190000000000001</v>
      </c>
      <c r="N298" s="73">
        <f>IF(A18taxstdlife="n/a","n/a",IF(N$3&gt;(A18taxstdlife+$E298),(Input!$K$160-Input!$K$194)-SUM($K298:M298),(Input!$K$160-Input!$K$194)/A18taxstdlife))</f>
        <v>0.18190000000000001</v>
      </c>
      <c r="O298" s="73">
        <f>IF(A18taxstdlife="n/a","n/a",IF(O$3&gt;(A18taxstdlife+$E298),(Input!$K$160-Input!$K$194)-SUM($K298:N298),(Input!$K$160-Input!$K$194)/A18taxstdlife))</f>
        <v>0.18190000000000001</v>
      </c>
      <c r="P298" s="73">
        <f>IF(A18taxstdlife="n/a","n/a",IF(P$3&gt;(A18taxstdlife+$E298),(Input!$K$160-Input!$K$194)-SUM($K298:O298),(Input!$K$160-Input!$K$194)/A18taxstdlife))</f>
        <v>0.18190000000000001</v>
      </c>
      <c r="Q298" s="73">
        <f>IF(A18taxstdlife="n/a","n/a",IF(Q$3&gt;(A18taxstdlife+$E298),(Input!$K$160-Input!$K$194)-SUM($K298:P298),(Input!$K$160-Input!$K$194)/A18taxstdlife))</f>
        <v>0.18190000000000001</v>
      </c>
      <c r="R298" s="73"/>
      <c r="S298" s="107"/>
      <c r="T298" s="107"/>
      <c r="U298" s="107"/>
      <c r="V298" s="107"/>
      <c r="W298" s="107"/>
      <c r="X298" s="107"/>
      <c r="Y298" s="107"/>
      <c r="Z298" s="223"/>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04"/>
      <c r="BJ298" s="204"/>
      <c r="BK298" s="204"/>
      <c r="BL298" s="204"/>
      <c r="BM298" s="204"/>
      <c r="BN298" s="204"/>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idden="1" outlineLevel="2">
      <c r="A299" s="9"/>
      <c r="B299" s="9"/>
      <c r="C299" s="26"/>
      <c r="D299" s="392"/>
      <c r="E299" s="91">
        <v>5</v>
      </c>
      <c r="F299" s="27"/>
      <c r="G299" s="27"/>
      <c r="H299" s="149"/>
      <c r="I299" s="151"/>
      <c r="J299" s="151"/>
      <c r="K299" s="151"/>
      <c r="L299" s="150"/>
      <c r="M299" s="73">
        <f>IF(A18taxstdlife="n/a","n/a",IF(M$3&gt;(A18taxstdlife+$E299),(Input!$L$160-Input!$L$194)-SUM($L299:L299),(Input!$L$160-Input!$L$194)/A18taxstdlife))</f>
        <v>0.14994099899999999</v>
      </c>
      <c r="N299" s="73">
        <f>IF(A18taxstdlife="n/a","n/a",IF(N$3&gt;(A18taxstdlife+$E299),(Input!$L$160-Input!$L$194)-SUM($L299:M299),(Input!$L$160-Input!$L$194)/A18taxstdlife))</f>
        <v>0.14994099899999999</v>
      </c>
      <c r="O299" s="73">
        <f>IF(A18taxstdlife="n/a","n/a",IF(O$3&gt;(A18taxstdlife+$E299),(Input!$L$160-Input!$L$194)-SUM($L299:N299),(Input!$L$160-Input!$L$194)/A18taxstdlife))</f>
        <v>0.14994099899999999</v>
      </c>
      <c r="P299" s="73">
        <f>IF(A18taxstdlife="n/a","n/a",IF(P$3&gt;(A18taxstdlife+$E299),(Input!$L$160-Input!$L$194)-SUM($L299:O299),(Input!$L$160-Input!$L$194)/A18taxstdlife))</f>
        <v>0.14994099899999999</v>
      </c>
      <c r="Q299" s="73">
        <f>IF(A18taxstdlife="n/a","n/a",IF(Q$3&gt;(A18taxstdlife+$E299),(Input!$L$160-Input!$L$194)-SUM($L299:P299),(Input!$L$160-Input!$L$194)/A18taxstdlife))</f>
        <v>0.14994099899999999</v>
      </c>
      <c r="R299" s="73"/>
      <c r="S299" s="107"/>
      <c r="T299" s="107"/>
      <c r="U299" s="107"/>
      <c r="V299" s="107"/>
      <c r="W299" s="107"/>
      <c r="X299" s="107"/>
      <c r="Y299" s="107"/>
      <c r="Z299" s="223"/>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04"/>
      <c r="BJ299" s="204"/>
      <c r="BK299" s="204"/>
      <c r="BL299" s="204"/>
      <c r="BM299" s="204"/>
      <c r="BN299" s="204"/>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idden="1" outlineLevel="2">
      <c r="A300" s="9"/>
      <c r="B300" s="9"/>
      <c r="C300" s="26"/>
      <c r="D300" s="392"/>
      <c r="E300" s="91">
        <v>6</v>
      </c>
      <c r="F300" s="27"/>
      <c r="G300" s="27"/>
      <c r="H300" s="149"/>
      <c r="I300" s="151"/>
      <c r="J300" s="151"/>
      <c r="K300" s="151"/>
      <c r="L300" s="151"/>
      <c r="M300" s="150"/>
      <c r="N300" s="73">
        <f>IF(A18taxstdlife="n/a","n/a",IF(N$3&gt;(A18taxstdlife+$E300),(Input!$M$160-Input!$M$194)-SUM($M300:M300),(Input!$M$160-Input!$M$194)/A18taxstdlife))</f>
        <v>0</v>
      </c>
      <c r="O300" s="73">
        <f>IF(A18taxstdlife="n/a","n/a",IF(O$3&gt;(A18taxstdlife+$E300),(Input!$M$160-Input!$M$194)-SUM($M300:N300),(Input!$M$160-Input!$M$194)/A18taxstdlife))</f>
        <v>0</v>
      </c>
      <c r="P300" s="73">
        <f>IF(A18taxstdlife="n/a","n/a",IF(P$3&gt;(A18taxstdlife+$E300),(Input!$M$160-Input!$M$194)-SUM($M300:O300),(Input!$M$160-Input!$M$194)/A18taxstdlife))</f>
        <v>0</v>
      </c>
      <c r="Q300" s="73">
        <f>IF(A18taxstdlife="n/a","n/a",IF(Q$3&gt;(A18taxstdlife+$E300),(Input!$M$160-Input!$M$194)-SUM($M300:P300),(Input!$M$160-Input!$M$194)/A18taxstdlife))</f>
        <v>0</v>
      </c>
      <c r="R300" s="73"/>
      <c r="S300" s="107"/>
      <c r="T300" s="107"/>
      <c r="U300" s="107"/>
      <c r="V300" s="107"/>
      <c r="W300" s="107"/>
      <c r="X300" s="107"/>
      <c r="Y300" s="107"/>
      <c r="Z300" s="223"/>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04"/>
      <c r="BJ300" s="204"/>
      <c r="BK300" s="204"/>
      <c r="BL300" s="204"/>
      <c r="BM300" s="204"/>
      <c r="BN300" s="204"/>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idden="1" outlineLevel="2">
      <c r="A301" s="9"/>
      <c r="B301" s="9"/>
      <c r="C301" s="26"/>
      <c r="D301" s="392"/>
      <c r="E301" s="91">
        <v>7</v>
      </c>
      <c r="F301" s="27"/>
      <c r="G301" s="27"/>
      <c r="H301" s="149"/>
      <c r="I301" s="151"/>
      <c r="J301" s="151"/>
      <c r="K301" s="151"/>
      <c r="L301" s="151"/>
      <c r="M301" s="151"/>
      <c r="N301" s="150"/>
      <c r="O301" s="73">
        <f>IF(A18taxstdlife="n/a","n/a",IF(O$3&gt;(A18taxstdlife+$E301),(Input!$N$160-Input!$N$194)-SUM($N301:N301),(Input!$N$160-Input!$N$194)/A18taxstdlife))</f>
        <v>0</v>
      </c>
      <c r="P301" s="73">
        <f>IF(A18taxstdlife="n/a","n/a",IF(P$3&gt;(A18taxstdlife+$E301),(Input!$N$160-Input!$N$194)-SUM($N301:O301),(Input!$N$160-Input!$N$194)/A18taxstdlife))</f>
        <v>0</v>
      </c>
      <c r="Q301" s="73">
        <f>IF(A18taxstdlife="n/a","n/a",IF(Q$3&gt;(A18taxstdlife+$E301),(Input!$N$160-Input!$N$194)-SUM($N301:P301),(Input!$N$160-Input!$N$194)/A18taxstdlife))</f>
        <v>0</v>
      </c>
      <c r="R301" s="73"/>
      <c r="S301" s="107"/>
      <c r="T301" s="107"/>
      <c r="U301" s="107"/>
      <c r="V301" s="107"/>
      <c r="W301" s="107"/>
      <c r="X301" s="107"/>
      <c r="Y301" s="107"/>
      <c r="Z301" s="223"/>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04"/>
      <c r="BJ301" s="204"/>
      <c r="BK301" s="204"/>
      <c r="BL301" s="204"/>
      <c r="BM301" s="204"/>
      <c r="BN301" s="204"/>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idden="1" outlineLevel="2">
      <c r="A302" s="9"/>
      <c r="B302" s="9"/>
      <c r="C302" s="26"/>
      <c r="D302" s="392"/>
      <c r="E302" s="91">
        <v>8</v>
      </c>
      <c r="F302" s="27"/>
      <c r="G302" s="27"/>
      <c r="H302" s="149"/>
      <c r="I302" s="151"/>
      <c r="J302" s="151"/>
      <c r="K302" s="151"/>
      <c r="L302" s="151"/>
      <c r="M302" s="151"/>
      <c r="N302" s="151"/>
      <c r="O302" s="150"/>
      <c r="P302" s="73">
        <f>IF(A18taxstdlife="n/a","n/a",IF(P$3&gt;(A18taxstdlife+$E302),(Input!$O$160-Input!$O$194)-SUM($O302:O302),(Input!$O$160-Input!$O$194)/A18taxstdlife))</f>
        <v>0</v>
      </c>
      <c r="Q302" s="73">
        <f>IF(A18taxstdlife="n/a","n/a",IF(Q$3&gt;(A18taxstdlife+$E302),(Input!$O$160-Input!$O$194)-SUM($O302:P302),(Input!$O$160-Input!$O$194)/A18taxstdlife))</f>
        <v>0</v>
      </c>
      <c r="R302" s="73"/>
      <c r="S302" s="107"/>
      <c r="T302" s="107"/>
      <c r="U302" s="107"/>
      <c r="V302" s="107"/>
      <c r="W302" s="107"/>
      <c r="X302" s="107"/>
      <c r="Y302" s="107"/>
      <c r="Z302" s="223"/>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04"/>
      <c r="BJ302" s="204"/>
      <c r="BK302" s="204"/>
      <c r="BL302" s="204"/>
      <c r="BM302" s="204"/>
      <c r="BN302" s="204"/>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idden="1" outlineLevel="2">
      <c r="A303" s="9"/>
      <c r="B303" s="9"/>
      <c r="C303" s="26"/>
      <c r="D303" s="392"/>
      <c r="E303" s="91">
        <v>9</v>
      </c>
      <c r="F303" s="27"/>
      <c r="G303" s="27"/>
      <c r="H303" s="149"/>
      <c r="I303" s="151"/>
      <c r="J303" s="151"/>
      <c r="K303" s="151"/>
      <c r="L303" s="151"/>
      <c r="M303" s="151"/>
      <c r="N303" s="151"/>
      <c r="O303" s="151"/>
      <c r="P303" s="150"/>
      <c r="Q303" s="73">
        <f>IF(A18taxstdlife="n/a","n/a",IF(Q$3&gt;(A18taxstdlife+$E303),(Input!$P$160-Input!$P$194)-SUM($P303:P303),(Input!$P$160-Input!$P$194)/A18taxstdlife))</f>
        <v>0</v>
      </c>
      <c r="R303" s="73"/>
      <c r="S303" s="107"/>
      <c r="T303" s="107"/>
      <c r="U303" s="107"/>
      <c r="V303" s="107"/>
      <c r="W303" s="107"/>
      <c r="X303" s="107"/>
      <c r="Y303" s="107"/>
      <c r="Z303" s="223"/>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04"/>
      <c r="BJ303" s="204"/>
      <c r="BK303" s="204"/>
      <c r="BL303" s="204"/>
      <c r="BM303" s="204"/>
      <c r="BN303" s="204"/>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idden="1" outlineLevel="2">
      <c r="A304" s="9"/>
      <c r="B304" s="9"/>
      <c r="C304" s="26"/>
      <c r="D304" s="392"/>
      <c r="E304" s="92">
        <v>10</v>
      </c>
      <c r="F304" s="27"/>
      <c r="G304" s="27"/>
      <c r="H304" s="149"/>
      <c r="I304" s="151"/>
      <c r="J304" s="151"/>
      <c r="K304" s="151"/>
      <c r="L304" s="151"/>
      <c r="M304" s="151"/>
      <c r="N304" s="151"/>
      <c r="O304" s="151"/>
      <c r="P304" s="151"/>
      <c r="Q304" s="150"/>
      <c r="R304" s="73"/>
      <c r="S304" s="107"/>
      <c r="T304" s="107"/>
      <c r="U304" s="107"/>
      <c r="V304" s="107"/>
      <c r="W304" s="107"/>
      <c r="X304" s="107"/>
      <c r="Y304" s="107"/>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04"/>
      <c r="BJ304" s="204"/>
      <c r="BK304" s="204"/>
      <c r="BL304" s="204"/>
      <c r="BM304" s="204"/>
      <c r="BN304" s="2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idden="1" outlineLevel="1" collapsed="1">
      <c r="A305" s="9"/>
      <c r="B305" s="9"/>
      <c r="C305" s="279" t="str">
        <f>Asset18</f>
        <v>Transmission operations - short life (10)</v>
      </c>
      <c r="D305" s="9"/>
      <c r="E305" s="9"/>
      <c r="F305" s="23"/>
      <c r="G305" s="23"/>
      <c r="H305" s="305">
        <f>-SUM(H293:H304)</f>
        <v>0</v>
      </c>
      <c r="I305" s="164">
        <f>-SUM(I293:I304)</f>
        <v>-0.11337280000000001</v>
      </c>
      <c r="J305" s="164">
        <f>-SUM(J293:J304)</f>
        <v>-0.27237280000000003</v>
      </c>
      <c r="K305" s="164">
        <f>-SUM(K293:K304)</f>
        <v>-0.52777279999999993</v>
      </c>
      <c r="L305" s="164">
        <f>-SUM(L293:L304)</f>
        <v>-0.70967279999999988</v>
      </c>
      <c r="M305" s="164">
        <f>IF(COUNT($H305:L305)&gt;=Input!$W$7,0, -SUM(M293:M304))</f>
        <v>0</v>
      </c>
      <c r="N305" s="164">
        <f>IF(COUNT($H305:M305)&gt;=Input!$W$7,0, -SUM(N293:N304))</f>
        <v>0</v>
      </c>
      <c r="O305" s="164">
        <f>IF(COUNT($H305:N305)&gt;=Input!$W$7,0, -SUM(O293:O304))</f>
        <v>0</v>
      </c>
      <c r="P305" s="164">
        <f>IF(COUNT($H305:O305)&gt;=Input!$W$7,0, -SUM(P293:P304))</f>
        <v>0</v>
      </c>
      <c r="Q305" s="164">
        <f>IF(COUNT($H305:P305)&gt;=Input!$W$7,0, -SUM(Q293:Q304))</f>
        <v>0</v>
      </c>
      <c r="R305" s="164"/>
      <c r="S305" s="106"/>
      <c r="T305" s="106"/>
      <c r="U305" s="106"/>
      <c r="V305" s="106"/>
      <c r="W305" s="106"/>
      <c r="X305" s="106"/>
      <c r="Y305" s="106"/>
      <c r="Z305" s="224"/>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04"/>
      <c r="BJ305" s="204"/>
      <c r="BK305" s="204"/>
      <c r="BL305" s="204"/>
      <c r="BM305" s="204"/>
      <c r="BN305" s="204"/>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idden="1" outlineLevel="2">
      <c r="A306" s="9"/>
      <c r="B306" s="281" t="str">
        <f>Asset19</f>
        <v>Transmission operations - short life (4)</v>
      </c>
      <c r="C306" s="31"/>
      <c r="D306" s="32" t="s">
        <v>65</v>
      </c>
      <c r="E306" s="31"/>
      <c r="F306" s="308"/>
      <c r="G306" s="308"/>
      <c r="H306" s="72" t="str">
        <f>IF(H$3&gt;A19taxremlife,A19taxvalue-SUM($F306:F306),IF(A19taxremlife="N/A","n/a",A19taxvalue/A19taxremlife))</f>
        <v>n/a</v>
      </c>
      <c r="I306" s="72" t="str">
        <f>IF(I$3&gt;A19taxremlife,A19taxvalue-SUM($F306:H306),IF(A19taxremlife="N/A","n/a",A19taxvalue/A19taxremlife))</f>
        <v>n/a</v>
      </c>
      <c r="J306" s="72" t="str">
        <f>IF(J$3&gt;A19taxremlife,A19taxvalue-SUM($F306:I306),IF(A19taxremlife="N/A","n/a",A19taxvalue/A19taxremlife))</f>
        <v>n/a</v>
      </c>
      <c r="K306" s="72" t="str">
        <f>IF(K$3&gt;A19taxremlife,A19taxvalue-SUM($F306:J306),IF(A19taxremlife="N/A","n/a",A19taxvalue/A19taxremlife))</f>
        <v>n/a</v>
      </c>
      <c r="L306" s="72" t="str">
        <f>IF(L$3&gt;A19taxremlife,A19taxvalue-SUM($F306:K306),IF(A19taxremlife="N/A","n/a",A19taxvalue/A19taxremlife))</f>
        <v>n/a</v>
      </c>
      <c r="M306" s="72" t="str">
        <f>IF(M$3&gt;A19taxremlife,A19taxvalue-SUM($F306:L306),IF(A19taxremlife="N/A","n/a",A19taxvalue/A19taxremlife))</f>
        <v>n/a</v>
      </c>
      <c r="N306" s="72" t="str">
        <f>IF(N$3&gt;A19taxremlife,A19taxvalue-SUM($F306:M306),IF(A19taxremlife="N/A","n/a",A19taxvalue/A19taxremlife))</f>
        <v>n/a</v>
      </c>
      <c r="O306" s="72" t="str">
        <f>IF(O$3&gt;A19taxremlife,A19taxvalue-SUM($F306:N306),IF(A19taxremlife="N/A","n/a",A19taxvalue/A19taxremlife))</f>
        <v>n/a</v>
      </c>
      <c r="P306" s="72" t="str">
        <f>IF(P$3&gt;A19taxremlife,A19taxvalue-SUM($F306:O306),IF(A19taxremlife="N/A","n/a",A19taxvalue/A19taxremlife))</f>
        <v>n/a</v>
      </c>
      <c r="Q306" s="72" t="str">
        <f>IF(Q$3&gt;A19taxremlife,A19taxvalue-SUM($F306:P306),IF(A19taxremlife="N/A","n/a",A19taxvalue/A19taxremlife))</f>
        <v>n/a</v>
      </c>
      <c r="R306" s="72"/>
      <c r="S306" s="107"/>
      <c r="T306" s="107"/>
      <c r="U306" s="107"/>
      <c r="V306" s="107"/>
      <c r="W306" s="107"/>
      <c r="X306" s="107"/>
      <c r="Y306" s="107"/>
      <c r="Z306" s="223"/>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04"/>
      <c r="BJ306" s="204"/>
      <c r="BK306" s="204"/>
      <c r="BL306" s="204"/>
      <c r="BM306" s="204"/>
      <c r="BN306" s="204"/>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6"/>
      <c r="D307" s="391" t="s">
        <v>81</v>
      </c>
      <c r="E307" s="91"/>
      <c r="F307" s="27"/>
      <c r="G307" s="27"/>
      <c r="H307" s="107"/>
      <c r="I307" s="73"/>
      <c r="J307" s="73"/>
      <c r="K307" s="73"/>
      <c r="L307" s="73"/>
      <c r="M307" s="73"/>
      <c r="N307" s="73"/>
      <c r="O307" s="73"/>
      <c r="P307" s="73"/>
      <c r="Q307" s="73"/>
      <c r="R307" s="73"/>
      <c r="S307" s="107"/>
      <c r="T307" s="107"/>
      <c r="U307" s="107"/>
      <c r="V307" s="107"/>
      <c r="W307" s="107"/>
      <c r="X307" s="107"/>
      <c r="Y307" s="107"/>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04"/>
      <c r="BJ307" s="204"/>
      <c r="BK307" s="204"/>
      <c r="BL307" s="204"/>
      <c r="BM307" s="204"/>
      <c r="BN307" s="204"/>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idden="1" outlineLevel="2">
      <c r="A308" s="9"/>
      <c r="B308" s="9"/>
      <c r="C308" s="26"/>
      <c r="D308" s="392"/>
      <c r="E308" s="91">
        <v>1</v>
      </c>
      <c r="F308" s="27"/>
      <c r="G308" s="27"/>
      <c r="H308" s="148"/>
      <c r="I308" s="73">
        <f>IF(A19taxstdlife="n/a","n/a",IF(I$3&gt;(A19taxstdlife+$E308),(Input!$H$161-Input!$H$195)-SUM($H308:H308),(Input!$H$161-Input!$H$195)/A19taxstdlife))</f>
        <v>1.1129E-2</v>
      </c>
      <c r="J308" s="73">
        <f>IF(A19taxstdlife="n/a","n/a",IF(J$3&gt;(A19taxstdlife+$E308),(Input!$H$161-Input!$H$195)-SUM($H308:I308),(Input!$H$161-Input!$H$195)/A19taxstdlife))</f>
        <v>1.1129E-2</v>
      </c>
      <c r="K308" s="73">
        <f>IF(A19taxstdlife="n/a","n/a",IF(K$3&gt;(A19taxstdlife+$E308),(Input!$H$161-Input!$H$195)-SUM($H308:J308),(Input!$H$161-Input!$H$195)/A19taxstdlife))</f>
        <v>1.1129E-2</v>
      </c>
      <c r="L308" s="73">
        <f>IF(A19taxstdlife="n/a","n/a",IF(L$3&gt;(A19taxstdlife+$E308),(Input!$H$161-Input!$H$195)-SUM($H308:K308),(Input!$H$161-Input!$H$195)/A19taxstdlife))</f>
        <v>1.1129E-2</v>
      </c>
      <c r="M308" s="73">
        <f>IF(A19taxstdlife="n/a","n/a",IF(M$3&gt;(A19taxstdlife+$E308),(Input!$H$161-Input!$H$195)-SUM($H308:L308),(Input!$H$161-Input!$H$195)/A19taxstdlife))</f>
        <v>0</v>
      </c>
      <c r="N308" s="73">
        <f>IF(A19taxstdlife="n/a","n/a",IF(N$3&gt;(A19taxstdlife+$E308),(Input!$H$161-Input!$H$195)-SUM($H308:M308),(Input!$H$161-Input!$H$195)/A19taxstdlife))</f>
        <v>0</v>
      </c>
      <c r="O308" s="73">
        <f>IF(A19taxstdlife="n/a","n/a",IF(O$3&gt;(A19taxstdlife+$E308),(Input!$H$161-Input!$H$195)-SUM($H308:N308),(Input!$H$161-Input!$H$195)/A19taxstdlife))</f>
        <v>0</v>
      </c>
      <c r="P308" s="73">
        <f>IF(A19taxstdlife="n/a","n/a",IF(P$3&gt;(A19taxstdlife+$E308),(Input!$H$161-Input!$H$195)-SUM($H308:O308),(Input!$H$161-Input!$H$195)/A19taxstdlife))</f>
        <v>0</v>
      </c>
      <c r="Q308" s="73">
        <f>IF(A19taxstdlife="n/a","n/a",IF(Q$3&gt;(A19taxstdlife+$E308),(Input!$H$161-Input!$H$195)-SUM($H308:P308),(Input!$H$161-Input!$H$195)/A19taxstdlife))</f>
        <v>0</v>
      </c>
      <c r="R308" s="73"/>
      <c r="S308" s="107"/>
      <c r="T308" s="107"/>
      <c r="U308" s="107"/>
      <c r="V308" s="107"/>
      <c r="W308" s="107"/>
      <c r="X308" s="107"/>
      <c r="Y308" s="107"/>
      <c r="Z308" s="223"/>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04"/>
      <c r="BJ308" s="204"/>
      <c r="BK308" s="204"/>
      <c r="BL308" s="204"/>
      <c r="BM308" s="204"/>
      <c r="BN308" s="204"/>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idden="1" outlineLevel="2">
      <c r="A309" s="9"/>
      <c r="B309" s="9"/>
      <c r="C309" s="26"/>
      <c r="D309" s="392"/>
      <c r="E309" s="91">
        <v>2</v>
      </c>
      <c r="F309" s="27"/>
      <c r="G309" s="27"/>
      <c r="H309" s="149"/>
      <c r="I309" s="150"/>
      <c r="J309" s="73">
        <f>IF(A19taxstdlife="n/a","n/a",IF(J$3&gt;(A19taxstdlife+$E309),(Input!$I$161-Input!$I$195)-SUM($I309:I309),(Input!$I$161-Input!$I$195)/A19taxstdlife))</f>
        <v>1.6E-2</v>
      </c>
      <c r="K309" s="73">
        <f>IF(A19taxstdlife="n/a","n/a",IF(K$3&gt;(A19taxstdlife+$E309),(Input!$I$161-Input!$I$195)-SUM($I309:J309),(Input!$I$161-Input!$I$195)/A19taxstdlife))</f>
        <v>1.6E-2</v>
      </c>
      <c r="L309" s="73">
        <f>IF(A19taxstdlife="n/a","n/a",IF(L$3&gt;(A19taxstdlife+$E309),(Input!$I$161-Input!$I$195)-SUM($I309:K309),(Input!$I$161-Input!$I$195)/A19taxstdlife))</f>
        <v>1.6E-2</v>
      </c>
      <c r="M309" s="73">
        <f>IF(A19taxstdlife="n/a","n/a",IF(M$3&gt;(A19taxstdlife+$E309),(Input!$I$161-Input!$I$195)-SUM($I309:L309),(Input!$I$161-Input!$I$195)/A19taxstdlife))</f>
        <v>1.6E-2</v>
      </c>
      <c r="N309" s="73">
        <f>IF(A19taxstdlife="n/a","n/a",IF(N$3&gt;(A19taxstdlife+$E309),(Input!$I$161-Input!$I$195)-SUM($I309:M309),(Input!$I$161-Input!$I$195)/A19taxstdlife))</f>
        <v>0</v>
      </c>
      <c r="O309" s="73">
        <f>IF(A19taxstdlife="n/a","n/a",IF(O$3&gt;(A19taxstdlife+$E309),(Input!$I$161-Input!$I$195)-SUM($I309:N309),(Input!$I$161-Input!$I$195)/A19taxstdlife))</f>
        <v>0</v>
      </c>
      <c r="P309" s="73">
        <f>IF(A19taxstdlife="n/a","n/a",IF(P$3&gt;(A19taxstdlife+$E309),(Input!$I$161-Input!$I$195)-SUM($I309:O309),(Input!$I$161-Input!$I$195)/A19taxstdlife))</f>
        <v>0</v>
      </c>
      <c r="Q309" s="73">
        <f>IF(A19taxstdlife="n/a","n/a",IF(Q$3&gt;(A19taxstdlife+$E309),(Input!$I$161-Input!$I$195)-SUM($I309:P309),(Input!$I$161-Input!$I$195)/A19taxstdlife))</f>
        <v>0</v>
      </c>
      <c r="R309" s="73"/>
      <c r="S309" s="107"/>
      <c r="T309" s="107"/>
      <c r="U309" s="107"/>
      <c r="V309" s="107"/>
      <c r="W309" s="107"/>
      <c r="X309" s="107"/>
      <c r="Y309" s="107"/>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04"/>
      <c r="BJ309" s="204"/>
      <c r="BK309" s="204"/>
      <c r="BL309" s="204"/>
      <c r="BM309" s="204"/>
      <c r="BN309" s="204"/>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idden="1" outlineLevel="2">
      <c r="A310" s="9"/>
      <c r="B310" s="9"/>
      <c r="C310" s="26"/>
      <c r="D310" s="392"/>
      <c r="E310" s="91">
        <v>3</v>
      </c>
      <c r="F310" s="27"/>
      <c r="G310" s="27"/>
      <c r="H310" s="149"/>
      <c r="I310" s="151"/>
      <c r="J310" s="150"/>
      <c r="K310" s="73">
        <f>IF(A19taxstdlife="n/a","n/a",IF(K$3&gt;(A19taxstdlife+$E310),(Input!$J$161-Input!$J$195)-SUM($J310:J310),(Input!$J$161-Input!$J$195)/A19taxstdlife))</f>
        <v>0</v>
      </c>
      <c r="L310" s="73">
        <f>IF(A19taxstdlife="n/a","n/a",IF(L$3&gt;(A19taxstdlife+$E310),(Input!$J$161-Input!$J$195)-SUM($J310:K310),(Input!$J$161-Input!$J$195)/A19taxstdlife))</f>
        <v>0</v>
      </c>
      <c r="M310" s="73">
        <f>IF(A19taxstdlife="n/a","n/a",IF(M$3&gt;(A19taxstdlife+$E310),(Input!$J$161-Input!$J$195)-SUM($J310:L310),(Input!$J$161-Input!$J$195)/A19taxstdlife))</f>
        <v>0</v>
      </c>
      <c r="N310" s="73">
        <f>IF(A19taxstdlife="n/a","n/a",IF(N$3&gt;(A19taxstdlife+$E310),(Input!$J$161-Input!$J$195)-SUM($J310:M310),(Input!$J$161-Input!$J$195)/A19taxstdlife))</f>
        <v>0</v>
      </c>
      <c r="O310" s="73">
        <f>IF(A19taxstdlife="n/a","n/a",IF(O$3&gt;(A19taxstdlife+$E310),(Input!$J$161-Input!$J$195)-SUM($J310:N310),(Input!$J$161-Input!$J$195)/A19taxstdlife))</f>
        <v>0</v>
      </c>
      <c r="P310" s="73">
        <f>IF(A19taxstdlife="n/a","n/a",IF(P$3&gt;(A19taxstdlife+$E310),(Input!$J$161-Input!$J$195)-SUM($J310:O310),(Input!$J$161-Input!$J$195)/A19taxstdlife))</f>
        <v>0</v>
      </c>
      <c r="Q310" s="73">
        <f>IF(A19taxstdlife="n/a","n/a",IF(Q$3&gt;(A19taxstdlife+$E310),(Input!$J$161-Input!$J$195)-SUM($J310:P310),(Input!$J$161-Input!$J$195)/A19taxstdlife))</f>
        <v>0</v>
      </c>
      <c r="R310" s="73"/>
      <c r="S310" s="107"/>
      <c r="T310" s="107"/>
      <c r="U310" s="107"/>
      <c r="V310" s="107"/>
      <c r="W310" s="107"/>
      <c r="X310" s="107"/>
      <c r="Y310" s="107"/>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04"/>
      <c r="BJ310" s="204"/>
      <c r="BK310" s="204"/>
      <c r="BL310" s="204"/>
      <c r="BM310" s="204"/>
      <c r="BN310" s="204"/>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idden="1" outlineLevel="2">
      <c r="A311" s="9"/>
      <c r="B311" s="9"/>
      <c r="C311" s="26"/>
      <c r="D311" s="392"/>
      <c r="E311" s="91">
        <v>4</v>
      </c>
      <c r="F311" s="27"/>
      <c r="G311" s="27"/>
      <c r="H311" s="149"/>
      <c r="I311" s="151"/>
      <c r="J311" s="151"/>
      <c r="K311" s="150"/>
      <c r="L311" s="73">
        <f>IF(A19taxstdlife="n/a","n/a",IF(L$3&gt;(A19taxstdlife+$E311),(Input!$K$161-Input!$K$195)-SUM($K311:K311),(Input!$K$161-Input!$K$195)/A19taxstdlife))</f>
        <v>3.9750000000000001E-2</v>
      </c>
      <c r="M311" s="73">
        <f>IF(A19taxstdlife="n/a","n/a",IF(M$3&gt;(A19taxstdlife+$E311),(Input!$K$161-Input!$K$195)-SUM($K311:L311),(Input!$K$161-Input!$K$195)/A19taxstdlife))</f>
        <v>3.9750000000000001E-2</v>
      </c>
      <c r="N311" s="73">
        <f>IF(A19taxstdlife="n/a","n/a",IF(N$3&gt;(A19taxstdlife+$E311),(Input!$K$161-Input!$K$195)-SUM($K311:M311),(Input!$K$161-Input!$K$195)/A19taxstdlife))</f>
        <v>3.9750000000000001E-2</v>
      </c>
      <c r="O311" s="73">
        <f>IF(A19taxstdlife="n/a","n/a",IF(O$3&gt;(A19taxstdlife+$E311),(Input!$K$161-Input!$K$195)-SUM($K311:N311),(Input!$K$161-Input!$K$195)/A19taxstdlife))</f>
        <v>3.9750000000000001E-2</v>
      </c>
      <c r="P311" s="73">
        <f>IF(A19taxstdlife="n/a","n/a",IF(P$3&gt;(A19taxstdlife+$E311),(Input!$K$161-Input!$K$195)-SUM($K311:O311),(Input!$K$161-Input!$K$195)/A19taxstdlife))</f>
        <v>0</v>
      </c>
      <c r="Q311" s="73">
        <f>IF(A19taxstdlife="n/a","n/a",IF(Q$3&gt;(A19taxstdlife+$E311),(Input!$K$161-Input!$K$195)-SUM($K311:P311),(Input!$K$161-Input!$K$195)/A19taxstdlife))</f>
        <v>0</v>
      </c>
      <c r="R311" s="73"/>
      <c r="S311" s="107"/>
      <c r="T311" s="107"/>
      <c r="U311" s="107"/>
      <c r="V311" s="107"/>
      <c r="W311" s="107"/>
      <c r="X311" s="107"/>
      <c r="Y311" s="107"/>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04"/>
      <c r="BJ311" s="204"/>
      <c r="BK311" s="204"/>
      <c r="BL311" s="204"/>
      <c r="BM311" s="204"/>
      <c r="BN311" s="204"/>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idden="1" outlineLevel="2">
      <c r="A312" s="9"/>
      <c r="B312" s="9"/>
      <c r="C312" s="26"/>
      <c r="D312" s="392"/>
      <c r="E312" s="91">
        <v>5</v>
      </c>
      <c r="F312" s="27"/>
      <c r="G312" s="27"/>
      <c r="H312" s="149"/>
      <c r="I312" s="151"/>
      <c r="J312" s="151"/>
      <c r="K312" s="151"/>
      <c r="L312" s="150"/>
      <c r="M312" s="73">
        <f>IF(A19taxstdlife="n/a","n/a",IF(M$3&gt;(A19taxstdlife+$E312),(Input!$L$161-Input!$L$195)-SUM($L312:L312),(Input!$L$161-Input!$L$195)/A19taxstdlife))</f>
        <v>0</v>
      </c>
      <c r="N312" s="73">
        <f>IF(A19taxstdlife="n/a","n/a",IF(N$3&gt;(A19taxstdlife+$E312),(Input!$L$161-Input!$L$195)-SUM($L312:M312),(Input!$L$161-Input!$L$195)/A19taxstdlife))</f>
        <v>0</v>
      </c>
      <c r="O312" s="73">
        <f>IF(A19taxstdlife="n/a","n/a",IF(O$3&gt;(A19taxstdlife+$E312),(Input!$L$161-Input!$L$195)-SUM($L312:N312),(Input!$L$161-Input!$L$195)/A19taxstdlife))</f>
        <v>0</v>
      </c>
      <c r="P312" s="73">
        <f>IF(A19taxstdlife="n/a","n/a",IF(P$3&gt;(A19taxstdlife+$E312),(Input!$L$161-Input!$L$195)-SUM($L312:O312),(Input!$L$161-Input!$L$195)/A19taxstdlife))</f>
        <v>0</v>
      </c>
      <c r="Q312" s="73">
        <f>IF(A19taxstdlife="n/a","n/a",IF(Q$3&gt;(A19taxstdlife+$E312),(Input!$L$161-Input!$L$195)-SUM($L312:P312),(Input!$L$161-Input!$L$195)/A19taxstdlife))</f>
        <v>0</v>
      </c>
      <c r="R312" s="73"/>
      <c r="S312" s="107"/>
      <c r="T312" s="107"/>
      <c r="U312" s="107"/>
      <c r="V312" s="107"/>
      <c r="W312" s="107"/>
      <c r="X312" s="107"/>
      <c r="Y312" s="107"/>
      <c r="Z312" s="223"/>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04"/>
      <c r="BJ312" s="204"/>
      <c r="BK312" s="204"/>
      <c r="BL312" s="204"/>
      <c r="BM312" s="204"/>
      <c r="BN312" s="204"/>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idden="1" outlineLevel="2">
      <c r="A313" s="9"/>
      <c r="B313" s="9"/>
      <c r="C313" s="26"/>
      <c r="D313" s="392"/>
      <c r="E313" s="91">
        <v>6</v>
      </c>
      <c r="F313" s="27"/>
      <c r="G313" s="27"/>
      <c r="H313" s="149"/>
      <c r="I313" s="151"/>
      <c r="J313" s="151"/>
      <c r="K313" s="151"/>
      <c r="L313" s="151"/>
      <c r="M313" s="150"/>
      <c r="N313" s="73">
        <f>IF(A19taxstdlife="n/a","n/a",IF(N$3&gt;(A19taxstdlife+$E313),(Input!$M$161-Input!$M$195)-SUM($M313:M313),(Input!$M$161-Input!$M$195)/A19taxstdlife))</f>
        <v>0</v>
      </c>
      <c r="O313" s="73">
        <f>IF(A19taxstdlife="n/a","n/a",IF(O$3&gt;(A19taxstdlife+$E313),(Input!$M$161-Input!$M$195)-SUM($M313:N313),(Input!$M$161-Input!$M$195)/A19taxstdlife))</f>
        <v>0</v>
      </c>
      <c r="P313" s="73">
        <f>IF(A19taxstdlife="n/a","n/a",IF(P$3&gt;(A19taxstdlife+$E313),(Input!$M$161-Input!$M$195)-SUM($M313:O313),(Input!$M$161-Input!$M$195)/A19taxstdlife))</f>
        <v>0</v>
      </c>
      <c r="Q313" s="73">
        <f>IF(A19taxstdlife="n/a","n/a",IF(Q$3&gt;(A19taxstdlife+$E313),(Input!$M$161-Input!$M$195)-SUM($M313:P313),(Input!$M$161-Input!$M$195)/A19taxstdlife))</f>
        <v>0</v>
      </c>
      <c r="R313" s="73"/>
      <c r="S313" s="107"/>
      <c r="T313" s="107"/>
      <c r="U313" s="107"/>
      <c r="V313" s="107"/>
      <c r="W313" s="107"/>
      <c r="X313" s="107"/>
      <c r="Y313" s="107"/>
      <c r="Z313" s="223"/>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04"/>
      <c r="BJ313" s="204"/>
      <c r="BK313" s="204"/>
      <c r="BL313" s="204"/>
      <c r="BM313" s="204"/>
      <c r="BN313" s="204"/>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idden="1" outlineLevel="2">
      <c r="A314" s="9"/>
      <c r="B314" s="9"/>
      <c r="C314" s="26"/>
      <c r="D314" s="392"/>
      <c r="E314" s="91">
        <v>7</v>
      </c>
      <c r="F314" s="27"/>
      <c r="G314" s="27"/>
      <c r="H314" s="149"/>
      <c r="I314" s="151"/>
      <c r="J314" s="151"/>
      <c r="K314" s="151"/>
      <c r="L314" s="151"/>
      <c r="M314" s="151"/>
      <c r="N314" s="150"/>
      <c r="O314" s="73">
        <f>IF(A19taxstdlife="n/a","n/a",IF(O$3&gt;(A19taxstdlife+$E314),(Input!$N$161-Input!$N$195)-SUM($N314:N314),(Input!$N$161-Input!$N$195)/A19taxstdlife))</f>
        <v>0</v>
      </c>
      <c r="P314" s="73">
        <f>IF(A19taxstdlife="n/a","n/a",IF(P$3&gt;(A19taxstdlife+$E314),(Input!$N$161-Input!$N$195)-SUM($N314:O314),(Input!$N$161-Input!$N$195)/A19taxstdlife))</f>
        <v>0</v>
      </c>
      <c r="Q314" s="73">
        <f>IF(A19taxstdlife="n/a","n/a",IF(Q$3&gt;(A19taxstdlife+$E314),(Input!$N$161-Input!$N$195)-SUM($N314:P314),(Input!$N$161-Input!$N$195)/A19taxstdlife))</f>
        <v>0</v>
      </c>
      <c r="R314" s="73"/>
      <c r="S314" s="107"/>
      <c r="T314" s="107"/>
      <c r="U314" s="107"/>
      <c r="V314" s="107"/>
      <c r="W314" s="107"/>
      <c r="X314" s="107"/>
      <c r="Y314" s="107"/>
      <c r="Z314" s="223"/>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04"/>
      <c r="BJ314" s="204"/>
      <c r="BK314" s="204"/>
      <c r="BL314" s="204"/>
      <c r="BM314" s="204"/>
      <c r="BN314" s="20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idden="1" outlineLevel="2">
      <c r="A315" s="9"/>
      <c r="B315" s="9"/>
      <c r="C315" s="26"/>
      <c r="D315" s="392"/>
      <c r="E315" s="91">
        <v>8</v>
      </c>
      <c r="F315" s="27"/>
      <c r="G315" s="27"/>
      <c r="H315" s="149"/>
      <c r="I315" s="151"/>
      <c r="J315" s="151"/>
      <c r="K315" s="151"/>
      <c r="L315" s="151"/>
      <c r="M315" s="151"/>
      <c r="N315" s="151"/>
      <c r="O315" s="150"/>
      <c r="P315" s="73">
        <f>IF(A19taxstdlife="n/a","n/a",IF(P$3&gt;(A19taxstdlife+$E315),(Input!$O$161-Input!$O$195)-SUM($O315:O315),(Input!$O$161-Input!$O$195)/A19taxstdlife))</f>
        <v>0</v>
      </c>
      <c r="Q315" s="73">
        <f>IF(A19taxstdlife="n/a","n/a",IF(Q$3&gt;(A19taxstdlife+$E315),(Input!$O$161-Input!$O$195)-SUM($O315:P315),(Input!$O$161-Input!$O$195)/A19taxstdlife))</f>
        <v>0</v>
      </c>
      <c r="R315" s="73"/>
      <c r="S315" s="107"/>
      <c r="T315" s="107"/>
      <c r="U315" s="107"/>
      <c r="V315" s="107"/>
      <c r="W315" s="107"/>
      <c r="X315" s="107"/>
      <c r="Y315" s="107"/>
      <c r="Z315" s="223"/>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04"/>
      <c r="BJ315" s="204"/>
      <c r="BK315" s="204"/>
      <c r="BL315" s="204"/>
      <c r="BM315" s="204"/>
      <c r="BN315" s="204"/>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idden="1" outlineLevel="2">
      <c r="A316" s="9"/>
      <c r="B316" s="9"/>
      <c r="C316" s="26"/>
      <c r="D316" s="392"/>
      <c r="E316" s="91">
        <v>9</v>
      </c>
      <c r="F316" s="27"/>
      <c r="G316" s="27"/>
      <c r="H316" s="149"/>
      <c r="I316" s="151"/>
      <c r="J316" s="151"/>
      <c r="K316" s="151"/>
      <c r="L316" s="151"/>
      <c r="M316" s="151"/>
      <c r="N316" s="151"/>
      <c r="O316" s="151"/>
      <c r="P316" s="150"/>
      <c r="Q316" s="73">
        <f>IF(A19taxstdlife="n/a","n/a",IF(Q$3&gt;(A19taxstdlife+$E316),(Input!$P$161-Input!$P$195)-SUM($P316:P316),(Input!$P$161-Input!$P$195)/A19taxstdlife))</f>
        <v>0</v>
      </c>
      <c r="R316" s="73"/>
      <c r="S316" s="107"/>
      <c r="T316" s="107"/>
      <c r="U316" s="107"/>
      <c r="V316" s="107"/>
      <c r="W316" s="107"/>
      <c r="X316" s="107"/>
      <c r="Y316" s="107"/>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04"/>
      <c r="BJ316" s="204"/>
      <c r="BK316" s="204"/>
      <c r="BL316" s="204"/>
      <c r="BM316" s="204"/>
      <c r="BN316" s="204"/>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idden="1" outlineLevel="2">
      <c r="A317" s="9"/>
      <c r="B317" s="9"/>
      <c r="C317" s="26"/>
      <c r="D317" s="392"/>
      <c r="E317" s="92">
        <v>10</v>
      </c>
      <c r="F317" s="27"/>
      <c r="G317" s="27"/>
      <c r="H317" s="149"/>
      <c r="I317" s="151"/>
      <c r="J317" s="151"/>
      <c r="K317" s="151"/>
      <c r="L317" s="151"/>
      <c r="M317" s="151"/>
      <c r="N317" s="151"/>
      <c r="O317" s="151"/>
      <c r="P317" s="151"/>
      <c r="Q317" s="150"/>
      <c r="R317" s="73"/>
      <c r="S317" s="107"/>
      <c r="T317" s="107"/>
      <c r="U317" s="107"/>
      <c r="V317" s="107"/>
      <c r="W317" s="107"/>
      <c r="X317" s="107"/>
      <c r="Y317" s="107"/>
      <c r="Z317" s="223"/>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04"/>
      <c r="BJ317" s="204"/>
      <c r="BK317" s="204"/>
      <c r="BL317" s="204"/>
      <c r="BM317" s="204"/>
      <c r="BN317" s="204"/>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idden="1" outlineLevel="1" collapsed="1">
      <c r="A318" s="9"/>
      <c r="B318" s="9"/>
      <c r="C318" s="279" t="str">
        <f>Asset19</f>
        <v>Transmission operations - short life (4)</v>
      </c>
      <c r="D318" s="9"/>
      <c r="E318" s="9"/>
      <c r="F318" s="23"/>
      <c r="G318" s="23"/>
      <c r="H318" s="305">
        <f>-SUM(H306:H317)</f>
        <v>0</v>
      </c>
      <c r="I318" s="164">
        <f>-SUM(I306:I317)</f>
        <v>-1.1129E-2</v>
      </c>
      <c r="J318" s="164">
        <f>-SUM(J306:J317)</f>
        <v>-2.7129E-2</v>
      </c>
      <c r="K318" s="164">
        <f>-SUM(K306:K317)</f>
        <v>-2.7129E-2</v>
      </c>
      <c r="L318" s="164">
        <f>-SUM(L306:L317)</f>
        <v>-6.6878999999999994E-2</v>
      </c>
      <c r="M318" s="164">
        <f>IF(COUNT($H318:L318)&gt;=Input!$W$7,0, -SUM(M306:M317))</f>
        <v>0</v>
      </c>
      <c r="N318" s="164">
        <f>IF(COUNT($H318:M318)&gt;=Input!$W$7,0, -SUM(N306:N317))</f>
        <v>0</v>
      </c>
      <c r="O318" s="164">
        <f>IF(COUNT($H318:N318)&gt;=Input!$W$7,0, -SUM(O306:O317))</f>
        <v>0</v>
      </c>
      <c r="P318" s="164">
        <f>IF(COUNT($H318:O318)&gt;=Input!$W$7,0, -SUM(P306:P317))</f>
        <v>0</v>
      </c>
      <c r="Q318" s="164">
        <f>IF(COUNT($H318:P318)&gt;=Input!$W$7,0, -SUM(Q306:Q317))</f>
        <v>0</v>
      </c>
      <c r="R318" s="164"/>
      <c r="S318" s="106"/>
      <c r="T318" s="106"/>
      <c r="U318" s="106"/>
      <c r="V318" s="106"/>
      <c r="W318" s="106"/>
      <c r="X318" s="106"/>
      <c r="Y318" s="106"/>
      <c r="Z318" s="224"/>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04"/>
      <c r="BJ318" s="204"/>
      <c r="BK318" s="204"/>
      <c r="BL318" s="204"/>
      <c r="BM318" s="204"/>
      <c r="BN318" s="204"/>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281" t="str">
        <f>Asset20</f>
        <v>Other - medium life (40)</v>
      </c>
      <c r="C319" s="31"/>
      <c r="D319" s="32" t="s">
        <v>65</v>
      </c>
      <c r="E319" s="31"/>
      <c r="F319" s="308"/>
      <c r="G319" s="308"/>
      <c r="H319" s="72" t="str">
        <f>IF(H$3&gt;A20taxremlife,A20taxvalue-SUM($F319:F319),IF(A20taxremlife="N/A","n/a",A20taxvalue/A20taxremlife))</f>
        <v>n/a</v>
      </c>
      <c r="I319" s="72" t="str">
        <f>IF(I$3&gt;A20taxremlife,A20taxvalue-SUM($F319:H319),IF(A20taxremlife="N/A","n/a",A20taxvalue/A20taxremlife))</f>
        <v>n/a</v>
      </c>
      <c r="J319" s="72" t="str">
        <f>IF(J$3&gt;A20taxremlife,A20taxvalue-SUM($F319:I319),IF(A20taxremlife="N/A","n/a",A20taxvalue/A20taxremlife))</f>
        <v>n/a</v>
      </c>
      <c r="K319" s="72" t="str">
        <f>IF(K$3&gt;A20taxremlife,A20taxvalue-SUM($F319:J319),IF(A20taxremlife="N/A","n/a",A20taxvalue/A20taxremlife))</f>
        <v>n/a</v>
      </c>
      <c r="L319" s="72" t="str">
        <f>IF(L$3&gt;A20taxremlife,A20taxvalue-SUM($F319:K319),IF(A20taxremlife="N/A","n/a",A20taxvalue/A20taxremlife))</f>
        <v>n/a</v>
      </c>
      <c r="M319" s="72" t="str">
        <f>IF(M$3&gt;A20taxremlife,A20taxvalue-SUM($F319:L319),IF(A20taxremlife="N/A","n/a",A20taxvalue/A20taxremlife))</f>
        <v>n/a</v>
      </c>
      <c r="N319" s="72" t="str">
        <f>IF(N$3&gt;A20taxremlife,A20taxvalue-SUM($F319:M319),IF(A20taxremlife="N/A","n/a",A20taxvalue/A20taxremlife))</f>
        <v>n/a</v>
      </c>
      <c r="O319" s="72" t="str">
        <f>IF(O$3&gt;A20taxremlife,A20taxvalue-SUM($F319:N319),IF(A20taxremlife="N/A","n/a",A20taxvalue/A20taxremlife))</f>
        <v>n/a</v>
      </c>
      <c r="P319" s="72" t="str">
        <f>IF(P$3&gt;A20taxremlife,A20taxvalue-SUM($F319:O319),IF(A20taxremlife="N/A","n/a",A20taxvalue/A20taxremlife))</f>
        <v>n/a</v>
      </c>
      <c r="Q319" s="72" t="str">
        <f>IF(Q$3&gt;A20taxremlife,A20taxvalue-SUM($F319:P319),IF(A20taxremlife="N/A","n/a",A20taxvalue/A20taxremlife))</f>
        <v>n/a</v>
      </c>
      <c r="R319" s="72"/>
      <c r="S319" s="107"/>
      <c r="T319" s="107"/>
      <c r="U319" s="107"/>
      <c r="V319" s="107"/>
      <c r="W319" s="107"/>
      <c r="X319" s="107"/>
      <c r="Y319" s="107"/>
      <c r="Z319" s="223"/>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04"/>
      <c r="BJ319" s="204"/>
      <c r="BK319" s="204"/>
      <c r="BL319" s="204"/>
      <c r="BM319" s="204"/>
      <c r="BN319" s="204"/>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6"/>
      <c r="D320" s="391" t="s">
        <v>81</v>
      </c>
      <c r="E320" s="91"/>
      <c r="F320" s="27"/>
      <c r="G320" s="27"/>
      <c r="H320" s="107"/>
      <c r="I320" s="73"/>
      <c r="J320" s="73"/>
      <c r="K320" s="73"/>
      <c r="L320" s="73"/>
      <c r="M320" s="73"/>
      <c r="N320" s="73"/>
      <c r="O320" s="73"/>
      <c r="P320" s="73"/>
      <c r="Q320" s="73"/>
      <c r="R320" s="73"/>
      <c r="S320" s="107"/>
      <c r="T320" s="107"/>
      <c r="U320" s="107"/>
      <c r="V320" s="107"/>
      <c r="W320" s="107"/>
      <c r="X320" s="107"/>
      <c r="Y320" s="107"/>
      <c r="Z320" s="223"/>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04"/>
      <c r="BJ320" s="204"/>
      <c r="BK320" s="204"/>
      <c r="BL320" s="204"/>
      <c r="BM320" s="204"/>
      <c r="BN320" s="204"/>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6"/>
      <c r="D321" s="392"/>
      <c r="E321" s="91">
        <v>1</v>
      </c>
      <c r="F321" s="27"/>
      <c r="G321" s="27"/>
      <c r="H321" s="148"/>
      <c r="I321" s="73">
        <f>IF(A20taxstdlife="n/a","n/a",IF(I$3&gt;(A20taxstdlife+$E321),(Input!$H$162-Input!$H$196)-SUM($H321:H321),(Input!$H$162-Input!$H$196)/A20taxstdlife))</f>
        <v>0.2022996</v>
      </c>
      <c r="J321" s="73">
        <f>IF(A20taxstdlife="n/a","n/a",IF(J$3&gt;(A20taxstdlife+$E321),(Input!$H$162-Input!$H$196)-SUM($H321:I321),(Input!$H$162-Input!$H$196)/A20taxstdlife))</f>
        <v>0.2022996</v>
      </c>
      <c r="K321" s="73">
        <f>IF(A20taxstdlife="n/a","n/a",IF(K$3&gt;(A20taxstdlife+$E321),(Input!$H$162-Input!$H$196)-SUM($H321:J321),(Input!$H$162-Input!$H$196)/A20taxstdlife))</f>
        <v>0.2022996</v>
      </c>
      <c r="L321" s="73">
        <f>IF(A20taxstdlife="n/a","n/a",IF(L$3&gt;(A20taxstdlife+$E321),(Input!$H$162-Input!$H$196)-SUM($H321:K321),(Input!$H$162-Input!$H$196)/A20taxstdlife))</f>
        <v>0.2022996</v>
      </c>
      <c r="M321" s="73">
        <f>IF(A20taxstdlife="n/a","n/a",IF(M$3&gt;(A20taxstdlife+$E321),(Input!$H$162-Input!$H$196)-SUM($H321:L321),(Input!$H$162-Input!$H$196)/A20taxstdlife))</f>
        <v>0.2022996</v>
      </c>
      <c r="N321" s="73">
        <f>IF(A20taxstdlife="n/a","n/a",IF(N$3&gt;(A20taxstdlife+$E321),(Input!$H$162-Input!$H$196)-SUM($H321:M321),(Input!$H$162-Input!$H$196)/A20taxstdlife))</f>
        <v>0.2022996</v>
      </c>
      <c r="O321" s="73">
        <f>IF(A20taxstdlife="n/a","n/a",IF(O$3&gt;(A20taxstdlife+$E321),(Input!$H$162-Input!$H$196)-SUM($H321:N321),(Input!$H$162-Input!$H$196)/A20taxstdlife))</f>
        <v>0.2022996</v>
      </c>
      <c r="P321" s="73">
        <f>IF(A20taxstdlife="n/a","n/a",IF(P$3&gt;(A20taxstdlife+$E321),(Input!$H$162-Input!$H$196)-SUM($H321:O321),(Input!$H$162-Input!$H$196)/A20taxstdlife))</f>
        <v>0.2022996</v>
      </c>
      <c r="Q321" s="73">
        <f>IF(A20taxstdlife="n/a","n/a",IF(Q$3&gt;(A20taxstdlife+$E321),(Input!$H$162-Input!$H$196)-SUM($H321:P321),(Input!$H$162-Input!$H$196)/A20taxstdlife))</f>
        <v>0.2022996</v>
      </c>
      <c r="R321" s="73"/>
      <c r="S321" s="107"/>
      <c r="T321" s="107"/>
      <c r="U321" s="107"/>
      <c r="V321" s="107"/>
      <c r="W321" s="107"/>
      <c r="X321" s="107"/>
      <c r="Y321" s="107"/>
      <c r="Z321" s="223"/>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04"/>
      <c r="BJ321" s="204"/>
      <c r="BK321" s="204"/>
      <c r="BL321" s="204"/>
      <c r="BM321" s="204"/>
      <c r="BN321" s="204"/>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6"/>
      <c r="D322" s="392"/>
      <c r="E322" s="91">
        <v>2</v>
      </c>
      <c r="F322" s="27"/>
      <c r="G322" s="27"/>
      <c r="H322" s="149"/>
      <c r="I322" s="150"/>
      <c r="J322" s="73">
        <f>IF(A20taxstdlife="n/a","n/a",IF(J$3&gt;(A20taxstdlife+$E322),(Input!$I$162-Input!$I$196)-SUM($I322:I322),(Input!$I$162-Input!$I$196)/A20taxstdlife))</f>
        <v>0.35760000000000003</v>
      </c>
      <c r="K322" s="73">
        <f>IF(A20taxstdlife="n/a","n/a",IF(K$3&gt;(A20taxstdlife+$E322),(Input!$I$162-Input!$I$196)-SUM($I322:J322),(Input!$I$162-Input!$I$196)/A20taxstdlife))</f>
        <v>0.35760000000000003</v>
      </c>
      <c r="L322" s="73">
        <f>IF(A20taxstdlife="n/a","n/a",IF(L$3&gt;(A20taxstdlife+$E322),(Input!$I$162-Input!$I$196)-SUM($I322:K322),(Input!$I$162-Input!$I$196)/A20taxstdlife))</f>
        <v>0.35760000000000003</v>
      </c>
      <c r="M322" s="73">
        <f>IF(A20taxstdlife="n/a","n/a",IF(M$3&gt;(A20taxstdlife+$E322),(Input!$I$162-Input!$I$196)-SUM($I322:L322),(Input!$I$162-Input!$I$196)/A20taxstdlife))</f>
        <v>0.35760000000000003</v>
      </c>
      <c r="N322" s="73">
        <f>IF(A20taxstdlife="n/a","n/a",IF(N$3&gt;(A20taxstdlife+$E322),(Input!$I$162-Input!$I$196)-SUM($I322:M322),(Input!$I$162-Input!$I$196)/A20taxstdlife))</f>
        <v>0.35760000000000003</v>
      </c>
      <c r="O322" s="73">
        <f>IF(A20taxstdlife="n/a","n/a",IF(O$3&gt;(A20taxstdlife+$E322),(Input!$I$162-Input!$I$196)-SUM($I322:N322),(Input!$I$162-Input!$I$196)/A20taxstdlife))</f>
        <v>0.35760000000000003</v>
      </c>
      <c r="P322" s="73">
        <f>IF(A20taxstdlife="n/a","n/a",IF(P$3&gt;(A20taxstdlife+$E322),(Input!$I$162-Input!$I$196)-SUM($I322:O322),(Input!$I$162-Input!$I$196)/A20taxstdlife))</f>
        <v>0.35760000000000003</v>
      </c>
      <c r="Q322" s="73">
        <f>IF(A20taxstdlife="n/a","n/a",IF(Q$3&gt;(A20taxstdlife+$E322),(Input!$I$162-Input!$I$196)-SUM($I322:P322),(Input!$I$162-Input!$I$196)/A20taxstdlife))</f>
        <v>0.35760000000000003</v>
      </c>
      <c r="R322" s="73"/>
      <c r="S322" s="107"/>
      <c r="T322" s="107"/>
      <c r="U322" s="107"/>
      <c r="V322" s="107"/>
      <c r="W322" s="107"/>
      <c r="X322" s="107"/>
      <c r="Y322" s="107"/>
      <c r="Z322" s="223"/>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04"/>
      <c r="BJ322" s="204"/>
      <c r="BK322" s="204"/>
      <c r="BL322" s="204"/>
      <c r="BM322" s="204"/>
      <c r="BN322" s="204"/>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6"/>
      <c r="D323" s="392"/>
      <c r="E323" s="91">
        <v>3</v>
      </c>
      <c r="F323" s="27"/>
      <c r="G323" s="27"/>
      <c r="H323" s="149"/>
      <c r="I323" s="151"/>
      <c r="J323" s="150"/>
      <c r="K323" s="73">
        <f>IF(A20taxstdlife="n/a","n/a",IF(K$3&gt;(A20taxstdlife+$E323),(Input!$J$162-Input!$J$196)-SUM($J323:J323),(Input!$J$162-Input!$J$196)/A20taxstdlife))</f>
        <v>4.0825E-2</v>
      </c>
      <c r="L323" s="73">
        <f>IF(A20taxstdlife="n/a","n/a",IF(L$3&gt;(A20taxstdlife+$E323),(Input!$J$162-Input!$J$196)-SUM($J323:K323),(Input!$J$162-Input!$J$196)/A20taxstdlife))</f>
        <v>4.0825E-2</v>
      </c>
      <c r="M323" s="73">
        <f>IF(A20taxstdlife="n/a","n/a",IF(M$3&gt;(A20taxstdlife+$E323),(Input!$J$162-Input!$J$196)-SUM($J323:L323),(Input!$J$162-Input!$J$196)/A20taxstdlife))</f>
        <v>4.0825E-2</v>
      </c>
      <c r="N323" s="73">
        <f>IF(A20taxstdlife="n/a","n/a",IF(N$3&gt;(A20taxstdlife+$E323),(Input!$J$162-Input!$J$196)-SUM($J323:M323),(Input!$J$162-Input!$J$196)/A20taxstdlife))</f>
        <v>4.0825E-2</v>
      </c>
      <c r="O323" s="73">
        <f>IF(A20taxstdlife="n/a","n/a",IF(O$3&gt;(A20taxstdlife+$E323),(Input!$J$162-Input!$J$196)-SUM($J323:N323),(Input!$J$162-Input!$J$196)/A20taxstdlife))</f>
        <v>4.0825E-2</v>
      </c>
      <c r="P323" s="73">
        <f>IF(A20taxstdlife="n/a","n/a",IF(P$3&gt;(A20taxstdlife+$E323),(Input!$J$162-Input!$J$196)-SUM($J323:O323),(Input!$J$162-Input!$J$196)/A20taxstdlife))</f>
        <v>4.0825E-2</v>
      </c>
      <c r="Q323" s="73">
        <f>IF(A20taxstdlife="n/a","n/a",IF(Q$3&gt;(A20taxstdlife+$E323),(Input!$J$162-Input!$J$196)-SUM($J323:P323),(Input!$J$162-Input!$J$196)/A20taxstdlife))</f>
        <v>4.0825E-2</v>
      </c>
      <c r="R323" s="73"/>
      <c r="S323" s="107"/>
      <c r="T323" s="107"/>
      <c r="U323" s="107"/>
      <c r="V323" s="107"/>
      <c r="W323" s="107"/>
      <c r="X323" s="107"/>
      <c r="Y323" s="107"/>
      <c r="Z323" s="223"/>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5"/>
      <c r="BJ323" s="204"/>
      <c r="BK323" s="204"/>
      <c r="BL323" s="204"/>
      <c r="BM323" s="204"/>
      <c r="BN323" s="204"/>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6"/>
      <c r="D324" s="392"/>
      <c r="E324" s="91">
        <v>4</v>
      </c>
      <c r="F324" s="27"/>
      <c r="G324" s="27"/>
      <c r="H324" s="149"/>
      <c r="I324" s="151"/>
      <c r="J324" s="151"/>
      <c r="K324" s="150"/>
      <c r="L324" s="73">
        <f>IF(A20taxstdlife="n/a","n/a",IF(L$3&gt;(A20taxstdlife+$E324),(Input!$K$162-Input!$K$196)-SUM($K324:K324),(Input!$K$162-Input!$K$196)/A20taxstdlife))</f>
        <v>3.0249999999999999E-3</v>
      </c>
      <c r="M324" s="73">
        <f>IF(A20taxstdlife="n/a","n/a",IF(M$3&gt;(A20taxstdlife+$E324),(Input!$K$162-Input!$K$196)-SUM($K324:L324),(Input!$K$162-Input!$K$196)/A20taxstdlife))</f>
        <v>3.0249999999999999E-3</v>
      </c>
      <c r="N324" s="73">
        <f>IF(A20taxstdlife="n/a","n/a",IF(N$3&gt;(A20taxstdlife+$E324),(Input!$K$162-Input!$K$196)-SUM($K324:M324),(Input!$K$162-Input!$K$196)/A20taxstdlife))</f>
        <v>3.0249999999999999E-3</v>
      </c>
      <c r="O324" s="73">
        <f>IF(A20taxstdlife="n/a","n/a",IF(O$3&gt;(A20taxstdlife+$E324),(Input!$K$162-Input!$K$196)-SUM($K324:N324),(Input!$K$162-Input!$K$196)/A20taxstdlife))</f>
        <v>3.0249999999999999E-3</v>
      </c>
      <c r="P324" s="73">
        <f>IF(A20taxstdlife="n/a","n/a",IF(P$3&gt;(A20taxstdlife+$E324),(Input!$K$162-Input!$K$196)-SUM($K324:O324),(Input!$K$162-Input!$K$196)/A20taxstdlife))</f>
        <v>3.0249999999999999E-3</v>
      </c>
      <c r="Q324" s="73">
        <f>IF(A20taxstdlife="n/a","n/a",IF(Q$3&gt;(A20taxstdlife+$E324),(Input!$K$162-Input!$K$196)-SUM($K324:P324),(Input!$K$162-Input!$K$196)/A20taxstdlife))</f>
        <v>3.0249999999999999E-3</v>
      </c>
      <c r="R324" s="73"/>
      <c r="S324" s="107"/>
      <c r="T324" s="107"/>
      <c r="U324" s="107"/>
      <c r="V324" s="107"/>
      <c r="W324" s="107"/>
      <c r="X324" s="107"/>
      <c r="Y324" s="107"/>
      <c r="Z324" s="223"/>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04"/>
      <c r="BJ324" s="204"/>
      <c r="BK324" s="204"/>
      <c r="BL324" s="204"/>
      <c r="BM324" s="204"/>
      <c r="BN324" s="20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6"/>
      <c r="D325" s="392"/>
      <c r="E325" s="91">
        <v>5</v>
      </c>
      <c r="F325" s="27"/>
      <c r="G325" s="27"/>
      <c r="H325" s="149"/>
      <c r="I325" s="151"/>
      <c r="J325" s="151"/>
      <c r="K325" s="151"/>
      <c r="L325" s="150"/>
      <c r="M325" s="73">
        <f>IF(A20taxstdlife="n/a","n/a",IF(M$3&gt;(A20taxstdlife+$E325),(Input!$L$162-Input!$L$196)-SUM($L325:L325),(Input!$L$162-Input!$L$196)/A20taxstdlife))</f>
        <v>8.7637395826768508E-2</v>
      </c>
      <c r="N325" s="73">
        <f>IF(A20taxstdlife="n/a","n/a",IF(N$3&gt;(A20taxstdlife+$E325),(Input!$L$162-Input!$L$196)-SUM($L325:M325),(Input!$L$162-Input!$L$196)/A20taxstdlife))</f>
        <v>8.7637395826768508E-2</v>
      </c>
      <c r="O325" s="73">
        <f>IF(A20taxstdlife="n/a","n/a",IF(O$3&gt;(A20taxstdlife+$E325),(Input!$L$162-Input!$L$196)-SUM($L325:N325),(Input!$L$162-Input!$L$196)/A20taxstdlife))</f>
        <v>8.7637395826768508E-2</v>
      </c>
      <c r="P325" s="73">
        <f>IF(A20taxstdlife="n/a","n/a",IF(P$3&gt;(A20taxstdlife+$E325),(Input!$L$162-Input!$L$196)-SUM($L325:O325),(Input!$L$162-Input!$L$196)/A20taxstdlife))</f>
        <v>8.7637395826768508E-2</v>
      </c>
      <c r="Q325" s="73">
        <f>IF(A20taxstdlife="n/a","n/a",IF(Q$3&gt;(A20taxstdlife+$E325),(Input!$L$162-Input!$L$196)-SUM($L325:P325),(Input!$L$162-Input!$L$196)/A20taxstdlife))</f>
        <v>8.7637395826768508E-2</v>
      </c>
      <c r="R325" s="73"/>
      <c r="S325" s="107"/>
      <c r="T325" s="107"/>
      <c r="U325" s="107"/>
      <c r="V325" s="107"/>
      <c r="W325" s="107"/>
      <c r="X325" s="107"/>
      <c r="Y325" s="107"/>
      <c r="Z325" s="223"/>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04"/>
      <c r="BJ325" s="204"/>
      <c r="BK325" s="204"/>
      <c r="BL325" s="204"/>
      <c r="BM325" s="204"/>
      <c r="BN325" s="204"/>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6"/>
      <c r="D326" s="392"/>
      <c r="E326" s="91">
        <v>6</v>
      </c>
      <c r="F326" s="27"/>
      <c r="G326" s="27"/>
      <c r="H326" s="149"/>
      <c r="I326" s="151"/>
      <c r="J326" s="151"/>
      <c r="K326" s="151"/>
      <c r="L326" s="151"/>
      <c r="M326" s="150"/>
      <c r="N326" s="73">
        <f>IF(A20taxstdlife="n/a","n/a",IF(N$3&gt;(A20taxstdlife+$E326),(Input!$M$162-Input!$M$196)-SUM($M326:M326),(Input!$M$162-Input!$M$196)/A20taxstdlife))</f>
        <v>0</v>
      </c>
      <c r="O326" s="73">
        <f>IF(A20taxstdlife="n/a","n/a",IF(O$3&gt;(A20taxstdlife+$E326),(Input!$M$162-Input!$M$196)-SUM($M326:N326),(Input!$M$162-Input!$M$196)/A20taxstdlife))</f>
        <v>0</v>
      </c>
      <c r="P326" s="73">
        <f>IF(A20taxstdlife="n/a","n/a",IF(P$3&gt;(A20taxstdlife+$E326),(Input!$M$162-Input!$M$196)-SUM($M326:O326),(Input!$M$162-Input!$M$196)/A20taxstdlife))</f>
        <v>0</v>
      </c>
      <c r="Q326" s="73">
        <f>IF(A20taxstdlife="n/a","n/a",IF(Q$3&gt;(A20taxstdlife+$E326),(Input!$M$162-Input!$M$196)-SUM($M326:P326),(Input!$M$162-Input!$M$196)/A20taxstdlife))</f>
        <v>0</v>
      </c>
      <c r="R326" s="73"/>
      <c r="S326" s="107"/>
      <c r="T326" s="107"/>
      <c r="U326" s="107"/>
      <c r="V326" s="107"/>
      <c r="W326" s="107"/>
      <c r="X326" s="107"/>
      <c r="Y326" s="107"/>
      <c r="Z326" s="223"/>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04"/>
      <c r="BJ326" s="204"/>
      <c r="BK326" s="204"/>
      <c r="BL326" s="204"/>
      <c r="BM326" s="204"/>
      <c r="BN326" s="204"/>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6"/>
      <c r="D327" s="392"/>
      <c r="E327" s="91">
        <v>7</v>
      </c>
      <c r="F327" s="27"/>
      <c r="G327" s="27"/>
      <c r="H327" s="149"/>
      <c r="I327" s="151"/>
      <c r="J327" s="151"/>
      <c r="K327" s="151"/>
      <c r="L327" s="151"/>
      <c r="M327" s="151"/>
      <c r="N327" s="150"/>
      <c r="O327" s="73">
        <f>IF(A20taxstdlife="n/a","n/a",IF(O$3&gt;(A20taxstdlife+$E327),(Input!$N$162-Input!$N$196)-SUM($N327:N327),(Input!$N$162-Input!$N$196)/A20taxstdlife))</f>
        <v>0</v>
      </c>
      <c r="P327" s="73">
        <f>IF(A20taxstdlife="n/a","n/a",IF(P$3&gt;(A20taxstdlife+$E327),(Input!$N$162-Input!$N$196)-SUM($N327:O327),(Input!$N$162-Input!$N$196)/A20taxstdlife))</f>
        <v>0</v>
      </c>
      <c r="Q327" s="73">
        <f>IF(A20taxstdlife="n/a","n/a",IF(Q$3&gt;(A20taxstdlife+$E327),(Input!$N$162-Input!$N$196)-SUM($N327:P327),(Input!$N$162-Input!$N$196)/A20taxstdlife))</f>
        <v>0</v>
      </c>
      <c r="R327" s="73"/>
      <c r="S327" s="107"/>
      <c r="T327" s="107"/>
      <c r="U327" s="107"/>
      <c r="V327" s="107"/>
      <c r="W327" s="107"/>
      <c r="X327" s="107"/>
      <c r="Y327" s="107"/>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04"/>
      <c r="BJ327" s="204"/>
      <c r="BK327" s="204"/>
      <c r="BL327" s="204"/>
      <c r="BM327" s="204"/>
      <c r="BN327" s="204"/>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6"/>
      <c r="D328" s="392"/>
      <c r="E328" s="91">
        <v>8</v>
      </c>
      <c r="F328" s="27"/>
      <c r="G328" s="27"/>
      <c r="H328" s="149"/>
      <c r="I328" s="151"/>
      <c r="J328" s="151"/>
      <c r="K328" s="151"/>
      <c r="L328" s="151"/>
      <c r="M328" s="151"/>
      <c r="N328" s="151"/>
      <c r="O328" s="150"/>
      <c r="P328" s="73">
        <f>IF(A20taxstdlife="n/a","n/a",IF(P$3&gt;(A20taxstdlife+$E328),(Input!$O$162-Input!$O$196)-SUM($O328:O328),(Input!$O$162-Input!$O$196)/A20taxstdlife))</f>
        <v>0</v>
      </c>
      <c r="Q328" s="73">
        <f>IF(A20taxstdlife="n/a","n/a",IF(Q$3&gt;(A20taxstdlife+$E328),(Input!$O$162-Input!$O$196)-SUM($O328:P328),(Input!$O$162-Input!$O$196)/A20taxstdlife))</f>
        <v>0</v>
      </c>
      <c r="R328" s="73"/>
      <c r="S328" s="107"/>
      <c r="T328" s="107"/>
      <c r="U328" s="107"/>
      <c r="V328" s="107"/>
      <c r="W328" s="107"/>
      <c r="X328" s="107"/>
      <c r="Y328" s="107"/>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04"/>
      <c r="BJ328" s="204"/>
      <c r="BK328" s="204"/>
      <c r="BL328" s="204"/>
      <c r="BM328" s="204"/>
      <c r="BN328" s="204"/>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6"/>
      <c r="D329" s="392"/>
      <c r="E329" s="91">
        <v>9</v>
      </c>
      <c r="F329" s="27"/>
      <c r="G329" s="27"/>
      <c r="H329" s="149"/>
      <c r="I329" s="151"/>
      <c r="J329" s="151"/>
      <c r="K329" s="151"/>
      <c r="L329" s="151"/>
      <c r="M329" s="151"/>
      <c r="N329" s="151"/>
      <c r="O329" s="151"/>
      <c r="P329" s="150"/>
      <c r="Q329" s="73">
        <f>IF(A20taxstdlife="n/a","n/a",IF(Q$3&gt;(A20taxstdlife+$E329),(Input!$P$162-Input!$P$196)-SUM($P329:P329),(Input!$P$162-Input!$P$196)/A20taxstdlife))</f>
        <v>0</v>
      </c>
      <c r="R329" s="73"/>
      <c r="S329" s="107"/>
      <c r="T329" s="107"/>
      <c r="U329" s="107"/>
      <c r="V329" s="107"/>
      <c r="W329" s="107"/>
      <c r="X329" s="107"/>
      <c r="Y329" s="107"/>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04"/>
      <c r="BJ329" s="204"/>
      <c r="BK329" s="204"/>
      <c r="BL329" s="204"/>
      <c r="BM329" s="204"/>
      <c r="BN329" s="204"/>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6"/>
      <c r="D330" s="392"/>
      <c r="E330" s="92">
        <v>10</v>
      </c>
      <c r="F330" s="27"/>
      <c r="G330" s="27"/>
      <c r="H330" s="149"/>
      <c r="I330" s="151"/>
      <c r="J330" s="151"/>
      <c r="K330" s="151"/>
      <c r="L330" s="151"/>
      <c r="M330" s="151"/>
      <c r="N330" s="151"/>
      <c r="O330" s="151"/>
      <c r="P330" s="151"/>
      <c r="Q330" s="150"/>
      <c r="R330" s="73"/>
      <c r="S330" s="107"/>
      <c r="T330" s="107"/>
      <c r="U330" s="107"/>
      <c r="V330" s="107"/>
      <c r="W330" s="107"/>
      <c r="X330" s="107"/>
      <c r="Y330" s="107"/>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04"/>
      <c r="BJ330" s="204"/>
      <c r="BK330" s="204"/>
      <c r="BL330" s="204"/>
      <c r="BM330" s="204"/>
      <c r="BN330" s="204"/>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idden="1" outlineLevel="1" collapsed="1">
      <c r="A331" s="9"/>
      <c r="B331" s="9"/>
      <c r="C331" s="279" t="str">
        <f>Asset20</f>
        <v>Other - medium life (40)</v>
      </c>
      <c r="D331" s="9"/>
      <c r="E331" s="9"/>
      <c r="F331" s="23"/>
      <c r="G331" s="23"/>
      <c r="H331" s="305">
        <f>-SUM(H319:H330)</f>
        <v>0</v>
      </c>
      <c r="I331" s="164">
        <f>-SUM(I319:I330)</f>
        <v>-0.2022996</v>
      </c>
      <c r="J331" s="164">
        <f>-SUM(J319:J330)</f>
        <v>-0.55989960000000005</v>
      </c>
      <c r="K331" s="164">
        <f>-SUM(K319:K330)</f>
        <v>-0.60072460000000005</v>
      </c>
      <c r="L331" s="164">
        <f>-SUM(L319:L330)</f>
        <v>-0.6037496</v>
      </c>
      <c r="M331" s="164">
        <f>IF(COUNT($H331:L331)&gt;=Input!$W$7,0, -SUM(M319:M330))</f>
        <v>0</v>
      </c>
      <c r="N331" s="164">
        <f>IF(COUNT($H331:M331)&gt;=Input!$W$7,0, -SUM(N319:N330))</f>
        <v>0</v>
      </c>
      <c r="O331" s="164">
        <f>IF(COUNT($H331:N331)&gt;=Input!$W$7,0, -SUM(O319:O330))</f>
        <v>0</v>
      </c>
      <c r="P331" s="164">
        <f>IF(COUNT($H331:O331)&gt;=Input!$W$7,0, -SUM(P319:P330))</f>
        <v>0</v>
      </c>
      <c r="Q331" s="164">
        <f>IF(COUNT($H331:P331)&gt;=Input!$W$7,0, -SUM(Q319:Q330))</f>
        <v>0</v>
      </c>
      <c r="R331" s="164"/>
      <c r="S331" s="106"/>
      <c r="T331" s="106"/>
      <c r="U331" s="106"/>
      <c r="V331" s="106"/>
      <c r="W331" s="106"/>
      <c r="X331" s="106"/>
      <c r="Y331" s="106"/>
      <c r="Z331" s="224"/>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04"/>
      <c r="BJ331" s="204"/>
      <c r="BK331" s="204"/>
      <c r="BL331" s="204"/>
      <c r="BM331" s="204"/>
      <c r="BN331" s="204"/>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2.75" hidden="1" customHeight="1" outlineLevel="2">
      <c r="A332" s="9"/>
      <c r="B332" s="280" t="str">
        <f>Asset21</f>
        <v>Other - short life (9)</v>
      </c>
      <c r="C332" s="31"/>
      <c r="D332" s="32" t="s">
        <v>65</v>
      </c>
      <c r="E332" s="31"/>
      <c r="F332" s="308"/>
      <c r="G332" s="308"/>
      <c r="H332" s="72" t="str">
        <f>IF(H$3&gt;A21taxremlife,A21taxvalue-SUM($F332:F332),IF(A21taxremlife="N/A","n/a",A21taxvalue/A21taxremlife))</f>
        <v>n/a</v>
      </c>
      <c r="I332" s="72" t="str">
        <f>IF(I$3&gt;A21taxremlife,A21taxvalue-SUM($F332:H332),IF(A21taxremlife="N/A","n/a",A21taxvalue/A21taxremlife))</f>
        <v>n/a</v>
      </c>
      <c r="J332" s="72" t="str">
        <f>IF(J$3&gt;A21taxremlife,A21taxvalue-SUM($F332:I332),IF(A21taxremlife="N/A","n/a",A21taxvalue/A21taxremlife))</f>
        <v>n/a</v>
      </c>
      <c r="K332" s="72" t="str">
        <f>IF(K$3&gt;A21taxremlife,A21taxvalue-SUM($F332:J332),IF(A21taxremlife="N/A","n/a",A21taxvalue/A21taxremlife))</f>
        <v>n/a</v>
      </c>
      <c r="L332" s="72" t="str">
        <f>IF(L$3&gt;A21taxremlife,A21taxvalue-SUM($F332:K332),IF(A21taxremlife="N/A","n/a",A21taxvalue/A21taxremlife))</f>
        <v>n/a</v>
      </c>
      <c r="M332" s="72" t="str">
        <f>IF(M$3&gt;A21taxremlife,A21taxvalue-SUM($F332:L332),IF(A21taxremlife="N/A","n/a",A21taxvalue/A21taxremlife))</f>
        <v>n/a</v>
      </c>
      <c r="N332" s="72" t="str">
        <f>IF(N$3&gt;A21taxremlife,A21taxvalue-SUM($F332:M332),IF(A21taxremlife="N/A","n/a",A21taxvalue/A21taxremlife))</f>
        <v>n/a</v>
      </c>
      <c r="O332" s="72" t="str">
        <f>IF(O$3&gt;A21taxremlife,A21taxvalue-SUM($F332:N332),IF(A21taxremlife="N/A","n/a",A21taxvalue/A21taxremlife))</f>
        <v>n/a</v>
      </c>
      <c r="P332" s="72" t="str">
        <f>IF(P$3&gt;A21taxremlife,A21taxvalue-SUM($F332:O332),IF(A21taxremlife="N/A","n/a",A21taxvalue/A21taxremlife))</f>
        <v>n/a</v>
      </c>
      <c r="Q332" s="72" t="str">
        <f>IF(Q$3&gt;A21taxremlife,A21taxvalue-SUM($F332:P332),IF(A21taxremlife="N/A","n/a",A21taxvalue/A21taxremlife))</f>
        <v>n/a</v>
      </c>
      <c r="R332" s="72"/>
      <c r="S332" s="107"/>
      <c r="T332" s="107"/>
      <c r="U332" s="107"/>
      <c r="V332" s="107"/>
      <c r="W332" s="107"/>
      <c r="X332" s="107"/>
      <c r="Y332" s="107"/>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04"/>
      <c r="BJ332" s="204"/>
      <c r="BK332" s="204"/>
      <c r="BL332" s="204"/>
      <c r="BM332" s="204"/>
      <c r="BN332" s="204"/>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2.75" hidden="1" customHeight="1" outlineLevel="2">
      <c r="A333" s="9"/>
      <c r="B333" s="9"/>
      <c r="C333" s="26"/>
      <c r="D333" s="391" t="s">
        <v>81</v>
      </c>
      <c r="E333" s="91"/>
      <c r="F333" s="27"/>
      <c r="G333" s="27"/>
      <c r="H333" s="107"/>
      <c r="I333" s="73"/>
      <c r="J333" s="73"/>
      <c r="K333" s="73"/>
      <c r="L333" s="73"/>
      <c r="M333" s="73"/>
      <c r="N333" s="73"/>
      <c r="O333" s="73"/>
      <c r="P333" s="73"/>
      <c r="Q333" s="73"/>
      <c r="R333" s="73"/>
      <c r="S333" s="107"/>
      <c r="T333" s="107"/>
      <c r="U333" s="107"/>
      <c r="V333" s="107"/>
      <c r="W333" s="107"/>
      <c r="X333" s="107"/>
      <c r="Y333" s="107"/>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04"/>
      <c r="BJ333" s="204"/>
      <c r="BK333" s="204"/>
      <c r="BL333" s="204"/>
      <c r="BM333" s="204"/>
      <c r="BN333" s="204"/>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2.75" hidden="1" customHeight="1" outlineLevel="2">
      <c r="A334" s="9"/>
      <c r="B334" s="9"/>
      <c r="C334" s="26"/>
      <c r="D334" s="392"/>
      <c r="E334" s="91">
        <v>1</v>
      </c>
      <c r="F334" s="27"/>
      <c r="G334" s="27"/>
      <c r="H334" s="148"/>
      <c r="I334" s="73">
        <f>IF(A21taxstdlife="n/a","n/a",IF(I$3&gt;(A21taxstdlife+$E334),(Input!$H$163-Input!$H$197)-SUM($H334:H334),(Input!$H$163-Input!$H$197)/A21taxstdlife))</f>
        <v>7.6865666666666665E-2</v>
      </c>
      <c r="J334" s="73">
        <f>IF(A21taxstdlife="n/a","n/a",IF(J$3&gt;(A21taxstdlife+$E334),(Input!$H$163-Input!$H$197)-SUM($H334:I334),(Input!$H$163-Input!$H$197)/A21taxstdlife))</f>
        <v>7.6865666666666665E-2</v>
      </c>
      <c r="K334" s="73">
        <f>IF(A21taxstdlife="n/a","n/a",IF(K$3&gt;(A21taxstdlife+$E334),(Input!$H$163-Input!$H$197)-SUM($H334:J334),(Input!$H$163-Input!$H$197)/A21taxstdlife))</f>
        <v>7.6865666666666665E-2</v>
      </c>
      <c r="L334" s="73">
        <f>IF(A21taxstdlife="n/a","n/a",IF(L$3&gt;(A21taxstdlife+$E334),(Input!$H$163-Input!$H$197)-SUM($H334:K334),(Input!$H$163-Input!$H$197)/A21taxstdlife))</f>
        <v>7.6865666666666665E-2</v>
      </c>
      <c r="M334" s="73">
        <f>IF(A21taxstdlife="n/a","n/a",IF(M$3&gt;(A21taxstdlife+$E334),(Input!$H$163-Input!$H$197)-SUM($H334:L334),(Input!$H$163-Input!$H$197)/A21taxstdlife))</f>
        <v>7.6865666666666665E-2</v>
      </c>
      <c r="N334" s="73">
        <f>IF(A21taxstdlife="n/a","n/a",IF(N$3&gt;(A21taxstdlife+$E334),(Input!$H$163-Input!$H$197)-SUM($H334:M334),(Input!$H$163-Input!$H$197)/A21taxstdlife))</f>
        <v>7.6865666666666665E-2</v>
      </c>
      <c r="O334" s="73">
        <f>IF(A21taxstdlife="n/a","n/a",IF(O$3&gt;(A21taxstdlife+$E334),(Input!$H$163-Input!$H$197)-SUM($H334:N334),(Input!$H$163-Input!$H$197)/A21taxstdlife))</f>
        <v>7.6865666666666665E-2</v>
      </c>
      <c r="P334" s="73">
        <f>IF(A21taxstdlife="n/a","n/a",IF(P$3&gt;(A21taxstdlife+$E334),(Input!$H$163-Input!$H$197)-SUM($H334:O334),(Input!$H$163-Input!$H$197)/A21taxstdlife))</f>
        <v>7.6865666666666665E-2</v>
      </c>
      <c r="Q334" s="73">
        <f>IF(A21taxstdlife="n/a","n/a",IF(Q$3&gt;(A21taxstdlife+$E334),(Input!$H$163-Input!$H$197)-SUM($H334:P334),(Input!$H$163-Input!$H$197)/A21taxstdlife))</f>
        <v>7.6865666666666665E-2</v>
      </c>
      <c r="R334" s="73"/>
      <c r="S334" s="107"/>
      <c r="T334" s="107"/>
      <c r="U334" s="107"/>
      <c r="V334" s="107"/>
      <c r="W334" s="107"/>
      <c r="X334" s="107"/>
      <c r="Y334" s="107"/>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04"/>
      <c r="BJ334" s="204"/>
      <c r="BK334" s="204"/>
      <c r="BL334" s="204"/>
      <c r="BM334" s="204"/>
      <c r="BN334" s="20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2.75" hidden="1" customHeight="1" outlineLevel="2">
      <c r="A335" s="9"/>
      <c r="B335" s="9"/>
      <c r="C335" s="26"/>
      <c r="D335" s="392"/>
      <c r="E335" s="91">
        <v>2</v>
      </c>
      <c r="F335" s="27"/>
      <c r="G335" s="27"/>
      <c r="H335" s="149"/>
      <c r="I335" s="150"/>
      <c r="J335" s="73">
        <f>IF(A21taxstdlife="n/a","n/a",IF(J$3&gt;(A21taxstdlife+$E335),(Input!$I$163-Input!$I$197)-SUM($I335:I335),(Input!$I$163-Input!$I$197)/A21taxstdlife))</f>
        <v>0.1111111111111111</v>
      </c>
      <c r="K335" s="73">
        <f>IF(A21taxstdlife="n/a","n/a",IF(K$3&gt;(A21taxstdlife+$E335),(Input!$I$163-Input!$I$197)-SUM($I335:J335),(Input!$I$163-Input!$I$197)/A21taxstdlife))</f>
        <v>0.1111111111111111</v>
      </c>
      <c r="L335" s="73">
        <f>IF(A21taxstdlife="n/a","n/a",IF(L$3&gt;(A21taxstdlife+$E335),(Input!$I$163-Input!$I$197)-SUM($I335:K335),(Input!$I$163-Input!$I$197)/A21taxstdlife))</f>
        <v>0.1111111111111111</v>
      </c>
      <c r="M335" s="73">
        <f>IF(A21taxstdlife="n/a","n/a",IF(M$3&gt;(A21taxstdlife+$E335),(Input!$I$163-Input!$I$197)-SUM($I335:L335),(Input!$I$163-Input!$I$197)/A21taxstdlife))</f>
        <v>0.1111111111111111</v>
      </c>
      <c r="N335" s="73">
        <f>IF(A21taxstdlife="n/a","n/a",IF(N$3&gt;(A21taxstdlife+$E335),(Input!$I$163-Input!$I$197)-SUM($I335:M335),(Input!$I$163-Input!$I$197)/A21taxstdlife))</f>
        <v>0.1111111111111111</v>
      </c>
      <c r="O335" s="73">
        <f>IF(A21taxstdlife="n/a","n/a",IF(O$3&gt;(A21taxstdlife+$E335),(Input!$I$163-Input!$I$197)-SUM($I335:N335),(Input!$I$163-Input!$I$197)/A21taxstdlife))</f>
        <v>0.1111111111111111</v>
      </c>
      <c r="P335" s="73">
        <f>IF(A21taxstdlife="n/a","n/a",IF(P$3&gt;(A21taxstdlife+$E335),(Input!$I$163-Input!$I$197)-SUM($I335:O335),(Input!$I$163-Input!$I$197)/A21taxstdlife))</f>
        <v>0.1111111111111111</v>
      </c>
      <c r="Q335" s="73">
        <f>IF(A21taxstdlife="n/a","n/a",IF(Q$3&gt;(A21taxstdlife+$E335),(Input!$I$163-Input!$I$197)-SUM($I335:P335),(Input!$I$163-Input!$I$197)/A21taxstdlife))</f>
        <v>0.1111111111111111</v>
      </c>
      <c r="R335" s="73"/>
      <c r="S335" s="107"/>
      <c r="T335" s="107"/>
      <c r="U335" s="107"/>
      <c r="V335" s="107"/>
      <c r="W335" s="107"/>
      <c r="X335" s="107"/>
      <c r="Y335" s="107"/>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04"/>
      <c r="BJ335" s="204"/>
      <c r="BK335" s="204"/>
      <c r="BL335" s="204"/>
      <c r="BM335" s="204"/>
      <c r="BN335" s="204"/>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2.75" hidden="1" customHeight="1" outlineLevel="2">
      <c r="A336" s="9"/>
      <c r="B336" s="9"/>
      <c r="C336" s="26"/>
      <c r="D336" s="392"/>
      <c r="E336" s="91">
        <v>3</v>
      </c>
      <c r="F336" s="27"/>
      <c r="G336" s="27"/>
      <c r="H336" s="149"/>
      <c r="I336" s="151"/>
      <c r="J336" s="150"/>
      <c r="K336" s="73">
        <f>IF(A21taxstdlife="n/a","n/a",IF(K$3&gt;(A21taxstdlife+$E336),(Input!$J$163-Input!$J$197)-SUM($J336:J336),(Input!$J$163-Input!$J$197)/A21taxstdlife))</f>
        <v>0.12355555555555557</v>
      </c>
      <c r="L336" s="73">
        <f>IF(A21taxstdlife="n/a","n/a",IF(L$3&gt;(A21taxstdlife+$E336),(Input!$J$163-Input!$J$197)-SUM($J336:K336),(Input!$J$163-Input!$J$197)/A21taxstdlife))</f>
        <v>0.12355555555555557</v>
      </c>
      <c r="M336" s="73">
        <f>IF(A21taxstdlife="n/a","n/a",IF(M$3&gt;(A21taxstdlife+$E336),(Input!$J$163-Input!$J$197)-SUM($J336:L336),(Input!$J$163-Input!$J$197)/A21taxstdlife))</f>
        <v>0.12355555555555557</v>
      </c>
      <c r="N336" s="73">
        <f>IF(A21taxstdlife="n/a","n/a",IF(N$3&gt;(A21taxstdlife+$E336),(Input!$J$163-Input!$J$197)-SUM($J336:M336),(Input!$J$163-Input!$J$197)/A21taxstdlife))</f>
        <v>0.12355555555555557</v>
      </c>
      <c r="O336" s="73">
        <f>IF(A21taxstdlife="n/a","n/a",IF(O$3&gt;(A21taxstdlife+$E336),(Input!$J$163-Input!$J$197)-SUM($J336:N336),(Input!$J$163-Input!$J$197)/A21taxstdlife))</f>
        <v>0.12355555555555557</v>
      </c>
      <c r="P336" s="73">
        <f>IF(A21taxstdlife="n/a","n/a",IF(P$3&gt;(A21taxstdlife+$E336),(Input!$J$163-Input!$J$197)-SUM($J336:O336),(Input!$J$163-Input!$J$197)/A21taxstdlife))</f>
        <v>0.12355555555555557</v>
      </c>
      <c r="Q336" s="73">
        <f>IF(A21taxstdlife="n/a","n/a",IF(Q$3&gt;(A21taxstdlife+$E336),(Input!$J$163-Input!$J$197)-SUM($J336:P336),(Input!$J$163-Input!$J$197)/A21taxstdlife))</f>
        <v>0.12355555555555557</v>
      </c>
      <c r="R336" s="73"/>
      <c r="S336" s="107"/>
      <c r="T336" s="107"/>
      <c r="U336" s="107"/>
      <c r="V336" s="107"/>
      <c r="W336" s="107"/>
      <c r="X336" s="107"/>
      <c r="Y336" s="107"/>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5"/>
      <c r="BJ336" s="204"/>
      <c r="BK336" s="204"/>
      <c r="BL336" s="204"/>
      <c r="BM336" s="204"/>
      <c r="BN336" s="204"/>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2.75" hidden="1" customHeight="1" outlineLevel="2">
      <c r="A337" s="9"/>
      <c r="B337" s="9"/>
      <c r="C337" s="26"/>
      <c r="D337" s="392"/>
      <c r="E337" s="91">
        <v>4</v>
      </c>
      <c r="F337" s="27"/>
      <c r="G337" s="27"/>
      <c r="H337" s="149"/>
      <c r="I337" s="151"/>
      <c r="J337" s="151"/>
      <c r="K337" s="150"/>
      <c r="L337" s="73">
        <f>IF(A21taxstdlife="n/a","n/a",IF(L$3&gt;(A21taxstdlife+$E337),(Input!$K$163-Input!$K$197)-SUM($K337:K337),(Input!$K$163-Input!$K$197)/A21taxstdlife))</f>
        <v>2.5666666666666664E-2</v>
      </c>
      <c r="M337" s="73">
        <f>IF(A21taxstdlife="n/a","n/a",IF(M$3&gt;(A21taxstdlife+$E337),(Input!$K$163-Input!$K$197)-SUM($K337:L337),(Input!$K$163-Input!$K$197)/A21taxstdlife))</f>
        <v>2.5666666666666664E-2</v>
      </c>
      <c r="N337" s="73">
        <f>IF(A21taxstdlife="n/a","n/a",IF(N$3&gt;(A21taxstdlife+$E337),(Input!$K$163-Input!$K$197)-SUM($K337:M337),(Input!$K$163-Input!$K$197)/A21taxstdlife))</f>
        <v>2.5666666666666664E-2</v>
      </c>
      <c r="O337" s="73">
        <f>IF(A21taxstdlife="n/a","n/a",IF(O$3&gt;(A21taxstdlife+$E337),(Input!$K$163-Input!$K$197)-SUM($K337:N337),(Input!$K$163-Input!$K$197)/A21taxstdlife))</f>
        <v>2.5666666666666664E-2</v>
      </c>
      <c r="P337" s="73">
        <f>IF(A21taxstdlife="n/a","n/a",IF(P$3&gt;(A21taxstdlife+$E337),(Input!$K$163-Input!$K$197)-SUM($K337:O337),(Input!$K$163-Input!$K$197)/A21taxstdlife))</f>
        <v>2.5666666666666664E-2</v>
      </c>
      <c r="Q337" s="73">
        <f>IF(A21taxstdlife="n/a","n/a",IF(Q$3&gt;(A21taxstdlife+$E337),(Input!$K$163-Input!$K$197)-SUM($K337:P337),(Input!$K$163-Input!$K$197)/A21taxstdlife))</f>
        <v>2.5666666666666664E-2</v>
      </c>
      <c r="R337" s="73"/>
      <c r="S337" s="107"/>
      <c r="T337" s="107"/>
      <c r="U337" s="107"/>
      <c r="V337" s="107"/>
      <c r="W337" s="107"/>
      <c r="X337" s="107"/>
      <c r="Y337" s="107"/>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04"/>
      <c r="BJ337" s="204"/>
      <c r="BK337" s="204"/>
      <c r="BL337" s="204"/>
      <c r="BM337" s="204"/>
      <c r="BN337" s="204"/>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2.75" hidden="1" customHeight="1" outlineLevel="2">
      <c r="A338" s="9"/>
      <c r="B338" s="9"/>
      <c r="C338" s="26"/>
      <c r="D338" s="392"/>
      <c r="E338" s="91">
        <v>5</v>
      </c>
      <c r="F338" s="27"/>
      <c r="G338" s="27"/>
      <c r="H338" s="149"/>
      <c r="I338" s="151"/>
      <c r="J338" s="151"/>
      <c r="K338" s="151"/>
      <c r="L338" s="150"/>
      <c r="M338" s="73">
        <f>IF(A21taxstdlife="n/a","n/a",IF(M$3&gt;(A21taxstdlife+$E338),(Input!$L$163-Input!$L$197)-SUM($L338:L338),(Input!$L$163-Input!$L$197)/A21taxstdlife))</f>
        <v>5.6009333333333328E-2</v>
      </c>
      <c r="N338" s="73">
        <f>IF(A21taxstdlife="n/a","n/a",IF(N$3&gt;(A21taxstdlife+$E338),(Input!$L$163-Input!$L$197)-SUM($L338:M338),(Input!$L$163-Input!$L$197)/A21taxstdlife))</f>
        <v>5.6009333333333328E-2</v>
      </c>
      <c r="O338" s="73">
        <f>IF(A21taxstdlife="n/a","n/a",IF(O$3&gt;(A21taxstdlife+$E338),(Input!$L$163-Input!$L$197)-SUM($L338:N338),(Input!$L$163-Input!$L$197)/A21taxstdlife))</f>
        <v>5.6009333333333328E-2</v>
      </c>
      <c r="P338" s="73">
        <f>IF(A21taxstdlife="n/a","n/a",IF(P$3&gt;(A21taxstdlife+$E338),(Input!$L$163-Input!$L$197)-SUM($L338:O338),(Input!$L$163-Input!$L$197)/A21taxstdlife))</f>
        <v>5.6009333333333328E-2</v>
      </c>
      <c r="Q338" s="73">
        <f>IF(A21taxstdlife="n/a","n/a",IF(Q$3&gt;(A21taxstdlife+$E338),(Input!$L$163-Input!$L$197)-SUM($L338:P338),(Input!$L$163-Input!$L$197)/A21taxstdlife))</f>
        <v>5.6009333333333328E-2</v>
      </c>
      <c r="R338" s="73"/>
      <c r="S338" s="107"/>
      <c r="T338" s="107"/>
      <c r="U338" s="107"/>
      <c r="V338" s="107"/>
      <c r="W338" s="107"/>
      <c r="X338" s="107"/>
      <c r="Y338" s="107"/>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04"/>
      <c r="BJ338" s="204"/>
      <c r="BK338" s="204"/>
      <c r="BL338" s="204"/>
      <c r="BM338" s="204"/>
      <c r="BN338" s="204"/>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2.75" hidden="1" customHeight="1" outlineLevel="2">
      <c r="A339" s="9"/>
      <c r="B339" s="9"/>
      <c r="C339" s="26"/>
      <c r="D339" s="392"/>
      <c r="E339" s="91">
        <v>6</v>
      </c>
      <c r="F339" s="27"/>
      <c r="G339" s="27"/>
      <c r="H339" s="149"/>
      <c r="I339" s="151"/>
      <c r="J339" s="151"/>
      <c r="K339" s="151"/>
      <c r="L339" s="151"/>
      <c r="M339" s="150"/>
      <c r="N339" s="73">
        <f>IF(A21taxstdlife="n/a","n/a",IF(N$3&gt;(A21taxstdlife+$E339),(Input!$M$163-Input!$M$197)-SUM($M339:M339),(Input!$M$163-Input!$M$197)/A21taxstdlife))</f>
        <v>0</v>
      </c>
      <c r="O339" s="73">
        <f>IF(A21taxstdlife="n/a","n/a",IF(O$3&gt;(A21taxstdlife+$E339),(Input!$M$163-Input!$M$197)-SUM($M339:N339),(Input!$M$163-Input!$M$197)/A21taxstdlife))</f>
        <v>0</v>
      </c>
      <c r="P339" s="73">
        <f>IF(A21taxstdlife="n/a","n/a",IF(P$3&gt;(A21taxstdlife+$E339),(Input!$M$163-Input!$M$197)-SUM($M339:O339),(Input!$M$163-Input!$M$197)/A21taxstdlife))</f>
        <v>0</v>
      </c>
      <c r="Q339" s="73">
        <f>IF(A21taxstdlife="n/a","n/a",IF(Q$3&gt;(A21taxstdlife+$E339),(Input!$M$163-Input!$M$197)-SUM($M339:P339),(Input!$M$163-Input!$M$197)/A21taxstdlife))</f>
        <v>0</v>
      </c>
      <c r="R339" s="73"/>
      <c r="S339" s="107"/>
      <c r="T339" s="107"/>
      <c r="U339" s="107"/>
      <c r="V339" s="107"/>
      <c r="W339" s="107"/>
      <c r="X339" s="107"/>
      <c r="Y339" s="107"/>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04"/>
      <c r="BJ339" s="204"/>
      <c r="BK339" s="204"/>
      <c r="BL339" s="204"/>
      <c r="BM339" s="204"/>
      <c r="BN339" s="204"/>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2.75" hidden="1" customHeight="1" outlineLevel="2">
      <c r="A340" s="9"/>
      <c r="B340" s="9"/>
      <c r="C340" s="26"/>
      <c r="D340" s="392"/>
      <c r="E340" s="91">
        <v>7</v>
      </c>
      <c r="F340" s="27"/>
      <c r="G340" s="27"/>
      <c r="H340" s="149"/>
      <c r="I340" s="151"/>
      <c r="J340" s="151"/>
      <c r="K340" s="151"/>
      <c r="L340" s="151"/>
      <c r="M340" s="151"/>
      <c r="N340" s="150"/>
      <c r="O340" s="73">
        <f>IF(A21taxstdlife="n/a","n/a",IF(O$3&gt;(A21taxstdlife+$E340),(Input!$N$163-Input!$N$197)-SUM($N340:N340),(Input!$N$163-Input!$N$197)/A21taxstdlife))</f>
        <v>0</v>
      </c>
      <c r="P340" s="73">
        <f>IF(A21taxstdlife="n/a","n/a",IF(P$3&gt;(A21taxstdlife+$E340),(Input!$N$163-Input!$N$197)-SUM($N340:O340),(Input!$N$163-Input!$N$197)/A21taxstdlife))</f>
        <v>0</v>
      </c>
      <c r="Q340" s="73">
        <f>IF(A21taxstdlife="n/a","n/a",IF(Q$3&gt;(A21taxstdlife+$E340),(Input!$N$163-Input!$N$197)-SUM($N340:P340),(Input!$N$163-Input!$N$197)/A21taxstdlife))</f>
        <v>0</v>
      </c>
      <c r="R340" s="73"/>
      <c r="S340" s="107"/>
      <c r="T340" s="107"/>
      <c r="U340" s="107"/>
      <c r="V340" s="107"/>
      <c r="W340" s="107"/>
      <c r="X340" s="107"/>
      <c r="Y340" s="107"/>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04"/>
      <c r="BJ340" s="204"/>
      <c r="BK340" s="204"/>
      <c r="BL340" s="204"/>
      <c r="BM340" s="204"/>
      <c r="BN340" s="204"/>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2.75" hidden="1" customHeight="1" outlineLevel="2">
      <c r="A341" s="9"/>
      <c r="B341" s="9"/>
      <c r="C341" s="26"/>
      <c r="D341" s="392"/>
      <c r="E341" s="91">
        <v>8</v>
      </c>
      <c r="F341" s="27"/>
      <c r="G341" s="27"/>
      <c r="H341" s="149"/>
      <c r="I341" s="151"/>
      <c r="J341" s="151"/>
      <c r="K341" s="151"/>
      <c r="L341" s="151"/>
      <c r="M341" s="151"/>
      <c r="N341" s="151"/>
      <c r="O341" s="150"/>
      <c r="P341" s="73">
        <f>IF(A21taxstdlife="n/a","n/a",IF(P$3&gt;(A21taxstdlife+$E341),(Input!$O$163-Input!$O$197)-SUM($O341:O341),(Input!$O$163-Input!$O$197)/A21taxstdlife))</f>
        <v>0</v>
      </c>
      <c r="Q341" s="73">
        <f>IF(A21taxstdlife="n/a","n/a",IF(Q$3&gt;(A21taxstdlife+$E341),(Input!$O$163-Input!$O$197)-SUM($O341:P341),(Input!$O$163-Input!$O$197)/A21taxstdlife))</f>
        <v>0</v>
      </c>
      <c r="R341" s="73"/>
      <c r="S341" s="107"/>
      <c r="T341" s="107"/>
      <c r="U341" s="107"/>
      <c r="V341" s="107"/>
      <c r="W341" s="107"/>
      <c r="X341" s="107"/>
      <c r="Y341" s="107"/>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04"/>
      <c r="BJ341" s="204"/>
      <c r="BK341" s="204"/>
      <c r="BL341" s="204"/>
      <c r="BM341" s="204"/>
      <c r="BN341" s="204"/>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2.75" hidden="1" customHeight="1" outlineLevel="2">
      <c r="A342" s="9"/>
      <c r="B342" s="9"/>
      <c r="C342" s="26"/>
      <c r="D342" s="392"/>
      <c r="E342" s="91">
        <v>9</v>
      </c>
      <c r="F342" s="27"/>
      <c r="G342" s="27"/>
      <c r="H342" s="149"/>
      <c r="I342" s="151"/>
      <c r="J342" s="151"/>
      <c r="K342" s="151"/>
      <c r="L342" s="151"/>
      <c r="M342" s="151"/>
      <c r="N342" s="151"/>
      <c r="O342" s="151"/>
      <c r="P342" s="150"/>
      <c r="Q342" s="73">
        <f>IF(A21taxstdlife="n/a","n/a",IF(Q$3&gt;(A21taxstdlife+$E342),(Input!$P$163-Input!$P$197)-SUM($P342:P342),(Input!$P$163-Input!$P$197)/A21taxstdlife))</f>
        <v>0</v>
      </c>
      <c r="R342" s="73"/>
      <c r="S342" s="107"/>
      <c r="T342" s="107"/>
      <c r="U342" s="107"/>
      <c r="V342" s="107"/>
      <c r="W342" s="107"/>
      <c r="X342" s="107"/>
      <c r="Y342" s="107"/>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04"/>
      <c r="BJ342" s="204"/>
      <c r="BK342" s="204"/>
      <c r="BL342" s="204"/>
      <c r="BM342" s="204"/>
      <c r="BN342" s="204"/>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2.75" hidden="1" customHeight="1" outlineLevel="2">
      <c r="A343" s="9"/>
      <c r="B343" s="9"/>
      <c r="C343" s="26"/>
      <c r="D343" s="392"/>
      <c r="E343" s="92">
        <v>10</v>
      </c>
      <c r="F343" s="27"/>
      <c r="G343" s="27"/>
      <c r="H343" s="149"/>
      <c r="I343" s="151"/>
      <c r="J343" s="151"/>
      <c r="K343" s="151"/>
      <c r="L343" s="151"/>
      <c r="M343" s="151"/>
      <c r="N343" s="151"/>
      <c r="O343" s="151"/>
      <c r="P343" s="151"/>
      <c r="Q343" s="150"/>
      <c r="R343" s="73"/>
      <c r="S343" s="107"/>
      <c r="T343" s="107"/>
      <c r="U343" s="107"/>
      <c r="V343" s="107"/>
      <c r="W343" s="107"/>
      <c r="X343" s="107"/>
      <c r="Y343" s="107"/>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04"/>
      <c r="BJ343" s="204"/>
      <c r="BK343" s="204"/>
      <c r="BL343" s="204"/>
      <c r="BM343" s="204"/>
      <c r="BN343" s="204"/>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idden="1" outlineLevel="1" collapsed="1">
      <c r="A344" s="9"/>
      <c r="B344" s="9"/>
      <c r="C344" s="279" t="str">
        <f>Asset21</f>
        <v>Other - short life (9)</v>
      </c>
      <c r="D344" s="9"/>
      <c r="E344" s="9"/>
      <c r="F344" s="23"/>
      <c r="G344" s="23"/>
      <c r="H344" s="305">
        <f>-SUM(H332:H343)</f>
        <v>0</v>
      </c>
      <c r="I344" s="164">
        <f>-SUM(I332:I343)</f>
        <v>-7.6865666666666665E-2</v>
      </c>
      <c r="J344" s="164">
        <f>-SUM(J332:J343)</f>
        <v>-0.18797677777777777</v>
      </c>
      <c r="K344" s="164">
        <f>-SUM(K332:K343)</f>
        <v>-0.31153233333333336</v>
      </c>
      <c r="L344" s="164">
        <f>-SUM(L332:L343)</f>
        <v>-0.33719900000000003</v>
      </c>
      <c r="M344" s="164">
        <f>IF(COUNT($H344:L344)&gt;=Input!$W$7,0, -SUM(M332:M343))</f>
        <v>0</v>
      </c>
      <c r="N344" s="164">
        <f>IF(COUNT($H344:M344)&gt;=Input!$W$7,0, -SUM(N332:N343))</f>
        <v>0</v>
      </c>
      <c r="O344" s="164">
        <f>IF(COUNT($H344:N344)&gt;=Input!$W$7,0, -SUM(O332:O343))</f>
        <v>0</v>
      </c>
      <c r="P344" s="164">
        <f>IF(COUNT($H344:O344)&gt;=Input!$W$7,0, -SUM(P332:P343))</f>
        <v>0</v>
      </c>
      <c r="Q344" s="164">
        <f>IF(COUNT($H344:P344)&gt;=Input!$W$7,0, -SUM(Q332:Q343))</f>
        <v>0</v>
      </c>
      <c r="R344" s="164"/>
      <c r="S344" s="106"/>
      <c r="T344" s="106"/>
      <c r="U344" s="106"/>
      <c r="V344" s="106"/>
      <c r="W344" s="106"/>
      <c r="X344" s="106"/>
      <c r="Y344" s="106"/>
      <c r="Z344" s="224"/>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04"/>
      <c r="BJ344" s="204"/>
      <c r="BK344" s="204"/>
      <c r="BL344" s="204"/>
      <c r="BM344" s="204"/>
      <c r="BN344" s="20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2.75" hidden="1" customHeight="1" outlineLevel="2">
      <c r="A345" s="9"/>
      <c r="B345" s="280" t="str">
        <f>Asset22</f>
        <v>Other - short life (4)</v>
      </c>
      <c r="C345" s="31"/>
      <c r="D345" s="32" t="s">
        <v>65</v>
      </c>
      <c r="E345" s="31"/>
      <c r="F345" s="308"/>
      <c r="G345" s="308"/>
      <c r="H345" s="72" t="str">
        <f>IF(H$3&gt;A22taxremlife,A22taxvalue-SUM($F345:F345),IF(A22taxremlife="N/A","n/a",A22taxvalue/A22taxremlife))</f>
        <v>n/a</v>
      </c>
      <c r="I345" s="72" t="str">
        <f>IF(I$3&gt;A22taxremlife,A22taxvalue-SUM($F345:H345),IF(A22taxremlife="N/A","n/a",A22taxvalue/A22taxremlife))</f>
        <v>n/a</v>
      </c>
      <c r="J345" s="72" t="str">
        <f>IF(J$3&gt;A22taxremlife,A22taxvalue-SUM($F345:I345),IF(A22taxremlife="N/A","n/a",A22taxvalue/A22taxremlife))</f>
        <v>n/a</v>
      </c>
      <c r="K345" s="72" t="str">
        <f>IF(K$3&gt;A22taxremlife,A22taxvalue-SUM($F345:J345),IF(A22taxremlife="N/A","n/a",A22taxvalue/A22taxremlife))</f>
        <v>n/a</v>
      </c>
      <c r="L345" s="72" t="str">
        <f>IF(L$3&gt;A22taxremlife,A22taxvalue-SUM($F345:K345),IF(A22taxremlife="N/A","n/a",A22taxvalue/A22taxremlife))</f>
        <v>n/a</v>
      </c>
      <c r="M345" s="72" t="str">
        <f>IF(M$3&gt;A22taxremlife,A22taxvalue-SUM($F345:L345),IF(A22taxremlife="N/A","n/a",A22taxvalue/A22taxremlife))</f>
        <v>n/a</v>
      </c>
      <c r="N345" s="72" t="str">
        <f>IF(N$3&gt;A22taxremlife,A22taxvalue-SUM($F345:M345),IF(A22taxremlife="N/A","n/a",A22taxvalue/A22taxremlife))</f>
        <v>n/a</v>
      </c>
      <c r="O345" s="72" t="str">
        <f>IF(O$3&gt;A22taxremlife,A22taxvalue-SUM($F345:N345),IF(A22taxremlife="N/A","n/a",A22taxvalue/A22taxremlife))</f>
        <v>n/a</v>
      </c>
      <c r="P345" s="72" t="str">
        <f>IF(P$3&gt;A22taxremlife,A22taxvalue-SUM($F345:O345),IF(A22taxremlife="N/A","n/a",A22taxvalue/A22taxremlife))</f>
        <v>n/a</v>
      </c>
      <c r="Q345" s="72" t="str">
        <f>IF(Q$3&gt;A22taxremlife,A22taxvalue-SUM($F345:P345),IF(A22taxremlife="N/A","n/a",A22taxvalue/A22taxremlife))</f>
        <v>n/a</v>
      </c>
      <c r="R345" s="72"/>
      <c r="S345" s="107"/>
      <c r="T345" s="107"/>
      <c r="U345" s="107"/>
      <c r="V345" s="107"/>
      <c r="W345" s="107"/>
      <c r="X345" s="107"/>
      <c r="Y345" s="107"/>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04"/>
      <c r="BJ345" s="204"/>
      <c r="BK345" s="204"/>
      <c r="BL345" s="204"/>
      <c r="BM345" s="204"/>
      <c r="BN345" s="204"/>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2.75" hidden="1" customHeight="1" outlineLevel="2">
      <c r="A346" s="9"/>
      <c r="B346" s="9"/>
      <c r="C346" s="26"/>
      <c r="D346" s="391" t="s">
        <v>81</v>
      </c>
      <c r="E346" s="91"/>
      <c r="F346" s="27"/>
      <c r="G346" s="27"/>
      <c r="H346" s="107"/>
      <c r="I346" s="73"/>
      <c r="J346" s="73"/>
      <c r="K346" s="73"/>
      <c r="L346" s="73"/>
      <c r="M346" s="73"/>
      <c r="N346" s="73"/>
      <c r="O346" s="73"/>
      <c r="P346" s="73"/>
      <c r="Q346" s="73"/>
      <c r="R346" s="73"/>
      <c r="S346" s="107"/>
      <c r="T346" s="107"/>
      <c r="U346" s="107"/>
      <c r="V346" s="107"/>
      <c r="W346" s="107"/>
      <c r="X346" s="107"/>
      <c r="Y346" s="107"/>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04"/>
      <c r="BJ346" s="204"/>
      <c r="BK346" s="204"/>
      <c r="BL346" s="204"/>
      <c r="BM346" s="204"/>
      <c r="BN346" s="204"/>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2.75" hidden="1" customHeight="1" outlineLevel="2">
      <c r="A347" s="9"/>
      <c r="B347" s="9"/>
      <c r="C347" s="26"/>
      <c r="D347" s="392"/>
      <c r="E347" s="91">
        <v>1</v>
      </c>
      <c r="F347" s="27"/>
      <c r="G347" s="27"/>
      <c r="H347" s="148"/>
      <c r="I347" s="73">
        <f>IF(A22taxstdlife="n/a","n/a",IF(I$3&gt;(A22taxstdlife+$E347),(Input!$H$164-Input!$H$198)-SUM($H347:H347),(Input!$H$164-Input!$H$198)/A22taxstdlife))</f>
        <v>0.62064425000000001</v>
      </c>
      <c r="J347" s="73">
        <f>IF(A22taxstdlife="n/a","n/a",IF(J$3&gt;(A22taxstdlife+$E347),(Input!$H$164-Input!$H$198)-SUM($H347:I347),(Input!$H$164-Input!$H$198)/A22taxstdlife))</f>
        <v>0.62064425000000001</v>
      </c>
      <c r="K347" s="73">
        <f>IF(A22taxstdlife="n/a","n/a",IF(K$3&gt;(A22taxstdlife+$E347),(Input!$H$164-Input!$H$198)-SUM($H347:J347),(Input!$H$164-Input!$H$198)/A22taxstdlife))</f>
        <v>0.62064425000000001</v>
      </c>
      <c r="L347" s="73">
        <f>IF(A22taxstdlife="n/a","n/a",IF(L$3&gt;(A22taxstdlife+$E347),(Input!$H$164-Input!$H$198)-SUM($H347:K347),(Input!$H$164-Input!$H$198)/A22taxstdlife))</f>
        <v>0.62064425000000001</v>
      </c>
      <c r="M347" s="73">
        <f>IF(A22taxstdlife="n/a","n/a",IF(M$3&gt;(A22taxstdlife+$E347),(Input!$H$164-Input!$H$198)-SUM($H347:L347),(Input!$H$164-Input!$H$198)/A22taxstdlife))</f>
        <v>0</v>
      </c>
      <c r="N347" s="73">
        <f>IF(A22taxstdlife="n/a","n/a",IF(N$3&gt;(A22taxstdlife+$E347),(Input!$H$164-Input!$H$198)-SUM($H347:M347),(Input!$H$164-Input!$H$198)/A22taxstdlife))</f>
        <v>0</v>
      </c>
      <c r="O347" s="73">
        <f>IF(A22taxstdlife="n/a","n/a",IF(O$3&gt;(A22taxstdlife+$E347),(Input!$H$164-Input!$H$198)-SUM($H347:N347),(Input!$H$164-Input!$H$198)/A22taxstdlife))</f>
        <v>0</v>
      </c>
      <c r="P347" s="73">
        <f>IF(A22taxstdlife="n/a","n/a",IF(P$3&gt;(A22taxstdlife+$E347),(Input!$H$164-Input!$H$198)-SUM($H347:O347),(Input!$H$164-Input!$H$198)/A22taxstdlife))</f>
        <v>0</v>
      </c>
      <c r="Q347" s="73">
        <f>IF(A22taxstdlife="n/a","n/a",IF(Q$3&gt;(A22taxstdlife+$E347),(Input!$H$164-Input!$H$198)-SUM($H347:P347),(Input!$H$164-Input!$H$198)/A22taxstdlife))</f>
        <v>0</v>
      </c>
      <c r="R347" s="73"/>
      <c r="S347" s="107"/>
      <c r="T347" s="107"/>
      <c r="U347" s="107"/>
      <c r="V347" s="107"/>
      <c r="W347" s="107"/>
      <c r="X347" s="107"/>
      <c r="Y347" s="107"/>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04"/>
      <c r="BJ347" s="204"/>
      <c r="BK347" s="204"/>
      <c r="BL347" s="204"/>
      <c r="BM347" s="204"/>
      <c r="BN347" s="204"/>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2.75" hidden="1" customHeight="1" outlineLevel="2">
      <c r="A348" s="9"/>
      <c r="B348" s="9"/>
      <c r="C348" s="26"/>
      <c r="D348" s="392"/>
      <c r="E348" s="91">
        <v>2</v>
      </c>
      <c r="F348" s="27"/>
      <c r="G348" s="27"/>
      <c r="H348" s="149"/>
      <c r="I348" s="150"/>
      <c r="J348" s="73">
        <f>IF(A22taxstdlife="n/a","n/a",IF(J$3&gt;(A22taxstdlife+$E348),(Input!$I$164-Input!$I$198)-SUM($I348:I348),(Input!$I$164-Input!$I$198)/A22taxstdlife))</f>
        <v>0.498</v>
      </c>
      <c r="K348" s="73">
        <f>IF(A22taxstdlife="n/a","n/a",IF(K$3&gt;(A22taxstdlife+$E348),(Input!$I$164-Input!$I$198)-SUM($I348:J348),(Input!$I$164-Input!$I$198)/A22taxstdlife))</f>
        <v>0.498</v>
      </c>
      <c r="L348" s="73">
        <f>IF(A22taxstdlife="n/a","n/a",IF(L$3&gt;(A22taxstdlife+$E348),(Input!$I$164-Input!$I$198)-SUM($I348:K348),(Input!$I$164-Input!$I$198)/A22taxstdlife))</f>
        <v>0.498</v>
      </c>
      <c r="M348" s="73">
        <f>IF(A22taxstdlife="n/a","n/a",IF(M$3&gt;(A22taxstdlife+$E348),(Input!$I$164-Input!$I$198)-SUM($I348:L348),(Input!$I$164-Input!$I$198)/A22taxstdlife))</f>
        <v>0.498</v>
      </c>
      <c r="N348" s="73">
        <f>IF(A22taxstdlife="n/a","n/a",IF(N$3&gt;(A22taxstdlife+$E348),(Input!$I$164-Input!$I$198)-SUM($I348:M348),(Input!$I$164-Input!$I$198)/A22taxstdlife))</f>
        <v>0</v>
      </c>
      <c r="O348" s="73">
        <f>IF(A22taxstdlife="n/a","n/a",IF(O$3&gt;(A22taxstdlife+$E348),(Input!$I$164-Input!$I$198)-SUM($I348:N348),(Input!$I$164-Input!$I$198)/A22taxstdlife))</f>
        <v>0</v>
      </c>
      <c r="P348" s="73">
        <f>IF(A22taxstdlife="n/a","n/a",IF(P$3&gt;(A22taxstdlife+$E348),(Input!$I$164-Input!$I$198)-SUM($I348:O348),(Input!$I$164-Input!$I$198)/A22taxstdlife))</f>
        <v>0</v>
      </c>
      <c r="Q348" s="73">
        <f>IF(A22taxstdlife="n/a","n/a",IF(Q$3&gt;(A22taxstdlife+$E348),(Input!$I$164-Input!$I$198)-SUM($I348:P348),(Input!$I$164-Input!$I$198)/A22taxstdlife))</f>
        <v>0</v>
      </c>
      <c r="R348" s="73"/>
      <c r="S348" s="107"/>
      <c r="T348" s="107"/>
      <c r="U348" s="107"/>
      <c r="V348" s="107"/>
      <c r="W348" s="107"/>
      <c r="X348" s="107"/>
      <c r="Y348" s="107"/>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04"/>
      <c r="BJ348" s="204"/>
      <c r="BK348" s="204"/>
      <c r="BL348" s="204"/>
      <c r="BM348" s="204"/>
      <c r="BN348" s="204"/>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2.75" hidden="1" customHeight="1" outlineLevel="2">
      <c r="A349" s="9"/>
      <c r="B349" s="9"/>
      <c r="C349" s="26"/>
      <c r="D349" s="392"/>
      <c r="E349" s="91">
        <v>3</v>
      </c>
      <c r="F349" s="27"/>
      <c r="G349" s="27"/>
      <c r="H349" s="149"/>
      <c r="I349" s="151"/>
      <c r="J349" s="150"/>
      <c r="K349" s="73">
        <f>IF(A22taxstdlife="n/a","n/a",IF(K$3&gt;(A22taxstdlife+$E349),(Input!$J$164-Input!$J$198)-SUM($J349:J349),(Input!$J$164-Input!$J$198)/A22taxstdlife))</f>
        <v>0.46124999999999999</v>
      </c>
      <c r="L349" s="73">
        <f>IF(A22taxstdlife="n/a","n/a",IF(L$3&gt;(A22taxstdlife+$E349),(Input!$J$164-Input!$J$198)-SUM($J349:K349),(Input!$J$164-Input!$J$198)/A22taxstdlife))</f>
        <v>0.46124999999999999</v>
      </c>
      <c r="M349" s="73">
        <f>IF(A22taxstdlife="n/a","n/a",IF(M$3&gt;(A22taxstdlife+$E349),(Input!$J$164-Input!$J$198)-SUM($J349:L349),(Input!$J$164-Input!$J$198)/A22taxstdlife))</f>
        <v>0.46124999999999999</v>
      </c>
      <c r="N349" s="73">
        <f>IF(A22taxstdlife="n/a","n/a",IF(N$3&gt;(A22taxstdlife+$E349),(Input!$J$164-Input!$J$198)-SUM($J349:M349),(Input!$J$164-Input!$J$198)/A22taxstdlife))</f>
        <v>0.46124999999999999</v>
      </c>
      <c r="O349" s="73">
        <f>IF(A22taxstdlife="n/a","n/a",IF(O$3&gt;(A22taxstdlife+$E349),(Input!$J$164-Input!$J$198)-SUM($J349:N349),(Input!$J$164-Input!$J$198)/A22taxstdlife))</f>
        <v>0</v>
      </c>
      <c r="P349" s="73">
        <f>IF(A22taxstdlife="n/a","n/a",IF(P$3&gt;(A22taxstdlife+$E349),(Input!$J$164-Input!$J$198)-SUM($J349:O349),(Input!$J$164-Input!$J$198)/A22taxstdlife))</f>
        <v>0</v>
      </c>
      <c r="Q349" s="73">
        <f>IF(A22taxstdlife="n/a","n/a",IF(Q$3&gt;(A22taxstdlife+$E349),(Input!$J$164-Input!$J$198)-SUM($J349:P349),(Input!$J$164-Input!$J$198)/A22taxstdlife))</f>
        <v>0</v>
      </c>
      <c r="R349" s="73"/>
      <c r="S349" s="107"/>
      <c r="T349" s="107"/>
      <c r="U349" s="107"/>
      <c r="V349" s="107"/>
      <c r="W349" s="107"/>
      <c r="X349" s="107"/>
      <c r="Y349" s="107"/>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5"/>
      <c r="BJ349" s="204"/>
      <c r="BK349" s="204"/>
      <c r="BL349" s="204"/>
      <c r="BM349" s="204"/>
      <c r="BN349" s="204"/>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2.75" hidden="1" customHeight="1" outlineLevel="2">
      <c r="A350" s="9"/>
      <c r="B350" s="9"/>
      <c r="C350" s="26"/>
      <c r="D350" s="392"/>
      <c r="E350" s="91">
        <v>4</v>
      </c>
      <c r="F350" s="27"/>
      <c r="G350" s="27"/>
      <c r="H350" s="149"/>
      <c r="I350" s="151"/>
      <c r="J350" s="151"/>
      <c r="K350" s="150"/>
      <c r="L350" s="73">
        <f>IF(A22taxstdlife="n/a","n/a",IF(L$3&gt;(A22taxstdlife+$E350),(Input!$K$164-Input!$K$198)-SUM($K350:K350),(Input!$K$164-Input!$K$198)/A22taxstdlife))</f>
        <v>1.3035000000000001</v>
      </c>
      <c r="M350" s="73">
        <f>IF(A22taxstdlife="n/a","n/a",IF(M$3&gt;(A22taxstdlife+$E350),(Input!$K$164-Input!$K$198)-SUM($K350:L350),(Input!$K$164-Input!$K$198)/A22taxstdlife))</f>
        <v>1.3035000000000001</v>
      </c>
      <c r="N350" s="73">
        <f>IF(A22taxstdlife="n/a","n/a",IF(N$3&gt;(A22taxstdlife+$E350),(Input!$K$164-Input!$K$198)-SUM($K350:M350),(Input!$K$164-Input!$K$198)/A22taxstdlife))</f>
        <v>1.3035000000000001</v>
      </c>
      <c r="O350" s="73">
        <f>IF(A22taxstdlife="n/a","n/a",IF(O$3&gt;(A22taxstdlife+$E350),(Input!$K$164-Input!$K$198)-SUM($K350:N350),(Input!$K$164-Input!$K$198)/A22taxstdlife))</f>
        <v>1.3035000000000001</v>
      </c>
      <c r="P350" s="73">
        <f>IF(A22taxstdlife="n/a","n/a",IF(P$3&gt;(A22taxstdlife+$E350),(Input!$K$164-Input!$K$198)-SUM($K350:O350),(Input!$K$164-Input!$K$198)/A22taxstdlife))</f>
        <v>0</v>
      </c>
      <c r="Q350" s="73">
        <f>IF(A22taxstdlife="n/a","n/a",IF(Q$3&gt;(A22taxstdlife+$E350),(Input!$K$164-Input!$K$198)-SUM($K350:P350),(Input!$K$164-Input!$K$198)/A22taxstdlife))</f>
        <v>0</v>
      </c>
      <c r="R350" s="73"/>
      <c r="S350" s="107"/>
      <c r="T350" s="107"/>
      <c r="U350" s="107"/>
      <c r="V350" s="107"/>
      <c r="W350" s="107"/>
      <c r="X350" s="107"/>
      <c r="Y350" s="107"/>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04"/>
      <c r="BJ350" s="204"/>
      <c r="BK350" s="204"/>
      <c r="BL350" s="204"/>
      <c r="BM350" s="204"/>
      <c r="BN350" s="204"/>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2.75" hidden="1" customHeight="1" outlineLevel="2">
      <c r="A351" s="9"/>
      <c r="B351" s="9"/>
      <c r="C351" s="26"/>
      <c r="D351" s="392"/>
      <c r="E351" s="91">
        <v>5</v>
      </c>
      <c r="F351" s="27"/>
      <c r="G351" s="27"/>
      <c r="H351" s="149"/>
      <c r="I351" s="151"/>
      <c r="J351" s="151"/>
      <c r="K351" s="151"/>
      <c r="L351" s="150"/>
      <c r="M351" s="73">
        <f>IF(A22taxstdlife="n/a","n/a",IF(M$3&gt;(A22taxstdlife+$E351),(Input!$L$164-Input!$L$198)-SUM($L351:L351),(Input!$L$164-Input!$L$198)/A22taxstdlife))</f>
        <v>0.59842799000000002</v>
      </c>
      <c r="N351" s="73">
        <f>IF(A22taxstdlife="n/a","n/a",IF(N$3&gt;(A22taxstdlife+$E351),(Input!$L$164-Input!$L$198)-SUM($L351:M351),(Input!$L$164-Input!$L$198)/A22taxstdlife))</f>
        <v>0.59842799000000002</v>
      </c>
      <c r="O351" s="73">
        <f>IF(A22taxstdlife="n/a","n/a",IF(O$3&gt;(A22taxstdlife+$E351),(Input!$L$164-Input!$L$198)-SUM($L351:N351),(Input!$L$164-Input!$L$198)/A22taxstdlife))</f>
        <v>0.59842799000000002</v>
      </c>
      <c r="P351" s="73">
        <f>IF(A22taxstdlife="n/a","n/a",IF(P$3&gt;(A22taxstdlife+$E351),(Input!$L$164-Input!$L$198)-SUM($L351:O351),(Input!$L$164-Input!$L$198)/A22taxstdlife))</f>
        <v>0.59842799000000002</v>
      </c>
      <c r="Q351" s="73">
        <f>IF(A22taxstdlife="n/a","n/a",IF(Q$3&gt;(A22taxstdlife+$E351),(Input!$L$164-Input!$L$198)-SUM($L351:P351),(Input!$L$164-Input!$L$198)/A22taxstdlife))</f>
        <v>0</v>
      </c>
      <c r="R351" s="73"/>
      <c r="S351" s="107"/>
      <c r="T351" s="107"/>
      <c r="U351" s="107"/>
      <c r="V351" s="107"/>
      <c r="W351" s="107"/>
      <c r="X351" s="107"/>
      <c r="Y351" s="107"/>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04"/>
      <c r="BJ351" s="204"/>
      <c r="BK351" s="204"/>
      <c r="BL351" s="204"/>
      <c r="BM351" s="204"/>
      <c r="BN351" s="204"/>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2.75" hidden="1" customHeight="1" outlineLevel="2">
      <c r="A352" s="9"/>
      <c r="B352" s="9"/>
      <c r="C352" s="26"/>
      <c r="D352" s="392"/>
      <c r="E352" s="91">
        <v>6</v>
      </c>
      <c r="F352" s="27"/>
      <c r="G352" s="27"/>
      <c r="H352" s="149"/>
      <c r="I352" s="151"/>
      <c r="J352" s="151"/>
      <c r="K352" s="151"/>
      <c r="L352" s="151"/>
      <c r="M352" s="150"/>
      <c r="N352" s="73">
        <f>IF(A22taxstdlife="n/a","n/a",IF(N$3&gt;(A22taxstdlife+$E352),(Input!$M$164-Input!$M$198)-SUM($M352:M352),(Input!$M$164-Input!$M$198)/A22taxstdlife))</f>
        <v>0</v>
      </c>
      <c r="O352" s="73">
        <f>IF(A22taxstdlife="n/a","n/a",IF(O$3&gt;(A22taxstdlife+$E352),(Input!$M$164-Input!$M$198)-SUM($M352:N352),(Input!$M$164-Input!$M$198)/A22taxstdlife))</f>
        <v>0</v>
      </c>
      <c r="P352" s="73">
        <f>IF(A22taxstdlife="n/a","n/a",IF(P$3&gt;(A22taxstdlife+$E352),(Input!$M$164-Input!$M$198)-SUM($M352:O352),(Input!$M$164-Input!$M$198)/A22taxstdlife))</f>
        <v>0</v>
      </c>
      <c r="Q352" s="73">
        <f>IF(A22taxstdlife="n/a","n/a",IF(Q$3&gt;(A22taxstdlife+$E352),(Input!$M$164-Input!$M$198)-SUM($M352:P352),(Input!$M$164-Input!$M$198)/A22taxstdlife))</f>
        <v>0</v>
      </c>
      <c r="R352" s="73"/>
      <c r="S352" s="107"/>
      <c r="T352" s="107"/>
      <c r="U352" s="107"/>
      <c r="V352" s="107"/>
      <c r="W352" s="107"/>
      <c r="X352" s="107"/>
      <c r="Y352" s="107"/>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04"/>
      <c r="BJ352" s="204"/>
      <c r="BK352" s="204"/>
      <c r="BL352" s="204"/>
      <c r="BM352" s="204"/>
      <c r="BN352" s="204"/>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2.75" hidden="1" customHeight="1" outlineLevel="2">
      <c r="A353" s="9"/>
      <c r="B353" s="9"/>
      <c r="C353" s="26"/>
      <c r="D353" s="392"/>
      <c r="E353" s="91">
        <v>7</v>
      </c>
      <c r="F353" s="27"/>
      <c r="G353" s="27"/>
      <c r="H353" s="149"/>
      <c r="I353" s="151"/>
      <c r="J353" s="151"/>
      <c r="K353" s="151"/>
      <c r="L353" s="151"/>
      <c r="M353" s="151"/>
      <c r="N353" s="150"/>
      <c r="O353" s="73">
        <f>IF(A22taxstdlife="n/a","n/a",IF(O$3&gt;(A22taxstdlife+$E353),(Input!$N$164-Input!$N$198)-SUM($N353:N353),(Input!$N$164-Input!$N$198)/A22taxstdlife))</f>
        <v>0</v>
      </c>
      <c r="P353" s="73">
        <f>IF(A22taxstdlife="n/a","n/a",IF(P$3&gt;(A22taxstdlife+$E353),(Input!$N$164-Input!$N$198)-SUM($N353:O353),(Input!$N$164-Input!$N$198)/A22taxstdlife))</f>
        <v>0</v>
      </c>
      <c r="Q353" s="73">
        <f>IF(A22taxstdlife="n/a","n/a",IF(Q$3&gt;(A22taxstdlife+$E353),(Input!$N$164-Input!$N$198)-SUM($N353:P353),(Input!$N$164-Input!$N$198)/A22taxstdlife))</f>
        <v>0</v>
      </c>
      <c r="R353" s="73"/>
      <c r="S353" s="107"/>
      <c r="T353" s="107"/>
      <c r="U353" s="107"/>
      <c r="V353" s="107"/>
      <c r="W353" s="107"/>
      <c r="X353" s="107"/>
      <c r="Y353" s="107"/>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04"/>
      <c r="BJ353" s="204"/>
      <c r="BK353" s="204"/>
      <c r="BL353" s="204"/>
      <c r="BM353" s="204"/>
      <c r="BN353" s="204"/>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2.75" hidden="1" customHeight="1" outlineLevel="2">
      <c r="A354" s="9"/>
      <c r="B354" s="9"/>
      <c r="C354" s="26"/>
      <c r="D354" s="392"/>
      <c r="E354" s="91">
        <v>8</v>
      </c>
      <c r="F354" s="27"/>
      <c r="G354" s="27"/>
      <c r="H354" s="149"/>
      <c r="I354" s="151"/>
      <c r="J354" s="151"/>
      <c r="K354" s="151"/>
      <c r="L354" s="151"/>
      <c r="M354" s="151"/>
      <c r="N354" s="151"/>
      <c r="O354" s="150"/>
      <c r="P354" s="73">
        <f>IF(A22taxstdlife="n/a","n/a",IF(P$3&gt;(A22taxstdlife+$E354),(Input!$O$164-Input!$O$198)-SUM($O354:O354),(Input!$O$164-Input!$O$198)/A22taxstdlife))</f>
        <v>0</v>
      </c>
      <c r="Q354" s="73">
        <f>IF(A22taxstdlife="n/a","n/a",IF(Q$3&gt;(A22taxstdlife+$E354),(Input!$O$164-Input!$O$198)-SUM($O354:P354),(Input!$O$164-Input!$O$198)/A22taxstdlife))</f>
        <v>0</v>
      </c>
      <c r="R354" s="73"/>
      <c r="S354" s="107"/>
      <c r="T354" s="107"/>
      <c r="U354" s="107"/>
      <c r="V354" s="107"/>
      <c r="W354" s="107"/>
      <c r="X354" s="107"/>
      <c r="Y354" s="107"/>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04"/>
      <c r="BJ354" s="204"/>
      <c r="BK354" s="204"/>
      <c r="BL354" s="204"/>
      <c r="BM354" s="204"/>
      <c r="BN354" s="20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2.75" hidden="1" customHeight="1" outlineLevel="2">
      <c r="A355" s="9"/>
      <c r="B355" s="9"/>
      <c r="C355" s="26"/>
      <c r="D355" s="392"/>
      <c r="E355" s="91">
        <v>9</v>
      </c>
      <c r="F355" s="27"/>
      <c r="G355" s="27"/>
      <c r="H355" s="149"/>
      <c r="I355" s="151"/>
      <c r="J355" s="151"/>
      <c r="K355" s="151"/>
      <c r="L355" s="151"/>
      <c r="M355" s="151"/>
      <c r="N355" s="151"/>
      <c r="O355" s="151"/>
      <c r="P355" s="150"/>
      <c r="Q355" s="73">
        <f>IF(A22taxstdlife="n/a","n/a",IF(Q$3&gt;(A22taxstdlife+$E355),(Input!$P$164-Input!$P$198)-SUM($P355:P355),(Input!$P$164-Input!$P$198)/A22taxstdlife))</f>
        <v>0</v>
      </c>
      <c r="R355" s="73"/>
      <c r="S355" s="107"/>
      <c r="T355" s="107"/>
      <c r="U355" s="107"/>
      <c r="V355" s="107"/>
      <c r="W355" s="107"/>
      <c r="X355" s="107"/>
      <c r="Y355" s="107"/>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04"/>
      <c r="BJ355" s="204"/>
      <c r="BK355" s="204"/>
      <c r="BL355" s="204"/>
      <c r="BM355" s="204"/>
      <c r="BN355" s="204"/>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2.75" hidden="1" customHeight="1" outlineLevel="2">
      <c r="A356" s="9"/>
      <c r="B356" s="9"/>
      <c r="C356" s="26"/>
      <c r="D356" s="392"/>
      <c r="E356" s="92">
        <v>10</v>
      </c>
      <c r="F356" s="27"/>
      <c r="G356" s="27"/>
      <c r="H356" s="149"/>
      <c r="I356" s="151"/>
      <c r="J356" s="151"/>
      <c r="K356" s="151"/>
      <c r="L356" s="151"/>
      <c r="M356" s="151"/>
      <c r="N356" s="151"/>
      <c r="O356" s="151"/>
      <c r="P356" s="151"/>
      <c r="Q356" s="150"/>
      <c r="R356" s="73"/>
      <c r="S356" s="107"/>
      <c r="T356" s="107"/>
      <c r="U356" s="107"/>
      <c r="V356" s="107"/>
      <c r="W356" s="107"/>
      <c r="X356" s="107"/>
      <c r="Y356" s="107"/>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04"/>
      <c r="BJ356" s="204"/>
      <c r="BK356" s="204"/>
      <c r="BL356" s="204"/>
      <c r="BM356" s="204"/>
      <c r="BN356" s="204"/>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idden="1" outlineLevel="1" collapsed="1">
      <c r="A357" s="9"/>
      <c r="B357" s="9"/>
      <c r="C357" s="279" t="str">
        <f>Asset22</f>
        <v>Other - short life (4)</v>
      </c>
      <c r="D357" s="9"/>
      <c r="E357" s="9"/>
      <c r="F357" s="23"/>
      <c r="G357" s="23"/>
      <c r="H357" s="305">
        <f>-SUM(H345:H356)</f>
        <v>0</v>
      </c>
      <c r="I357" s="164">
        <f>-SUM(I345:I356)</f>
        <v>-0.62064425000000001</v>
      </c>
      <c r="J357" s="164">
        <f>-SUM(J345:J356)</f>
        <v>-1.11864425</v>
      </c>
      <c r="K357" s="164">
        <f>-SUM(K345:K356)</f>
        <v>-1.5798942499999999</v>
      </c>
      <c r="L357" s="164">
        <f>-SUM(L345:L356)</f>
        <v>-2.8833942500000003</v>
      </c>
      <c r="M357" s="164">
        <f>IF(COUNT($H357:L357)&gt;=Input!$W$7,0, -SUM(M345:M356))</f>
        <v>0</v>
      </c>
      <c r="N357" s="164">
        <f>IF(COUNT($H357:M357)&gt;=Input!$W$7,0, -SUM(N345:N356))</f>
        <v>0</v>
      </c>
      <c r="O357" s="164">
        <f>IF(COUNT($H357:N357)&gt;=Input!$W$7,0, -SUM(O345:O356))</f>
        <v>0</v>
      </c>
      <c r="P357" s="164">
        <f>IF(COUNT($H357:O357)&gt;=Input!$W$7,0, -SUM(P345:P356))</f>
        <v>0</v>
      </c>
      <c r="Q357" s="164">
        <f>IF(COUNT($H357:P357)&gt;=Input!$W$7,0, -SUM(Q345:Q356))</f>
        <v>0</v>
      </c>
      <c r="R357" s="164"/>
      <c r="S357" s="106"/>
      <c r="T357" s="106"/>
      <c r="U357" s="106"/>
      <c r="V357" s="106"/>
      <c r="W357" s="106"/>
      <c r="X357" s="106"/>
      <c r="Y357" s="106"/>
      <c r="Z357" s="224"/>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04"/>
      <c r="BJ357" s="204"/>
      <c r="BK357" s="204"/>
      <c r="BL357" s="204"/>
      <c r="BM357" s="204"/>
      <c r="BN357" s="204"/>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2.75" hidden="1" customHeight="1" outlineLevel="2">
      <c r="A358" s="9"/>
      <c r="B358" s="280" t="str">
        <f>Asset23</f>
        <v>Land and Easements</v>
      </c>
      <c r="C358" s="31"/>
      <c r="D358" s="32" t="s">
        <v>65</v>
      </c>
      <c r="E358" s="31"/>
      <c r="F358" s="308"/>
      <c r="G358" s="308"/>
      <c r="H358" s="72" t="str">
        <f>IF(H$3&gt;A23taxremlife,A23taxvalue-SUM($F358:F358),IF(A23taxremlife="N/A","n/a",A23taxvalue/A23taxremlife))</f>
        <v>n/a</v>
      </c>
      <c r="I358" s="72" t="str">
        <f>IF(I$3&gt;A23taxremlife,A23taxvalue-SUM($F358:H358),IF(A23taxremlife="N/A","n/a",A23taxvalue/A23taxremlife))</f>
        <v>n/a</v>
      </c>
      <c r="J358" s="72" t="str">
        <f>IF(J$3&gt;A23taxremlife,A23taxvalue-SUM($F358:I358),IF(A23taxremlife="N/A","n/a",A23taxvalue/A23taxremlife))</f>
        <v>n/a</v>
      </c>
      <c r="K358" s="72" t="str">
        <f>IF(K$3&gt;A23taxremlife,A23taxvalue-SUM($F358:J358),IF(A23taxremlife="N/A","n/a",A23taxvalue/A23taxremlife))</f>
        <v>n/a</v>
      </c>
      <c r="L358" s="72" t="str">
        <f>IF(L$3&gt;A23taxremlife,A23taxvalue-SUM($F358:K358),IF(A23taxremlife="N/A","n/a",A23taxvalue/A23taxremlife))</f>
        <v>n/a</v>
      </c>
      <c r="M358" s="72" t="str">
        <f>IF(M$3&gt;A23taxremlife,A23taxvalue-SUM($F358:L358),IF(A23taxremlife="N/A","n/a",A23taxvalue/A23taxremlife))</f>
        <v>n/a</v>
      </c>
      <c r="N358" s="72" t="str">
        <f>IF(N$3&gt;A23taxremlife,A23taxvalue-SUM($F358:M358),IF(A23taxremlife="N/A","n/a",A23taxvalue/A23taxremlife))</f>
        <v>n/a</v>
      </c>
      <c r="O358" s="72" t="str">
        <f>IF(O$3&gt;A23taxremlife,A23taxvalue-SUM($F358:N358),IF(A23taxremlife="N/A","n/a",A23taxvalue/A23taxremlife))</f>
        <v>n/a</v>
      </c>
      <c r="P358" s="72" t="str">
        <f>IF(P$3&gt;A23taxremlife,A23taxvalue-SUM($F358:O358),IF(A23taxremlife="N/A","n/a",A23taxvalue/A23taxremlife))</f>
        <v>n/a</v>
      </c>
      <c r="Q358" s="72" t="str">
        <f>IF(Q$3&gt;A23taxremlife,A23taxvalue-SUM($F358:P358),IF(A23taxremlife="N/A","n/a",A23taxvalue/A23taxremlife))</f>
        <v>n/a</v>
      </c>
      <c r="R358" s="72"/>
      <c r="S358" s="107"/>
      <c r="T358" s="107"/>
      <c r="U358" s="107"/>
      <c r="V358" s="107"/>
      <c r="W358" s="107"/>
      <c r="X358" s="107"/>
      <c r="Y358" s="107"/>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04"/>
      <c r="BJ358" s="204"/>
      <c r="BK358" s="204"/>
      <c r="BL358" s="204"/>
      <c r="BM358" s="204"/>
      <c r="BN358" s="204"/>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2.75" hidden="1" customHeight="1" outlineLevel="2">
      <c r="A359" s="9"/>
      <c r="B359" s="9"/>
      <c r="C359" s="26"/>
      <c r="D359" s="391" t="s">
        <v>81</v>
      </c>
      <c r="E359" s="91"/>
      <c r="F359" s="27"/>
      <c r="G359" s="27"/>
      <c r="H359" s="107"/>
      <c r="I359" s="73"/>
      <c r="J359" s="73"/>
      <c r="K359" s="73"/>
      <c r="L359" s="73"/>
      <c r="M359" s="73"/>
      <c r="N359" s="73"/>
      <c r="O359" s="73"/>
      <c r="P359" s="73"/>
      <c r="Q359" s="73"/>
      <c r="R359" s="73"/>
      <c r="S359" s="107"/>
      <c r="T359" s="107"/>
      <c r="U359" s="107"/>
      <c r="V359" s="107"/>
      <c r="W359" s="107"/>
      <c r="X359" s="107"/>
      <c r="Y359" s="107"/>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04"/>
      <c r="BJ359" s="204"/>
      <c r="BK359" s="204"/>
      <c r="BL359" s="204"/>
      <c r="BM359" s="204"/>
      <c r="BN359" s="204"/>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2.75" hidden="1" customHeight="1" outlineLevel="2">
      <c r="A360" s="9"/>
      <c r="B360" s="9"/>
      <c r="C360" s="26"/>
      <c r="D360" s="392"/>
      <c r="E360" s="91">
        <v>1</v>
      </c>
      <c r="F360" s="27"/>
      <c r="G360" s="27"/>
      <c r="H360" s="148"/>
      <c r="I360" s="73" t="str">
        <f>IF(A23taxstdlife="n/a","n/a",IF(I$3&gt;(A23taxstdlife+$E360),(Input!$H$165-Input!$H$199)-SUM($H360:H360),(Input!$H$165-Input!$H$199)/A23taxstdlife))</f>
        <v>n/a</v>
      </c>
      <c r="J360" s="73" t="str">
        <f>IF(A23taxstdlife="n/a","n/a",IF(J$3&gt;(A23taxstdlife+$E360),(Input!$H$165-Input!$H$199)-SUM($H360:I360),(Input!$H$165-Input!$H$199)/A23taxstdlife))</f>
        <v>n/a</v>
      </c>
      <c r="K360" s="73" t="str">
        <f>IF(A23taxstdlife="n/a","n/a",IF(K$3&gt;(A23taxstdlife+$E360),(Input!$H$165-Input!$H$199)-SUM($H360:J360),(Input!$H$165-Input!$H$199)/A23taxstdlife))</f>
        <v>n/a</v>
      </c>
      <c r="L360" s="73" t="str">
        <f>IF(A23taxstdlife="n/a","n/a",IF(L$3&gt;(A23taxstdlife+$E360),(Input!$H$165-Input!$H$199)-SUM($H360:K360),(Input!$H$165-Input!$H$199)/A23taxstdlife))</f>
        <v>n/a</v>
      </c>
      <c r="M360" s="73" t="str">
        <f>IF(A23taxstdlife="n/a","n/a",IF(M$3&gt;(A23taxstdlife+$E360),(Input!$H$165-Input!$H$199)-SUM($H360:L360),(Input!$H$165-Input!$H$199)/A23taxstdlife))</f>
        <v>n/a</v>
      </c>
      <c r="N360" s="73" t="str">
        <f>IF(A23taxstdlife="n/a","n/a",IF(N$3&gt;(A23taxstdlife+$E360),(Input!$H$165-Input!$H$199)-SUM($H360:M360),(Input!$H$165-Input!$H$199)/A23taxstdlife))</f>
        <v>n/a</v>
      </c>
      <c r="O360" s="73" t="str">
        <f>IF(A23taxstdlife="n/a","n/a",IF(O$3&gt;(A23taxstdlife+$E360),(Input!$H$165-Input!$H$199)-SUM($H360:N360),(Input!$H$165-Input!$H$199)/A23taxstdlife))</f>
        <v>n/a</v>
      </c>
      <c r="P360" s="73" t="str">
        <f>IF(A23taxstdlife="n/a","n/a",IF(P$3&gt;(A23taxstdlife+$E360),(Input!$H$165-Input!$H$199)-SUM($H360:O360),(Input!$H$165-Input!$H$199)/A23taxstdlife))</f>
        <v>n/a</v>
      </c>
      <c r="Q360" s="73" t="str">
        <f>IF(A23taxstdlife="n/a","n/a",IF(Q$3&gt;(A23taxstdlife+$E360),(Input!$H$165-Input!$H$199)-SUM($H360:P360),(Input!$H$165-Input!$H$199)/A23taxstdlife))</f>
        <v>n/a</v>
      </c>
      <c r="R360" s="73"/>
      <c r="S360" s="107"/>
      <c r="T360" s="107"/>
      <c r="U360" s="107"/>
      <c r="V360" s="107"/>
      <c r="W360" s="107"/>
      <c r="X360" s="107"/>
      <c r="Y360" s="107"/>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04"/>
      <c r="BJ360" s="204"/>
      <c r="BK360" s="204"/>
      <c r="BL360" s="204"/>
      <c r="BM360" s="204"/>
      <c r="BN360" s="204"/>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2.75" hidden="1" customHeight="1" outlineLevel="2">
      <c r="A361" s="9"/>
      <c r="B361" s="9"/>
      <c r="C361" s="26"/>
      <c r="D361" s="392"/>
      <c r="E361" s="91">
        <v>2</v>
      </c>
      <c r="F361" s="27"/>
      <c r="G361" s="27"/>
      <c r="H361" s="149"/>
      <c r="I361" s="150"/>
      <c r="J361" s="73" t="str">
        <f>IF(A23taxstdlife="n/a","n/a",IF(J$3&gt;(A23taxstdlife+$E361),(Input!$I$165-Input!$I$199)-SUM($I361:I361),(Input!$I$165-Input!$I$199)/A23taxstdlife))</f>
        <v>n/a</v>
      </c>
      <c r="K361" s="73" t="str">
        <f>IF(A23taxstdlife="n/a","n/a",IF(K$3&gt;(A23taxstdlife+$E361),(Input!$I$165-Input!$I$199)-SUM($I361:J361),(Input!$I$165-Input!$I$199)/A23taxstdlife))</f>
        <v>n/a</v>
      </c>
      <c r="L361" s="73" t="str">
        <f>IF(A23taxstdlife="n/a","n/a",IF(L$3&gt;(A23taxstdlife+$E361),(Input!$I$165-Input!$I$199)-SUM($I361:K361),(Input!$I$165-Input!$I$199)/A23taxstdlife))</f>
        <v>n/a</v>
      </c>
      <c r="M361" s="73" t="str">
        <f>IF(A23taxstdlife="n/a","n/a",IF(M$3&gt;(A23taxstdlife+$E361),(Input!$I$165-Input!$I$199)-SUM($I361:L361),(Input!$I$165-Input!$I$199)/A23taxstdlife))</f>
        <v>n/a</v>
      </c>
      <c r="N361" s="73" t="str">
        <f>IF(A23taxstdlife="n/a","n/a",IF(N$3&gt;(A23taxstdlife+$E361),(Input!$I$165-Input!$I$199)-SUM($I361:M361),(Input!$I$165-Input!$I$199)/A23taxstdlife))</f>
        <v>n/a</v>
      </c>
      <c r="O361" s="73" t="str">
        <f>IF(A23taxstdlife="n/a","n/a",IF(O$3&gt;(A23taxstdlife+$E361),(Input!$I$165-Input!$I$199)-SUM($I361:N361),(Input!$I$165-Input!$I$199)/A23taxstdlife))</f>
        <v>n/a</v>
      </c>
      <c r="P361" s="73" t="str">
        <f>IF(A23taxstdlife="n/a","n/a",IF(P$3&gt;(A23taxstdlife+$E361),(Input!$I$165-Input!$I$199)-SUM($I361:O361),(Input!$I$165-Input!$I$199)/A23taxstdlife))</f>
        <v>n/a</v>
      </c>
      <c r="Q361" s="73" t="str">
        <f>IF(A23taxstdlife="n/a","n/a",IF(Q$3&gt;(A23taxstdlife+$E361),(Input!$I$165-Input!$I$199)-SUM($I361:P361),(Input!$I$165-Input!$I$199)/A23taxstdlife))</f>
        <v>n/a</v>
      </c>
      <c r="R361" s="73"/>
      <c r="S361" s="107"/>
      <c r="T361" s="107"/>
      <c r="U361" s="107"/>
      <c r="V361" s="107"/>
      <c r="W361" s="107"/>
      <c r="X361" s="107"/>
      <c r="Y361" s="107"/>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04"/>
      <c r="BJ361" s="204"/>
      <c r="BK361" s="204"/>
      <c r="BL361" s="204"/>
      <c r="BM361" s="204"/>
      <c r="BN361" s="204"/>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2.75" hidden="1" customHeight="1" outlineLevel="2">
      <c r="A362" s="9"/>
      <c r="B362" s="9"/>
      <c r="C362" s="26"/>
      <c r="D362" s="392"/>
      <c r="E362" s="91">
        <v>3</v>
      </c>
      <c r="F362" s="27"/>
      <c r="G362" s="27"/>
      <c r="H362" s="149"/>
      <c r="I362" s="151"/>
      <c r="J362" s="150"/>
      <c r="K362" s="73" t="str">
        <f>IF(A23taxstdlife="n/a","n/a",IF(K$3&gt;(A23taxstdlife+$E362),(Input!$J$165-Input!$J$199)-SUM($J362:J362),(Input!$J$165-Input!$J$199)/A23taxstdlife))</f>
        <v>n/a</v>
      </c>
      <c r="L362" s="73" t="str">
        <f>IF(A23taxstdlife="n/a","n/a",IF(L$3&gt;(A23taxstdlife+$E362),(Input!$J$165-Input!$J$199)-SUM($J362:K362),(Input!$J$165-Input!$J$199)/A23taxstdlife))</f>
        <v>n/a</v>
      </c>
      <c r="M362" s="73" t="str">
        <f>IF(A23taxstdlife="n/a","n/a",IF(M$3&gt;(A23taxstdlife+$E362),(Input!$J$165-Input!$J$199)-SUM($J362:L362),(Input!$J$165-Input!$J$199)/A23taxstdlife))</f>
        <v>n/a</v>
      </c>
      <c r="N362" s="73" t="str">
        <f>IF(A23taxstdlife="n/a","n/a",IF(N$3&gt;(A23taxstdlife+$E362),(Input!$J$165-Input!$J$199)-SUM($J362:M362),(Input!$J$165-Input!$J$199)/A23taxstdlife))</f>
        <v>n/a</v>
      </c>
      <c r="O362" s="73" t="str">
        <f>IF(A23taxstdlife="n/a","n/a",IF(O$3&gt;(A23taxstdlife+$E362),(Input!$J$165-Input!$J$199)-SUM($J362:N362),(Input!$J$165-Input!$J$199)/A23taxstdlife))</f>
        <v>n/a</v>
      </c>
      <c r="P362" s="73" t="str">
        <f>IF(A23taxstdlife="n/a","n/a",IF(P$3&gt;(A23taxstdlife+$E362),(Input!$J$165-Input!$J$199)-SUM($J362:O362),(Input!$J$165-Input!$J$199)/A23taxstdlife))</f>
        <v>n/a</v>
      </c>
      <c r="Q362" s="73" t="str">
        <f>IF(A23taxstdlife="n/a","n/a",IF(Q$3&gt;(A23taxstdlife+$E362),(Input!$J$165-Input!$J$199)-SUM($J362:P362),(Input!$J$165-Input!$J$199)/A23taxstdlife))</f>
        <v>n/a</v>
      </c>
      <c r="R362" s="73"/>
      <c r="S362" s="107"/>
      <c r="T362" s="107"/>
      <c r="U362" s="107"/>
      <c r="V362" s="107"/>
      <c r="W362" s="107"/>
      <c r="X362" s="107"/>
      <c r="Y362" s="107"/>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5"/>
      <c r="BJ362" s="204"/>
      <c r="BK362" s="204"/>
      <c r="BL362" s="204"/>
      <c r="BM362" s="204"/>
      <c r="BN362" s="204"/>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2.75" hidden="1" customHeight="1" outlineLevel="2">
      <c r="A363" s="9"/>
      <c r="B363" s="9"/>
      <c r="C363" s="26"/>
      <c r="D363" s="392"/>
      <c r="E363" s="91">
        <v>4</v>
      </c>
      <c r="F363" s="27"/>
      <c r="G363" s="27"/>
      <c r="H363" s="149"/>
      <c r="I363" s="151"/>
      <c r="J363" s="151"/>
      <c r="K363" s="150"/>
      <c r="L363" s="73" t="str">
        <f>IF(A23taxstdlife="n/a","n/a",IF(L$3&gt;(A23taxstdlife+$E363),(Input!$K$165-Input!$K$199)-SUM($K363:K363),(Input!$K$165-Input!$K$199)/A23taxstdlife))</f>
        <v>n/a</v>
      </c>
      <c r="M363" s="73" t="str">
        <f>IF(A23taxstdlife="n/a","n/a",IF(M$3&gt;(A23taxstdlife+$E363),(Input!$K$165-Input!$K$199)-SUM($K363:L363),(Input!$K$165-Input!$K$199)/A23taxstdlife))</f>
        <v>n/a</v>
      </c>
      <c r="N363" s="73" t="str">
        <f>IF(A23taxstdlife="n/a","n/a",IF(N$3&gt;(A23taxstdlife+$E363),(Input!$K$165-Input!$K$199)-SUM($K363:M363),(Input!$K$165-Input!$K$199)/A23taxstdlife))</f>
        <v>n/a</v>
      </c>
      <c r="O363" s="73" t="str">
        <f>IF(A23taxstdlife="n/a","n/a",IF(O$3&gt;(A23taxstdlife+$E363),(Input!$K$165-Input!$K$199)-SUM($K363:N363),(Input!$K$165-Input!$K$199)/A23taxstdlife))</f>
        <v>n/a</v>
      </c>
      <c r="P363" s="73" t="str">
        <f>IF(A23taxstdlife="n/a","n/a",IF(P$3&gt;(A23taxstdlife+$E363),(Input!$K$165-Input!$K$199)-SUM($K363:O363),(Input!$K$165-Input!$K$199)/A23taxstdlife))</f>
        <v>n/a</v>
      </c>
      <c r="Q363" s="73" t="str">
        <f>IF(A23taxstdlife="n/a","n/a",IF(Q$3&gt;(A23taxstdlife+$E363),(Input!$K$165-Input!$K$199)-SUM($K363:P363),(Input!$K$165-Input!$K$199)/A23taxstdlife))</f>
        <v>n/a</v>
      </c>
      <c r="R363" s="73"/>
      <c r="S363" s="107"/>
      <c r="T363" s="107"/>
      <c r="U363" s="107"/>
      <c r="V363" s="107"/>
      <c r="W363" s="107"/>
      <c r="X363" s="107"/>
      <c r="Y363" s="107"/>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04"/>
      <c r="BJ363" s="204"/>
      <c r="BK363" s="204"/>
      <c r="BL363" s="204"/>
      <c r="BM363" s="204"/>
      <c r="BN363" s="204"/>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2.75" hidden="1" customHeight="1" outlineLevel="2">
      <c r="A364" s="9"/>
      <c r="B364" s="9"/>
      <c r="C364" s="26"/>
      <c r="D364" s="392"/>
      <c r="E364" s="91">
        <v>5</v>
      </c>
      <c r="F364" s="27"/>
      <c r="G364" s="27"/>
      <c r="H364" s="149"/>
      <c r="I364" s="151"/>
      <c r="J364" s="151"/>
      <c r="K364" s="151"/>
      <c r="L364" s="150"/>
      <c r="M364" s="73" t="str">
        <f>IF(A23taxstdlife="n/a","n/a",IF(M$3&gt;(A23taxstdlife+$E364),(Input!$L$165-Input!$L$199)-SUM($L364:L364),(Input!$L$165-Input!$L$199)/A23taxstdlife))</f>
        <v>n/a</v>
      </c>
      <c r="N364" s="73" t="str">
        <f>IF(A23taxstdlife="n/a","n/a",IF(N$3&gt;(A23taxstdlife+$E364),(Input!$L$165-Input!$L$199)-SUM($L364:M364),(Input!$L$165-Input!$L$199)/A23taxstdlife))</f>
        <v>n/a</v>
      </c>
      <c r="O364" s="73" t="str">
        <f>IF(A23taxstdlife="n/a","n/a",IF(O$3&gt;(A23taxstdlife+$E364),(Input!$L$165-Input!$L$199)-SUM($L364:N364),(Input!$L$165-Input!$L$199)/A23taxstdlife))</f>
        <v>n/a</v>
      </c>
      <c r="P364" s="73" t="str">
        <f>IF(A23taxstdlife="n/a","n/a",IF(P$3&gt;(A23taxstdlife+$E364),(Input!$L$165-Input!$L$199)-SUM($L364:O364),(Input!$L$165-Input!$L$199)/A23taxstdlife))</f>
        <v>n/a</v>
      </c>
      <c r="Q364" s="73" t="str">
        <f>IF(A23taxstdlife="n/a","n/a",IF(Q$3&gt;(A23taxstdlife+$E364),(Input!$L$165-Input!$L$199)-SUM($L364:P364),(Input!$L$165-Input!$L$199)/A23taxstdlife))</f>
        <v>n/a</v>
      </c>
      <c r="R364" s="73"/>
      <c r="S364" s="107"/>
      <c r="T364" s="107"/>
      <c r="U364" s="107"/>
      <c r="V364" s="107"/>
      <c r="W364" s="107"/>
      <c r="X364" s="107"/>
      <c r="Y364" s="107"/>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04"/>
      <c r="BJ364" s="204"/>
      <c r="BK364" s="204"/>
      <c r="BL364" s="204"/>
      <c r="BM364" s="204"/>
      <c r="BN364" s="20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2.75" hidden="1" customHeight="1" outlineLevel="2">
      <c r="A365" s="9"/>
      <c r="B365" s="9"/>
      <c r="C365" s="26"/>
      <c r="D365" s="392"/>
      <c r="E365" s="91">
        <v>6</v>
      </c>
      <c r="F365" s="27"/>
      <c r="G365" s="27"/>
      <c r="H365" s="149"/>
      <c r="I365" s="151"/>
      <c r="J365" s="151"/>
      <c r="K365" s="151"/>
      <c r="L365" s="151"/>
      <c r="M365" s="150"/>
      <c r="N365" s="73" t="str">
        <f>IF(A23taxstdlife="n/a","n/a",IF(N$3&gt;(A23taxstdlife+$E365),(Input!$M$165-Input!$M$199)-SUM($M365:M365),(Input!$M$165-Input!$M$199)/A23taxstdlife))</f>
        <v>n/a</v>
      </c>
      <c r="O365" s="73" t="str">
        <f>IF(A23taxstdlife="n/a","n/a",IF(O$3&gt;(A23taxstdlife+$E365),(Input!$M$165-Input!$M$199)-SUM($M365:N365),(Input!$M$165-Input!$M$199)/A23taxstdlife))</f>
        <v>n/a</v>
      </c>
      <c r="P365" s="73" t="str">
        <f>IF(A23taxstdlife="n/a","n/a",IF(P$3&gt;(A23taxstdlife+$E365),(Input!$M$165-Input!$M$199)-SUM($M365:O365),(Input!$M$165-Input!$M$199)/A23taxstdlife))</f>
        <v>n/a</v>
      </c>
      <c r="Q365" s="73" t="str">
        <f>IF(A23taxstdlife="n/a","n/a",IF(Q$3&gt;(A23taxstdlife+$E365),(Input!$M$165-Input!$M$199)-SUM($M365:P365),(Input!$M$165-Input!$M$199)/A23taxstdlife))</f>
        <v>n/a</v>
      </c>
      <c r="R365" s="73"/>
      <c r="S365" s="107"/>
      <c r="T365" s="107"/>
      <c r="U365" s="107"/>
      <c r="V365" s="107"/>
      <c r="W365" s="107"/>
      <c r="X365" s="107"/>
      <c r="Y365" s="107"/>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04"/>
      <c r="BJ365" s="204"/>
      <c r="BK365" s="204"/>
      <c r="BL365" s="204"/>
      <c r="BM365" s="204"/>
      <c r="BN365" s="204"/>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2.75" hidden="1" customHeight="1" outlineLevel="2">
      <c r="A366" s="9"/>
      <c r="B366" s="9"/>
      <c r="C366" s="26"/>
      <c r="D366" s="392"/>
      <c r="E366" s="91">
        <v>7</v>
      </c>
      <c r="F366" s="27"/>
      <c r="G366" s="27"/>
      <c r="H366" s="149"/>
      <c r="I366" s="151"/>
      <c r="J366" s="151"/>
      <c r="K366" s="151"/>
      <c r="L366" s="151"/>
      <c r="M366" s="151"/>
      <c r="N366" s="150"/>
      <c r="O366" s="73" t="str">
        <f>IF(A23taxstdlife="n/a","n/a",IF(O$3&gt;(A23taxstdlife+$E366),(Input!$N$165-Input!$N$199)-SUM($N366:N366),(Input!$N$165-Input!$N$199)/A23taxstdlife))</f>
        <v>n/a</v>
      </c>
      <c r="P366" s="73" t="str">
        <f>IF(A23taxstdlife="n/a","n/a",IF(P$3&gt;(A23taxstdlife+$E366),(Input!$N$165-Input!$N$199)-SUM($N366:O366),(Input!$N$165-Input!$N$199)/A23taxstdlife))</f>
        <v>n/a</v>
      </c>
      <c r="Q366" s="73" t="str">
        <f>IF(A23taxstdlife="n/a","n/a",IF(Q$3&gt;(A23taxstdlife+$E366),(Input!$N$165-Input!$N$199)-SUM($N366:P366),(Input!$N$165-Input!$N$199)/A23taxstdlife))</f>
        <v>n/a</v>
      </c>
      <c r="R366" s="73"/>
      <c r="S366" s="107"/>
      <c r="T366" s="107"/>
      <c r="U366" s="107"/>
      <c r="V366" s="107"/>
      <c r="W366" s="107"/>
      <c r="X366" s="107"/>
      <c r="Y366" s="107"/>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04"/>
      <c r="BJ366" s="204"/>
      <c r="BK366" s="204"/>
      <c r="BL366" s="204"/>
      <c r="BM366" s="204"/>
      <c r="BN366" s="204"/>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2.75" hidden="1" customHeight="1" outlineLevel="2">
      <c r="A367" s="9"/>
      <c r="B367" s="9"/>
      <c r="C367" s="26"/>
      <c r="D367" s="392"/>
      <c r="E367" s="91">
        <v>8</v>
      </c>
      <c r="F367" s="27"/>
      <c r="G367" s="27"/>
      <c r="H367" s="149"/>
      <c r="I367" s="151"/>
      <c r="J367" s="151"/>
      <c r="K367" s="151"/>
      <c r="L367" s="151"/>
      <c r="M367" s="151"/>
      <c r="N367" s="151"/>
      <c r="O367" s="150"/>
      <c r="P367" s="73" t="str">
        <f>IF(A23taxstdlife="n/a","n/a",IF(P$3&gt;(A23taxstdlife+$E367),(Input!$O$165-Input!$O$199)-SUM($O367:O367),(Input!$O$165-Input!$O$199)/A23taxstdlife))</f>
        <v>n/a</v>
      </c>
      <c r="Q367" s="73" t="str">
        <f>IF(A23taxstdlife="n/a","n/a",IF(Q$3&gt;(A23taxstdlife+$E367),(Input!$O$165-Input!$O$199)-SUM($O367:P367),(Input!$O$165-Input!$O$199)/A23taxstdlife))</f>
        <v>n/a</v>
      </c>
      <c r="R367" s="73"/>
      <c r="S367" s="107"/>
      <c r="T367" s="107"/>
      <c r="U367" s="107"/>
      <c r="V367" s="107"/>
      <c r="W367" s="107"/>
      <c r="X367" s="107"/>
      <c r="Y367" s="107"/>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04"/>
      <c r="BJ367" s="204"/>
      <c r="BK367" s="204"/>
      <c r="BL367" s="204"/>
      <c r="BM367" s="204"/>
      <c r="BN367" s="204"/>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2.75" hidden="1" customHeight="1" outlineLevel="2">
      <c r="A368" s="9"/>
      <c r="B368" s="9"/>
      <c r="C368" s="26"/>
      <c r="D368" s="392"/>
      <c r="E368" s="91">
        <v>9</v>
      </c>
      <c r="F368" s="27"/>
      <c r="G368" s="27"/>
      <c r="H368" s="149"/>
      <c r="I368" s="151"/>
      <c r="J368" s="151"/>
      <c r="K368" s="151"/>
      <c r="L368" s="151"/>
      <c r="M368" s="151"/>
      <c r="N368" s="151"/>
      <c r="O368" s="151"/>
      <c r="P368" s="150"/>
      <c r="Q368" s="73" t="str">
        <f>IF(A23taxstdlife="n/a","n/a",IF(Q$3&gt;(A23taxstdlife+$E368),(Input!$P$165-Input!$P$199)-SUM($P368:P368),(Input!$P$165-Input!$P$199)/A23taxstdlife))</f>
        <v>n/a</v>
      </c>
      <c r="R368" s="73"/>
      <c r="S368" s="107"/>
      <c r="T368" s="107"/>
      <c r="U368" s="107"/>
      <c r="V368" s="107"/>
      <c r="W368" s="107"/>
      <c r="X368" s="107"/>
      <c r="Y368" s="107"/>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04"/>
      <c r="BJ368" s="204"/>
      <c r="BK368" s="204"/>
      <c r="BL368" s="204"/>
      <c r="BM368" s="204"/>
      <c r="BN368" s="204"/>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2.75" hidden="1" customHeight="1" outlineLevel="2">
      <c r="A369" s="9"/>
      <c r="B369" s="9"/>
      <c r="C369" s="26"/>
      <c r="D369" s="392"/>
      <c r="E369" s="92">
        <v>10</v>
      </c>
      <c r="F369" s="27"/>
      <c r="G369" s="27"/>
      <c r="H369" s="149"/>
      <c r="I369" s="151"/>
      <c r="J369" s="151"/>
      <c r="K369" s="151"/>
      <c r="L369" s="151"/>
      <c r="M369" s="151"/>
      <c r="N369" s="151"/>
      <c r="O369" s="151"/>
      <c r="P369" s="151"/>
      <c r="Q369" s="150"/>
      <c r="R369" s="73"/>
      <c r="S369" s="107"/>
      <c r="T369" s="107"/>
      <c r="U369" s="107"/>
      <c r="V369" s="107"/>
      <c r="W369" s="107"/>
      <c r="X369" s="107"/>
      <c r="Y369" s="107"/>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04"/>
      <c r="BJ369" s="204"/>
      <c r="BK369" s="204"/>
      <c r="BL369" s="204"/>
      <c r="BM369" s="204"/>
      <c r="BN369" s="204"/>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idden="1" outlineLevel="1" collapsed="1">
      <c r="A370" s="9"/>
      <c r="B370" s="9"/>
      <c r="C370" s="279" t="str">
        <f>Asset23</f>
        <v>Land and Easements</v>
      </c>
      <c r="D370" s="9"/>
      <c r="E370" s="9"/>
      <c r="F370" s="23"/>
      <c r="G370" s="23"/>
      <c r="H370" s="305">
        <f>-SUM(H358:H369)</f>
        <v>0</v>
      </c>
      <c r="I370" s="164">
        <f>-SUM(I358:I369)</f>
        <v>0</v>
      </c>
      <c r="J370" s="164">
        <f>-SUM(J358:J369)</f>
        <v>0</v>
      </c>
      <c r="K370" s="164">
        <f>-SUM(K358:K369)</f>
        <v>0</v>
      </c>
      <c r="L370" s="164">
        <f>-SUM(L358:L369)</f>
        <v>0</v>
      </c>
      <c r="M370" s="164">
        <f>IF(COUNT($H370:L370)&gt;=Input!$W$7,0, -SUM(M358:M369))</f>
        <v>0</v>
      </c>
      <c r="N370" s="164">
        <f>IF(COUNT($H370:M370)&gt;=Input!$W$7,0, -SUM(N358:N369))</f>
        <v>0</v>
      </c>
      <c r="O370" s="164">
        <f>IF(COUNT($H370:N370)&gt;=Input!$W$7,0, -SUM(O358:O369))</f>
        <v>0</v>
      </c>
      <c r="P370" s="164">
        <f>IF(COUNT($H370:O370)&gt;=Input!$W$7,0, -SUM(P358:P369))</f>
        <v>0</v>
      </c>
      <c r="Q370" s="164">
        <f>IF(COUNT($H370:P370)&gt;=Input!$W$7,0, -SUM(Q358:Q369))</f>
        <v>0</v>
      </c>
      <c r="R370" s="164"/>
      <c r="S370" s="106"/>
      <c r="T370" s="106"/>
      <c r="U370" s="106"/>
      <c r="V370" s="106"/>
      <c r="W370" s="106"/>
      <c r="X370" s="106"/>
      <c r="Y370" s="106"/>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04"/>
      <c r="BJ370" s="204"/>
      <c r="BK370" s="204"/>
      <c r="BL370" s="204"/>
      <c r="BM370" s="204"/>
      <c r="BN370" s="204"/>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2.75" hidden="1" customHeight="1" outlineLevel="2">
      <c r="A371" s="9"/>
      <c r="B371" s="280" t="str">
        <f>Asset24</f>
        <v>Equity Raising</v>
      </c>
      <c r="C371" s="31"/>
      <c r="D371" s="32" t="s">
        <v>65</v>
      </c>
      <c r="E371" s="31"/>
      <c r="F371" s="308"/>
      <c r="G371" s="308"/>
      <c r="H371" s="72" t="str">
        <f>IF(H$3&gt;A24taxremlife,A24taxvalue-SUM($F371:F371),IF(A24taxremlife="N/A","n/a",A24taxvalue/A24taxremlife))</f>
        <v>n/a</v>
      </c>
      <c r="I371" s="72" t="str">
        <f>IF(I$3&gt;A24taxremlife,A24taxvalue-SUM($F371:H371),IF(A24taxremlife="N/A","n/a",A24taxvalue/A24taxremlife))</f>
        <v>n/a</v>
      </c>
      <c r="J371" s="72" t="str">
        <f>IF(J$3&gt;A24taxremlife,A24taxvalue-SUM($F371:I371),IF(A24taxremlife="N/A","n/a",A24taxvalue/A24taxremlife))</f>
        <v>n/a</v>
      </c>
      <c r="K371" s="72" t="str">
        <f>IF(K$3&gt;A24taxremlife,A24taxvalue-SUM($F371:J371),IF(A24taxremlife="N/A","n/a",A24taxvalue/A24taxremlife))</f>
        <v>n/a</v>
      </c>
      <c r="L371" s="72" t="str">
        <f>IF(L$3&gt;A24taxremlife,A24taxvalue-SUM($F371:K371),IF(A24taxremlife="N/A","n/a",A24taxvalue/A24taxremlife))</f>
        <v>n/a</v>
      </c>
      <c r="M371" s="72" t="str">
        <f>IF(M$3&gt;A24taxremlife,A24taxvalue-SUM($F371:L371),IF(A24taxremlife="N/A","n/a",A24taxvalue/A24taxremlife))</f>
        <v>n/a</v>
      </c>
      <c r="N371" s="72" t="str">
        <f>IF(N$3&gt;A24taxremlife,A24taxvalue-SUM($F371:M371),IF(A24taxremlife="N/A","n/a",A24taxvalue/A24taxremlife))</f>
        <v>n/a</v>
      </c>
      <c r="O371" s="72" t="str">
        <f>IF(O$3&gt;A24taxremlife,A24taxvalue-SUM($F371:N371),IF(A24taxremlife="N/A","n/a",A24taxvalue/A24taxremlife))</f>
        <v>n/a</v>
      </c>
      <c r="P371" s="72" t="str">
        <f>IF(P$3&gt;A24taxremlife,A24taxvalue-SUM($F371:O371),IF(A24taxremlife="N/A","n/a",A24taxvalue/A24taxremlife))</f>
        <v>n/a</v>
      </c>
      <c r="Q371" s="72" t="str">
        <f>IF(Q$3&gt;A24taxremlife,A24taxvalue-SUM($F371:P371),IF(A24taxremlife="N/A","n/a",A24taxvalue/A24taxremlife))</f>
        <v>n/a</v>
      </c>
      <c r="R371" s="72"/>
      <c r="S371" s="107"/>
      <c r="T371" s="107"/>
      <c r="U371" s="107"/>
      <c r="V371" s="107"/>
      <c r="W371" s="107"/>
      <c r="X371" s="107"/>
      <c r="Y371" s="107"/>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04"/>
      <c r="BJ371" s="204"/>
      <c r="BK371" s="204"/>
      <c r="BL371" s="204"/>
      <c r="BM371" s="204"/>
      <c r="BN371" s="204"/>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2.75" hidden="1" customHeight="1" outlineLevel="2">
      <c r="A372" s="9"/>
      <c r="B372" s="9"/>
      <c r="C372" s="26"/>
      <c r="D372" s="391" t="s">
        <v>81</v>
      </c>
      <c r="E372" s="91"/>
      <c r="F372" s="27"/>
      <c r="G372" s="27"/>
      <c r="H372" s="107"/>
      <c r="I372" s="73"/>
      <c r="J372" s="73"/>
      <c r="K372" s="73"/>
      <c r="L372" s="73"/>
      <c r="M372" s="73"/>
      <c r="N372" s="73"/>
      <c r="O372" s="73"/>
      <c r="P372" s="73"/>
      <c r="Q372" s="73"/>
      <c r="R372" s="73"/>
      <c r="S372" s="107"/>
      <c r="T372" s="107"/>
      <c r="U372" s="107"/>
      <c r="V372" s="107"/>
      <c r="W372" s="107"/>
      <c r="X372" s="107"/>
      <c r="Y372" s="107"/>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04"/>
      <c r="BJ372" s="204"/>
      <c r="BK372" s="204"/>
      <c r="BL372" s="204"/>
      <c r="BM372" s="204"/>
      <c r="BN372" s="204"/>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2.75" hidden="1" customHeight="1" outlineLevel="2">
      <c r="A373" s="9"/>
      <c r="B373" s="9"/>
      <c r="C373" s="26"/>
      <c r="D373" s="392"/>
      <c r="E373" s="91">
        <v>1</v>
      </c>
      <c r="F373" s="27"/>
      <c r="G373" s="27"/>
      <c r="H373" s="148"/>
      <c r="I373" s="73" t="str">
        <f>IF(A24taxstdlife="n/a","n/a",IF(I$3&gt;(A24taxstdlife+$E373),(Input!$H$166-Input!$H$200)-SUM($H373:H373),(Input!$H$166-Input!$H$200)/A24taxstdlife))</f>
        <v>n/a</v>
      </c>
      <c r="J373" s="73" t="str">
        <f>IF(A24taxstdlife="n/a","n/a",IF(J$3&gt;(A24taxstdlife+$E373),(Input!$H$166-Input!$H$200)-SUM($H373:I373),(Input!$H$166-Input!$H$200)/A24taxstdlife))</f>
        <v>n/a</v>
      </c>
      <c r="K373" s="73" t="str">
        <f>IF(A24taxstdlife="n/a","n/a",IF(K$3&gt;(A24taxstdlife+$E373),(Input!$H$166-Input!$H$200)-SUM($H373:J373),(Input!$H$166-Input!$H$200)/A24taxstdlife))</f>
        <v>n/a</v>
      </c>
      <c r="L373" s="73" t="str">
        <f>IF(A24taxstdlife="n/a","n/a",IF(L$3&gt;(A24taxstdlife+$E373),(Input!$H$166-Input!$H$200)-SUM($H373:K373),(Input!$H$166-Input!$H$200)/A24taxstdlife))</f>
        <v>n/a</v>
      </c>
      <c r="M373" s="73" t="str">
        <f>IF(A24taxstdlife="n/a","n/a",IF(M$3&gt;(A24taxstdlife+$E373),(Input!$H$166-Input!$H$200)-SUM($H373:L373),(Input!$H$166-Input!$H$200)/A24taxstdlife))</f>
        <v>n/a</v>
      </c>
      <c r="N373" s="73" t="str">
        <f>IF(A24taxstdlife="n/a","n/a",IF(N$3&gt;(A24taxstdlife+$E373),(Input!$H$166-Input!$H$200)-SUM($H373:M373),(Input!$H$166-Input!$H$200)/A24taxstdlife))</f>
        <v>n/a</v>
      </c>
      <c r="O373" s="73" t="str">
        <f>IF(A24taxstdlife="n/a","n/a",IF(O$3&gt;(A24taxstdlife+$E373),(Input!$H$166-Input!$H$200)-SUM($H373:N373),(Input!$H$166-Input!$H$200)/A24taxstdlife))</f>
        <v>n/a</v>
      </c>
      <c r="P373" s="73" t="str">
        <f>IF(A24taxstdlife="n/a","n/a",IF(P$3&gt;(A24taxstdlife+$E373),(Input!$H$166-Input!$H$200)-SUM($H373:O373),(Input!$H$166-Input!$H$200)/A24taxstdlife))</f>
        <v>n/a</v>
      </c>
      <c r="Q373" s="73" t="str">
        <f>IF(A24taxstdlife="n/a","n/a",IF(Q$3&gt;(A24taxstdlife+$E373),(Input!$H$166-Input!$H$200)-SUM($H373:P373),(Input!$H$166-Input!$H$200)/A24taxstdlife))</f>
        <v>n/a</v>
      </c>
      <c r="R373" s="73"/>
      <c r="S373" s="107"/>
      <c r="T373" s="107"/>
      <c r="U373" s="107"/>
      <c r="V373" s="107"/>
      <c r="W373" s="107"/>
      <c r="X373" s="107"/>
      <c r="Y373" s="107"/>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04"/>
      <c r="BJ373" s="204"/>
      <c r="BK373" s="204"/>
      <c r="BL373" s="204"/>
      <c r="BM373" s="204"/>
      <c r="BN373" s="204"/>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2.75" hidden="1" customHeight="1" outlineLevel="2">
      <c r="A374" s="9"/>
      <c r="B374" s="9"/>
      <c r="C374" s="26"/>
      <c r="D374" s="392"/>
      <c r="E374" s="91">
        <v>2</v>
      </c>
      <c r="F374" s="27"/>
      <c r="G374" s="27"/>
      <c r="H374" s="149"/>
      <c r="I374" s="150"/>
      <c r="J374" s="73" t="str">
        <f>IF(A24taxstdlife="n/a","n/a",IF(J$3&gt;(A24taxstdlife+$E374),(Input!$I$166-Input!$I$200)-SUM($I374:I374),(Input!$I$166-Input!$I$200)/A24taxstdlife))</f>
        <v>n/a</v>
      </c>
      <c r="K374" s="73" t="str">
        <f>IF(A24taxstdlife="n/a","n/a",IF(K$3&gt;(A24taxstdlife+$E374),(Input!$I$166-Input!$I$200)-SUM($I374:J374),(Input!$I$166-Input!$I$200)/A24taxstdlife))</f>
        <v>n/a</v>
      </c>
      <c r="L374" s="73" t="str">
        <f>IF(A24taxstdlife="n/a","n/a",IF(L$3&gt;(A24taxstdlife+$E374),(Input!$I$166-Input!$I$200)-SUM($I374:K374),(Input!$I$166-Input!$I$200)/A24taxstdlife))</f>
        <v>n/a</v>
      </c>
      <c r="M374" s="73" t="str">
        <f>IF(A24taxstdlife="n/a","n/a",IF(M$3&gt;(A24taxstdlife+$E374),(Input!$I$166-Input!$I$200)-SUM($I374:L374),(Input!$I$166-Input!$I$200)/A24taxstdlife))</f>
        <v>n/a</v>
      </c>
      <c r="N374" s="73" t="str">
        <f>IF(A24taxstdlife="n/a","n/a",IF(N$3&gt;(A24taxstdlife+$E374),(Input!$I$166-Input!$I$200)-SUM($I374:M374),(Input!$I$166-Input!$I$200)/A24taxstdlife))</f>
        <v>n/a</v>
      </c>
      <c r="O374" s="73" t="str">
        <f>IF(A24taxstdlife="n/a","n/a",IF(O$3&gt;(A24taxstdlife+$E374),(Input!$I$166-Input!$I$200)-SUM($I374:N374),(Input!$I$166-Input!$I$200)/A24taxstdlife))</f>
        <v>n/a</v>
      </c>
      <c r="P374" s="73" t="str">
        <f>IF(A24taxstdlife="n/a","n/a",IF(P$3&gt;(A24taxstdlife+$E374),(Input!$I$166-Input!$I$200)-SUM($I374:O374),(Input!$I$166-Input!$I$200)/A24taxstdlife))</f>
        <v>n/a</v>
      </c>
      <c r="Q374" s="73" t="str">
        <f>IF(A24taxstdlife="n/a","n/a",IF(Q$3&gt;(A24taxstdlife+$E374),(Input!$I$166-Input!$I$200)-SUM($I374:P374),(Input!$I$166-Input!$I$200)/A24taxstdlife))</f>
        <v>n/a</v>
      </c>
      <c r="R374" s="73"/>
      <c r="S374" s="107"/>
      <c r="T374" s="107"/>
      <c r="U374" s="107"/>
      <c r="V374" s="107"/>
      <c r="W374" s="107"/>
      <c r="X374" s="107"/>
      <c r="Y374" s="107"/>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04"/>
      <c r="BJ374" s="204"/>
      <c r="BK374" s="204"/>
      <c r="BL374" s="204"/>
      <c r="BM374" s="204"/>
      <c r="BN374" s="20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2.75" hidden="1" customHeight="1" outlineLevel="2">
      <c r="A375" s="9"/>
      <c r="B375" s="9"/>
      <c r="C375" s="26"/>
      <c r="D375" s="392"/>
      <c r="E375" s="91">
        <v>3</v>
      </c>
      <c r="F375" s="27"/>
      <c r="G375" s="27"/>
      <c r="H375" s="149"/>
      <c r="I375" s="151"/>
      <c r="J375" s="150"/>
      <c r="K375" s="73" t="str">
        <f>IF(A24taxstdlife="n/a","n/a",IF(K$3&gt;(A24taxstdlife+$E375),(Input!$J$166-Input!$J$200)-SUM($J375:J375),(Input!$J$166-Input!$J$200)/A24taxstdlife))</f>
        <v>n/a</v>
      </c>
      <c r="L375" s="73" t="str">
        <f>IF(A24taxstdlife="n/a","n/a",IF(L$3&gt;(A24taxstdlife+$E375),(Input!$J$166-Input!$J$200)-SUM($J375:K375),(Input!$J$166-Input!$J$200)/A24taxstdlife))</f>
        <v>n/a</v>
      </c>
      <c r="M375" s="73" t="str">
        <f>IF(A24taxstdlife="n/a","n/a",IF(M$3&gt;(A24taxstdlife+$E375),(Input!$J$166-Input!$J$200)-SUM($J375:L375),(Input!$J$166-Input!$J$200)/A24taxstdlife))</f>
        <v>n/a</v>
      </c>
      <c r="N375" s="73" t="str">
        <f>IF(A24taxstdlife="n/a","n/a",IF(N$3&gt;(A24taxstdlife+$E375),(Input!$J$166-Input!$J$200)-SUM($J375:M375),(Input!$J$166-Input!$J$200)/A24taxstdlife))</f>
        <v>n/a</v>
      </c>
      <c r="O375" s="73" t="str">
        <f>IF(A24taxstdlife="n/a","n/a",IF(O$3&gt;(A24taxstdlife+$E375),(Input!$J$166-Input!$J$200)-SUM($J375:N375),(Input!$J$166-Input!$J$200)/A24taxstdlife))</f>
        <v>n/a</v>
      </c>
      <c r="P375" s="73" t="str">
        <f>IF(A24taxstdlife="n/a","n/a",IF(P$3&gt;(A24taxstdlife+$E375),(Input!$J$166-Input!$J$200)-SUM($J375:O375),(Input!$J$166-Input!$J$200)/A24taxstdlife))</f>
        <v>n/a</v>
      </c>
      <c r="Q375" s="73" t="str">
        <f>IF(A24taxstdlife="n/a","n/a",IF(Q$3&gt;(A24taxstdlife+$E375),(Input!$J$166-Input!$J$200)-SUM($J375:P375),(Input!$J$166-Input!$J$200)/A24taxstdlife))</f>
        <v>n/a</v>
      </c>
      <c r="R375" s="73"/>
      <c r="S375" s="107"/>
      <c r="T375" s="107"/>
      <c r="U375" s="107"/>
      <c r="V375" s="107"/>
      <c r="W375" s="107"/>
      <c r="X375" s="107"/>
      <c r="Y375" s="107"/>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5"/>
      <c r="BJ375" s="204"/>
      <c r="BK375" s="204"/>
      <c r="BL375" s="204"/>
      <c r="BM375" s="204"/>
      <c r="BN375" s="204"/>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2.75" hidden="1" customHeight="1" outlineLevel="2">
      <c r="A376" s="9"/>
      <c r="B376" s="9"/>
      <c r="C376" s="26"/>
      <c r="D376" s="392"/>
      <c r="E376" s="91">
        <v>4</v>
      </c>
      <c r="F376" s="27"/>
      <c r="G376" s="27"/>
      <c r="H376" s="149"/>
      <c r="I376" s="151"/>
      <c r="J376" s="151"/>
      <c r="K376" s="150"/>
      <c r="L376" s="73" t="str">
        <f>IF(A24taxstdlife="n/a","n/a",IF(L$3&gt;(A24taxstdlife+$E376),(Input!$K$166-Input!$K$200)-SUM($K376:K376),(Input!$K$166-Input!$K$200)/A24taxstdlife))</f>
        <v>n/a</v>
      </c>
      <c r="M376" s="73" t="str">
        <f>IF(A24taxstdlife="n/a","n/a",IF(M$3&gt;(A24taxstdlife+$E376),(Input!$K$166-Input!$K$200)-SUM($K376:L376),(Input!$K$166-Input!$K$200)/A24taxstdlife))</f>
        <v>n/a</v>
      </c>
      <c r="N376" s="73" t="str">
        <f>IF(A24taxstdlife="n/a","n/a",IF(N$3&gt;(A24taxstdlife+$E376),(Input!$K$166-Input!$K$200)-SUM($K376:M376),(Input!$K$166-Input!$K$200)/A24taxstdlife))</f>
        <v>n/a</v>
      </c>
      <c r="O376" s="73" t="str">
        <f>IF(A24taxstdlife="n/a","n/a",IF(O$3&gt;(A24taxstdlife+$E376),(Input!$K$166-Input!$K$200)-SUM($K376:N376),(Input!$K$166-Input!$K$200)/A24taxstdlife))</f>
        <v>n/a</v>
      </c>
      <c r="P376" s="73" t="str">
        <f>IF(A24taxstdlife="n/a","n/a",IF(P$3&gt;(A24taxstdlife+$E376),(Input!$K$166-Input!$K$200)-SUM($K376:O376),(Input!$K$166-Input!$K$200)/A24taxstdlife))</f>
        <v>n/a</v>
      </c>
      <c r="Q376" s="73" t="str">
        <f>IF(A24taxstdlife="n/a","n/a",IF(Q$3&gt;(A24taxstdlife+$E376),(Input!$K$166-Input!$K$200)-SUM($K376:P376),(Input!$K$166-Input!$K$200)/A24taxstdlife))</f>
        <v>n/a</v>
      </c>
      <c r="R376" s="73"/>
      <c r="S376" s="107"/>
      <c r="T376" s="107"/>
      <c r="U376" s="107"/>
      <c r="V376" s="107"/>
      <c r="W376" s="107"/>
      <c r="X376" s="107"/>
      <c r="Y376" s="107"/>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04"/>
      <c r="BJ376" s="204"/>
      <c r="BK376" s="204"/>
      <c r="BL376" s="204"/>
      <c r="BM376" s="204"/>
      <c r="BN376" s="204"/>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2.75" hidden="1" customHeight="1" outlineLevel="2">
      <c r="A377" s="9"/>
      <c r="B377" s="9"/>
      <c r="C377" s="26"/>
      <c r="D377" s="392"/>
      <c r="E377" s="91">
        <v>5</v>
      </c>
      <c r="F377" s="27"/>
      <c r="G377" s="27"/>
      <c r="H377" s="149"/>
      <c r="I377" s="151"/>
      <c r="J377" s="151"/>
      <c r="K377" s="151"/>
      <c r="L377" s="150"/>
      <c r="M377" s="73" t="str">
        <f>IF(A24taxstdlife="n/a","n/a",IF(M$3&gt;(A24taxstdlife+$E377),(Input!$L$166-Input!$L$200)-SUM($L377:L377),(Input!$L$166-Input!$L$200)/A24taxstdlife))</f>
        <v>n/a</v>
      </c>
      <c r="N377" s="73" t="str">
        <f>IF(A24taxstdlife="n/a","n/a",IF(N$3&gt;(A24taxstdlife+$E377),(Input!$L$166-Input!$L$200)-SUM($L377:M377),(Input!$L$166-Input!$L$200)/A24taxstdlife))</f>
        <v>n/a</v>
      </c>
      <c r="O377" s="73" t="str">
        <f>IF(A24taxstdlife="n/a","n/a",IF(O$3&gt;(A24taxstdlife+$E377),(Input!$L$166-Input!$L$200)-SUM($L377:N377),(Input!$L$166-Input!$L$200)/A24taxstdlife))</f>
        <v>n/a</v>
      </c>
      <c r="P377" s="73" t="str">
        <f>IF(A24taxstdlife="n/a","n/a",IF(P$3&gt;(A24taxstdlife+$E377),(Input!$L$166-Input!$L$200)-SUM($L377:O377),(Input!$L$166-Input!$L$200)/A24taxstdlife))</f>
        <v>n/a</v>
      </c>
      <c r="Q377" s="73" t="str">
        <f>IF(A24taxstdlife="n/a","n/a",IF(Q$3&gt;(A24taxstdlife+$E377),(Input!$L$166-Input!$L$200)-SUM($L377:P377),(Input!$L$166-Input!$L$200)/A24taxstdlife))</f>
        <v>n/a</v>
      </c>
      <c r="R377" s="73"/>
      <c r="S377" s="107"/>
      <c r="T377" s="107"/>
      <c r="U377" s="107"/>
      <c r="V377" s="107"/>
      <c r="W377" s="107"/>
      <c r="X377" s="107"/>
      <c r="Y377" s="107"/>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04"/>
      <c r="BJ377" s="204"/>
      <c r="BK377" s="204"/>
      <c r="BL377" s="204"/>
      <c r="BM377" s="204"/>
      <c r="BN377" s="204"/>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2.75" hidden="1" customHeight="1" outlineLevel="2">
      <c r="A378" s="9"/>
      <c r="B378" s="9"/>
      <c r="C378" s="26"/>
      <c r="D378" s="392"/>
      <c r="E378" s="91">
        <v>6</v>
      </c>
      <c r="F378" s="27"/>
      <c r="G378" s="27"/>
      <c r="H378" s="149"/>
      <c r="I378" s="151"/>
      <c r="J378" s="151"/>
      <c r="K378" s="151"/>
      <c r="L378" s="151"/>
      <c r="M378" s="150"/>
      <c r="N378" s="73" t="str">
        <f>IF(A24taxstdlife="n/a","n/a",IF(N$3&gt;(A24taxstdlife+$E378),(Input!$M$166-Input!$M$200)-SUM($M378:M378),(Input!$M$166-Input!$M$200)/A24taxstdlife))</f>
        <v>n/a</v>
      </c>
      <c r="O378" s="73" t="str">
        <f>IF(A24taxstdlife="n/a","n/a",IF(O$3&gt;(A24taxstdlife+$E378),(Input!$M$166-Input!$M$200)-SUM($M378:N378),(Input!$M$166-Input!$M$200)/A24taxstdlife))</f>
        <v>n/a</v>
      </c>
      <c r="P378" s="73" t="str">
        <f>IF(A24taxstdlife="n/a","n/a",IF(P$3&gt;(A24taxstdlife+$E378),(Input!$M$166-Input!$M$200)-SUM($M378:O378),(Input!$M$166-Input!$M$200)/A24taxstdlife))</f>
        <v>n/a</v>
      </c>
      <c r="Q378" s="73" t="str">
        <f>IF(A24taxstdlife="n/a","n/a",IF(Q$3&gt;(A24taxstdlife+$E378),(Input!$M$166-Input!$M$200)-SUM($M378:P378),(Input!$M$166-Input!$M$200)/A24taxstdlife))</f>
        <v>n/a</v>
      </c>
      <c r="R378" s="73"/>
      <c r="S378" s="107"/>
      <c r="T378" s="107"/>
      <c r="U378" s="107"/>
      <c r="V378" s="107"/>
      <c r="W378" s="107"/>
      <c r="X378" s="107"/>
      <c r="Y378" s="107"/>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04"/>
      <c r="BJ378" s="204"/>
      <c r="BK378" s="204"/>
      <c r="BL378" s="204"/>
      <c r="BM378" s="204"/>
      <c r="BN378" s="204"/>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2.75" hidden="1" customHeight="1" outlineLevel="2">
      <c r="A379" s="9"/>
      <c r="B379" s="9"/>
      <c r="C379" s="26"/>
      <c r="D379" s="392"/>
      <c r="E379" s="91">
        <v>7</v>
      </c>
      <c r="F379" s="27"/>
      <c r="G379" s="27"/>
      <c r="H379" s="149"/>
      <c r="I379" s="151"/>
      <c r="J379" s="151"/>
      <c r="K379" s="151"/>
      <c r="L379" s="151"/>
      <c r="M379" s="151"/>
      <c r="N379" s="150"/>
      <c r="O379" s="73" t="str">
        <f>IF(A24taxstdlife="n/a","n/a",IF(O$3&gt;(A24taxstdlife+$E379),(Input!$N$166-Input!$N$200)-SUM($N379:N379),(Input!$N$166-Input!$N$200)/A24taxstdlife))</f>
        <v>n/a</v>
      </c>
      <c r="P379" s="73" t="str">
        <f>IF(A24taxstdlife="n/a","n/a",IF(P$3&gt;(A24taxstdlife+$E379),(Input!$N$166-Input!$N$200)-SUM($N379:O379),(Input!$N$166-Input!$N$200)/A24taxstdlife))</f>
        <v>n/a</v>
      </c>
      <c r="Q379" s="73" t="str">
        <f>IF(A24taxstdlife="n/a","n/a",IF(Q$3&gt;(A24taxstdlife+$E379),(Input!$N$166-Input!$N$200)-SUM($N379:P379),(Input!$N$166-Input!$N$200)/A24taxstdlife))</f>
        <v>n/a</v>
      </c>
      <c r="R379" s="73"/>
      <c r="S379" s="107"/>
      <c r="T379" s="107"/>
      <c r="U379" s="107"/>
      <c r="V379" s="107"/>
      <c r="W379" s="107"/>
      <c r="X379" s="107"/>
      <c r="Y379" s="107"/>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04"/>
      <c r="BJ379" s="204"/>
      <c r="BK379" s="204"/>
      <c r="BL379" s="204"/>
      <c r="BM379" s="204"/>
      <c r="BN379" s="204"/>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2.75" hidden="1" customHeight="1" outlineLevel="2">
      <c r="A380" s="9"/>
      <c r="B380" s="9"/>
      <c r="C380" s="26"/>
      <c r="D380" s="392"/>
      <c r="E380" s="91">
        <v>8</v>
      </c>
      <c r="F380" s="27"/>
      <c r="G380" s="27"/>
      <c r="H380" s="149"/>
      <c r="I380" s="151"/>
      <c r="J380" s="151"/>
      <c r="K380" s="151"/>
      <c r="L380" s="151"/>
      <c r="M380" s="151"/>
      <c r="N380" s="151"/>
      <c r="O380" s="150"/>
      <c r="P380" s="73" t="str">
        <f>IF(A24taxstdlife="n/a","n/a",IF(P$3&gt;(A24taxstdlife+$E380),(Input!$O$166-Input!$O$200)-SUM($O380:O380),(Input!$O$166-Input!$O$200)/A24taxstdlife))</f>
        <v>n/a</v>
      </c>
      <c r="Q380" s="73" t="str">
        <f>IF(A24taxstdlife="n/a","n/a",IF(Q$3&gt;(A24taxstdlife+$E380),(Input!$O$166-Input!$O$200)-SUM($O380:P380),(Input!$O$166-Input!$O$200)/A24taxstdlife))</f>
        <v>n/a</v>
      </c>
      <c r="R380" s="73"/>
      <c r="S380" s="107"/>
      <c r="T380" s="107"/>
      <c r="U380" s="107"/>
      <c r="V380" s="107"/>
      <c r="W380" s="107"/>
      <c r="X380" s="107"/>
      <c r="Y380" s="107"/>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04"/>
      <c r="BJ380" s="204"/>
      <c r="BK380" s="204"/>
      <c r="BL380" s="204"/>
      <c r="BM380" s="204"/>
      <c r="BN380" s="204"/>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2.75" hidden="1" customHeight="1" outlineLevel="2">
      <c r="A381" s="9"/>
      <c r="B381" s="9"/>
      <c r="C381" s="26"/>
      <c r="D381" s="392"/>
      <c r="E381" s="91">
        <v>9</v>
      </c>
      <c r="F381" s="27"/>
      <c r="G381" s="27"/>
      <c r="H381" s="149"/>
      <c r="I381" s="151"/>
      <c r="J381" s="151"/>
      <c r="K381" s="151"/>
      <c r="L381" s="151"/>
      <c r="M381" s="151"/>
      <c r="N381" s="151"/>
      <c r="O381" s="151"/>
      <c r="P381" s="150"/>
      <c r="Q381" s="73" t="str">
        <f>IF(A24taxstdlife="n/a","n/a",IF(Q$3&gt;(A24taxstdlife+$E381),(Input!$P$166-Input!$P$200)-SUM($P381:P381),(Input!$P$166-Input!$P$200)/A24taxstdlife))</f>
        <v>n/a</v>
      </c>
      <c r="R381" s="73"/>
      <c r="S381" s="107"/>
      <c r="T381" s="107"/>
      <c r="U381" s="107"/>
      <c r="V381" s="107"/>
      <c r="W381" s="107"/>
      <c r="X381" s="107"/>
      <c r="Y381" s="107"/>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04"/>
      <c r="BJ381" s="204"/>
      <c r="BK381" s="204"/>
      <c r="BL381" s="204"/>
      <c r="BM381" s="204"/>
      <c r="BN381" s="204"/>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2.75" hidden="1" customHeight="1" outlineLevel="2">
      <c r="A382" s="9"/>
      <c r="B382" s="9"/>
      <c r="C382" s="26"/>
      <c r="D382" s="392"/>
      <c r="E382" s="92">
        <v>10</v>
      </c>
      <c r="F382" s="27"/>
      <c r="G382" s="27"/>
      <c r="H382" s="149"/>
      <c r="I382" s="151"/>
      <c r="J382" s="151"/>
      <c r="K382" s="151"/>
      <c r="L382" s="151"/>
      <c r="M382" s="151"/>
      <c r="N382" s="151"/>
      <c r="O382" s="151"/>
      <c r="P382" s="151"/>
      <c r="Q382" s="150"/>
      <c r="R382" s="73"/>
      <c r="S382" s="107"/>
      <c r="T382" s="107"/>
      <c r="U382" s="107"/>
      <c r="V382" s="107"/>
      <c r="W382" s="107"/>
      <c r="X382" s="107"/>
      <c r="Y382" s="107"/>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04"/>
      <c r="BJ382" s="204"/>
      <c r="BK382" s="204"/>
      <c r="BL382" s="204"/>
      <c r="BM382" s="204"/>
      <c r="BN382" s="204"/>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idden="1" outlineLevel="1" collapsed="1">
      <c r="A383" s="9"/>
      <c r="B383" s="9"/>
      <c r="C383" s="279" t="str">
        <f>Asset24</f>
        <v>Equity Raising</v>
      </c>
      <c r="D383" s="9"/>
      <c r="E383" s="9"/>
      <c r="F383" s="23"/>
      <c r="G383" s="23"/>
      <c r="H383" s="305">
        <f>-SUM(H371:H382)</f>
        <v>0</v>
      </c>
      <c r="I383" s="164">
        <f>-SUM(I371:I382)</f>
        <v>0</v>
      </c>
      <c r="J383" s="164">
        <f>-SUM(J371:J382)</f>
        <v>0</v>
      </c>
      <c r="K383" s="164">
        <f>-SUM(K371:K382)</f>
        <v>0</v>
      </c>
      <c r="L383" s="164">
        <f>-SUM(L371:L382)</f>
        <v>0</v>
      </c>
      <c r="M383" s="164">
        <f>IF(COUNT($H383:L383)&gt;=Input!$W$7,0, -SUM(M371:M382))</f>
        <v>0</v>
      </c>
      <c r="N383" s="164">
        <f>IF(COUNT($H383:M383)&gt;=Input!$W$7,0, -SUM(N371:N382))</f>
        <v>0</v>
      </c>
      <c r="O383" s="164">
        <f>IF(COUNT($H383:N383)&gt;=Input!$W$7,0, -SUM(O371:O382))</f>
        <v>0</v>
      </c>
      <c r="P383" s="164">
        <f>IF(COUNT($H383:O383)&gt;=Input!$W$7,0, -SUM(P371:P382))</f>
        <v>0</v>
      </c>
      <c r="Q383" s="164">
        <f>IF(COUNT($H383:P383)&gt;=Input!$W$7,0, -SUM(Q371:Q382))</f>
        <v>0</v>
      </c>
      <c r="R383" s="164"/>
      <c r="S383" s="106"/>
      <c r="T383" s="106"/>
      <c r="U383" s="106"/>
      <c r="V383" s="106"/>
      <c r="W383" s="106"/>
      <c r="X383" s="106"/>
      <c r="Y383" s="106"/>
      <c r="Z383" s="224"/>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04"/>
      <c r="BJ383" s="204"/>
      <c r="BK383" s="204"/>
      <c r="BL383" s="204"/>
      <c r="BM383" s="204"/>
      <c r="BN383" s="204"/>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2.75" hidden="1" customHeight="1" outlineLevel="2">
      <c r="A384" s="9"/>
      <c r="B384" s="280">
        <f>Asset25</f>
        <v>0</v>
      </c>
      <c r="C384" s="31"/>
      <c r="D384" s="32" t="s">
        <v>65</v>
      </c>
      <c r="E384" s="31"/>
      <c r="F384" s="308"/>
      <c r="G384" s="308"/>
      <c r="H384" s="72" t="str">
        <f>IF(H$3&gt;A25taxremlife,A25taxvalue-SUM($F384:F384),IF(A25taxremlife="N/A","n/a",A25taxvalue/A25taxremlife))</f>
        <v>n/a</v>
      </c>
      <c r="I384" s="72" t="str">
        <f>IF(I$3&gt;A25taxremlife,A25taxvalue-SUM($F384:H384),IF(A25taxremlife="N/A","n/a",A25taxvalue/A25taxremlife))</f>
        <v>n/a</v>
      </c>
      <c r="J384" s="72" t="str">
        <f>IF(J$3&gt;A25taxremlife,A25taxvalue-SUM($F384:I384),IF(A25taxremlife="N/A","n/a",A25taxvalue/A25taxremlife))</f>
        <v>n/a</v>
      </c>
      <c r="K384" s="72" t="str">
        <f>IF(K$3&gt;A25taxremlife,A25taxvalue-SUM($F384:J384),IF(A25taxremlife="N/A","n/a",A25taxvalue/A25taxremlife))</f>
        <v>n/a</v>
      </c>
      <c r="L384" s="72" t="str">
        <f>IF(L$3&gt;A25taxremlife,A25taxvalue-SUM($F384:K384),IF(A25taxremlife="N/A","n/a",A25taxvalue/A25taxremlife))</f>
        <v>n/a</v>
      </c>
      <c r="M384" s="72" t="str">
        <f>IF(M$3&gt;A25taxremlife,A25taxvalue-SUM($F384:L384),IF(A25taxremlife="N/A","n/a",A25taxvalue/A25taxremlife))</f>
        <v>n/a</v>
      </c>
      <c r="N384" s="72" t="str">
        <f>IF(N$3&gt;A25taxremlife,A25taxvalue-SUM($F384:M384),IF(A25taxremlife="N/A","n/a",A25taxvalue/A25taxremlife))</f>
        <v>n/a</v>
      </c>
      <c r="O384" s="72" t="str">
        <f>IF(O$3&gt;A25taxremlife,A25taxvalue-SUM($F384:N384),IF(A25taxremlife="N/A","n/a",A25taxvalue/A25taxremlife))</f>
        <v>n/a</v>
      </c>
      <c r="P384" s="72" t="str">
        <f>IF(P$3&gt;A25taxremlife,A25taxvalue-SUM($F384:O384),IF(A25taxremlife="N/A","n/a",A25taxvalue/A25taxremlife))</f>
        <v>n/a</v>
      </c>
      <c r="Q384" s="72" t="str">
        <f>IF(Q$3&gt;A25taxremlife,A25taxvalue-SUM($F384:P384),IF(A25taxremlife="N/A","n/a",A25taxvalue/A25taxremlife))</f>
        <v>n/a</v>
      </c>
      <c r="R384" s="72"/>
      <c r="S384" s="107"/>
      <c r="T384" s="107"/>
      <c r="U384" s="107"/>
      <c r="V384" s="107"/>
      <c r="W384" s="107"/>
      <c r="X384" s="107"/>
      <c r="Y384" s="107"/>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04"/>
      <c r="BJ384" s="204"/>
      <c r="BK384" s="204"/>
      <c r="BL384" s="204"/>
      <c r="BM384" s="204"/>
      <c r="BN384" s="20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2.75" hidden="1" customHeight="1" outlineLevel="2">
      <c r="A385" s="9"/>
      <c r="B385" s="9"/>
      <c r="C385" s="26"/>
      <c r="D385" s="391" t="s">
        <v>81</v>
      </c>
      <c r="E385" s="91"/>
      <c r="F385" s="27"/>
      <c r="G385" s="27"/>
      <c r="H385" s="107"/>
      <c r="I385" s="73"/>
      <c r="J385" s="73"/>
      <c r="K385" s="73"/>
      <c r="L385" s="73"/>
      <c r="M385" s="73"/>
      <c r="N385" s="73"/>
      <c r="O385" s="73"/>
      <c r="P385" s="73"/>
      <c r="Q385" s="73"/>
      <c r="R385" s="73"/>
      <c r="S385" s="107"/>
      <c r="T385" s="107"/>
      <c r="U385" s="107"/>
      <c r="V385" s="107"/>
      <c r="W385" s="107"/>
      <c r="X385" s="107"/>
      <c r="Y385" s="107"/>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04"/>
      <c r="BJ385" s="204"/>
      <c r="BK385" s="204"/>
      <c r="BL385" s="204"/>
      <c r="BM385" s="204"/>
      <c r="BN385" s="204"/>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2.75" hidden="1" customHeight="1" outlineLevel="2">
      <c r="A386" s="9"/>
      <c r="B386" s="9"/>
      <c r="C386" s="26"/>
      <c r="D386" s="392"/>
      <c r="E386" s="91">
        <v>1</v>
      </c>
      <c r="F386" s="27"/>
      <c r="G386" s="27"/>
      <c r="H386" s="148"/>
      <c r="I386" s="73" t="str">
        <f>IF(A25taxstdlife="n/a","n/a",IF(I$3&gt;(A25taxstdlife+$E386),(Input!$H$167-Input!$H$201)-SUM($H386:H386),(Input!$H$167-Input!$H$201)/A25taxstdlife))</f>
        <v>n/a</v>
      </c>
      <c r="J386" s="73" t="str">
        <f>IF(A25taxstdlife="n/a","n/a",IF(J$3&gt;(A25taxstdlife+$E386),(Input!$H$167-Input!$H$201)-SUM($H386:I386),(Input!$H$167-Input!$H$201)/A25taxstdlife))</f>
        <v>n/a</v>
      </c>
      <c r="K386" s="73" t="str">
        <f>IF(A25taxstdlife="n/a","n/a",IF(K$3&gt;(A25taxstdlife+$E386),(Input!$H$167-Input!$H$201)-SUM($H386:J386),(Input!$H$167-Input!$H$201)/A25taxstdlife))</f>
        <v>n/a</v>
      </c>
      <c r="L386" s="73" t="str">
        <f>IF(A25taxstdlife="n/a","n/a",IF(L$3&gt;(A25taxstdlife+$E386),(Input!$H$167-Input!$H$201)-SUM($H386:K386),(Input!$H$167-Input!$H$201)/A25taxstdlife))</f>
        <v>n/a</v>
      </c>
      <c r="M386" s="73" t="str">
        <f>IF(A25taxstdlife="n/a","n/a",IF(M$3&gt;(A25taxstdlife+$E386),(Input!$H$167-Input!$H$201)-SUM($H386:L386),(Input!$H$167-Input!$H$201)/A25taxstdlife))</f>
        <v>n/a</v>
      </c>
      <c r="N386" s="73" t="str">
        <f>IF(A25taxstdlife="n/a","n/a",IF(N$3&gt;(A25taxstdlife+$E386),(Input!$H$167-Input!$H$201)-SUM($H386:M386),(Input!$H$167-Input!$H$201)/A25taxstdlife))</f>
        <v>n/a</v>
      </c>
      <c r="O386" s="73" t="str">
        <f>IF(A25taxstdlife="n/a","n/a",IF(O$3&gt;(A25taxstdlife+$E386),(Input!$H$167-Input!$H$201)-SUM($H386:N386),(Input!$H$167-Input!$H$201)/A25taxstdlife))</f>
        <v>n/a</v>
      </c>
      <c r="P386" s="73" t="str">
        <f>IF(A25taxstdlife="n/a","n/a",IF(P$3&gt;(A25taxstdlife+$E386),(Input!$H$167-Input!$H$201)-SUM($H386:O386),(Input!$H$167-Input!$H$201)/A25taxstdlife))</f>
        <v>n/a</v>
      </c>
      <c r="Q386" s="73" t="str">
        <f>IF(A25taxstdlife="n/a","n/a",IF(Q$3&gt;(A25taxstdlife+$E386),(Input!$H$167-Input!$H$201)-SUM($H386:P386),(Input!$H$167-Input!$H$201)/A25taxstdlife))</f>
        <v>n/a</v>
      </c>
      <c r="R386" s="73"/>
      <c r="S386" s="107"/>
      <c r="T386" s="107"/>
      <c r="U386" s="107"/>
      <c r="V386" s="107"/>
      <c r="W386" s="107"/>
      <c r="X386" s="107"/>
      <c r="Y386" s="107"/>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04"/>
      <c r="BJ386" s="204"/>
      <c r="BK386" s="204"/>
      <c r="BL386" s="204"/>
      <c r="BM386" s="204"/>
      <c r="BN386" s="204"/>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2.75" hidden="1" customHeight="1" outlineLevel="2">
      <c r="A387" s="9"/>
      <c r="B387" s="9"/>
      <c r="C387" s="26"/>
      <c r="D387" s="392"/>
      <c r="E387" s="91">
        <v>2</v>
      </c>
      <c r="F387" s="27"/>
      <c r="G387" s="27"/>
      <c r="H387" s="149"/>
      <c r="I387" s="150"/>
      <c r="J387" s="73" t="str">
        <f>IF(A25taxstdlife="n/a","n/a",IF(J$3&gt;(A25taxstdlife+$E387),(Input!$I$167-Input!$I$201)-SUM($I387:I387),(Input!$I$167-Input!$I$201)/A25taxstdlife))</f>
        <v>n/a</v>
      </c>
      <c r="K387" s="73" t="str">
        <f>IF(A25taxstdlife="n/a","n/a",IF(K$3&gt;(A25taxstdlife+$E387),(Input!$I$167-Input!$I$201)-SUM($I387:J387),(Input!$I$167-Input!$I$201)/A25taxstdlife))</f>
        <v>n/a</v>
      </c>
      <c r="L387" s="73" t="str">
        <f>IF(A25taxstdlife="n/a","n/a",IF(L$3&gt;(A25taxstdlife+$E387),(Input!$I$167-Input!$I$201)-SUM($I387:K387),(Input!$I$167-Input!$I$201)/A25taxstdlife))</f>
        <v>n/a</v>
      </c>
      <c r="M387" s="73" t="str">
        <f>IF(A25taxstdlife="n/a","n/a",IF(M$3&gt;(A25taxstdlife+$E387),(Input!$I$167-Input!$I$201)-SUM($I387:L387),(Input!$I$167-Input!$I$201)/A25taxstdlife))</f>
        <v>n/a</v>
      </c>
      <c r="N387" s="73" t="str">
        <f>IF(A25taxstdlife="n/a","n/a",IF(N$3&gt;(A25taxstdlife+$E387),(Input!$I$167-Input!$I$201)-SUM($I387:M387),(Input!$I$167-Input!$I$201)/A25taxstdlife))</f>
        <v>n/a</v>
      </c>
      <c r="O387" s="73" t="str">
        <f>IF(A25taxstdlife="n/a","n/a",IF(O$3&gt;(A25taxstdlife+$E387),(Input!$I$167-Input!$I$201)-SUM($I387:N387),(Input!$I$167-Input!$I$201)/A25taxstdlife))</f>
        <v>n/a</v>
      </c>
      <c r="P387" s="73" t="str">
        <f>IF(A25taxstdlife="n/a","n/a",IF(P$3&gt;(A25taxstdlife+$E387),(Input!$I$167-Input!$I$201)-SUM($I387:O387),(Input!$I$167-Input!$I$201)/A25taxstdlife))</f>
        <v>n/a</v>
      </c>
      <c r="Q387" s="73" t="str">
        <f>IF(A25taxstdlife="n/a","n/a",IF(Q$3&gt;(A25taxstdlife+$E387),(Input!$I$167-Input!$I$201)-SUM($I387:P387),(Input!$I$167-Input!$I$201)/A25taxstdlife))</f>
        <v>n/a</v>
      </c>
      <c r="R387" s="73"/>
      <c r="S387" s="107"/>
      <c r="T387" s="107"/>
      <c r="U387" s="107"/>
      <c r="V387" s="107"/>
      <c r="W387" s="107"/>
      <c r="X387" s="107"/>
      <c r="Y387" s="107"/>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04"/>
      <c r="BJ387" s="204"/>
      <c r="BK387" s="204"/>
      <c r="BL387" s="204"/>
      <c r="BM387" s="204"/>
      <c r="BN387" s="204"/>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2.75" hidden="1" customHeight="1" outlineLevel="2">
      <c r="A388" s="9"/>
      <c r="B388" s="9"/>
      <c r="C388" s="26"/>
      <c r="D388" s="392"/>
      <c r="E388" s="91">
        <v>3</v>
      </c>
      <c r="F388" s="27"/>
      <c r="G388" s="27"/>
      <c r="H388" s="149"/>
      <c r="I388" s="151"/>
      <c r="J388" s="150"/>
      <c r="K388" s="73" t="str">
        <f>IF(A25taxstdlife="n/a","n/a",IF(K$3&gt;(A25taxstdlife+$E388),(Input!$J$167-Input!$J$201)-SUM($J388:J388),(Input!$J$167-Input!$J$201)/A25taxstdlife))</f>
        <v>n/a</v>
      </c>
      <c r="L388" s="73" t="str">
        <f>IF(A25taxstdlife="n/a","n/a",IF(L$3&gt;(A25taxstdlife+$E388),(Input!$J$167-Input!$J$201)-SUM($J388:K388),(Input!$J$167-Input!$J$201)/A25taxstdlife))</f>
        <v>n/a</v>
      </c>
      <c r="M388" s="73" t="str">
        <f>IF(A25taxstdlife="n/a","n/a",IF(M$3&gt;(A25taxstdlife+$E388),(Input!$J$167-Input!$J$201)-SUM($J388:L388),(Input!$J$167-Input!$J$201)/A25taxstdlife))</f>
        <v>n/a</v>
      </c>
      <c r="N388" s="73" t="str">
        <f>IF(A25taxstdlife="n/a","n/a",IF(N$3&gt;(A25taxstdlife+$E388),(Input!$J$167-Input!$J$201)-SUM($J388:M388),(Input!$J$167-Input!$J$201)/A25taxstdlife))</f>
        <v>n/a</v>
      </c>
      <c r="O388" s="73" t="str">
        <f>IF(A25taxstdlife="n/a","n/a",IF(O$3&gt;(A25taxstdlife+$E388),(Input!$J$167-Input!$J$201)-SUM($J388:N388),(Input!$J$167-Input!$J$201)/A25taxstdlife))</f>
        <v>n/a</v>
      </c>
      <c r="P388" s="73" t="str">
        <f>IF(A25taxstdlife="n/a","n/a",IF(P$3&gt;(A25taxstdlife+$E388),(Input!$J$167-Input!$J$201)-SUM($J388:O388),(Input!$J$167-Input!$J$201)/A25taxstdlife))</f>
        <v>n/a</v>
      </c>
      <c r="Q388" s="73" t="str">
        <f>IF(A25taxstdlife="n/a","n/a",IF(Q$3&gt;(A25taxstdlife+$E388),(Input!$J$167-Input!$J$201)-SUM($J388:P388),(Input!$J$167-Input!$J$201)/A25taxstdlife))</f>
        <v>n/a</v>
      </c>
      <c r="R388" s="73"/>
      <c r="S388" s="107"/>
      <c r="T388" s="107"/>
      <c r="U388" s="107"/>
      <c r="V388" s="107"/>
      <c r="W388" s="107"/>
      <c r="X388" s="107"/>
      <c r="Y388" s="107"/>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5"/>
      <c r="BJ388" s="204"/>
      <c r="BK388" s="204"/>
      <c r="BL388" s="204"/>
      <c r="BM388" s="204"/>
      <c r="BN388" s="204"/>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2.75" hidden="1" customHeight="1" outlineLevel="2">
      <c r="A389" s="9"/>
      <c r="B389" s="9"/>
      <c r="C389" s="26"/>
      <c r="D389" s="392"/>
      <c r="E389" s="91">
        <v>4</v>
      </c>
      <c r="F389" s="27"/>
      <c r="G389" s="27"/>
      <c r="H389" s="149"/>
      <c r="I389" s="151"/>
      <c r="J389" s="151"/>
      <c r="K389" s="150"/>
      <c r="L389" s="73" t="str">
        <f>IF(A25taxstdlife="n/a","n/a",IF(L$3&gt;(A25taxstdlife+$E389),(Input!$K$167-Input!$K$201)-SUM($K389:K389),(Input!$K$167-Input!$K$201)/A25taxstdlife))</f>
        <v>n/a</v>
      </c>
      <c r="M389" s="73" t="str">
        <f>IF(A25taxstdlife="n/a","n/a",IF(M$3&gt;(A25taxstdlife+$E389),(Input!$K$167-Input!$K$201)-SUM($K389:L389),(Input!$K$167-Input!$K$201)/A25taxstdlife))</f>
        <v>n/a</v>
      </c>
      <c r="N389" s="73" t="str">
        <f>IF(A25taxstdlife="n/a","n/a",IF(N$3&gt;(A25taxstdlife+$E389),(Input!$K$167-Input!$K$201)-SUM($K389:M389),(Input!$K$167-Input!$K$201)/A25taxstdlife))</f>
        <v>n/a</v>
      </c>
      <c r="O389" s="73" t="str">
        <f>IF(A25taxstdlife="n/a","n/a",IF(O$3&gt;(A25taxstdlife+$E389),(Input!$K$167-Input!$K$201)-SUM($K389:N389),(Input!$K$167-Input!$K$201)/A25taxstdlife))</f>
        <v>n/a</v>
      </c>
      <c r="P389" s="73" t="str">
        <f>IF(A25taxstdlife="n/a","n/a",IF(P$3&gt;(A25taxstdlife+$E389),(Input!$K$167-Input!$K$201)-SUM($K389:O389),(Input!$K$167-Input!$K$201)/A25taxstdlife))</f>
        <v>n/a</v>
      </c>
      <c r="Q389" s="73" t="str">
        <f>IF(A25taxstdlife="n/a","n/a",IF(Q$3&gt;(A25taxstdlife+$E389),(Input!$K$167-Input!$K$201)-SUM($K389:P389),(Input!$K$167-Input!$K$201)/A25taxstdlife))</f>
        <v>n/a</v>
      </c>
      <c r="R389" s="73"/>
      <c r="S389" s="107"/>
      <c r="T389" s="107"/>
      <c r="U389" s="107"/>
      <c r="V389" s="107"/>
      <c r="W389" s="107"/>
      <c r="X389" s="107"/>
      <c r="Y389" s="107"/>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04"/>
      <c r="BJ389" s="204"/>
      <c r="BK389" s="204"/>
      <c r="BL389" s="204"/>
      <c r="BM389" s="204"/>
      <c r="BN389" s="204"/>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2.75" hidden="1" customHeight="1" outlineLevel="2">
      <c r="A390" s="9"/>
      <c r="B390" s="9"/>
      <c r="C390" s="26"/>
      <c r="D390" s="392"/>
      <c r="E390" s="91">
        <v>5</v>
      </c>
      <c r="F390" s="27"/>
      <c r="G390" s="27"/>
      <c r="H390" s="149"/>
      <c r="I390" s="151"/>
      <c r="J390" s="151"/>
      <c r="K390" s="151"/>
      <c r="L390" s="150"/>
      <c r="M390" s="73" t="str">
        <f>IF(A25taxstdlife="n/a","n/a",IF(M$3&gt;(A25taxstdlife+$E390),(Input!$L$167-Input!$L$201)-SUM($L390:L390),(Input!$L$167-Input!$L$201)/A25taxstdlife))</f>
        <v>n/a</v>
      </c>
      <c r="N390" s="73" t="str">
        <f>IF(A25taxstdlife="n/a","n/a",IF(N$3&gt;(A25taxstdlife+$E390),(Input!$L$167-Input!$L$201)-SUM($L390:M390),(Input!$L$167-Input!$L$201)/A25taxstdlife))</f>
        <v>n/a</v>
      </c>
      <c r="O390" s="73" t="str">
        <f>IF(A25taxstdlife="n/a","n/a",IF(O$3&gt;(A25taxstdlife+$E390),(Input!$L$167-Input!$L$201)-SUM($L390:N390),(Input!$L$167-Input!$L$201)/A25taxstdlife))</f>
        <v>n/a</v>
      </c>
      <c r="P390" s="73" t="str">
        <f>IF(A25taxstdlife="n/a","n/a",IF(P$3&gt;(A25taxstdlife+$E390),(Input!$L$167-Input!$L$201)-SUM($L390:O390),(Input!$L$167-Input!$L$201)/A25taxstdlife))</f>
        <v>n/a</v>
      </c>
      <c r="Q390" s="73" t="str">
        <f>IF(A25taxstdlife="n/a","n/a",IF(Q$3&gt;(A25taxstdlife+$E390),(Input!$L$167-Input!$L$201)-SUM($L390:P390),(Input!$L$167-Input!$L$201)/A25taxstdlife))</f>
        <v>n/a</v>
      </c>
      <c r="R390" s="73"/>
      <c r="S390" s="107"/>
      <c r="T390" s="107"/>
      <c r="U390" s="107"/>
      <c r="V390" s="107"/>
      <c r="W390" s="107"/>
      <c r="X390" s="107"/>
      <c r="Y390" s="107"/>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04"/>
      <c r="BJ390" s="204"/>
      <c r="BK390" s="204"/>
      <c r="BL390" s="204"/>
      <c r="BM390" s="204"/>
      <c r="BN390" s="204"/>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2.75" hidden="1" customHeight="1" outlineLevel="2">
      <c r="A391" s="9"/>
      <c r="B391" s="9"/>
      <c r="C391" s="26"/>
      <c r="D391" s="392"/>
      <c r="E391" s="91">
        <v>6</v>
      </c>
      <c r="F391" s="27"/>
      <c r="G391" s="27"/>
      <c r="H391" s="149"/>
      <c r="I391" s="151"/>
      <c r="J391" s="151"/>
      <c r="K391" s="151"/>
      <c r="L391" s="151"/>
      <c r="M391" s="150"/>
      <c r="N391" s="73" t="str">
        <f>IF(A25taxstdlife="n/a","n/a",IF(N$3&gt;(A25taxstdlife+$E391),(Input!$M$167-Input!$M$201)-SUM($M391:M391),(Input!$M$167-Input!$M$201)/A25taxstdlife))</f>
        <v>n/a</v>
      </c>
      <c r="O391" s="73" t="str">
        <f>IF(A25taxstdlife="n/a","n/a",IF(O$3&gt;(A25taxstdlife+$E391),(Input!$M$167-Input!$M$201)-SUM($M391:N391),(Input!$M$167-Input!$M$201)/A25taxstdlife))</f>
        <v>n/a</v>
      </c>
      <c r="P391" s="73" t="str">
        <f>IF(A25taxstdlife="n/a","n/a",IF(P$3&gt;(A25taxstdlife+$E391),(Input!$M$167-Input!$M$201)-SUM($M391:O391),(Input!$M$167-Input!$M$201)/A25taxstdlife))</f>
        <v>n/a</v>
      </c>
      <c r="Q391" s="73" t="str">
        <f>IF(A25taxstdlife="n/a","n/a",IF(Q$3&gt;(A25taxstdlife+$E391),(Input!$M$167-Input!$M$201)-SUM($M391:P391),(Input!$M$167-Input!$M$201)/A25taxstdlife))</f>
        <v>n/a</v>
      </c>
      <c r="R391" s="73"/>
      <c r="S391" s="107"/>
      <c r="T391" s="107"/>
      <c r="U391" s="107"/>
      <c r="V391" s="107"/>
      <c r="W391" s="107"/>
      <c r="X391" s="107"/>
      <c r="Y391" s="107"/>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04"/>
      <c r="BJ391" s="204"/>
      <c r="BK391" s="204"/>
      <c r="BL391" s="204"/>
      <c r="BM391" s="204"/>
      <c r="BN391" s="204"/>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2.75" hidden="1" customHeight="1" outlineLevel="2">
      <c r="A392" s="9"/>
      <c r="B392" s="9"/>
      <c r="C392" s="26"/>
      <c r="D392" s="392"/>
      <c r="E392" s="91">
        <v>7</v>
      </c>
      <c r="F392" s="27"/>
      <c r="G392" s="27"/>
      <c r="H392" s="149"/>
      <c r="I392" s="151"/>
      <c r="J392" s="151"/>
      <c r="K392" s="151"/>
      <c r="L392" s="151"/>
      <c r="M392" s="151"/>
      <c r="N392" s="150"/>
      <c r="O392" s="73" t="str">
        <f>IF(A25taxstdlife="n/a","n/a",IF(O$3&gt;(A25taxstdlife+$E392),(Input!$N$167-Input!$N$201)-SUM($N392:N392),(Input!$N$167-Input!$N$201)/A25taxstdlife))</f>
        <v>n/a</v>
      </c>
      <c r="P392" s="73" t="str">
        <f>IF(A25taxstdlife="n/a","n/a",IF(P$3&gt;(A25taxstdlife+$E392),(Input!$N$167-Input!$N$201)-SUM($N392:O392),(Input!$N$167-Input!$N$201)/A25taxstdlife))</f>
        <v>n/a</v>
      </c>
      <c r="Q392" s="73" t="str">
        <f>IF(A25taxstdlife="n/a","n/a",IF(Q$3&gt;(A25taxstdlife+$E392),(Input!$N$167-Input!$N$201)-SUM($N392:P392),(Input!$N$167-Input!$N$201)/A25taxstdlife))</f>
        <v>n/a</v>
      </c>
      <c r="R392" s="73"/>
      <c r="S392" s="107"/>
      <c r="T392" s="107"/>
      <c r="U392" s="107"/>
      <c r="V392" s="107"/>
      <c r="W392" s="107"/>
      <c r="X392" s="107"/>
      <c r="Y392" s="107"/>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04"/>
      <c r="BJ392" s="204"/>
      <c r="BK392" s="204"/>
      <c r="BL392" s="204"/>
      <c r="BM392" s="204"/>
      <c r="BN392" s="204"/>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2.75" hidden="1" customHeight="1" outlineLevel="2">
      <c r="A393" s="9"/>
      <c r="B393" s="9"/>
      <c r="C393" s="26"/>
      <c r="D393" s="392"/>
      <c r="E393" s="91">
        <v>8</v>
      </c>
      <c r="F393" s="27"/>
      <c r="G393" s="27"/>
      <c r="H393" s="149"/>
      <c r="I393" s="151"/>
      <c r="J393" s="151"/>
      <c r="K393" s="151"/>
      <c r="L393" s="151"/>
      <c r="M393" s="151"/>
      <c r="N393" s="151"/>
      <c r="O393" s="150"/>
      <c r="P393" s="73" t="str">
        <f>IF(A25taxstdlife="n/a","n/a",IF(P$3&gt;(A25taxstdlife+$E393),(Input!$O$167-Input!$O$201)-SUM($O393:O393),(Input!$O$167-Input!$O$201)/A25taxstdlife))</f>
        <v>n/a</v>
      </c>
      <c r="Q393" s="73" t="str">
        <f>IF(A25taxstdlife="n/a","n/a",IF(Q$3&gt;(A25taxstdlife+$E393),(Input!$O$167-Input!$O$201)-SUM($O393:P393),(Input!$O$167-Input!$O$201)/A25taxstdlife))</f>
        <v>n/a</v>
      </c>
      <c r="R393" s="73"/>
      <c r="S393" s="107"/>
      <c r="T393" s="107"/>
      <c r="U393" s="107"/>
      <c r="V393" s="107"/>
      <c r="W393" s="107"/>
      <c r="X393" s="107"/>
      <c r="Y393" s="107"/>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04"/>
      <c r="BJ393" s="204"/>
      <c r="BK393" s="204"/>
      <c r="BL393" s="204"/>
      <c r="BM393" s="204"/>
      <c r="BN393" s="204"/>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2.75" hidden="1" customHeight="1" outlineLevel="2">
      <c r="A394" s="9"/>
      <c r="B394" s="9"/>
      <c r="C394" s="26"/>
      <c r="D394" s="392"/>
      <c r="E394" s="91">
        <v>9</v>
      </c>
      <c r="F394" s="27"/>
      <c r="G394" s="27"/>
      <c r="H394" s="149"/>
      <c r="I394" s="151"/>
      <c r="J394" s="151"/>
      <c r="K394" s="151"/>
      <c r="L394" s="151"/>
      <c r="M394" s="151"/>
      <c r="N394" s="151"/>
      <c r="O394" s="151"/>
      <c r="P394" s="150"/>
      <c r="Q394" s="73" t="str">
        <f>IF(A25taxstdlife="n/a","n/a",IF(Q$3&gt;(A25taxstdlife+$E394),(Input!$P$167-Input!$P$201)-SUM($P394:P394),(Input!$P$167-Input!$P$201)/A25taxstdlife))</f>
        <v>n/a</v>
      </c>
      <c r="R394" s="73"/>
      <c r="S394" s="107"/>
      <c r="T394" s="107"/>
      <c r="U394" s="107"/>
      <c r="V394" s="107"/>
      <c r="W394" s="107"/>
      <c r="X394" s="107"/>
      <c r="Y394" s="107"/>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04"/>
      <c r="BJ394" s="204"/>
      <c r="BK394" s="204"/>
      <c r="BL394" s="204"/>
      <c r="BM394" s="204"/>
      <c r="BN394" s="20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2.75" hidden="1" customHeight="1" outlineLevel="2">
      <c r="A395" s="9"/>
      <c r="B395" s="9"/>
      <c r="C395" s="26"/>
      <c r="D395" s="392"/>
      <c r="E395" s="92">
        <v>10</v>
      </c>
      <c r="F395" s="27"/>
      <c r="G395" s="27"/>
      <c r="H395" s="149"/>
      <c r="I395" s="151"/>
      <c r="J395" s="151"/>
      <c r="K395" s="151"/>
      <c r="L395" s="151"/>
      <c r="M395" s="151"/>
      <c r="N395" s="151"/>
      <c r="O395" s="151"/>
      <c r="P395" s="151"/>
      <c r="Q395" s="150"/>
      <c r="R395" s="73"/>
      <c r="S395" s="107"/>
      <c r="T395" s="107"/>
      <c r="U395" s="107"/>
      <c r="V395" s="107"/>
      <c r="W395" s="107"/>
      <c r="X395" s="107"/>
      <c r="Y395" s="107"/>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04"/>
      <c r="BJ395" s="204"/>
      <c r="BK395" s="204"/>
      <c r="BL395" s="204"/>
      <c r="BM395" s="204"/>
      <c r="BN395" s="204"/>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idden="1" outlineLevel="1" collapsed="1">
      <c r="A396" s="9"/>
      <c r="B396" s="9"/>
      <c r="C396" s="279">
        <f>Asset25</f>
        <v>0</v>
      </c>
      <c r="D396" s="9"/>
      <c r="E396" s="9"/>
      <c r="F396" s="23"/>
      <c r="G396" s="23"/>
      <c r="H396" s="305">
        <f>-SUM(H384:H395)</f>
        <v>0</v>
      </c>
      <c r="I396" s="164">
        <f>-SUM(I384:I395)</f>
        <v>0</v>
      </c>
      <c r="J396" s="164">
        <f>-SUM(J384:J395)</f>
        <v>0</v>
      </c>
      <c r="K396" s="164">
        <f>-SUM(K384:K395)</f>
        <v>0</v>
      </c>
      <c r="L396" s="164">
        <f>-SUM(L384:L395)</f>
        <v>0</v>
      </c>
      <c r="M396" s="164">
        <f>IF(COUNT($H396:L396)&gt;=Input!$W$7,0, -SUM(M384:M395))</f>
        <v>0</v>
      </c>
      <c r="N396" s="164">
        <f>IF(COUNT($H396:M396)&gt;=Input!$W$7,0, -SUM(N384:N395))</f>
        <v>0</v>
      </c>
      <c r="O396" s="164">
        <f>IF(COUNT($H396:N396)&gt;=Input!$W$7,0, -SUM(O384:O395))</f>
        <v>0</v>
      </c>
      <c r="P396" s="164">
        <f>IF(COUNT($H396:O396)&gt;=Input!$W$7,0, -SUM(P384:P395))</f>
        <v>0</v>
      </c>
      <c r="Q396" s="164">
        <f>IF(COUNT($H396:P396)&gt;=Input!$W$7,0, -SUM(Q384:Q395))</f>
        <v>0</v>
      </c>
      <c r="R396" s="164"/>
      <c r="S396" s="106"/>
      <c r="T396" s="106"/>
      <c r="U396" s="106"/>
      <c r="V396" s="106"/>
      <c r="W396" s="106"/>
      <c r="X396" s="106"/>
      <c r="Y396" s="106"/>
      <c r="Z396" s="224"/>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04"/>
      <c r="BJ396" s="204"/>
      <c r="BK396" s="204"/>
      <c r="BL396" s="204"/>
      <c r="BM396" s="204"/>
      <c r="BN396" s="204"/>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2.75" hidden="1" customHeight="1" outlineLevel="2">
      <c r="A397" s="9"/>
      <c r="B397" s="280">
        <f>Asset26</f>
        <v>0</v>
      </c>
      <c r="C397" s="31"/>
      <c r="D397" s="32" t="s">
        <v>65</v>
      </c>
      <c r="E397" s="31"/>
      <c r="F397" s="308"/>
      <c r="G397" s="308"/>
      <c r="H397" s="72" t="str">
        <f>IF(H$3&gt;A26taxremlife,A26taxvalue-SUM($F397:F397),IF(A26taxremlife="N/A","n/a",A26taxvalue/A26taxremlife))</f>
        <v>n/a</v>
      </c>
      <c r="I397" s="72" t="str">
        <f>IF(I$3&gt;A26taxremlife,A26taxvalue-SUM($F397:H397),IF(A26taxremlife="N/A","n/a",A26taxvalue/A26taxremlife))</f>
        <v>n/a</v>
      </c>
      <c r="J397" s="72" t="str">
        <f>IF(J$3&gt;A26taxremlife,A26taxvalue-SUM($F397:I397),IF(A26taxremlife="N/A","n/a",A26taxvalue/A26taxremlife))</f>
        <v>n/a</v>
      </c>
      <c r="K397" s="72" t="str">
        <f>IF(K$3&gt;A26taxremlife,A26taxvalue-SUM($F397:J397),IF(A26taxremlife="N/A","n/a",A26taxvalue/A26taxremlife))</f>
        <v>n/a</v>
      </c>
      <c r="L397" s="72" t="str">
        <f>IF(L$3&gt;A26taxremlife,A26taxvalue-SUM($F397:K397),IF(A26taxremlife="N/A","n/a",A26taxvalue/A26taxremlife))</f>
        <v>n/a</v>
      </c>
      <c r="M397" s="72" t="str">
        <f>IF(M$3&gt;A26taxremlife,A26taxvalue-SUM($F397:L397),IF(A26taxremlife="N/A","n/a",A26taxvalue/A26taxremlife))</f>
        <v>n/a</v>
      </c>
      <c r="N397" s="72" t="str">
        <f>IF(N$3&gt;A26taxremlife,A26taxvalue-SUM($F397:M397),IF(A26taxremlife="N/A","n/a",A26taxvalue/A26taxremlife))</f>
        <v>n/a</v>
      </c>
      <c r="O397" s="72" t="str">
        <f>IF(O$3&gt;A26taxremlife,A26taxvalue-SUM($F397:N397),IF(A26taxremlife="N/A","n/a",A26taxvalue/A26taxremlife))</f>
        <v>n/a</v>
      </c>
      <c r="P397" s="72" t="str">
        <f>IF(P$3&gt;A26taxremlife,A26taxvalue-SUM($F397:O397),IF(A26taxremlife="N/A","n/a",A26taxvalue/A26taxremlife))</f>
        <v>n/a</v>
      </c>
      <c r="Q397" s="72" t="str">
        <f>IF(Q$3&gt;A26taxremlife,A26taxvalue-SUM($F397:P397),IF(A26taxremlife="N/A","n/a",A26taxvalue/A26taxremlife))</f>
        <v>n/a</v>
      </c>
      <c r="R397" s="72"/>
      <c r="S397" s="107"/>
      <c r="T397" s="107"/>
      <c r="U397" s="107"/>
      <c r="V397" s="107"/>
      <c r="W397" s="107"/>
      <c r="X397" s="107"/>
      <c r="Y397" s="107"/>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04"/>
      <c r="BJ397" s="204"/>
      <c r="BK397" s="204"/>
      <c r="BL397" s="204"/>
      <c r="BM397" s="204"/>
      <c r="BN397" s="204"/>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2.75" hidden="1" customHeight="1" outlineLevel="2">
      <c r="A398" s="9"/>
      <c r="B398" s="9"/>
      <c r="C398" s="26"/>
      <c r="D398" s="391" t="s">
        <v>81</v>
      </c>
      <c r="E398" s="91"/>
      <c r="F398" s="27"/>
      <c r="G398" s="27"/>
      <c r="H398" s="107"/>
      <c r="I398" s="73"/>
      <c r="J398" s="73"/>
      <c r="K398" s="73"/>
      <c r="L398" s="73"/>
      <c r="M398" s="73"/>
      <c r="N398" s="73"/>
      <c r="O398" s="73"/>
      <c r="P398" s="73"/>
      <c r="Q398" s="73"/>
      <c r="R398" s="73"/>
      <c r="S398" s="107"/>
      <c r="T398" s="107"/>
      <c r="U398" s="107"/>
      <c r="V398" s="107"/>
      <c r="W398" s="107"/>
      <c r="X398" s="107"/>
      <c r="Y398" s="107"/>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04"/>
      <c r="BJ398" s="204"/>
      <c r="BK398" s="204"/>
      <c r="BL398" s="204"/>
      <c r="BM398" s="204"/>
      <c r="BN398" s="204"/>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2.75" hidden="1" customHeight="1" outlineLevel="2">
      <c r="A399" s="9"/>
      <c r="B399" s="9"/>
      <c r="C399" s="26"/>
      <c r="D399" s="392"/>
      <c r="E399" s="91">
        <v>1</v>
      </c>
      <c r="F399" s="27"/>
      <c r="G399" s="27"/>
      <c r="H399" s="148"/>
      <c r="I399" s="73" t="str">
        <f>IF(A26taxstdlife="n/a","n/a",IF(I$3&gt;(A26taxstdlife+$E399),(Input!$H$168-Input!$H$202)-SUM($H399:H399),(Input!$H$168-Input!$H$202)/A26taxstdlife))</f>
        <v>n/a</v>
      </c>
      <c r="J399" s="73" t="str">
        <f>IF(A26taxstdlife="n/a","n/a",IF(J$3&gt;(A26taxstdlife+$E399),(Input!$H$168-Input!$H$202)-SUM($H399:I399),(Input!$H$168-Input!$H$202)/A26taxstdlife))</f>
        <v>n/a</v>
      </c>
      <c r="K399" s="73" t="str">
        <f>IF(A26taxstdlife="n/a","n/a",IF(K$3&gt;(A26taxstdlife+$E399),(Input!$H$168-Input!$H$202)-SUM($H399:J399),(Input!$H$168-Input!$H$202)/A26taxstdlife))</f>
        <v>n/a</v>
      </c>
      <c r="L399" s="73" t="str">
        <f>IF(A26taxstdlife="n/a","n/a",IF(L$3&gt;(A26taxstdlife+$E399),(Input!$H$168-Input!$H$202)-SUM($H399:K399),(Input!$H$168-Input!$H$202)/A26taxstdlife))</f>
        <v>n/a</v>
      </c>
      <c r="M399" s="73" t="str">
        <f>IF(A26taxstdlife="n/a","n/a",IF(M$3&gt;(A26taxstdlife+$E399),(Input!$H$168-Input!$H$202)-SUM($H399:L399),(Input!$H$168-Input!$H$202)/A26taxstdlife))</f>
        <v>n/a</v>
      </c>
      <c r="N399" s="73" t="str">
        <f>IF(A26taxstdlife="n/a","n/a",IF(N$3&gt;(A26taxstdlife+$E399),(Input!$H$168-Input!$H$202)-SUM($H399:M399),(Input!$H$168-Input!$H$202)/A26taxstdlife))</f>
        <v>n/a</v>
      </c>
      <c r="O399" s="73" t="str">
        <f>IF(A26taxstdlife="n/a","n/a",IF(O$3&gt;(A26taxstdlife+$E399),(Input!$H$168-Input!$H$202)-SUM($H399:N399),(Input!$H$168-Input!$H$202)/A26taxstdlife))</f>
        <v>n/a</v>
      </c>
      <c r="P399" s="73" t="str">
        <f>IF(A26taxstdlife="n/a","n/a",IF(P$3&gt;(A26taxstdlife+$E399),(Input!$H$168-Input!$H$202)-SUM($H399:O399),(Input!$H$168-Input!$H$202)/A26taxstdlife))</f>
        <v>n/a</v>
      </c>
      <c r="Q399" s="73" t="str">
        <f>IF(A26taxstdlife="n/a","n/a",IF(Q$3&gt;(A26taxstdlife+$E399),(Input!$H$168-Input!$H$202)-SUM($H399:P399),(Input!$H$168-Input!$H$202)/A26taxstdlife))</f>
        <v>n/a</v>
      </c>
      <c r="R399" s="73"/>
      <c r="S399" s="107"/>
      <c r="T399" s="107"/>
      <c r="U399" s="107"/>
      <c r="V399" s="107"/>
      <c r="W399" s="107"/>
      <c r="X399" s="107"/>
      <c r="Y399" s="107"/>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04"/>
      <c r="BJ399" s="204"/>
      <c r="BK399" s="204"/>
      <c r="BL399" s="204"/>
      <c r="BM399" s="204"/>
      <c r="BN399" s="204"/>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2.75" hidden="1" customHeight="1" outlineLevel="2">
      <c r="A400" s="9"/>
      <c r="B400" s="9"/>
      <c r="C400" s="26"/>
      <c r="D400" s="392"/>
      <c r="E400" s="91">
        <v>2</v>
      </c>
      <c r="F400" s="27"/>
      <c r="G400" s="27"/>
      <c r="H400" s="149"/>
      <c r="I400" s="150"/>
      <c r="J400" s="73" t="str">
        <f>IF(A26taxstdlife="n/a","n/a",IF(J$3&gt;(A26taxstdlife+$E400),(Input!$I$168-Input!$I$202)-SUM($I400:I400),(Input!$I$168-Input!$I$202)/A26taxstdlife))</f>
        <v>n/a</v>
      </c>
      <c r="K400" s="73" t="str">
        <f>IF(A26taxstdlife="n/a","n/a",IF(K$3&gt;(A26taxstdlife+$E400),(Input!$I$168-Input!$I$202)-SUM($I400:J400),(Input!$I$168-Input!$I$202)/A26taxstdlife))</f>
        <v>n/a</v>
      </c>
      <c r="L400" s="73" t="str">
        <f>IF(A26taxstdlife="n/a","n/a",IF(L$3&gt;(A26taxstdlife+$E400),(Input!$I$168-Input!$I$202)-SUM($I400:K400),(Input!$I$168-Input!$I$202)/A26taxstdlife))</f>
        <v>n/a</v>
      </c>
      <c r="M400" s="73" t="str">
        <f>IF(A26taxstdlife="n/a","n/a",IF(M$3&gt;(A26taxstdlife+$E400),(Input!$I$168-Input!$I$202)-SUM($I400:L400),(Input!$I$168-Input!$I$202)/A26taxstdlife))</f>
        <v>n/a</v>
      </c>
      <c r="N400" s="73" t="str">
        <f>IF(A26taxstdlife="n/a","n/a",IF(N$3&gt;(A26taxstdlife+$E400),(Input!$I$168-Input!$I$202)-SUM($I400:M400),(Input!$I$168-Input!$I$202)/A26taxstdlife))</f>
        <v>n/a</v>
      </c>
      <c r="O400" s="73" t="str">
        <f>IF(A26taxstdlife="n/a","n/a",IF(O$3&gt;(A26taxstdlife+$E400),(Input!$I$168-Input!$I$202)-SUM($I400:N400),(Input!$I$168-Input!$I$202)/A26taxstdlife))</f>
        <v>n/a</v>
      </c>
      <c r="P400" s="73" t="str">
        <f>IF(A26taxstdlife="n/a","n/a",IF(P$3&gt;(A26taxstdlife+$E400),(Input!$I$168-Input!$I$202)-SUM($I400:O400),(Input!$I$168-Input!$I$202)/A26taxstdlife))</f>
        <v>n/a</v>
      </c>
      <c r="Q400" s="73" t="str">
        <f>IF(A26taxstdlife="n/a","n/a",IF(Q$3&gt;(A26taxstdlife+$E400),(Input!$I$168-Input!$I$202)-SUM($I400:P400),(Input!$I$168-Input!$I$202)/A26taxstdlife))</f>
        <v>n/a</v>
      </c>
      <c r="R400" s="73"/>
      <c r="S400" s="107"/>
      <c r="T400" s="107"/>
      <c r="U400" s="107"/>
      <c r="V400" s="107"/>
      <c r="W400" s="107"/>
      <c r="X400" s="107"/>
      <c r="Y400" s="107"/>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04"/>
      <c r="BJ400" s="204"/>
      <c r="BK400" s="204"/>
      <c r="BL400" s="204"/>
      <c r="BM400" s="204"/>
      <c r="BN400" s="204"/>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2.75" hidden="1" customHeight="1" outlineLevel="2">
      <c r="A401" s="9"/>
      <c r="B401" s="9"/>
      <c r="C401" s="26"/>
      <c r="D401" s="392"/>
      <c r="E401" s="91">
        <v>3</v>
      </c>
      <c r="F401" s="27"/>
      <c r="G401" s="27"/>
      <c r="H401" s="149"/>
      <c r="I401" s="151"/>
      <c r="J401" s="150"/>
      <c r="K401" s="73" t="str">
        <f>IF(A26taxstdlife="n/a","n/a",IF(K$3&gt;(A26taxstdlife+$E401),(Input!$J$168-Input!$J$202)-SUM($J401:J401),(Input!$J$168-Input!$J$202)/A26taxstdlife))</f>
        <v>n/a</v>
      </c>
      <c r="L401" s="73" t="str">
        <f>IF(A26taxstdlife="n/a","n/a",IF(L$3&gt;(A26taxstdlife+$E401),(Input!$J$168-Input!$J$202)-SUM($J401:K401),(Input!$J$168-Input!$J$202)/A26taxstdlife))</f>
        <v>n/a</v>
      </c>
      <c r="M401" s="73" t="str">
        <f>IF(A26taxstdlife="n/a","n/a",IF(M$3&gt;(A26taxstdlife+$E401),(Input!$J$168-Input!$J$202)-SUM($J401:L401),(Input!$J$168-Input!$J$202)/A26taxstdlife))</f>
        <v>n/a</v>
      </c>
      <c r="N401" s="73" t="str">
        <f>IF(A26taxstdlife="n/a","n/a",IF(N$3&gt;(A26taxstdlife+$E401),(Input!$J$168-Input!$J$202)-SUM($J401:M401),(Input!$J$168-Input!$J$202)/A26taxstdlife))</f>
        <v>n/a</v>
      </c>
      <c r="O401" s="73" t="str">
        <f>IF(A26taxstdlife="n/a","n/a",IF(O$3&gt;(A26taxstdlife+$E401),(Input!$J$168-Input!$J$202)-SUM($J401:N401),(Input!$J$168-Input!$J$202)/A26taxstdlife))</f>
        <v>n/a</v>
      </c>
      <c r="P401" s="73" t="str">
        <f>IF(A26taxstdlife="n/a","n/a",IF(P$3&gt;(A26taxstdlife+$E401),(Input!$J$168-Input!$J$202)-SUM($J401:O401),(Input!$J$168-Input!$J$202)/A26taxstdlife))</f>
        <v>n/a</v>
      </c>
      <c r="Q401" s="73" t="str">
        <f>IF(A26taxstdlife="n/a","n/a",IF(Q$3&gt;(A26taxstdlife+$E401),(Input!$J$168-Input!$J$202)-SUM($J401:P401),(Input!$J$168-Input!$J$202)/A26taxstdlife))</f>
        <v>n/a</v>
      </c>
      <c r="R401" s="73"/>
      <c r="S401" s="107"/>
      <c r="T401" s="107"/>
      <c r="U401" s="107"/>
      <c r="V401" s="107"/>
      <c r="W401" s="107"/>
      <c r="X401" s="107"/>
      <c r="Y401" s="107"/>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5"/>
      <c r="BJ401" s="204"/>
      <c r="BK401" s="204"/>
      <c r="BL401" s="204"/>
      <c r="BM401" s="204"/>
      <c r="BN401" s="204"/>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2.75" hidden="1" customHeight="1" outlineLevel="2">
      <c r="A402" s="9"/>
      <c r="B402" s="9"/>
      <c r="C402" s="26"/>
      <c r="D402" s="392"/>
      <c r="E402" s="91">
        <v>4</v>
      </c>
      <c r="F402" s="27"/>
      <c r="G402" s="27"/>
      <c r="H402" s="149"/>
      <c r="I402" s="151"/>
      <c r="J402" s="151"/>
      <c r="K402" s="150"/>
      <c r="L402" s="73" t="str">
        <f>IF(A26taxstdlife="n/a","n/a",IF(L$3&gt;(A26taxstdlife+$E402),(Input!$K$168-Input!$K$202)-SUM($K402:K402),(Input!$K$168-Input!$K$202)/A26taxstdlife))</f>
        <v>n/a</v>
      </c>
      <c r="M402" s="73" t="str">
        <f>IF(A26taxstdlife="n/a","n/a",IF(M$3&gt;(A26taxstdlife+$E402),(Input!$K$168-Input!$K$202)-SUM($K402:L402),(Input!$K$168-Input!$K$202)/A26taxstdlife))</f>
        <v>n/a</v>
      </c>
      <c r="N402" s="73" t="str">
        <f>IF(A26taxstdlife="n/a","n/a",IF(N$3&gt;(A26taxstdlife+$E402),(Input!$K$168-Input!$K$202)-SUM($K402:M402),(Input!$K$168-Input!$K$202)/A26taxstdlife))</f>
        <v>n/a</v>
      </c>
      <c r="O402" s="73" t="str">
        <f>IF(A26taxstdlife="n/a","n/a",IF(O$3&gt;(A26taxstdlife+$E402),(Input!$K$168-Input!$K$202)-SUM($K402:N402),(Input!$K$168-Input!$K$202)/A26taxstdlife))</f>
        <v>n/a</v>
      </c>
      <c r="P402" s="73" t="str">
        <f>IF(A26taxstdlife="n/a","n/a",IF(P$3&gt;(A26taxstdlife+$E402),(Input!$K$168-Input!$K$202)-SUM($K402:O402),(Input!$K$168-Input!$K$202)/A26taxstdlife))</f>
        <v>n/a</v>
      </c>
      <c r="Q402" s="73" t="str">
        <f>IF(A26taxstdlife="n/a","n/a",IF(Q$3&gt;(A26taxstdlife+$E402),(Input!$K$168-Input!$K$202)-SUM($K402:P402),(Input!$K$168-Input!$K$202)/A26taxstdlife))</f>
        <v>n/a</v>
      </c>
      <c r="R402" s="73"/>
      <c r="S402" s="107"/>
      <c r="T402" s="107"/>
      <c r="U402" s="107"/>
      <c r="V402" s="107"/>
      <c r="W402" s="107"/>
      <c r="X402" s="107"/>
      <c r="Y402" s="107"/>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04"/>
      <c r="BJ402" s="204"/>
      <c r="BK402" s="204"/>
      <c r="BL402" s="204"/>
      <c r="BM402" s="204"/>
      <c r="BN402" s="204"/>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2.75" hidden="1" customHeight="1" outlineLevel="2">
      <c r="A403" s="9"/>
      <c r="B403" s="9"/>
      <c r="C403" s="26"/>
      <c r="D403" s="392"/>
      <c r="E403" s="91">
        <v>5</v>
      </c>
      <c r="F403" s="27"/>
      <c r="G403" s="27"/>
      <c r="H403" s="149"/>
      <c r="I403" s="151"/>
      <c r="J403" s="151"/>
      <c r="K403" s="151"/>
      <c r="L403" s="150"/>
      <c r="M403" s="73" t="str">
        <f>IF(A26taxstdlife="n/a","n/a",IF(M$3&gt;(A26taxstdlife+$E403),(Input!$L$168-Input!$L$202)-SUM($L403:L403),(Input!$L$168-Input!$L$202)/A26taxstdlife))</f>
        <v>n/a</v>
      </c>
      <c r="N403" s="73" t="str">
        <f>IF(A26taxstdlife="n/a","n/a",IF(N$3&gt;(A26taxstdlife+$E403),(Input!$L$168-Input!$L$202)-SUM($L403:M403),(Input!$L$168-Input!$L$202)/A26taxstdlife))</f>
        <v>n/a</v>
      </c>
      <c r="O403" s="73" t="str">
        <f>IF(A26taxstdlife="n/a","n/a",IF(O$3&gt;(A26taxstdlife+$E403),(Input!$L$168-Input!$L$202)-SUM($L403:N403),(Input!$L$168-Input!$L$202)/A26taxstdlife))</f>
        <v>n/a</v>
      </c>
      <c r="P403" s="73" t="str">
        <f>IF(A26taxstdlife="n/a","n/a",IF(P$3&gt;(A26taxstdlife+$E403),(Input!$L$168-Input!$L$202)-SUM($L403:O403),(Input!$L$168-Input!$L$202)/A26taxstdlife))</f>
        <v>n/a</v>
      </c>
      <c r="Q403" s="73" t="str">
        <f>IF(A26taxstdlife="n/a","n/a",IF(Q$3&gt;(A26taxstdlife+$E403),(Input!$L$168-Input!$L$202)-SUM($L403:P403),(Input!$L$168-Input!$L$202)/A26taxstdlife))</f>
        <v>n/a</v>
      </c>
      <c r="R403" s="73"/>
      <c r="S403" s="107"/>
      <c r="T403" s="107"/>
      <c r="U403" s="107"/>
      <c r="V403" s="107"/>
      <c r="W403" s="107"/>
      <c r="X403" s="107"/>
      <c r="Y403" s="107"/>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04"/>
      <c r="BJ403" s="204"/>
      <c r="BK403" s="204"/>
      <c r="BL403" s="204"/>
      <c r="BM403" s="204"/>
      <c r="BN403" s="204"/>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2.75" hidden="1" customHeight="1" outlineLevel="2">
      <c r="A404" s="9"/>
      <c r="B404" s="9"/>
      <c r="C404" s="26"/>
      <c r="D404" s="392"/>
      <c r="E404" s="91">
        <v>6</v>
      </c>
      <c r="F404" s="27"/>
      <c r="G404" s="27"/>
      <c r="H404" s="149"/>
      <c r="I404" s="151"/>
      <c r="J404" s="151"/>
      <c r="K404" s="151"/>
      <c r="L404" s="151"/>
      <c r="M404" s="150"/>
      <c r="N404" s="73" t="str">
        <f>IF(A26taxstdlife="n/a","n/a",IF(N$3&gt;(A26taxstdlife+$E404),(Input!$M$168-Input!$M$202)-SUM($M404:M404),(Input!$M$168-Input!$M$202)/A26taxstdlife))</f>
        <v>n/a</v>
      </c>
      <c r="O404" s="73" t="str">
        <f>IF(A26taxstdlife="n/a","n/a",IF(O$3&gt;(A26taxstdlife+$E404),(Input!$M$168-Input!$M$202)-SUM($M404:N404),(Input!$M$168-Input!$M$202)/A26taxstdlife))</f>
        <v>n/a</v>
      </c>
      <c r="P404" s="73" t="str">
        <f>IF(A26taxstdlife="n/a","n/a",IF(P$3&gt;(A26taxstdlife+$E404),(Input!$M$168-Input!$M$202)-SUM($M404:O404),(Input!$M$168-Input!$M$202)/A26taxstdlife))</f>
        <v>n/a</v>
      </c>
      <c r="Q404" s="73" t="str">
        <f>IF(A26taxstdlife="n/a","n/a",IF(Q$3&gt;(A26taxstdlife+$E404),(Input!$M$168-Input!$M$202)-SUM($M404:P404),(Input!$M$168-Input!$M$202)/A26taxstdlife))</f>
        <v>n/a</v>
      </c>
      <c r="R404" s="73"/>
      <c r="S404" s="107"/>
      <c r="T404" s="107"/>
      <c r="U404" s="107"/>
      <c r="V404" s="107"/>
      <c r="W404" s="107"/>
      <c r="X404" s="107"/>
      <c r="Y404" s="107"/>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04"/>
      <c r="BJ404" s="204"/>
      <c r="BK404" s="204"/>
      <c r="BL404" s="204"/>
      <c r="BM404" s="204"/>
      <c r="BN404" s="2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2.75" hidden="1" customHeight="1" outlineLevel="2">
      <c r="A405" s="9"/>
      <c r="B405" s="9"/>
      <c r="C405" s="26"/>
      <c r="D405" s="392"/>
      <c r="E405" s="91">
        <v>7</v>
      </c>
      <c r="F405" s="27"/>
      <c r="G405" s="27"/>
      <c r="H405" s="149"/>
      <c r="I405" s="151"/>
      <c r="J405" s="151"/>
      <c r="K405" s="151"/>
      <c r="L405" s="151"/>
      <c r="M405" s="151"/>
      <c r="N405" s="150"/>
      <c r="O405" s="73" t="str">
        <f>IF(A26taxstdlife="n/a","n/a",IF(O$3&gt;(A26taxstdlife+$E405),(Input!$N$168-Input!$N$202)-SUM($N405:N405),(Input!$N$168-Input!$N$202)/A26taxstdlife))</f>
        <v>n/a</v>
      </c>
      <c r="P405" s="73" t="str">
        <f>IF(A26taxstdlife="n/a","n/a",IF(P$3&gt;(A26taxstdlife+$E405),(Input!$N$168-Input!$N$202)-SUM($N405:O405),(Input!$N$168-Input!$N$202)/A26taxstdlife))</f>
        <v>n/a</v>
      </c>
      <c r="Q405" s="73" t="str">
        <f>IF(A26taxstdlife="n/a","n/a",IF(Q$3&gt;(A26taxstdlife+$E405),(Input!$N$168-Input!$N$202)-SUM($N405:P405),(Input!$N$168-Input!$N$202)/A26taxstdlife))</f>
        <v>n/a</v>
      </c>
      <c r="R405" s="73"/>
      <c r="S405" s="107"/>
      <c r="T405" s="107"/>
      <c r="U405" s="107"/>
      <c r="V405" s="107"/>
      <c r="W405" s="107"/>
      <c r="X405" s="107"/>
      <c r="Y405" s="107"/>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04"/>
      <c r="BJ405" s="204"/>
      <c r="BK405" s="204"/>
      <c r="BL405" s="204"/>
      <c r="BM405" s="204"/>
      <c r="BN405" s="204"/>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2.75" hidden="1" customHeight="1" outlineLevel="2">
      <c r="A406" s="9"/>
      <c r="B406" s="9"/>
      <c r="C406" s="26"/>
      <c r="D406" s="392"/>
      <c r="E406" s="91">
        <v>8</v>
      </c>
      <c r="F406" s="27"/>
      <c r="G406" s="27"/>
      <c r="H406" s="149"/>
      <c r="I406" s="151"/>
      <c r="J406" s="151"/>
      <c r="K406" s="151"/>
      <c r="L406" s="151"/>
      <c r="M406" s="151"/>
      <c r="N406" s="151"/>
      <c r="O406" s="150"/>
      <c r="P406" s="73" t="str">
        <f>IF(A26taxstdlife="n/a","n/a",IF(P$3&gt;(A26taxstdlife+$E406),(Input!$O$168-Input!$O$202)-SUM($O406:O406),(Input!$O$168-Input!$O$202)/A26taxstdlife))</f>
        <v>n/a</v>
      </c>
      <c r="Q406" s="73" t="str">
        <f>IF(A26taxstdlife="n/a","n/a",IF(Q$3&gt;(A26taxstdlife+$E406),(Input!$O$168-Input!$O$202)-SUM($O406:P406),(Input!$O$168-Input!$O$202)/A26taxstdlife))</f>
        <v>n/a</v>
      </c>
      <c r="R406" s="73"/>
      <c r="S406" s="107"/>
      <c r="T406" s="107"/>
      <c r="U406" s="107"/>
      <c r="V406" s="107"/>
      <c r="W406" s="107"/>
      <c r="X406" s="107"/>
      <c r="Y406" s="107"/>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04"/>
      <c r="BJ406" s="204"/>
      <c r="BK406" s="204"/>
      <c r="BL406" s="204"/>
      <c r="BM406" s="204"/>
      <c r="BN406" s="204"/>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2.75" hidden="1" customHeight="1" outlineLevel="2">
      <c r="A407" s="9"/>
      <c r="B407" s="9"/>
      <c r="C407" s="26"/>
      <c r="D407" s="392"/>
      <c r="E407" s="91">
        <v>9</v>
      </c>
      <c r="F407" s="27"/>
      <c r="G407" s="27"/>
      <c r="H407" s="149"/>
      <c r="I407" s="151"/>
      <c r="J407" s="151"/>
      <c r="K407" s="151"/>
      <c r="L407" s="151"/>
      <c r="M407" s="151"/>
      <c r="N407" s="151"/>
      <c r="O407" s="151"/>
      <c r="P407" s="150"/>
      <c r="Q407" s="73" t="str">
        <f>IF(A26taxstdlife="n/a","n/a",IF(Q$3&gt;(A26taxstdlife+$E407),(Input!$P$168-Input!$P$202)-SUM($P407:P407),(Input!$P$168-Input!$P$202)/A26taxstdlife))</f>
        <v>n/a</v>
      </c>
      <c r="R407" s="73"/>
      <c r="S407" s="107"/>
      <c r="T407" s="107"/>
      <c r="U407" s="107"/>
      <c r="V407" s="107"/>
      <c r="W407" s="107"/>
      <c r="X407" s="107"/>
      <c r="Y407" s="107"/>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04"/>
      <c r="BJ407" s="204"/>
      <c r="BK407" s="204"/>
      <c r="BL407" s="204"/>
      <c r="BM407" s="204"/>
      <c r="BN407" s="204"/>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2.75" hidden="1" customHeight="1" outlineLevel="2">
      <c r="A408" s="9"/>
      <c r="B408" s="9"/>
      <c r="C408" s="26"/>
      <c r="D408" s="392"/>
      <c r="E408" s="92">
        <v>10</v>
      </c>
      <c r="F408" s="27"/>
      <c r="G408" s="27"/>
      <c r="H408" s="149"/>
      <c r="I408" s="151"/>
      <c r="J408" s="151"/>
      <c r="K408" s="151"/>
      <c r="L408" s="151"/>
      <c r="M408" s="151"/>
      <c r="N408" s="151"/>
      <c r="O408" s="151"/>
      <c r="P408" s="151"/>
      <c r="Q408" s="150"/>
      <c r="R408" s="73"/>
      <c r="S408" s="107"/>
      <c r="T408" s="107"/>
      <c r="U408" s="107"/>
      <c r="V408" s="107"/>
      <c r="W408" s="107"/>
      <c r="X408" s="107"/>
      <c r="Y408" s="107"/>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04"/>
      <c r="BJ408" s="204"/>
      <c r="BK408" s="204"/>
      <c r="BL408" s="204"/>
      <c r="BM408" s="204"/>
      <c r="BN408" s="204"/>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idden="1" outlineLevel="1" collapsed="1">
      <c r="A409" s="9"/>
      <c r="B409" s="9"/>
      <c r="C409" s="279">
        <f>Asset26</f>
        <v>0</v>
      </c>
      <c r="D409" s="9"/>
      <c r="E409" s="9"/>
      <c r="F409" s="23"/>
      <c r="G409" s="23"/>
      <c r="H409" s="305">
        <f>-SUM(H397:H408)</f>
        <v>0</v>
      </c>
      <c r="I409" s="164">
        <f>-SUM(I397:I408)</f>
        <v>0</v>
      </c>
      <c r="J409" s="164">
        <f>-SUM(J397:J408)</f>
        <v>0</v>
      </c>
      <c r="K409" s="164">
        <f>-SUM(K397:K408)</f>
        <v>0</v>
      </c>
      <c r="L409" s="164">
        <f>-SUM(L397:L408)</f>
        <v>0</v>
      </c>
      <c r="M409" s="164">
        <f>IF(COUNT($H409:L409)&gt;=Input!$W$7,0, -SUM(M397:M408))</f>
        <v>0</v>
      </c>
      <c r="N409" s="164">
        <f>IF(COUNT($H409:M409)&gt;=Input!$W$7,0, -SUM(N397:N408))</f>
        <v>0</v>
      </c>
      <c r="O409" s="164">
        <f>IF(COUNT($H409:N409)&gt;=Input!$W$7,0, -SUM(O397:O408))</f>
        <v>0</v>
      </c>
      <c r="P409" s="164">
        <f>IF(COUNT($H409:O409)&gt;=Input!$W$7,0, -SUM(P397:P408))</f>
        <v>0</v>
      </c>
      <c r="Q409" s="164">
        <f>IF(COUNT($H409:P409)&gt;=Input!$W$7,0, -SUM(Q397:Q408))</f>
        <v>0</v>
      </c>
      <c r="R409" s="164"/>
      <c r="S409" s="106"/>
      <c r="T409" s="106"/>
      <c r="U409" s="106"/>
      <c r="V409" s="106"/>
      <c r="W409" s="106"/>
      <c r="X409" s="106"/>
      <c r="Y409" s="106"/>
      <c r="Z409" s="224"/>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04"/>
      <c r="BJ409" s="204"/>
      <c r="BK409" s="204"/>
      <c r="BL409" s="204"/>
      <c r="BM409" s="204"/>
      <c r="BN409" s="204"/>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2.75" hidden="1" customHeight="1" outlineLevel="2">
      <c r="A410" s="9"/>
      <c r="B410" s="280">
        <f>Asset27</f>
        <v>0</v>
      </c>
      <c r="C410" s="31"/>
      <c r="D410" s="32" t="s">
        <v>65</v>
      </c>
      <c r="E410" s="31"/>
      <c r="F410" s="308"/>
      <c r="G410" s="308"/>
      <c r="H410" s="72" t="str">
        <f>IF(H$3&gt;A27taxremlife,A27taxvalue-SUM($F410:F410),IF(A27taxremlife="N/A","n/a",A27taxvalue/A27taxremlife))</f>
        <v>n/a</v>
      </c>
      <c r="I410" s="72" t="str">
        <f>IF(I$3&gt;A27taxremlife,A27taxvalue-SUM($F410:H410),IF(A27taxremlife="N/A","n/a",A27taxvalue/A27taxremlife))</f>
        <v>n/a</v>
      </c>
      <c r="J410" s="72" t="str">
        <f>IF(J$3&gt;A27taxremlife,A27taxvalue-SUM($F410:I410),IF(A27taxremlife="N/A","n/a",A27taxvalue/A27taxremlife))</f>
        <v>n/a</v>
      </c>
      <c r="K410" s="72" t="str">
        <f>IF(K$3&gt;A27taxremlife,A27taxvalue-SUM($F410:J410),IF(A27taxremlife="N/A","n/a",A27taxvalue/A27taxremlife))</f>
        <v>n/a</v>
      </c>
      <c r="L410" s="72" t="str">
        <f>IF(L$3&gt;A27taxremlife,A27taxvalue-SUM($F410:K410),IF(A27taxremlife="N/A","n/a",A27taxvalue/A27taxremlife))</f>
        <v>n/a</v>
      </c>
      <c r="M410" s="72" t="str">
        <f>IF(M$3&gt;A27taxremlife,A27taxvalue-SUM($F410:L410),IF(A27taxremlife="N/A","n/a",A27taxvalue/A27taxremlife))</f>
        <v>n/a</v>
      </c>
      <c r="N410" s="72" t="str">
        <f>IF(N$3&gt;A27taxremlife,A27taxvalue-SUM($F410:M410),IF(A27taxremlife="N/A","n/a",A27taxvalue/A27taxremlife))</f>
        <v>n/a</v>
      </c>
      <c r="O410" s="72" t="str">
        <f>IF(O$3&gt;A27taxremlife,A27taxvalue-SUM($F410:N410),IF(A27taxremlife="N/A","n/a",A27taxvalue/A27taxremlife))</f>
        <v>n/a</v>
      </c>
      <c r="P410" s="72" t="str">
        <f>IF(P$3&gt;A27taxremlife,A27taxvalue-SUM($F410:O410),IF(A27taxremlife="N/A","n/a",A27taxvalue/A27taxremlife))</f>
        <v>n/a</v>
      </c>
      <c r="Q410" s="72" t="str">
        <f>IF(Q$3&gt;A27taxremlife,A27taxvalue-SUM($F410:P410),IF(A27taxremlife="N/A","n/a",A27taxvalue/A27taxremlife))</f>
        <v>n/a</v>
      </c>
      <c r="R410" s="72"/>
      <c r="S410" s="107"/>
      <c r="T410" s="107"/>
      <c r="U410" s="107"/>
      <c r="V410" s="107"/>
      <c r="W410" s="107"/>
      <c r="X410" s="107"/>
      <c r="Y410" s="107"/>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04"/>
      <c r="BJ410" s="204"/>
      <c r="BK410" s="204"/>
      <c r="BL410" s="204"/>
      <c r="BM410" s="204"/>
      <c r="BN410" s="204"/>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2.75" hidden="1" customHeight="1" outlineLevel="2">
      <c r="A411" s="9"/>
      <c r="B411" s="9"/>
      <c r="C411" s="26"/>
      <c r="D411" s="391" t="s">
        <v>81</v>
      </c>
      <c r="E411" s="91"/>
      <c r="F411" s="27"/>
      <c r="G411" s="27"/>
      <c r="H411" s="107"/>
      <c r="I411" s="73"/>
      <c r="J411" s="73"/>
      <c r="K411" s="73"/>
      <c r="L411" s="73"/>
      <c r="M411" s="73"/>
      <c r="N411" s="73"/>
      <c r="O411" s="73"/>
      <c r="P411" s="73"/>
      <c r="Q411" s="73"/>
      <c r="R411" s="73"/>
      <c r="S411" s="107"/>
      <c r="T411" s="107"/>
      <c r="U411" s="107"/>
      <c r="V411" s="107"/>
      <c r="W411" s="107"/>
      <c r="X411" s="107"/>
      <c r="Y411" s="107"/>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04"/>
      <c r="BJ411" s="204"/>
      <c r="BK411" s="204"/>
      <c r="BL411" s="204"/>
      <c r="BM411" s="204"/>
      <c r="BN411" s="204"/>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2.75" hidden="1" customHeight="1" outlineLevel="2">
      <c r="A412" s="9"/>
      <c r="B412" s="9"/>
      <c r="C412" s="26"/>
      <c r="D412" s="392"/>
      <c r="E412" s="91">
        <v>1</v>
      </c>
      <c r="F412" s="27"/>
      <c r="G412" s="27"/>
      <c r="H412" s="148"/>
      <c r="I412" s="73" t="str">
        <f>IF(A27taxstdlife="n/a","n/a",IF(I$3&gt;(A27taxstdlife+$E412),(Input!$H$169-Input!$H$203)-SUM($H412:H412),(Input!$H$169-Input!$H$203)/A27taxstdlife))</f>
        <v>n/a</v>
      </c>
      <c r="J412" s="73" t="str">
        <f>IF(A27taxstdlife="n/a","n/a",IF(J$3&gt;(A27taxstdlife+$E412),(Input!$H$169-Input!$H$203)-SUM($H412:I412),(Input!$H$169-Input!$H$203)/A27taxstdlife))</f>
        <v>n/a</v>
      </c>
      <c r="K412" s="73" t="str">
        <f>IF(A27taxstdlife="n/a","n/a",IF(K$3&gt;(A27taxstdlife+$E412),(Input!$H$169-Input!$H$203)-SUM($H412:J412),(Input!$H$169-Input!$H$203)/A27taxstdlife))</f>
        <v>n/a</v>
      </c>
      <c r="L412" s="73" t="str">
        <f>IF(A27taxstdlife="n/a","n/a",IF(L$3&gt;(A27taxstdlife+$E412),(Input!$H$169-Input!$H$203)-SUM($H412:K412),(Input!$H$169-Input!$H$203)/A27taxstdlife))</f>
        <v>n/a</v>
      </c>
      <c r="M412" s="73" t="str">
        <f>IF(A27taxstdlife="n/a","n/a",IF(M$3&gt;(A27taxstdlife+$E412),(Input!$H$169-Input!$H$203)-SUM($H412:L412),(Input!$H$169-Input!$H$203)/A27taxstdlife))</f>
        <v>n/a</v>
      </c>
      <c r="N412" s="73" t="str">
        <f>IF(A27taxstdlife="n/a","n/a",IF(N$3&gt;(A27taxstdlife+$E412),(Input!$H$169-Input!$H$203)-SUM($H412:M412),(Input!$H$169-Input!$H$203)/A27taxstdlife))</f>
        <v>n/a</v>
      </c>
      <c r="O412" s="73" t="str">
        <f>IF(A27taxstdlife="n/a","n/a",IF(O$3&gt;(A27taxstdlife+$E412),(Input!$H$169-Input!$H$203)-SUM($H412:N412),(Input!$H$169-Input!$H$203)/A27taxstdlife))</f>
        <v>n/a</v>
      </c>
      <c r="P412" s="73" t="str">
        <f>IF(A27taxstdlife="n/a","n/a",IF(P$3&gt;(A27taxstdlife+$E412),(Input!$H$169-Input!$H$203)-SUM($H412:O412),(Input!$H$169-Input!$H$203)/A27taxstdlife))</f>
        <v>n/a</v>
      </c>
      <c r="Q412" s="73" t="str">
        <f>IF(A27taxstdlife="n/a","n/a",IF(Q$3&gt;(A27taxstdlife+$E412),(Input!$H$169-Input!$H$203)-SUM($H412:P412),(Input!$H$169-Input!$H$203)/A27taxstdlife))</f>
        <v>n/a</v>
      </c>
      <c r="R412" s="73"/>
      <c r="S412" s="107"/>
      <c r="T412" s="107"/>
      <c r="U412" s="107"/>
      <c r="V412" s="107"/>
      <c r="W412" s="107"/>
      <c r="X412" s="107"/>
      <c r="Y412" s="107"/>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04"/>
      <c r="BJ412" s="204"/>
      <c r="BK412" s="204"/>
      <c r="BL412" s="204"/>
      <c r="BM412" s="204"/>
      <c r="BN412" s="204"/>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2.75" hidden="1" customHeight="1" outlineLevel="2">
      <c r="A413" s="9"/>
      <c r="B413" s="9"/>
      <c r="C413" s="26"/>
      <c r="D413" s="392"/>
      <c r="E413" s="91">
        <v>2</v>
      </c>
      <c r="F413" s="27"/>
      <c r="G413" s="27"/>
      <c r="H413" s="149"/>
      <c r="I413" s="150"/>
      <c r="J413" s="73" t="str">
        <f>IF(A27taxstdlife="n/a","n/a",IF(J$3&gt;(A27taxstdlife+$E413),(Input!$I$169-Input!$I$203)-SUM($I413:I413),(Input!$I$169-Input!$I$203)/A27taxstdlife))</f>
        <v>n/a</v>
      </c>
      <c r="K413" s="73" t="str">
        <f>IF(A27taxstdlife="n/a","n/a",IF(K$3&gt;(A27taxstdlife+$E413),(Input!$I$169-Input!$I$203)-SUM($I413:J413),(Input!$I$169-Input!$I$203)/A27taxstdlife))</f>
        <v>n/a</v>
      </c>
      <c r="L413" s="73" t="str">
        <f>IF(A27taxstdlife="n/a","n/a",IF(L$3&gt;(A27taxstdlife+$E413),(Input!$I$169-Input!$I$203)-SUM($I413:K413),(Input!$I$169-Input!$I$203)/A27taxstdlife))</f>
        <v>n/a</v>
      </c>
      <c r="M413" s="73" t="str">
        <f>IF(A27taxstdlife="n/a","n/a",IF(M$3&gt;(A27taxstdlife+$E413),(Input!$I$169-Input!$I$203)-SUM($I413:L413),(Input!$I$169-Input!$I$203)/A27taxstdlife))</f>
        <v>n/a</v>
      </c>
      <c r="N413" s="73" t="str">
        <f>IF(A27taxstdlife="n/a","n/a",IF(N$3&gt;(A27taxstdlife+$E413),(Input!$I$169-Input!$I$203)-SUM($I413:M413),(Input!$I$169-Input!$I$203)/A27taxstdlife))</f>
        <v>n/a</v>
      </c>
      <c r="O413" s="73" t="str">
        <f>IF(A27taxstdlife="n/a","n/a",IF(O$3&gt;(A27taxstdlife+$E413),(Input!$I$169-Input!$I$203)-SUM($I413:N413),(Input!$I$169-Input!$I$203)/A27taxstdlife))</f>
        <v>n/a</v>
      </c>
      <c r="P413" s="73" t="str">
        <f>IF(A27taxstdlife="n/a","n/a",IF(P$3&gt;(A27taxstdlife+$E413),(Input!$I$169-Input!$I$203)-SUM($I413:O413),(Input!$I$169-Input!$I$203)/A27taxstdlife))</f>
        <v>n/a</v>
      </c>
      <c r="Q413" s="73" t="str">
        <f>IF(A27taxstdlife="n/a","n/a",IF(Q$3&gt;(A27taxstdlife+$E413),(Input!$I$169-Input!$I$203)-SUM($I413:P413),(Input!$I$169-Input!$I$203)/A27taxstdlife))</f>
        <v>n/a</v>
      </c>
      <c r="R413" s="73"/>
      <c r="S413" s="107"/>
      <c r="T413" s="107"/>
      <c r="U413" s="107"/>
      <c r="V413" s="107"/>
      <c r="W413" s="107"/>
      <c r="X413" s="107"/>
      <c r="Y413" s="107"/>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04"/>
      <c r="BJ413" s="204"/>
      <c r="BK413" s="204"/>
      <c r="BL413" s="204"/>
      <c r="BM413" s="204"/>
      <c r="BN413" s="204"/>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2.75" hidden="1" customHeight="1" outlineLevel="2">
      <c r="A414" s="9"/>
      <c r="B414" s="9"/>
      <c r="C414" s="26"/>
      <c r="D414" s="392"/>
      <c r="E414" s="91">
        <v>3</v>
      </c>
      <c r="F414" s="27"/>
      <c r="G414" s="27"/>
      <c r="H414" s="149"/>
      <c r="I414" s="151"/>
      <c r="J414" s="150"/>
      <c r="K414" s="73" t="str">
        <f>IF(A27taxstdlife="n/a","n/a",IF(K$3&gt;(A27taxstdlife+$E414),(Input!$J$169-Input!$J$203)-SUM($J414:J414),(Input!$J$169-Input!$J$203)/A27taxstdlife))</f>
        <v>n/a</v>
      </c>
      <c r="L414" s="73" t="str">
        <f>IF(A27taxstdlife="n/a","n/a",IF(L$3&gt;(A27taxstdlife+$E414),(Input!$J$169-Input!$J$203)-SUM($J414:K414),(Input!$J$169-Input!$J$203)/A27taxstdlife))</f>
        <v>n/a</v>
      </c>
      <c r="M414" s="73" t="str">
        <f>IF(A27taxstdlife="n/a","n/a",IF(M$3&gt;(A27taxstdlife+$E414),(Input!$J$169-Input!$J$203)-SUM($J414:L414),(Input!$J$169-Input!$J$203)/A27taxstdlife))</f>
        <v>n/a</v>
      </c>
      <c r="N414" s="73" t="str">
        <f>IF(A27taxstdlife="n/a","n/a",IF(N$3&gt;(A27taxstdlife+$E414),(Input!$J$169-Input!$J$203)-SUM($J414:M414),(Input!$J$169-Input!$J$203)/A27taxstdlife))</f>
        <v>n/a</v>
      </c>
      <c r="O414" s="73" t="str">
        <f>IF(A27taxstdlife="n/a","n/a",IF(O$3&gt;(A27taxstdlife+$E414),(Input!$J$169-Input!$J$203)-SUM($J414:N414),(Input!$J$169-Input!$J$203)/A27taxstdlife))</f>
        <v>n/a</v>
      </c>
      <c r="P414" s="73" t="str">
        <f>IF(A27taxstdlife="n/a","n/a",IF(P$3&gt;(A27taxstdlife+$E414),(Input!$J$169-Input!$J$203)-SUM($J414:O414),(Input!$J$169-Input!$J$203)/A27taxstdlife))</f>
        <v>n/a</v>
      </c>
      <c r="Q414" s="73" t="str">
        <f>IF(A27taxstdlife="n/a","n/a",IF(Q$3&gt;(A27taxstdlife+$E414),(Input!$J$169-Input!$J$203)-SUM($J414:P414),(Input!$J$169-Input!$J$203)/A27taxstdlife))</f>
        <v>n/a</v>
      </c>
      <c r="R414" s="73"/>
      <c r="S414" s="107"/>
      <c r="T414" s="107"/>
      <c r="U414" s="107"/>
      <c r="V414" s="107"/>
      <c r="W414" s="107"/>
      <c r="X414" s="107"/>
      <c r="Y414" s="107"/>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5"/>
      <c r="BJ414" s="204"/>
      <c r="BK414" s="204"/>
      <c r="BL414" s="204"/>
      <c r="BM414" s="204"/>
      <c r="BN414" s="20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2.75" hidden="1" customHeight="1" outlineLevel="2">
      <c r="A415" s="9"/>
      <c r="B415" s="9"/>
      <c r="C415" s="26"/>
      <c r="D415" s="392"/>
      <c r="E415" s="91">
        <v>4</v>
      </c>
      <c r="F415" s="27"/>
      <c r="G415" s="27"/>
      <c r="H415" s="149"/>
      <c r="I415" s="151"/>
      <c r="J415" s="151"/>
      <c r="K415" s="150"/>
      <c r="L415" s="73" t="str">
        <f>IF(A27taxstdlife="n/a","n/a",IF(L$3&gt;(A27taxstdlife+$E415),(Input!$K$169-Input!$K$203)-SUM($K415:K415),(Input!$K$169-Input!$K$203)/A27taxstdlife))</f>
        <v>n/a</v>
      </c>
      <c r="M415" s="73" t="str">
        <f>IF(A27taxstdlife="n/a","n/a",IF(M$3&gt;(A27taxstdlife+$E415),(Input!$K$169-Input!$K$203)-SUM($K415:L415),(Input!$K$169-Input!$K$203)/A27taxstdlife))</f>
        <v>n/a</v>
      </c>
      <c r="N415" s="73" t="str">
        <f>IF(A27taxstdlife="n/a","n/a",IF(N$3&gt;(A27taxstdlife+$E415),(Input!$K$169-Input!$K$203)-SUM($K415:M415),(Input!$K$169-Input!$K$203)/A27taxstdlife))</f>
        <v>n/a</v>
      </c>
      <c r="O415" s="73" t="str">
        <f>IF(A27taxstdlife="n/a","n/a",IF(O$3&gt;(A27taxstdlife+$E415),(Input!$K$169-Input!$K$203)-SUM($K415:N415),(Input!$K$169-Input!$K$203)/A27taxstdlife))</f>
        <v>n/a</v>
      </c>
      <c r="P415" s="73" t="str">
        <f>IF(A27taxstdlife="n/a","n/a",IF(P$3&gt;(A27taxstdlife+$E415),(Input!$K$169-Input!$K$203)-SUM($K415:O415),(Input!$K$169-Input!$K$203)/A27taxstdlife))</f>
        <v>n/a</v>
      </c>
      <c r="Q415" s="73" t="str">
        <f>IF(A27taxstdlife="n/a","n/a",IF(Q$3&gt;(A27taxstdlife+$E415),(Input!$K$169-Input!$K$203)-SUM($K415:P415),(Input!$K$169-Input!$K$203)/A27taxstdlife))</f>
        <v>n/a</v>
      </c>
      <c r="R415" s="73"/>
      <c r="S415" s="107"/>
      <c r="T415" s="107"/>
      <c r="U415" s="107"/>
      <c r="V415" s="107"/>
      <c r="W415" s="107"/>
      <c r="X415" s="107"/>
      <c r="Y415" s="107"/>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04"/>
      <c r="BJ415" s="204"/>
      <c r="BK415" s="204"/>
      <c r="BL415" s="204"/>
      <c r="BM415" s="204"/>
      <c r="BN415" s="204"/>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2.75" hidden="1" customHeight="1" outlineLevel="2">
      <c r="A416" s="9"/>
      <c r="B416" s="9"/>
      <c r="C416" s="26"/>
      <c r="D416" s="392"/>
      <c r="E416" s="91">
        <v>5</v>
      </c>
      <c r="F416" s="27"/>
      <c r="G416" s="27"/>
      <c r="H416" s="149"/>
      <c r="I416" s="151"/>
      <c r="J416" s="151"/>
      <c r="K416" s="151"/>
      <c r="L416" s="150"/>
      <c r="M416" s="73" t="str">
        <f>IF(A27taxstdlife="n/a","n/a",IF(M$3&gt;(A27taxstdlife+$E416),(Input!$L$169-Input!$L$203)-SUM($L416:L416),(Input!$L$169-Input!$L$203)/A27taxstdlife))</f>
        <v>n/a</v>
      </c>
      <c r="N416" s="73" t="str">
        <f>IF(A27taxstdlife="n/a","n/a",IF(N$3&gt;(A27taxstdlife+$E416),(Input!$L$169-Input!$L$203)-SUM($L416:M416),(Input!$L$169-Input!$L$203)/A27taxstdlife))</f>
        <v>n/a</v>
      </c>
      <c r="O416" s="73" t="str">
        <f>IF(A27taxstdlife="n/a","n/a",IF(O$3&gt;(A27taxstdlife+$E416),(Input!$L$169-Input!$L$203)-SUM($L416:N416),(Input!$L$169-Input!$L$203)/A27taxstdlife))</f>
        <v>n/a</v>
      </c>
      <c r="P416" s="73" t="str">
        <f>IF(A27taxstdlife="n/a","n/a",IF(P$3&gt;(A27taxstdlife+$E416),(Input!$L$169-Input!$L$203)-SUM($L416:O416),(Input!$L$169-Input!$L$203)/A27taxstdlife))</f>
        <v>n/a</v>
      </c>
      <c r="Q416" s="73" t="str">
        <f>IF(A27taxstdlife="n/a","n/a",IF(Q$3&gt;(A27taxstdlife+$E416),(Input!$L$169-Input!$L$203)-SUM($L416:P416),(Input!$L$169-Input!$L$203)/A27taxstdlife))</f>
        <v>n/a</v>
      </c>
      <c r="R416" s="73"/>
      <c r="S416" s="107"/>
      <c r="T416" s="107"/>
      <c r="U416" s="107"/>
      <c r="V416" s="107"/>
      <c r="W416" s="107"/>
      <c r="X416" s="107"/>
      <c r="Y416" s="107"/>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04"/>
      <c r="BJ416" s="204"/>
      <c r="BK416" s="204"/>
      <c r="BL416" s="204"/>
      <c r="BM416" s="204"/>
      <c r="BN416" s="204"/>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2.75" hidden="1" customHeight="1" outlineLevel="2">
      <c r="A417" s="9"/>
      <c r="B417" s="9"/>
      <c r="C417" s="26"/>
      <c r="D417" s="392"/>
      <c r="E417" s="91">
        <v>6</v>
      </c>
      <c r="F417" s="27"/>
      <c r="G417" s="27"/>
      <c r="H417" s="149"/>
      <c r="I417" s="151"/>
      <c r="J417" s="151"/>
      <c r="K417" s="151"/>
      <c r="L417" s="151"/>
      <c r="M417" s="150"/>
      <c r="N417" s="73" t="str">
        <f>IF(A27taxstdlife="n/a","n/a",IF(N$3&gt;(A27taxstdlife+$E417),(Input!$M$169-Input!$M$203)-SUM($M417:M417),(Input!$M$169-Input!$M$203)/A27taxstdlife))</f>
        <v>n/a</v>
      </c>
      <c r="O417" s="73" t="str">
        <f>IF(A27taxstdlife="n/a","n/a",IF(O$3&gt;(A27taxstdlife+$E417),(Input!$M$169-Input!$M$203)-SUM($M417:N417),(Input!$M$169-Input!$M$203)/A27taxstdlife))</f>
        <v>n/a</v>
      </c>
      <c r="P417" s="73" t="str">
        <f>IF(A27taxstdlife="n/a","n/a",IF(P$3&gt;(A27taxstdlife+$E417),(Input!$M$169-Input!$M$203)-SUM($M417:O417),(Input!$M$169-Input!$M$203)/A27taxstdlife))</f>
        <v>n/a</v>
      </c>
      <c r="Q417" s="73" t="str">
        <f>IF(A27taxstdlife="n/a","n/a",IF(Q$3&gt;(A27taxstdlife+$E417),(Input!$M$169-Input!$M$203)-SUM($M417:P417),(Input!$M$169-Input!$M$203)/A27taxstdlife))</f>
        <v>n/a</v>
      </c>
      <c r="R417" s="73"/>
      <c r="S417" s="107"/>
      <c r="T417" s="107"/>
      <c r="U417" s="107"/>
      <c r="V417" s="107"/>
      <c r="W417" s="107"/>
      <c r="X417" s="107"/>
      <c r="Y417" s="107"/>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04"/>
      <c r="BJ417" s="204"/>
      <c r="BK417" s="204"/>
      <c r="BL417" s="204"/>
      <c r="BM417" s="204"/>
      <c r="BN417" s="204"/>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2.75" hidden="1" customHeight="1" outlineLevel="2">
      <c r="A418" s="9"/>
      <c r="B418" s="9"/>
      <c r="C418" s="26"/>
      <c r="D418" s="392"/>
      <c r="E418" s="91">
        <v>7</v>
      </c>
      <c r="F418" s="27"/>
      <c r="G418" s="27"/>
      <c r="H418" s="149"/>
      <c r="I418" s="151"/>
      <c r="J418" s="151"/>
      <c r="K418" s="151"/>
      <c r="L418" s="151"/>
      <c r="M418" s="151"/>
      <c r="N418" s="150"/>
      <c r="O418" s="73" t="str">
        <f>IF(A27taxstdlife="n/a","n/a",IF(O$3&gt;(A27taxstdlife+$E418),(Input!$N$169-Input!$N$203)-SUM($N418:N418),(Input!$N$169-Input!$N$203)/A27taxstdlife))</f>
        <v>n/a</v>
      </c>
      <c r="P418" s="73" t="str">
        <f>IF(A27taxstdlife="n/a","n/a",IF(P$3&gt;(A27taxstdlife+$E418),(Input!$N$169-Input!$N$203)-SUM($N418:O418),(Input!$N$169-Input!$N$203)/A27taxstdlife))</f>
        <v>n/a</v>
      </c>
      <c r="Q418" s="73" t="str">
        <f>IF(A27taxstdlife="n/a","n/a",IF(Q$3&gt;(A27taxstdlife+$E418),(Input!$N$169-Input!$N$203)-SUM($N418:P418),(Input!$N$169-Input!$N$203)/A27taxstdlife))</f>
        <v>n/a</v>
      </c>
      <c r="R418" s="73"/>
      <c r="S418" s="107"/>
      <c r="T418" s="107"/>
      <c r="U418" s="107"/>
      <c r="V418" s="107"/>
      <c r="W418" s="107"/>
      <c r="X418" s="107"/>
      <c r="Y418" s="107"/>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04"/>
      <c r="BJ418" s="204"/>
      <c r="BK418" s="204"/>
      <c r="BL418" s="204"/>
      <c r="BM418" s="204"/>
      <c r="BN418" s="204"/>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2.75" hidden="1" customHeight="1" outlineLevel="2">
      <c r="A419" s="9"/>
      <c r="B419" s="9"/>
      <c r="C419" s="26"/>
      <c r="D419" s="392"/>
      <c r="E419" s="91">
        <v>8</v>
      </c>
      <c r="F419" s="27"/>
      <c r="G419" s="27"/>
      <c r="H419" s="149"/>
      <c r="I419" s="151"/>
      <c r="J419" s="151"/>
      <c r="K419" s="151"/>
      <c r="L419" s="151"/>
      <c r="M419" s="151"/>
      <c r="N419" s="151"/>
      <c r="O419" s="150"/>
      <c r="P419" s="73" t="str">
        <f>IF(A27taxstdlife="n/a","n/a",IF(P$3&gt;(A27taxstdlife+$E419),(Input!$O$169-Input!$O$203)-SUM($O419:O419),(Input!$O$169-Input!$O$203)/A27taxstdlife))</f>
        <v>n/a</v>
      </c>
      <c r="Q419" s="73" t="str">
        <f>IF(A27taxstdlife="n/a","n/a",IF(Q$3&gt;(A27taxstdlife+$E419),(Input!$O$169-Input!$O$203)-SUM($O419:P419),(Input!$O$169-Input!$O$203)/A27taxstdlife))</f>
        <v>n/a</v>
      </c>
      <c r="R419" s="73"/>
      <c r="S419" s="107"/>
      <c r="T419" s="107"/>
      <c r="U419" s="107"/>
      <c r="V419" s="107"/>
      <c r="W419" s="107"/>
      <c r="X419" s="107"/>
      <c r="Y419" s="107"/>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04"/>
      <c r="BJ419" s="204"/>
      <c r="BK419" s="204"/>
      <c r="BL419" s="204"/>
      <c r="BM419" s="204"/>
      <c r="BN419" s="204"/>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2.75" hidden="1" customHeight="1" outlineLevel="2">
      <c r="A420" s="9"/>
      <c r="B420" s="9"/>
      <c r="C420" s="26"/>
      <c r="D420" s="392"/>
      <c r="E420" s="91">
        <v>9</v>
      </c>
      <c r="F420" s="27"/>
      <c r="G420" s="27"/>
      <c r="H420" s="149"/>
      <c r="I420" s="151"/>
      <c r="J420" s="151"/>
      <c r="K420" s="151"/>
      <c r="L420" s="151"/>
      <c r="M420" s="151"/>
      <c r="N420" s="151"/>
      <c r="O420" s="151"/>
      <c r="P420" s="150"/>
      <c r="Q420" s="73" t="str">
        <f>IF(A27taxstdlife="n/a","n/a",IF(Q$3&gt;(A27taxstdlife+$E420),(Input!$P$169-Input!$P$203)-SUM($P420:P420),(Input!$P$169-Input!$P$203)/A27taxstdlife))</f>
        <v>n/a</v>
      </c>
      <c r="R420" s="73"/>
      <c r="S420" s="107"/>
      <c r="T420" s="107"/>
      <c r="U420" s="107"/>
      <c r="V420" s="107"/>
      <c r="W420" s="107"/>
      <c r="X420" s="107"/>
      <c r="Y420" s="107"/>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04"/>
      <c r="BJ420" s="204"/>
      <c r="BK420" s="204"/>
      <c r="BL420" s="204"/>
      <c r="BM420" s="204"/>
      <c r="BN420" s="204"/>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2.75" hidden="1" customHeight="1" outlineLevel="2">
      <c r="A421" s="9"/>
      <c r="B421" s="9"/>
      <c r="C421" s="26"/>
      <c r="D421" s="392"/>
      <c r="E421" s="92">
        <v>10</v>
      </c>
      <c r="F421" s="27"/>
      <c r="G421" s="27"/>
      <c r="H421" s="149"/>
      <c r="I421" s="151"/>
      <c r="J421" s="151"/>
      <c r="K421" s="151"/>
      <c r="L421" s="151"/>
      <c r="M421" s="151"/>
      <c r="N421" s="151"/>
      <c r="O421" s="151"/>
      <c r="P421" s="151"/>
      <c r="Q421" s="150"/>
      <c r="R421" s="73"/>
      <c r="S421" s="107"/>
      <c r="T421" s="107"/>
      <c r="U421" s="107"/>
      <c r="V421" s="107"/>
      <c r="W421" s="107"/>
      <c r="X421" s="107"/>
      <c r="Y421" s="107"/>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04"/>
      <c r="BJ421" s="204"/>
      <c r="BK421" s="204"/>
      <c r="BL421" s="204"/>
      <c r="BM421" s="204"/>
      <c r="BN421" s="204"/>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idden="1" outlineLevel="1" collapsed="1">
      <c r="A422" s="9"/>
      <c r="B422" s="9"/>
      <c r="C422" s="279">
        <f>Asset27</f>
        <v>0</v>
      </c>
      <c r="D422" s="9"/>
      <c r="E422" s="9"/>
      <c r="F422" s="23"/>
      <c r="G422" s="23"/>
      <c r="H422" s="305">
        <f>-SUM(H410:H421)</f>
        <v>0</v>
      </c>
      <c r="I422" s="164">
        <f>-SUM(I410:I421)</f>
        <v>0</v>
      </c>
      <c r="J422" s="164">
        <f>-SUM(J410:J421)</f>
        <v>0</v>
      </c>
      <c r="K422" s="164">
        <f>-SUM(K410:K421)</f>
        <v>0</v>
      </c>
      <c r="L422" s="164">
        <f>-SUM(L410:L421)</f>
        <v>0</v>
      </c>
      <c r="M422" s="164">
        <f>IF(COUNT($H422:L422)&gt;=Input!$W$7,0, -SUM(M410:M421))</f>
        <v>0</v>
      </c>
      <c r="N422" s="164">
        <f>IF(COUNT($H422:M422)&gt;=Input!$W$7,0, -SUM(N410:N421))</f>
        <v>0</v>
      </c>
      <c r="O422" s="164">
        <f>IF(COUNT($H422:N422)&gt;=Input!$W$7,0, -SUM(O410:O421))</f>
        <v>0</v>
      </c>
      <c r="P422" s="164">
        <f>IF(COUNT($H422:O422)&gt;=Input!$W$7,0, -SUM(P410:P421))</f>
        <v>0</v>
      </c>
      <c r="Q422" s="164">
        <f>IF(COUNT($H422:P422)&gt;=Input!$W$7,0, -SUM(Q410:Q421))</f>
        <v>0</v>
      </c>
      <c r="R422" s="164"/>
      <c r="S422" s="106"/>
      <c r="T422" s="106"/>
      <c r="U422" s="106"/>
      <c r="V422" s="106"/>
      <c r="W422" s="106"/>
      <c r="X422" s="106"/>
      <c r="Y422" s="106"/>
      <c r="Z422" s="224"/>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04"/>
      <c r="BJ422" s="204"/>
      <c r="BK422" s="204"/>
      <c r="BL422" s="204"/>
      <c r="BM422" s="204"/>
      <c r="BN422" s="204"/>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2.75" hidden="1" customHeight="1" outlineLevel="2">
      <c r="A423" s="9"/>
      <c r="B423" s="280">
        <f>Asset28</f>
        <v>0</v>
      </c>
      <c r="C423" s="31"/>
      <c r="D423" s="32" t="s">
        <v>65</v>
      </c>
      <c r="E423" s="31"/>
      <c r="F423" s="308"/>
      <c r="G423" s="308"/>
      <c r="H423" s="72" t="str">
        <f>IF(H$3&gt;A28taxremlife,A28taxvalue-SUM($F423:F423),IF(A28taxremlife="N/A","n/a",A28taxvalue/A28taxremlife))</f>
        <v>n/a</v>
      </c>
      <c r="I423" s="72" t="str">
        <f>IF(I$3&gt;A28taxremlife,A28taxvalue-SUM($F423:H423),IF(A28taxremlife="N/A","n/a",A28taxvalue/A28taxremlife))</f>
        <v>n/a</v>
      </c>
      <c r="J423" s="72" t="str">
        <f>IF(J$3&gt;A28taxremlife,A28taxvalue-SUM($F423:I423),IF(A28taxremlife="N/A","n/a",A28taxvalue/A28taxremlife))</f>
        <v>n/a</v>
      </c>
      <c r="K423" s="72" t="str">
        <f>IF(K$3&gt;A28taxremlife,A28taxvalue-SUM($F423:J423),IF(A28taxremlife="N/A","n/a",A28taxvalue/A28taxremlife))</f>
        <v>n/a</v>
      </c>
      <c r="L423" s="72" t="str">
        <f>IF(L$3&gt;A28taxremlife,A28taxvalue-SUM($F423:K423),IF(A28taxremlife="N/A","n/a",A28taxvalue/A28taxremlife))</f>
        <v>n/a</v>
      </c>
      <c r="M423" s="72" t="str">
        <f>IF(M$3&gt;A28taxremlife,A28taxvalue-SUM($F423:L423),IF(A28taxremlife="N/A","n/a",A28taxvalue/A28taxremlife))</f>
        <v>n/a</v>
      </c>
      <c r="N423" s="72" t="str">
        <f>IF(N$3&gt;A28taxremlife,A28taxvalue-SUM($F423:M423),IF(A28taxremlife="N/A","n/a",A28taxvalue/A28taxremlife))</f>
        <v>n/a</v>
      </c>
      <c r="O423" s="72" t="str">
        <f>IF(O$3&gt;A28taxremlife,A28taxvalue-SUM($F423:N423),IF(A28taxremlife="N/A","n/a",A28taxvalue/A28taxremlife))</f>
        <v>n/a</v>
      </c>
      <c r="P423" s="72" t="str">
        <f>IF(P$3&gt;A28taxremlife,A28taxvalue-SUM($F423:O423),IF(A28taxremlife="N/A","n/a",A28taxvalue/A28taxremlife))</f>
        <v>n/a</v>
      </c>
      <c r="Q423" s="72" t="str">
        <f>IF(Q$3&gt;A28taxremlife,A28taxvalue-SUM($F423:P423),IF(A28taxremlife="N/A","n/a",A28taxvalue/A28taxremlife))</f>
        <v>n/a</v>
      </c>
      <c r="R423" s="72"/>
      <c r="S423" s="107"/>
      <c r="T423" s="107"/>
      <c r="U423" s="107"/>
      <c r="V423" s="107"/>
      <c r="W423" s="107"/>
      <c r="X423" s="107"/>
      <c r="Y423" s="107"/>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04"/>
      <c r="BJ423" s="204"/>
      <c r="BK423" s="204"/>
      <c r="BL423" s="204"/>
      <c r="BM423" s="204"/>
      <c r="BN423" s="204"/>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2.75" hidden="1" customHeight="1" outlineLevel="2">
      <c r="A424" s="9"/>
      <c r="B424" s="9"/>
      <c r="C424" s="26"/>
      <c r="D424" s="391" t="s">
        <v>81</v>
      </c>
      <c r="E424" s="91"/>
      <c r="F424" s="27"/>
      <c r="G424" s="27"/>
      <c r="H424" s="107"/>
      <c r="I424" s="73"/>
      <c r="J424" s="73"/>
      <c r="K424" s="73"/>
      <c r="L424" s="73"/>
      <c r="M424" s="73"/>
      <c r="N424" s="73"/>
      <c r="O424" s="73"/>
      <c r="P424" s="73"/>
      <c r="Q424" s="73"/>
      <c r="R424" s="73"/>
      <c r="S424" s="107"/>
      <c r="T424" s="107"/>
      <c r="U424" s="107"/>
      <c r="V424" s="107"/>
      <c r="W424" s="107"/>
      <c r="X424" s="107"/>
      <c r="Y424" s="107"/>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04"/>
      <c r="BJ424" s="204"/>
      <c r="BK424" s="204"/>
      <c r="BL424" s="204"/>
      <c r="BM424" s="204"/>
      <c r="BN424" s="20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2.75" hidden="1" customHeight="1" outlineLevel="2">
      <c r="A425" s="9"/>
      <c r="B425" s="9"/>
      <c r="C425" s="26"/>
      <c r="D425" s="392"/>
      <c r="E425" s="91">
        <v>1</v>
      </c>
      <c r="F425" s="27"/>
      <c r="G425" s="27"/>
      <c r="H425" s="148"/>
      <c r="I425" s="73" t="str">
        <f>IF(A28taxstdlife="n/a","n/a",IF(I$3&gt;(A28taxstdlife+$E425),(Input!$H$170-Input!$H$204)-SUM($H425:H425),(Input!$H$170-Input!$H$204)/A28taxstdlife))</f>
        <v>n/a</v>
      </c>
      <c r="J425" s="73" t="str">
        <f>IF(A28taxstdlife="n/a","n/a",IF(J$3&gt;(A28taxstdlife+$E425),(Input!$H$170-Input!$H$204)-SUM($H425:I425),(Input!$H$170-Input!$H$204)/A28taxstdlife))</f>
        <v>n/a</v>
      </c>
      <c r="K425" s="73" t="str">
        <f>IF(A28taxstdlife="n/a","n/a",IF(K$3&gt;(A28taxstdlife+$E425),(Input!$H$170-Input!$H$204)-SUM($H425:J425),(Input!$H$170-Input!$H$204)/A28taxstdlife))</f>
        <v>n/a</v>
      </c>
      <c r="L425" s="73" t="str">
        <f>IF(A28taxstdlife="n/a","n/a",IF(L$3&gt;(A28taxstdlife+$E425),(Input!$H$170-Input!$H$204)-SUM($H425:K425),(Input!$H$170-Input!$H$204)/A28taxstdlife))</f>
        <v>n/a</v>
      </c>
      <c r="M425" s="73" t="str">
        <f>IF(A28taxstdlife="n/a","n/a",IF(M$3&gt;(A28taxstdlife+$E425),(Input!$H$170-Input!$H$204)-SUM($H425:L425),(Input!$H$170-Input!$H$204)/A28taxstdlife))</f>
        <v>n/a</v>
      </c>
      <c r="N425" s="73" t="str">
        <f>IF(A28taxstdlife="n/a","n/a",IF(N$3&gt;(A28taxstdlife+$E425),(Input!$H$170-Input!$H$204)-SUM($H425:M425),(Input!$H$170-Input!$H$204)/A28taxstdlife))</f>
        <v>n/a</v>
      </c>
      <c r="O425" s="73" t="str">
        <f>IF(A28taxstdlife="n/a","n/a",IF(O$3&gt;(A28taxstdlife+$E425),(Input!$H$170-Input!$H$204)-SUM($H425:N425),(Input!$H$170-Input!$H$204)/A28taxstdlife))</f>
        <v>n/a</v>
      </c>
      <c r="P425" s="73" t="str">
        <f>IF(A28taxstdlife="n/a","n/a",IF(P$3&gt;(A28taxstdlife+$E425),(Input!$H$170-Input!$H$204)-SUM($H425:O425),(Input!$H$170-Input!$H$204)/A28taxstdlife))</f>
        <v>n/a</v>
      </c>
      <c r="Q425" s="73" t="str">
        <f>IF(A28taxstdlife="n/a","n/a",IF(Q$3&gt;(A28taxstdlife+$E425),(Input!$H$170-Input!$H$204)-SUM($H425:P425),(Input!$H$170-Input!$H$204)/A28taxstdlife))</f>
        <v>n/a</v>
      </c>
      <c r="R425" s="73"/>
      <c r="S425" s="107"/>
      <c r="T425" s="107"/>
      <c r="U425" s="107"/>
      <c r="V425" s="107"/>
      <c r="W425" s="107"/>
      <c r="X425" s="107"/>
      <c r="Y425" s="107"/>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04"/>
      <c r="BJ425" s="204"/>
      <c r="BK425" s="204"/>
      <c r="BL425" s="204"/>
      <c r="BM425" s="204"/>
      <c r="BN425" s="204"/>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2.75" hidden="1" customHeight="1" outlineLevel="2">
      <c r="A426" s="9"/>
      <c r="B426" s="9"/>
      <c r="C426" s="26"/>
      <c r="D426" s="392"/>
      <c r="E426" s="91">
        <v>2</v>
      </c>
      <c r="F426" s="27"/>
      <c r="G426" s="27"/>
      <c r="H426" s="149"/>
      <c r="I426" s="150"/>
      <c r="J426" s="73" t="str">
        <f>IF(A28taxstdlife="n/a","n/a",IF(J$3&gt;(A28taxstdlife+$E426),(Input!$I$170-Input!$I$204)-SUM($I426:I426),(Input!$I$170-Input!$I$204)/A28taxstdlife))</f>
        <v>n/a</v>
      </c>
      <c r="K426" s="73" t="str">
        <f>IF(A28taxstdlife="n/a","n/a",IF(K$3&gt;(A28taxstdlife+$E426),(Input!$I$170-Input!$I$204)-SUM($I426:J426),(Input!$I$170-Input!$I$204)/A28taxstdlife))</f>
        <v>n/a</v>
      </c>
      <c r="L426" s="73" t="str">
        <f>IF(A28taxstdlife="n/a","n/a",IF(L$3&gt;(A28taxstdlife+$E426),(Input!$I$170-Input!$I$204)-SUM($I426:K426),(Input!$I$170-Input!$I$204)/A28taxstdlife))</f>
        <v>n/a</v>
      </c>
      <c r="M426" s="73" t="str">
        <f>IF(A28taxstdlife="n/a","n/a",IF(M$3&gt;(A28taxstdlife+$E426),(Input!$I$170-Input!$I$204)-SUM($I426:L426),(Input!$I$170-Input!$I$204)/A28taxstdlife))</f>
        <v>n/a</v>
      </c>
      <c r="N426" s="73" t="str">
        <f>IF(A28taxstdlife="n/a","n/a",IF(N$3&gt;(A28taxstdlife+$E426),(Input!$I$170-Input!$I$204)-SUM($I426:M426),(Input!$I$170-Input!$I$204)/A28taxstdlife))</f>
        <v>n/a</v>
      </c>
      <c r="O426" s="73" t="str">
        <f>IF(A28taxstdlife="n/a","n/a",IF(O$3&gt;(A28taxstdlife+$E426),(Input!$I$170-Input!$I$204)-SUM($I426:N426),(Input!$I$170-Input!$I$204)/A28taxstdlife))</f>
        <v>n/a</v>
      </c>
      <c r="P426" s="73" t="str">
        <f>IF(A28taxstdlife="n/a","n/a",IF(P$3&gt;(A28taxstdlife+$E426),(Input!$I$170-Input!$I$204)-SUM($I426:O426),(Input!$I$170-Input!$I$204)/A28taxstdlife))</f>
        <v>n/a</v>
      </c>
      <c r="Q426" s="73" t="str">
        <f>IF(A28taxstdlife="n/a","n/a",IF(Q$3&gt;(A28taxstdlife+$E426),(Input!$I$170-Input!$I$204)-SUM($I426:P426),(Input!$I$170-Input!$I$204)/A28taxstdlife))</f>
        <v>n/a</v>
      </c>
      <c r="R426" s="73"/>
      <c r="S426" s="107"/>
      <c r="T426" s="107"/>
      <c r="U426" s="107"/>
      <c r="V426" s="107"/>
      <c r="W426" s="107"/>
      <c r="X426" s="107"/>
      <c r="Y426" s="107"/>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04"/>
      <c r="BJ426" s="204"/>
      <c r="BK426" s="204"/>
      <c r="BL426" s="204"/>
      <c r="BM426" s="204"/>
      <c r="BN426" s="204"/>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2.75" hidden="1" customHeight="1" outlineLevel="2">
      <c r="A427" s="9"/>
      <c r="B427" s="9"/>
      <c r="C427" s="26"/>
      <c r="D427" s="392"/>
      <c r="E427" s="91">
        <v>3</v>
      </c>
      <c r="F427" s="27"/>
      <c r="G427" s="27"/>
      <c r="H427" s="149"/>
      <c r="I427" s="151"/>
      <c r="J427" s="150"/>
      <c r="K427" s="73" t="str">
        <f>IF(A28taxstdlife="n/a","n/a",IF(K$3&gt;(A28taxstdlife+$E427),(Input!$J$170-Input!$J$204)-SUM($J427:J427),(Input!$J$170-Input!$J$204)/A28taxstdlife))</f>
        <v>n/a</v>
      </c>
      <c r="L427" s="73" t="str">
        <f>IF(A28taxstdlife="n/a","n/a",IF(L$3&gt;(A28taxstdlife+$E427),(Input!$J$170-Input!$J$204)-SUM($J427:K427),(Input!$J$170-Input!$J$204)/A28taxstdlife))</f>
        <v>n/a</v>
      </c>
      <c r="M427" s="73" t="str">
        <f>IF(A28taxstdlife="n/a","n/a",IF(M$3&gt;(A28taxstdlife+$E427),(Input!$J$170-Input!$J$204)-SUM($J427:L427),(Input!$J$170-Input!$J$204)/A28taxstdlife))</f>
        <v>n/a</v>
      </c>
      <c r="N427" s="73" t="str">
        <f>IF(A28taxstdlife="n/a","n/a",IF(N$3&gt;(A28taxstdlife+$E427),(Input!$J$170-Input!$J$204)-SUM($J427:M427),(Input!$J$170-Input!$J$204)/A28taxstdlife))</f>
        <v>n/a</v>
      </c>
      <c r="O427" s="73" t="str">
        <f>IF(A28taxstdlife="n/a","n/a",IF(O$3&gt;(A28taxstdlife+$E427),(Input!$J$170-Input!$J$204)-SUM($J427:N427),(Input!$J$170-Input!$J$204)/A28taxstdlife))</f>
        <v>n/a</v>
      </c>
      <c r="P427" s="73" t="str">
        <f>IF(A28taxstdlife="n/a","n/a",IF(P$3&gt;(A28taxstdlife+$E427),(Input!$J$170-Input!$J$204)-SUM($J427:O427),(Input!$J$170-Input!$J$204)/A28taxstdlife))</f>
        <v>n/a</v>
      </c>
      <c r="Q427" s="73" t="str">
        <f>IF(A28taxstdlife="n/a","n/a",IF(Q$3&gt;(A28taxstdlife+$E427),(Input!$J$170-Input!$J$204)-SUM($J427:P427),(Input!$J$170-Input!$J$204)/A28taxstdlife))</f>
        <v>n/a</v>
      </c>
      <c r="R427" s="73"/>
      <c r="S427" s="107"/>
      <c r="T427" s="107"/>
      <c r="U427" s="107"/>
      <c r="V427" s="107"/>
      <c r="W427" s="107"/>
      <c r="X427" s="107"/>
      <c r="Y427" s="107"/>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5"/>
      <c r="BJ427" s="204"/>
      <c r="BK427" s="204"/>
      <c r="BL427" s="204"/>
      <c r="BM427" s="204"/>
      <c r="BN427" s="204"/>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2.75" hidden="1" customHeight="1" outlineLevel="2">
      <c r="A428" s="9"/>
      <c r="B428" s="9"/>
      <c r="C428" s="26"/>
      <c r="D428" s="392"/>
      <c r="E428" s="91">
        <v>4</v>
      </c>
      <c r="F428" s="27"/>
      <c r="G428" s="27"/>
      <c r="H428" s="149"/>
      <c r="I428" s="151"/>
      <c r="J428" s="151"/>
      <c r="K428" s="150"/>
      <c r="L428" s="73" t="str">
        <f>IF(A28taxstdlife="n/a","n/a",IF(L$3&gt;(A28taxstdlife+$E428),(Input!$K$170-Input!$K$204)-SUM($K428:K428),(Input!$K$170-Input!$K$204)/A28taxstdlife))</f>
        <v>n/a</v>
      </c>
      <c r="M428" s="73" t="str">
        <f>IF(A28taxstdlife="n/a","n/a",IF(M$3&gt;(A28taxstdlife+$E428),(Input!$K$170-Input!$K$204)-SUM($K428:L428),(Input!$K$170-Input!$K$204)/A28taxstdlife))</f>
        <v>n/a</v>
      </c>
      <c r="N428" s="73" t="str">
        <f>IF(A28taxstdlife="n/a","n/a",IF(N$3&gt;(A28taxstdlife+$E428),(Input!$K$170-Input!$K$204)-SUM($K428:M428),(Input!$K$170-Input!$K$204)/A28taxstdlife))</f>
        <v>n/a</v>
      </c>
      <c r="O428" s="73" t="str">
        <f>IF(A28taxstdlife="n/a","n/a",IF(O$3&gt;(A28taxstdlife+$E428),(Input!$K$170-Input!$K$204)-SUM($K428:N428),(Input!$K$170-Input!$K$204)/A28taxstdlife))</f>
        <v>n/a</v>
      </c>
      <c r="P428" s="73" t="str">
        <f>IF(A28taxstdlife="n/a","n/a",IF(P$3&gt;(A28taxstdlife+$E428),(Input!$K$170-Input!$K$204)-SUM($K428:O428),(Input!$K$170-Input!$K$204)/A28taxstdlife))</f>
        <v>n/a</v>
      </c>
      <c r="Q428" s="73" t="str">
        <f>IF(A28taxstdlife="n/a","n/a",IF(Q$3&gt;(A28taxstdlife+$E428),(Input!$K$170-Input!$K$204)-SUM($K428:P428),(Input!$K$170-Input!$K$204)/A28taxstdlife))</f>
        <v>n/a</v>
      </c>
      <c r="R428" s="73"/>
      <c r="S428" s="107"/>
      <c r="T428" s="107"/>
      <c r="U428" s="107"/>
      <c r="V428" s="107"/>
      <c r="W428" s="107"/>
      <c r="X428" s="107"/>
      <c r="Y428" s="107"/>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04"/>
      <c r="BJ428" s="204"/>
      <c r="BK428" s="204"/>
      <c r="BL428" s="204"/>
      <c r="BM428" s="204"/>
      <c r="BN428" s="204"/>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2.75" hidden="1" customHeight="1" outlineLevel="2">
      <c r="A429" s="9"/>
      <c r="B429" s="9"/>
      <c r="C429" s="26"/>
      <c r="D429" s="392"/>
      <c r="E429" s="91">
        <v>5</v>
      </c>
      <c r="F429" s="27"/>
      <c r="G429" s="27"/>
      <c r="H429" s="149"/>
      <c r="I429" s="151"/>
      <c r="J429" s="151"/>
      <c r="K429" s="151"/>
      <c r="L429" s="150"/>
      <c r="M429" s="73" t="str">
        <f>IF(A28taxstdlife="n/a","n/a",IF(M$3&gt;(A28taxstdlife+$E429),(Input!$L$170-Input!$L$204)-SUM($L429:L429),(Input!$L$170-Input!$L$204)/A28taxstdlife))</f>
        <v>n/a</v>
      </c>
      <c r="N429" s="73" t="str">
        <f>IF(A28taxstdlife="n/a","n/a",IF(N$3&gt;(A28taxstdlife+$E429),(Input!$L$170-Input!$L$204)-SUM($L429:M429),(Input!$L$170-Input!$L$204)/A28taxstdlife))</f>
        <v>n/a</v>
      </c>
      <c r="O429" s="73" t="str">
        <f>IF(A28taxstdlife="n/a","n/a",IF(O$3&gt;(A28taxstdlife+$E429),(Input!$L$170-Input!$L$204)-SUM($L429:N429),(Input!$L$170-Input!$L$204)/A28taxstdlife))</f>
        <v>n/a</v>
      </c>
      <c r="P429" s="73" t="str">
        <f>IF(A28taxstdlife="n/a","n/a",IF(P$3&gt;(A28taxstdlife+$E429),(Input!$L$170-Input!$L$204)-SUM($L429:O429),(Input!$L$170-Input!$L$204)/A28taxstdlife))</f>
        <v>n/a</v>
      </c>
      <c r="Q429" s="73" t="str">
        <f>IF(A28taxstdlife="n/a","n/a",IF(Q$3&gt;(A28taxstdlife+$E429),(Input!$L$170-Input!$L$204)-SUM($L429:P429),(Input!$L$170-Input!$L$204)/A28taxstdlife))</f>
        <v>n/a</v>
      </c>
      <c r="R429" s="73"/>
      <c r="S429" s="107"/>
      <c r="T429" s="107"/>
      <c r="U429" s="107"/>
      <c r="V429" s="107"/>
      <c r="W429" s="107"/>
      <c r="X429" s="107"/>
      <c r="Y429" s="107"/>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04"/>
      <c r="BJ429" s="204"/>
      <c r="BK429" s="204"/>
      <c r="BL429" s="204"/>
      <c r="BM429" s="204"/>
      <c r="BN429" s="204"/>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2.75" hidden="1" customHeight="1" outlineLevel="2">
      <c r="A430" s="9"/>
      <c r="B430" s="9"/>
      <c r="C430" s="26"/>
      <c r="D430" s="392"/>
      <c r="E430" s="91">
        <v>6</v>
      </c>
      <c r="F430" s="27"/>
      <c r="G430" s="27"/>
      <c r="H430" s="149"/>
      <c r="I430" s="151"/>
      <c r="J430" s="151"/>
      <c r="K430" s="151"/>
      <c r="L430" s="151"/>
      <c r="M430" s="150"/>
      <c r="N430" s="73" t="str">
        <f>IF(A28taxstdlife="n/a","n/a",IF(N$3&gt;(A28taxstdlife+$E430),(Input!$M$170-Input!$M$204)-SUM($M430:M430),(Input!$M$170-Input!$M$204)/A28taxstdlife))</f>
        <v>n/a</v>
      </c>
      <c r="O430" s="73" t="str">
        <f>IF(A28taxstdlife="n/a","n/a",IF(O$3&gt;(A28taxstdlife+$E430),(Input!$M$170-Input!$M$204)-SUM($M430:N430),(Input!$M$170-Input!$M$204)/A28taxstdlife))</f>
        <v>n/a</v>
      </c>
      <c r="P430" s="73" t="str">
        <f>IF(A28taxstdlife="n/a","n/a",IF(P$3&gt;(A28taxstdlife+$E430),(Input!$M$170-Input!$M$204)-SUM($M430:O430),(Input!$M$170-Input!$M$204)/A28taxstdlife))</f>
        <v>n/a</v>
      </c>
      <c r="Q430" s="73" t="str">
        <f>IF(A28taxstdlife="n/a","n/a",IF(Q$3&gt;(A28taxstdlife+$E430),(Input!$M$170-Input!$M$204)-SUM($M430:P430),(Input!$M$170-Input!$M$204)/A28taxstdlife))</f>
        <v>n/a</v>
      </c>
      <c r="R430" s="73"/>
      <c r="S430" s="107"/>
      <c r="T430" s="107"/>
      <c r="U430" s="107"/>
      <c r="V430" s="107"/>
      <c r="W430" s="107"/>
      <c r="X430" s="107"/>
      <c r="Y430" s="107"/>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04"/>
      <c r="BJ430" s="204"/>
      <c r="BK430" s="204"/>
      <c r="BL430" s="204"/>
      <c r="BM430" s="204"/>
      <c r="BN430" s="204"/>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2.75" hidden="1" customHeight="1" outlineLevel="2">
      <c r="A431" s="9"/>
      <c r="B431" s="9"/>
      <c r="C431" s="26"/>
      <c r="D431" s="392"/>
      <c r="E431" s="91">
        <v>7</v>
      </c>
      <c r="F431" s="27"/>
      <c r="G431" s="27"/>
      <c r="H431" s="149"/>
      <c r="I431" s="151"/>
      <c r="J431" s="151"/>
      <c r="K431" s="151"/>
      <c r="L431" s="151"/>
      <c r="M431" s="151"/>
      <c r="N431" s="150"/>
      <c r="O431" s="73" t="str">
        <f>IF(A28taxstdlife="n/a","n/a",IF(O$3&gt;(A28taxstdlife+$E431),(Input!$N$170-Input!$N$204)-SUM($N431:N431),(Input!$N$170-Input!$N$204)/A28taxstdlife))</f>
        <v>n/a</v>
      </c>
      <c r="P431" s="73" t="str">
        <f>IF(A28taxstdlife="n/a","n/a",IF(P$3&gt;(A28taxstdlife+$E431),(Input!$N$170-Input!$N$204)-SUM($N431:O431),(Input!$N$170-Input!$N$204)/A28taxstdlife))</f>
        <v>n/a</v>
      </c>
      <c r="Q431" s="73" t="str">
        <f>IF(A28taxstdlife="n/a","n/a",IF(Q$3&gt;(A28taxstdlife+$E431),(Input!$N$170-Input!$N$204)-SUM($N431:P431),(Input!$N$170-Input!$N$204)/A28taxstdlife))</f>
        <v>n/a</v>
      </c>
      <c r="R431" s="73"/>
      <c r="S431" s="107"/>
      <c r="T431" s="107"/>
      <c r="U431" s="107"/>
      <c r="V431" s="107"/>
      <c r="W431" s="107"/>
      <c r="X431" s="107"/>
      <c r="Y431" s="107"/>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04"/>
      <c r="BJ431" s="204"/>
      <c r="BK431" s="204"/>
      <c r="BL431" s="204"/>
      <c r="BM431" s="204"/>
      <c r="BN431" s="204"/>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2.75" hidden="1" customHeight="1" outlineLevel="2">
      <c r="A432" s="9"/>
      <c r="B432" s="9"/>
      <c r="C432" s="26"/>
      <c r="D432" s="392"/>
      <c r="E432" s="91">
        <v>8</v>
      </c>
      <c r="F432" s="27"/>
      <c r="G432" s="27"/>
      <c r="H432" s="149"/>
      <c r="I432" s="151"/>
      <c r="J432" s="151"/>
      <c r="K432" s="151"/>
      <c r="L432" s="151"/>
      <c r="M432" s="151"/>
      <c r="N432" s="151"/>
      <c r="O432" s="150"/>
      <c r="P432" s="73" t="str">
        <f>IF(A28taxstdlife="n/a","n/a",IF(P$3&gt;(A28taxstdlife+$E432),(Input!$O$170-Input!$O$204)-SUM($O432:O432),(Input!$O$170-Input!$O$204)/A28taxstdlife))</f>
        <v>n/a</v>
      </c>
      <c r="Q432" s="73" t="str">
        <f>IF(A28taxstdlife="n/a","n/a",IF(Q$3&gt;(A28taxstdlife+$E432),(Input!$O$170-Input!$O$204)-SUM($O432:P432),(Input!$O$170-Input!$O$204)/A28taxstdlife))</f>
        <v>n/a</v>
      </c>
      <c r="R432" s="73"/>
      <c r="S432" s="107"/>
      <c r="T432" s="107"/>
      <c r="U432" s="107"/>
      <c r="V432" s="107"/>
      <c r="W432" s="107"/>
      <c r="X432" s="107"/>
      <c r="Y432" s="107"/>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04"/>
      <c r="BJ432" s="204"/>
      <c r="BK432" s="204"/>
      <c r="BL432" s="204"/>
      <c r="BM432" s="204"/>
      <c r="BN432" s="204"/>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2.75" hidden="1" customHeight="1" outlineLevel="2">
      <c r="A433" s="9"/>
      <c r="B433" s="9"/>
      <c r="C433" s="26"/>
      <c r="D433" s="392"/>
      <c r="E433" s="91">
        <v>9</v>
      </c>
      <c r="F433" s="27"/>
      <c r="G433" s="27"/>
      <c r="H433" s="149"/>
      <c r="I433" s="151"/>
      <c r="J433" s="151"/>
      <c r="K433" s="151"/>
      <c r="L433" s="151"/>
      <c r="M433" s="151"/>
      <c r="N433" s="151"/>
      <c r="O433" s="151"/>
      <c r="P433" s="150"/>
      <c r="Q433" s="73" t="str">
        <f>IF(A28taxstdlife="n/a","n/a",IF(Q$3&gt;(A28taxstdlife+$E433),(Input!$P$170-Input!$P$204)-SUM($P433:P433),(Input!$P$170-Input!$P$204)/A28taxstdlife))</f>
        <v>n/a</v>
      </c>
      <c r="R433" s="73"/>
      <c r="S433" s="107"/>
      <c r="T433" s="107"/>
      <c r="U433" s="107"/>
      <c r="V433" s="107"/>
      <c r="W433" s="107"/>
      <c r="X433" s="107"/>
      <c r="Y433" s="107"/>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04"/>
      <c r="BJ433" s="204"/>
      <c r="BK433" s="204"/>
      <c r="BL433" s="204"/>
      <c r="BM433" s="204"/>
      <c r="BN433" s="204"/>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2.75" hidden="1" customHeight="1" outlineLevel="2">
      <c r="A434" s="9"/>
      <c r="B434" s="9"/>
      <c r="C434" s="26"/>
      <c r="D434" s="392"/>
      <c r="E434" s="92">
        <v>10</v>
      </c>
      <c r="F434" s="27"/>
      <c r="G434" s="27"/>
      <c r="H434" s="149"/>
      <c r="I434" s="151"/>
      <c r="J434" s="151"/>
      <c r="K434" s="151"/>
      <c r="L434" s="151"/>
      <c r="M434" s="151"/>
      <c r="N434" s="151"/>
      <c r="O434" s="151"/>
      <c r="P434" s="151"/>
      <c r="Q434" s="150"/>
      <c r="R434" s="73"/>
      <c r="S434" s="107"/>
      <c r="T434" s="107"/>
      <c r="U434" s="107"/>
      <c r="V434" s="107"/>
      <c r="W434" s="107"/>
      <c r="X434" s="107"/>
      <c r="Y434" s="107"/>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04"/>
      <c r="BJ434" s="204"/>
      <c r="BK434" s="204"/>
      <c r="BL434" s="204"/>
      <c r="BM434" s="204"/>
      <c r="BN434" s="20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idden="1" outlineLevel="1" collapsed="1">
      <c r="A435" s="9"/>
      <c r="B435" s="9"/>
      <c r="C435" s="279">
        <f>Asset28</f>
        <v>0</v>
      </c>
      <c r="D435" s="9"/>
      <c r="E435" s="9"/>
      <c r="F435" s="23"/>
      <c r="G435" s="23"/>
      <c r="H435" s="305">
        <f>-SUM(H423:H434)</f>
        <v>0</v>
      </c>
      <c r="I435" s="164">
        <f>-SUM(I423:I434)</f>
        <v>0</v>
      </c>
      <c r="J435" s="164">
        <f>-SUM(J423:J434)</f>
        <v>0</v>
      </c>
      <c r="K435" s="164">
        <f>-SUM(K423:K434)</f>
        <v>0</v>
      </c>
      <c r="L435" s="164">
        <f>-SUM(L423:L434)</f>
        <v>0</v>
      </c>
      <c r="M435" s="164">
        <f>IF(COUNT($H435:L435)&gt;=Input!$W$7,0, -SUM(M423:M434))</f>
        <v>0</v>
      </c>
      <c r="N435" s="164">
        <f>IF(COUNT($H435:M435)&gt;=Input!$W$7,0, -SUM(N423:N434))</f>
        <v>0</v>
      </c>
      <c r="O435" s="164">
        <f>IF(COUNT($H435:N435)&gt;=Input!$W$7,0, -SUM(O423:O434))</f>
        <v>0</v>
      </c>
      <c r="P435" s="164">
        <f>IF(COUNT($H435:O435)&gt;=Input!$W$7,0, -SUM(P423:P434))</f>
        <v>0</v>
      </c>
      <c r="Q435" s="164">
        <f>IF(COUNT($H435:P435)&gt;=Input!$W$7,0, -SUM(Q423:Q434))</f>
        <v>0</v>
      </c>
      <c r="R435" s="164"/>
      <c r="S435" s="106"/>
      <c r="T435" s="106"/>
      <c r="U435" s="106"/>
      <c r="V435" s="106"/>
      <c r="W435" s="106"/>
      <c r="X435" s="106"/>
      <c r="Y435" s="106"/>
      <c r="Z435" s="22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04"/>
      <c r="BJ435" s="204"/>
      <c r="BK435" s="204"/>
      <c r="BL435" s="204"/>
      <c r="BM435" s="204"/>
      <c r="BN435" s="204"/>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2.75" hidden="1" customHeight="1" outlineLevel="2">
      <c r="A436" s="9"/>
      <c r="B436" s="280">
        <f>Asset29</f>
        <v>0</v>
      </c>
      <c r="C436" s="31"/>
      <c r="D436" s="32" t="s">
        <v>65</v>
      </c>
      <c r="E436" s="31"/>
      <c r="F436" s="308"/>
      <c r="G436" s="308"/>
      <c r="H436" s="72" t="str">
        <f>IF(H$3&gt;A29taxremlife,A29taxvalue-SUM($F436:F436),IF(A29taxremlife="N/A","n/a",A29taxvalue/A29taxremlife))</f>
        <v>n/a</v>
      </c>
      <c r="I436" s="72" t="str">
        <f>IF(I$3&gt;A29taxremlife,A29taxvalue-SUM($F436:H436),IF(A29taxremlife="N/A","n/a",A29taxvalue/A29taxremlife))</f>
        <v>n/a</v>
      </c>
      <c r="J436" s="72" t="str">
        <f>IF(J$3&gt;A29taxremlife,A29taxvalue-SUM($F436:I436),IF(A29taxremlife="N/A","n/a",A29taxvalue/A29taxremlife))</f>
        <v>n/a</v>
      </c>
      <c r="K436" s="72" t="str">
        <f>IF(K$3&gt;A29taxremlife,A29taxvalue-SUM($F436:J436),IF(A29taxremlife="N/A","n/a",A29taxvalue/A29taxremlife))</f>
        <v>n/a</v>
      </c>
      <c r="L436" s="72" t="str">
        <f>IF(L$3&gt;A29taxremlife,A29taxvalue-SUM($F436:K436),IF(A29taxremlife="N/A","n/a",A29taxvalue/A29taxremlife))</f>
        <v>n/a</v>
      </c>
      <c r="M436" s="72" t="str">
        <f>IF(M$3&gt;A29taxremlife,A29taxvalue-SUM($F436:L436),IF(A29taxremlife="N/A","n/a",A29taxvalue/A29taxremlife))</f>
        <v>n/a</v>
      </c>
      <c r="N436" s="72" t="str">
        <f>IF(N$3&gt;A29taxremlife,A29taxvalue-SUM($F436:M436),IF(A29taxremlife="N/A","n/a",A29taxvalue/A29taxremlife))</f>
        <v>n/a</v>
      </c>
      <c r="O436" s="72" t="str">
        <f>IF(O$3&gt;A29taxremlife,A29taxvalue-SUM($F436:N436),IF(A29taxremlife="N/A","n/a",A29taxvalue/A29taxremlife))</f>
        <v>n/a</v>
      </c>
      <c r="P436" s="72" t="str">
        <f>IF(P$3&gt;A29taxremlife,A29taxvalue-SUM($F436:O436),IF(A29taxremlife="N/A","n/a",A29taxvalue/A29taxremlife))</f>
        <v>n/a</v>
      </c>
      <c r="Q436" s="72" t="str">
        <f>IF(Q$3&gt;A29taxremlife,A29taxvalue-SUM($F436:P436),IF(A29taxremlife="N/A","n/a",A29taxvalue/A29taxremlife))</f>
        <v>n/a</v>
      </c>
      <c r="R436" s="72"/>
      <c r="S436" s="107"/>
      <c r="T436" s="107"/>
      <c r="U436" s="107"/>
      <c r="V436" s="107"/>
      <c r="W436" s="107"/>
      <c r="X436" s="107"/>
      <c r="Y436" s="107"/>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04"/>
      <c r="BJ436" s="204"/>
      <c r="BK436" s="204"/>
      <c r="BL436" s="204"/>
      <c r="BM436" s="204"/>
      <c r="BN436" s="204"/>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2.75" hidden="1" customHeight="1" outlineLevel="2">
      <c r="A437" s="9"/>
      <c r="B437" s="9"/>
      <c r="C437" s="26"/>
      <c r="D437" s="391" t="s">
        <v>81</v>
      </c>
      <c r="E437" s="91"/>
      <c r="F437" s="27"/>
      <c r="G437" s="27"/>
      <c r="H437" s="107"/>
      <c r="I437" s="73"/>
      <c r="J437" s="73"/>
      <c r="K437" s="73"/>
      <c r="L437" s="73"/>
      <c r="M437" s="73"/>
      <c r="N437" s="73"/>
      <c r="O437" s="73"/>
      <c r="P437" s="73"/>
      <c r="Q437" s="73"/>
      <c r="R437" s="73"/>
      <c r="S437" s="107"/>
      <c r="T437" s="107"/>
      <c r="U437" s="107"/>
      <c r="V437" s="107"/>
      <c r="W437" s="107"/>
      <c r="X437" s="107"/>
      <c r="Y437" s="107"/>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04"/>
      <c r="BJ437" s="204"/>
      <c r="BK437" s="204"/>
      <c r="BL437" s="204"/>
      <c r="BM437" s="204"/>
      <c r="BN437" s="204"/>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2.75" hidden="1" customHeight="1" outlineLevel="2">
      <c r="A438" s="9"/>
      <c r="B438" s="9"/>
      <c r="C438" s="26"/>
      <c r="D438" s="392"/>
      <c r="E438" s="91">
        <v>1</v>
      </c>
      <c r="F438" s="27"/>
      <c r="G438" s="27"/>
      <c r="H438" s="148"/>
      <c r="I438" s="73" t="str">
        <f>IF(A29taxstdlife="n/a","n/a",IF(I$3&gt;(A29taxstdlife+$E438),(Input!$H$171-Input!$H$205)-SUM($H438:H438),(Input!$H$171-Input!$H$205)/A29taxstdlife))</f>
        <v>n/a</v>
      </c>
      <c r="J438" s="73" t="str">
        <f>IF(A29taxstdlife="n/a","n/a",IF(J$3&gt;(A29taxstdlife+$E438),(Input!$H$171-Input!$H$205)-SUM($H438:I438),(Input!$H$171-Input!$H$205)/A29taxstdlife))</f>
        <v>n/a</v>
      </c>
      <c r="K438" s="73" t="str">
        <f>IF(A29taxstdlife="n/a","n/a",IF(K$3&gt;(A29taxstdlife+$E438),(Input!$H$171-Input!$H$205)-SUM($H438:J438),(Input!$H$171-Input!$H$205)/A29taxstdlife))</f>
        <v>n/a</v>
      </c>
      <c r="L438" s="73" t="str">
        <f>IF(A29taxstdlife="n/a","n/a",IF(L$3&gt;(A29taxstdlife+$E438),(Input!$H$171-Input!$H$205)-SUM($H438:K438),(Input!$H$171-Input!$H$205)/A29taxstdlife))</f>
        <v>n/a</v>
      </c>
      <c r="M438" s="73" t="str">
        <f>IF(A29taxstdlife="n/a","n/a",IF(M$3&gt;(A29taxstdlife+$E438),(Input!$H$171-Input!$H$205)-SUM($H438:L438),(Input!$H$171-Input!$H$205)/A29taxstdlife))</f>
        <v>n/a</v>
      </c>
      <c r="N438" s="73" t="str">
        <f>IF(A29taxstdlife="n/a","n/a",IF(N$3&gt;(A29taxstdlife+$E438),(Input!$H$171-Input!$H$205)-SUM($H438:M438),(Input!$H$171-Input!$H$205)/A29taxstdlife))</f>
        <v>n/a</v>
      </c>
      <c r="O438" s="73" t="str">
        <f>IF(A29taxstdlife="n/a","n/a",IF(O$3&gt;(A29taxstdlife+$E438),(Input!$H$171-Input!$H$205)-SUM($H438:N438),(Input!$H$171-Input!$H$205)/A29taxstdlife))</f>
        <v>n/a</v>
      </c>
      <c r="P438" s="73" t="str">
        <f>IF(A29taxstdlife="n/a","n/a",IF(P$3&gt;(A29taxstdlife+$E438),(Input!$H$171-Input!$H$205)-SUM($H438:O438),(Input!$H$171-Input!$H$205)/A29taxstdlife))</f>
        <v>n/a</v>
      </c>
      <c r="Q438" s="73" t="str">
        <f>IF(A29taxstdlife="n/a","n/a",IF(Q$3&gt;(A29taxstdlife+$E438),(Input!$H$171-Input!$H$205)-SUM($H438:P438),(Input!$H$171-Input!$H$205)/A29taxstdlife))</f>
        <v>n/a</v>
      </c>
      <c r="R438" s="73"/>
      <c r="S438" s="107"/>
      <c r="T438" s="107"/>
      <c r="U438" s="107"/>
      <c r="V438" s="107"/>
      <c r="W438" s="107"/>
      <c r="X438" s="107"/>
      <c r="Y438" s="107"/>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04"/>
      <c r="BJ438" s="204"/>
      <c r="BK438" s="204"/>
      <c r="BL438" s="204"/>
      <c r="BM438" s="204"/>
      <c r="BN438" s="204"/>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2.75" hidden="1" customHeight="1" outlineLevel="2">
      <c r="A439" s="9"/>
      <c r="B439" s="9"/>
      <c r="C439" s="26"/>
      <c r="D439" s="392"/>
      <c r="E439" s="91">
        <v>2</v>
      </c>
      <c r="F439" s="27"/>
      <c r="G439" s="27"/>
      <c r="H439" s="149"/>
      <c r="I439" s="150"/>
      <c r="J439" s="73" t="str">
        <f>IF(A29taxstdlife="n/a","n/a",IF(J$3&gt;(A29taxstdlife+$E439),(Input!$I$171-Input!$I$205)-SUM($I439:I439),(Input!$I$171-Input!$I$205)/A29taxstdlife))</f>
        <v>n/a</v>
      </c>
      <c r="K439" s="73" t="str">
        <f>IF(A29taxstdlife="n/a","n/a",IF(K$3&gt;(A29taxstdlife+$E439),(Input!$I$171-Input!$I$205)-SUM($I439:J439),(Input!$I$171-Input!$I$205)/A29taxstdlife))</f>
        <v>n/a</v>
      </c>
      <c r="L439" s="73" t="str">
        <f>IF(A29taxstdlife="n/a","n/a",IF(L$3&gt;(A29taxstdlife+$E439),(Input!$I$171-Input!$I$205)-SUM($I439:K439),(Input!$I$171-Input!$I$205)/A29taxstdlife))</f>
        <v>n/a</v>
      </c>
      <c r="M439" s="73" t="str">
        <f>IF(A29taxstdlife="n/a","n/a",IF(M$3&gt;(A29taxstdlife+$E439),(Input!$I$171-Input!$I$205)-SUM($I439:L439),(Input!$I$171-Input!$I$205)/A29taxstdlife))</f>
        <v>n/a</v>
      </c>
      <c r="N439" s="73" t="str">
        <f>IF(A29taxstdlife="n/a","n/a",IF(N$3&gt;(A29taxstdlife+$E439),(Input!$I$171-Input!$I$205)-SUM($I439:M439),(Input!$I$171-Input!$I$205)/A29taxstdlife))</f>
        <v>n/a</v>
      </c>
      <c r="O439" s="73" t="str">
        <f>IF(A29taxstdlife="n/a","n/a",IF(O$3&gt;(A29taxstdlife+$E439),(Input!$I$171-Input!$I$205)-SUM($I439:N439),(Input!$I$171-Input!$I$205)/A29taxstdlife))</f>
        <v>n/a</v>
      </c>
      <c r="P439" s="73" t="str">
        <f>IF(A29taxstdlife="n/a","n/a",IF(P$3&gt;(A29taxstdlife+$E439),(Input!$I$171-Input!$I$205)-SUM($I439:O439),(Input!$I$171-Input!$I$205)/A29taxstdlife))</f>
        <v>n/a</v>
      </c>
      <c r="Q439" s="73" t="str">
        <f>IF(A29taxstdlife="n/a","n/a",IF(Q$3&gt;(A29taxstdlife+$E439),(Input!$I$171-Input!$I$205)-SUM($I439:P439),(Input!$I$171-Input!$I$205)/A29taxstdlife))</f>
        <v>n/a</v>
      </c>
      <c r="R439" s="73"/>
      <c r="S439" s="107"/>
      <c r="T439" s="107"/>
      <c r="U439" s="107"/>
      <c r="V439" s="107"/>
      <c r="W439" s="107"/>
      <c r="X439" s="107"/>
      <c r="Y439" s="107"/>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04"/>
      <c r="BJ439" s="204"/>
      <c r="BK439" s="204"/>
      <c r="BL439" s="204"/>
      <c r="BM439" s="204"/>
      <c r="BN439" s="204"/>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2.75" hidden="1" customHeight="1" outlineLevel="2">
      <c r="A440" s="9"/>
      <c r="B440" s="9"/>
      <c r="C440" s="26"/>
      <c r="D440" s="392"/>
      <c r="E440" s="91">
        <v>3</v>
      </c>
      <c r="F440" s="27"/>
      <c r="G440" s="27"/>
      <c r="H440" s="149"/>
      <c r="I440" s="151"/>
      <c r="J440" s="150"/>
      <c r="K440" s="73" t="str">
        <f>IF(A29taxstdlife="n/a","n/a",IF(K$3&gt;(A29taxstdlife+$E440),(Input!$J$171-Input!$J$205)-SUM($J440:J440),(Input!$J$171-Input!$J$205)/A29taxstdlife))</f>
        <v>n/a</v>
      </c>
      <c r="L440" s="73" t="str">
        <f>IF(A29taxstdlife="n/a","n/a",IF(L$3&gt;(A29taxstdlife+$E440),(Input!$J$171-Input!$J$205)-SUM($J440:K440),(Input!$J$171-Input!$J$205)/A29taxstdlife))</f>
        <v>n/a</v>
      </c>
      <c r="M440" s="73" t="str">
        <f>IF(A29taxstdlife="n/a","n/a",IF(M$3&gt;(A29taxstdlife+$E440),(Input!$J$171-Input!$J$205)-SUM($J440:L440),(Input!$J$171-Input!$J$205)/A29taxstdlife))</f>
        <v>n/a</v>
      </c>
      <c r="N440" s="73" t="str">
        <f>IF(A29taxstdlife="n/a","n/a",IF(N$3&gt;(A29taxstdlife+$E440),(Input!$J$171-Input!$J$205)-SUM($J440:M440),(Input!$J$171-Input!$J$205)/A29taxstdlife))</f>
        <v>n/a</v>
      </c>
      <c r="O440" s="73" t="str">
        <f>IF(A29taxstdlife="n/a","n/a",IF(O$3&gt;(A29taxstdlife+$E440),(Input!$J$171-Input!$J$205)-SUM($J440:N440),(Input!$J$171-Input!$J$205)/A29taxstdlife))</f>
        <v>n/a</v>
      </c>
      <c r="P440" s="73" t="str">
        <f>IF(A29taxstdlife="n/a","n/a",IF(P$3&gt;(A29taxstdlife+$E440),(Input!$J$171-Input!$J$205)-SUM($J440:O440),(Input!$J$171-Input!$J$205)/A29taxstdlife))</f>
        <v>n/a</v>
      </c>
      <c r="Q440" s="73" t="str">
        <f>IF(A29taxstdlife="n/a","n/a",IF(Q$3&gt;(A29taxstdlife+$E440),(Input!$J$171-Input!$J$205)-SUM($J440:P440),(Input!$J$171-Input!$J$205)/A29taxstdlife))</f>
        <v>n/a</v>
      </c>
      <c r="R440" s="73"/>
      <c r="S440" s="107"/>
      <c r="T440" s="107"/>
      <c r="U440" s="107"/>
      <c r="V440" s="107"/>
      <c r="W440" s="107"/>
      <c r="X440" s="107"/>
      <c r="Y440" s="107"/>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5"/>
      <c r="BJ440" s="204"/>
      <c r="BK440" s="204"/>
      <c r="BL440" s="204"/>
      <c r="BM440" s="204"/>
      <c r="BN440" s="204"/>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2.75" hidden="1" customHeight="1" outlineLevel="2">
      <c r="A441" s="9"/>
      <c r="B441" s="9"/>
      <c r="C441" s="26"/>
      <c r="D441" s="392"/>
      <c r="E441" s="91">
        <v>4</v>
      </c>
      <c r="F441" s="27"/>
      <c r="G441" s="27"/>
      <c r="H441" s="149"/>
      <c r="I441" s="151"/>
      <c r="J441" s="151"/>
      <c r="K441" s="150"/>
      <c r="L441" s="73" t="str">
        <f>IF(A29taxstdlife="n/a","n/a",IF(L$3&gt;(A29taxstdlife+$E441),(Input!$K$171-Input!$K$205)-SUM($K441:K441),(Input!$K$171-Input!$K$205)/A29taxstdlife))</f>
        <v>n/a</v>
      </c>
      <c r="M441" s="73" t="str">
        <f>IF(A29taxstdlife="n/a","n/a",IF(M$3&gt;(A29taxstdlife+$E441),(Input!$K$171-Input!$K$205)-SUM($K441:L441),(Input!$K$171-Input!$K$205)/A29taxstdlife))</f>
        <v>n/a</v>
      </c>
      <c r="N441" s="73" t="str">
        <f>IF(A29taxstdlife="n/a","n/a",IF(N$3&gt;(A29taxstdlife+$E441),(Input!$K$171-Input!$K$205)-SUM($K441:M441),(Input!$K$171-Input!$K$205)/A29taxstdlife))</f>
        <v>n/a</v>
      </c>
      <c r="O441" s="73" t="str">
        <f>IF(A29taxstdlife="n/a","n/a",IF(O$3&gt;(A29taxstdlife+$E441),(Input!$K$171-Input!$K$205)-SUM($K441:N441),(Input!$K$171-Input!$K$205)/A29taxstdlife))</f>
        <v>n/a</v>
      </c>
      <c r="P441" s="73" t="str">
        <f>IF(A29taxstdlife="n/a","n/a",IF(P$3&gt;(A29taxstdlife+$E441),(Input!$K$171-Input!$K$205)-SUM($K441:O441),(Input!$K$171-Input!$K$205)/A29taxstdlife))</f>
        <v>n/a</v>
      </c>
      <c r="Q441" s="73" t="str">
        <f>IF(A29taxstdlife="n/a","n/a",IF(Q$3&gt;(A29taxstdlife+$E441),(Input!$K$171-Input!$K$205)-SUM($K441:P441),(Input!$K$171-Input!$K$205)/A29taxstdlife))</f>
        <v>n/a</v>
      </c>
      <c r="R441" s="73"/>
      <c r="S441" s="107"/>
      <c r="T441" s="107"/>
      <c r="U441" s="107"/>
      <c r="V441" s="107"/>
      <c r="W441" s="107"/>
      <c r="X441" s="107"/>
      <c r="Y441" s="107"/>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04"/>
      <c r="BJ441" s="204"/>
      <c r="BK441" s="204"/>
      <c r="BL441" s="204"/>
      <c r="BM441" s="204"/>
      <c r="BN441" s="204"/>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2.75" hidden="1" customHeight="1" outlineLevel="2">
      <c r="A442" s="9"/>
      <c r="B442" s="9"/>
      <c r="C442" s="26"/>
      <c r="D442" s="392"/>
      <c r="E442" s="91">
        <v>5</v>
      </c>
      <c r="F442" s="27"/>
      <c r="G442" s="27"/>
      <c r="H442" s="149"/>
      <c r="I442" s="151"/>
      <c r="J442" s="151"/>
      <c r="K442" s="151"/>
      <c r="L442" s="150"/>
      <c r="M442" s="73" t="str">
        <f>IF(A29taxstdlife="n/a","n/a",IF(M$3&gt;(A29taxstdlife+$E442),(Input!$L$171-Input!$L$205)-SUM($L442:L442),(Input!$L$171-Input!$L$205)/A29taxstdlife))</f>
        <v>n/a</v>
      </c>
      <c r="N442" s="73" t="str">
        <f>IF(A29taxstdlife="n/a","n/a",IF(N$3&gt;(A29taxstdlife+$E442),(Input!$L$171-Input!$L$205)-SUM($L442:M442),(Input!$L$171-Input!$L$205)/A29taxstdlife))</f>
        <v>n/a</v>
      </c>
      <c r="O442" s="73" t="str">
        <f>IF(A29taxstdlife="n/a","n/a",IF(O$3&gt;(A29taxstdlife+$E442),(Input!$L$171-Input!$L$205)-SUM($L442:N442),(Input!$L$171-Input!$L$205)/A29taxstdlife))</f>
        <v>n/a</v>
      </c>
      <c r="P442" s="73" t="str">
        <f>IF(A29taxstdlife="n/a","n/a",IF(P$3&gt;(A29taxstdlife+$E442),(Input!$L$171-Input!$L$205)-SUM($L442:O442),(Input!$L$171-Input!$L$205)/A29taxstdlife))</f>
        <v>n/a</v>
      </c>
      <c r="Q442" s="73" t="str">
        <f>IF(A29taxstdlife="n/a","n/a",IF(Q$3&gt;(A29taxstdlife+$E442),(Input!$L$171-Input!$L$205)-SUM($L442:P442),(Input!$L$171-Input!$L$205)/A29taxstdlife))</f>
        <v>n/a</v>
      </c>
      <c r="R442" s="73"/>
      <c r="S442" s="107"/>
      <c r="T442" s="107"/>
      <c r="U442" s="107"/>
      <c r="V442" s="107"/>
      <c r="W442" s="107"/>
      <c r="X442" s="107"/>
      <c r="Y442" s="107"/>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04"/>
      <c r="BJ442" s="204"/>
      <c r="BK442" s="204"/>
      <c r="BL442" s="204"/>
      <c r="BM442" s="204"/>
      <c r="BN442" s="204"/>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2.75" hidden="1" customHeight="1" outlineLevel="2">
      <c r="A443" s="9"/>
      <c r="B443" s="9"/>
      <c r="C443" s="26"/>
      <c r="D443" s="392"/>
      <c r="E443" s="91">
        <v>6</v>
      </c>
      <c r="F443" s="27"/>
      <c r="G443" s="27"/>
      <c r="H443" s="149"/>
      <c r="I443" s="151"/>
      <c r="J443" s="151"/>
      <c r="K443" s="151"/>
      <c r="L443" s="151"/>
      <c r="M443" s="150"/>
      <c r="N443" s="73" t="str">
        <f>IF(A29taxstdlife="n/a","n/a",IF(N$3&gt;(A29taxstdlife+$E443),(Input!$M$171-Input!$M$205)-SUM($M443:M443),(Input!$M$171-Input!$M$205)/A29taxstdlife))</f>
        <v>n/a</v>
      </c>
      <c r="O443" s="73" t="str">
        <f>IF(A29taxstdlife="n/a","n/a",IF(O$3&gt;(A29taxstdlife+$E443),(Input!$M$171-Input!$M$205)-SUM($M443:N443),(Input!$M$171-Input!$M$205)/A29taxstdlife))</f>
        <v>n/a</v>
      </c>
      <c r="P443" s="73" t="str">
        <f>IF(A29taxstdlife="n/a","n/a",IF(P$3&gt;(A29taxstdlife+$E443),(Input!$M$171-Input!$M$205)-SUM($M443:O443),(Input!$M$171-Input!$M$205)/A29taxstdlife))</f>
        <v>n/a</v>
      </c>
      <c r="Q443" s="73" t="str">
        <f>IF(A29taxstdlife="n/a","n/a",IF(Q$3&gt;(A29taxstdlife+$E443),(Input!$M$171-Input!$M$205)-SUM($M443:P443),(Input!$M$171-Input!$M$205)/A29taxstdlife))</f>
        <v>n/a</v>
      </c>
      <c r="R443" s="73"/>
      <c r="S443" s="107"/>
      <c r="T443" s="107"/>
      <c r="U443" s="107"/>
      <c r="V443" s="107"/>
      <c r="W443" s="107"/>
      <c r="X443" s="107"/>
      <c r="Y443" s="107"/>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04"/>
      <c r="BJ443" s="204"/>
      <c r="BK443" s="204"/>
      <c r="BL443" s="204"/>
      <c r="BM443" s="204"/>
      <c r="BN443" s="204"/>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2.75" hidden="1" customHeight="1" outlineLevel="2">
      <c r="A444" s="9"/>
      <c r="B444" s="9"/>
      <c r="C444" s="26"/>
      <c r="D444" s="392"/>
      <c r="E444" s="91">
        <v>7</v>
      </c>
      <c r="F444" s="27"/>
      <c r="G444" s="27"/>
      <c r="H444" s="149"/>
      <c r="I444" s="151"/>
      <c r="J444" s="151"/>
      <c r="K444" s="151"/>
      <c r="L444" s="151"/>
      <c r="M444" s="151"/>
      <c r="N444" s="150"/>
      <c r="O444" s="73" t="str">
        <f>IF(A29taxstdlife="n/a","n/a",IF(O$3&gt;(A29taxstdlife+$E444),(Input!$N$171-Input!$N$205)-SUM($N444:N444),(Input!$N$171-Input!$N$205)/A29taxstdlife))</f>
        <v>n/a</v>
      </c>
      <c r="P444" s="73" t="str">
        <f>IF(A29taxstdlife="n/a","n/a",IF(P$3&gt;(A29taxstdlife+$E444),(Input!$N$171-Input!$N$205)-SUM($N444:O444),(Input!$N$171-Input!$N$205)/A29taxstdlife))</f>
        <v>n/a</v>
      </c>
      <c r="Q444" s="73" t="str">
        <f>IF(A29taxstdlife="n/a","n/a",IF(Q$3&gt;(A29taxstdlife+$E444),(Input!$N$171-Input!$N$205)-SUM($N444:P444),(Input!$N$171-Input!$N$205)/A29taxstdlife))</f>
        <v>n/a</v>
      </c>
      <c r="R444" s="73"/>
      <c r="S444" s="107"/>
      <c r="T444" s="107"/>
      <c r="U444" s="107"/>
      <c r="V444" s="107"/>
      <c r="W444" s="107"/>
      <c r="X444" s="107"/>
      <c r="Y444" s="107"/>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04"/>
      <c r="BJ444" s="204"/>
      <c r="BK444" s="204"/>
      <c r="BL444" s="204"/>
      <c r="BM444" s="204"/>
      <c r="BN444" s="20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2.75" hidden="1" customHeight="1" outlineLevel="2">
      <c r="A445" s="9"/>
      <c r="B445" s="9"/>
      <c r="C445" s="26"/>
      <c r="D445" s="392"/>
      <c r="E445" s="91">
        <v>8</v>
      </c>
      <c r="F445" s="27"/>
      <c r="G445" s="27"/>
      <c r="H445" s="149"/>
      <c r="I445" s="151"/>
      <c r="J445" s="151"/>
      <c r="K445" s="151"/>
      <c r="L445" s="151"/>
      <c r="M445" s="151"/>
      <c r="N445" s="151"/>
      <c r="O445" s="150"/>
      <c r="P445" s="73" t="str">
        <f>IF(A29taxstdlife="n/a","n/a",IF(P$3&gt;(A29taxstdlife+$E445),(Input!$O$171-Input!$O$205)-SUM($O445:O445),(Input!$O$171-Input!$O$205)/A29taxstdlife))</f>
        <v>n/a</v>
      </c>
      <c r="Q445" s="73" t="str">
        <f>IF(A29taxstdlife="n/a","n/a",IF(Q$3&gt;(A29taxstdlife+$E445),(Input!$O$171-Input!$O$205)-SUM($O445:P445),(Input!$O$171-Input!$O$205)/A29taxstdlife))</f>
        <v>n/a</v>
      </c>
      <c r="R445" s="73"/>
      <c r="S445" s="107"/>
      <c r="T445" s="107"/>
      <c r="U445" s="107"/>
      <c r="V445" s="107"/>
      <c r="W445" s="107"/>
      <c r="X445" s="107"/>
      <c r="Y445" s="107"/>
      <c r="Z445" s="223"/>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04"/>
      <c r="BJ445" s="204"/>
      <c r="BK445" s="204"/>
      <c r="BL445" s="204"/>
      <c r="BM445" s="204"/>
      <c r="BN445" s="204"/>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2.75" hidden="1" customHeight="1" outlineLevel="2">
      <c r="A446" s="9"/>
      <c r="B446" s="9"/>
      <c r="C446" s="26"/>
      <c r="D446" s="392"/>
      <c r="E446" s="91">
        <v>9</v>
      </c>
      <c r="F446" s="27"/>
      <c r="G446" s="27"/>
      <c r="H446" s="149"/>
      <c r="I446" s="151"/>
      <c r="J446" s="151"/>
      <c r="K446" s="151"/>
      <c r="L446" s="151"/>
      <c r="M446" s="151"/>
      <c r="N446" s="151"/>
      <c r="O446" s="151"/>
      <c r="P446" s="150"/>
      <c r="Q446" s="73" t="str">
        <f>IF(A29taxstdlife="n/a","n/a",IF(Q$3&gt;(A29taxstdlife+$E446),(Input!$P$171-Input!$P$205)-SUM($P446:P446),(Input!$P$171-Input!$P$205)/A29taxstdlife))</f>
        <v>n/a</v>
      </c>
      <c r="R446" s="73"/>
      <c r="S446" s="107"/>
      <c r="T446" s="107"/>
      <c r="U446" s="107"/>
      <c r="V446" s="107"/>
      <c r="W446" s="107"/>
      <c r="X446" s="107"/>
      <c r="Y446" s="107"/>
      <c r="Z446" s="223"/>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04"/>
      <c r="BJ446" s="204"/>
      <c r="BK446" s="204"/>
      <c r="BL446" s="204"/>
      <c r="BM446" s="204"/>
      <c r="BN446" s="204"/>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2.75" hidden="1" customHeight="1" outlineLevel="2">
      <c r="A447" s="9"/>
      <c r="B447" s="9"/>
      <c r="C447" s="26"/>
      <c r="D447" s="392"/>
      <c r="E447" s="92">
        <v>10</v>
      </c>
      <c r="F447" s="27"/>
      <c r="G447" s="27"/>
      <c r="H447" s="149"/>
      <c r="I447" s="151"/>
      <c r="J447" s="151"/>
      <c r="K447" s="151"/>
      <c r="L447" s="151"/>
      <c r="M447" s="151"/>
      <c r="N447" s="151"/>
      <c r="O447" s="151"/>
      <c r="P447" s="151"/>
      <c r="Q447" s="150"/>
      <c r="R447" s="73"/>
      <c r="S447" s="107"/>
      <c r="T447" s="107"/>
      <c r="U447" s="107"/>
      <c r="V447" s="107"/>
      <c r="W447" s="107"/>
      <c r="X447" s="107"/>
      <c r="Y447" s="107"/>
      <c r="Z447" s="223"/>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04"/>
      <c r="BJ447" s="204"/>
      <c r="BK447" s="204"/>
      <c r="BL447" s="204"/>
      <c r="BM447" s="204"/>
      <c r="BN447" s="204"/>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idden="1" outlineLevel="1" collapsed="1">
      <c r="A448" s="9"/>
      <c r="B448" s="9"/>
      <c r="C448" s="279">
        <f>Asset29</f>
        <v>0</v>
      </c>
      <c r="D448" s="9"/>
      <c r="E448" s="9"/>
      <c r="F448" s="23"/>
      <c r="G448" s="23"/>
      <c r="H448" s="305">
        <f>-SUM(H436:H447)</f>
        <v>0</v>
      </c>
      <c r="I448" s="164">
        <f>-SUM(I436:I447)</f>
        <v>0</v>
      </c>
      <c r="J448" s="164">
        <f>-SUM(J436:J447)</f>
        <v>0</v>
      </c>
      <c r="K448" s="164">
        <f>-SUM(K436:K447)</f>
        <v>0</v>
      </c>
      <c r="L448" s="164">
        <f>-SUM(L436:L447)</f>
        <v>0</v>
      </c>
      <c r="M448" s="164">
        <f>IF(COUNT($H448:L448)&gt;=Input!$W$7,0, -SUM(M436:M447))</f>
        <v>0</v>
      </c>
      <c r="N448" s="164">
        <f>IF(COUNT($H448:M448)&gt;=Input!$W$7,0, -SUM(N436:N447))</f>
        <v>0</v>
      </c>
      <c r="O448" s="164">
        <f>IF(COUNT($H448:N448)&gt;=Input!$W$7,0, -SUM(O436:O447))</f>
        <v>0</v>
      </c>
      <c r="P448" s="164">
        <f>IF(COUNT($H448:O448)&gt;=Input!$W$7,0, -SUM(P436:P447))</f>
        <v>0</v>
      </c>
      <c r="Q448" s="164">
        <f>IF(COUNT($H448:P448)&gt;=Input!$W$7,0, -SUM(Q436:Q447))</f>
        <v>0</v>
      </c>
      <c r="R448" s="164"/>
      <c r="S448" s="106"/>
      <c r="T448" s="106"/>
      <c r="U448" s="106"/>
      <c r="V448" s="106"/>
      <c r="W448" s="106"/>
      <c r="X448" s="106"/>
      <c r="Y448" s="106"/>
      <c r="Z448" s="224"/>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04"/>
      <c r="BJ448" s="204"/>
      <c r="BK448" s="204"/>
      <c r="BL448" s="204"/>
      <c r="BM448" s="204"/>
      <c r="BN448" s="204"/>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2.75" hidden="1" customHeight="1" outlineLevel="2">
      <c r="A449" s="9"/>
      <c r="B449" s="280">
        <f>Asset30</f>
        <v>0</v>
      </c>
      <c r="C449" s="31"/>
      <c r="D449" s="32" t="s">
        <v>65</v>
      </c>
      <c r="E449" s="31"/>
      <c r="F449" s="308"/>
      <c r="G449" s="308"/>
      <c r="H449" s="72" t="str">
        <f>IF(H$3&gt;A30taxremlife,A30taxvalue-SUM($F449:F449),IF(A30taxremlife="N/A","n/a",A30taxvalue/A30taxremlife))</f>
        <v>n/a</v>
      </c>
      <c r="I449" s="72" t="str">
        <f>IF(I$3&gt;A30taxremlife,A30taxvalue-SUM($F449:H449),IF(A30taxremlife="N/A","n/a",A30taxvalue/A30taxremlife))</f>
        <v>n/a</v>
      </c>
      <c r="J449" s="72" t="str">
        <f>IF(J$3&gt;A30taxremlife,A30taxvalue-SUM($F449:I449),IF(A30taxremlife="N/A","n/a",A30taxvalue/A30taxremlife))</f>
        <v>n/a</v>
      </c>
      <c r="K449" s="72" t="str">
        <f>IF(K$3&gt;A30taxremlife,A30taxvalue-SUM($F449:J449),IF(A30taxremlife="N/A","n/a",A30taxvalue/A30taxremlife))</f>
        <v>n/a</v>
      </c>
      <c r="L449" s="72" t="str">
        <f>IF(L$3&gt;A30taxremlife,A30taxvalue-SUM($F449:K449),IF(A30taxremlife="N/A","n/a",A30taxvalue/A30taxremlife))</f>
        <v>n/a</v>
      </c>
      <c r="M449" s="72" t="str">
        <f>IF(M$3&gt;A30taxremlife,A30taxvalue-SUM($F449:L449),IF(A30taxremlife="N/A","n/a",A30taxvalue/A30taxremlife))</f>
        <v>n/a</v>
      </c>
      <c r="N449" s="72" t="str">
        <f>IF(N$3&gt;A30taxremlife,A30taxvalue-SUM($F449:M449),IF(A30taxremlife="N/A","n/a",A30taxvalue/A30taxremlife))</f>
        <v>n/a</v>
      </c>
      <c r="O449" s="72" t="str">
        <f>IF(O$3&gt;A30taxremlife,A30taxvalue-SUM($F449:N449),IF(A30taxremlife="N/A","n/a",A30taxvalue/A30taxremlife))</f>
        <v>n/a</v>
      </c>
      <c r="P449" s="72" t="str">
        <f>IF(P$3&gt;A30taxremlife,A30taxvalue-SUM($F449:O449),IF(A30taxremlife="N/A","n/a",A30taxvalue/A30taxremlife))</f>
        <v>n/a</v>
      </c>
      <c r="Q449" s="72" t="str">
        <f>IF(Q$3&gt;A30taxremlife,A30taxvalue-SUM($F449:P449),IF(A30taxremlife="N/A","n/a",A30taxvalue/A30taxremlife))</f>
        <v>n/a</v>
      </c>
      <c r="R449" s="72"/>
      <c r="S449" s="107"/>
      <c r="T449" s="107"/>
      <c r="U449" s="107"/>
      <c r="V449" s="107"/>
      <c r="W449" s="107"/>
      <c r="X449" s="107"/>
      <c r="Y449" s="107"/>
      <c r="Z449" s="223"/>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223"/>
      <c r="BE449" s="223"/>
      <c r="BF449" s="223"/>
      <c r="BG449" s="223"/>
      <c r="BH449" s="223"/>
      <c r="BI449" s="204"/>
      <c r="BJ449" s="204"/>
      <c r="BK449" s="204"/>
      <c r="BL449" s="204"/>
      <c r="BM449" s="204"/>
      <c r="BN449" s="204"/>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2.75" hidden="1" customHeight="1" outlineLevel="2">
      <c r="A450" s="9"/>
      <c r="B450" s="9"/>
      <c r="C450" s="26"/>
      <c r="D450" s="391" t="s">
        <v>81</v>
      </c>
      <c r="E450" s="91"/>
      <c r="F450" s="27"/>
      <c r="G450" s="27"/>
      <c r="H450" s="107"/>
      <c r="I450" s="73"/>
      <c r="J450" s="73"/>
      <c r="K450" s="73"/>
      <c r="L450" s="73"/>
      <c r="M450" s="73"/>
      <c r="N450" s="73"/>
      <c r="O450" s="73"/>
      <c r="P450" s="73"/>
      <c r="Q450" s="73"/>
      <c r="R450" s="73"/>
      <c r="S450" s="107"/>
      <c r="T450" s="107"/>
      <c r="U450" s="107"/>
      <c r="V450" s="107"/>
      <c r="W450" s="107"/>
      <c r="X450" s="107"/>
      <c r="Y450" s="107"/>
      <c r="Z450" s="223"/>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223"/>
      <c r="BE450" s="223"/>
      <c r="BF450" s="223"/>
      <c r="BG450" s="223"/>
      <c r="BH450" s="223"/>
      <c r="BI450" s="204"/>
      <c r="BJ450" s="204"/>
      <c r="BK450" s="204"/>
      <c r="BL450" s="204"/>
      <c r="BM450" s="204"/>
      <c r="BN450" s="204"/>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2.75" hidden="1" customHeight="1" outlineLevel="2">
      <c r="A451" s="9"/>
      <c r="B451" s="9"/>
      <c r="C451" s="26"/>
      <c r="D451" s="392"/>
      <c r="E451" s="91">
        <v>1</v>
      </c>
      <c r="F451" s="27"/>
      <c r="G451" s="27"/>
      <c r="H451" s="148"/>
      <c r="I451" s="73" t="str">
        <f>IF(A30taxstdlife="n/a","n/a",IF(I$3&gt;(A30taxstdlife+$E451),(Input!$H$172-Input!$H$206)-SUM($H451:H451),(Input!$H$172-Input!$H$206)/A30taxstdlife))</f>
        <v>n/a</v>
      </c>
      <c r="J451" s="73" t="str">
        <f>IF(A30taxstdlife="n/a","n/a",IF(J$3&gt;(A30taxstdlife+$E451),(Input!$H$172-Input!$H$206)-SUM($H451:I451),(Input!$H$172-Input!$H$206)/A30taxstdlife))</f>
        <v>n/a</v>
      </c>
      <c r="K451" s="73" t="str">
        <f>IF(A30taxstdlife="n/a","n/a",IF(K$3&gt;(A30taxstdlife+$E451),(Input!$H$172-Input!$H$206)-SUM($H451:J451),(Input!$H$172-Input!$H$206)/A30taxstdlife))</f>
        <v>n/a</v>
      </c>
      <c r="L451" s="73" t="str">
        <f>IF(A30taxstdlife="n/a","n/a",IF(L$3&gt;(A30taxstdlife+$E451),(Input!$H$172-Input!$H$206)-SUM($H451:K451),(Input!$H$172-Input!$H$206)/A30taxstdlife))</f>
        <v>n/a</v>
      </c>
      <c r="M451" s="73" t="str">
        <f>IF(A30taxstdlife="n/a","n/a",IF(M$3&gt;(A30taxstdlife+$E451),(Input!$H$172-Input!$H$206)-SUM($H451:L451),(Input!$H$172-Input!$H$206)/A30taxstdlife))</f>
        <v>n/a</v>
      </c>
      <c r="N451" s="73" t="str">
        <f>IF(A30taxstdlife="n/a","n/a",IF(N$3&gt;(A30taxstdlife+$E451),(Input!$H$172-Input!$H$206)-SUM($H451:M451),(Input!$H$172-Input!$H$206)/A30taxstdlife))</f>
        <v>n/a</v>
      </c>
      <c r="O451" s="73" t="str">
        <f>IF(A30taxstdlife="n/a","n/a",IF(O$3&gt;(A30taxstdlife+$E451),(Input!$H$172-Input!$H$206)-SUM($H451:N451),(Input!$H$172-Input!$H$206)/A30taxstdlife))</f>
        <v>n/a</v>
      </c>
      <c r="P451" s="73" t="str">
        <f>IF(A30taxstdlife="n/a","n/a",IF(P$3&gt;(A30taxstdlife+$E451),(Input!$H$172-Input!$H$206)-SUM($H451:O451),(Input!$H$172-Input!$H$206)/A30taxstdlife))</f>
        <v>n/a</v>
      </c>
      <c r="Q451" s="73" t="str">
        <f>IF(A30taxstdlife="n/a","n/a",IF(Q$3&gt;(A30taxstdlife+$E451),(Input!$H$172-Input!$H$206)-SUM($H451:P451),(Input!$H$172-Input!$H$206)/A30taxstdlife))</f>
        <v>n/a</v>
      </c>
      <c r="R451" s="73"/>
      <c r="S451" s="107"/>
      <c r="T451" s="107"/>
      <c r="U451" s="107"/>
      <c r="V451" s="107"/>
      <c r="W451" s="107"/>
      <c r="X451" s="107"/>
      <c r="Y451" s="107"/>
      <c r="Z451" s="223"/>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223"/>
      <c r="BE451" s="223"/>
      <c r="BF451" s="223"/>
      <c r="BG451" s="223"/>
      <c r="BH451" s="223"/>
      <c r="BI451" s="204"/>
      <c r="BJ451" s="204"/>
      <c r="BK451" s="204"/>
      <c r="BL451" s="204"/>
      <c r="BM451" s="204"/>
      <c r="BN451" s="204"/>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2.75" hidden="1" customHeight="1" outlineLevel="2">
      <c r="A452" s="9"/>
      <c r="B452" s="9"/>
      <c r="C452" s="26"/>
      <c r="D452" s="392"/>
      <c r="E452" s="91">
        <v>2</v>
      </c>
      <c r="F452" s="27"/>
      <c r="G452" s="27"/>
      <c r="H452" s="149"/>
      <c r="I452" s="150"/>
      <c r="J452" s="73" t="str">
        <f>IF(A30taxstdlife="n/a","n/a",IF(J$3&gt;(A30taxstdlife+$E452),(Input!$I$172-Input!$I$206)-SUM($I452:I452),(Input!$I$172-Input!$I$206)/A30taxstdlife))</f>
        <v>n/a</v>
      </c>
      <c r="K452" s="73" t="str">
        <f>IF(A30taxstdlife="n/a","n/a",IF(K$3&gt;(A30taxstdlife+$E452),(Input!$I$172-Input!$I$206)-SUM($I452:J452),(Input!$I$172-Input!$I$206)/A30taxstdlife))</f>
        <v>n/a</v>
      </c>
      <c r="L452" s="73" t="str">
        <f>IF(A30taxstdlife="n/a","n/a",IF(L$3&gt;(A30taxstdlife+$E452),(Input!$I$172-Input!$I$206)-SUM($I452:K452),(Input!$I$172-Input!$I$206)/A30taxstdlife))</f>
        <v>n/a</v>
      </c>
      <c r="M452" s="73" t="str">
        <f>IF(A30taxstdlife="n/a","n/a",IF(M$3&gt;(A30taxstdlife+$E452),(Input!$I$172-Input!$I$206)-SUM($I452:L452),(Input!$I$172-Input!$I$206)/A30taxstdlife))</f>
        <v>n/a</v>
      </c>
      <c r="N452" s="73" t="str">
        <f>IF(A30taxstdlife="n/a","n/a",IF(N$3&gt;(A30taxstdlife+$E452),(Input!$I$172-Input!$I$206)-SUM($I452:M452),(Input!$I$172-Input!$I$206)/A30taxstdlife))</f>
        <v>n/a</v>
      </c>
      <c r="O452" s="73" t="str">
        <f>IF(A30taxstdlife="n/a","n/a",IF(O$3&gt;(A30taxstdlife+$E452),(Input!$I$172-Input!$I$206)-SUM($I452:N452),(Input!$I$172-Input!$I$206)/A30taxstdlife))</f>
        <v>n/a</v>
      </c>
      <c r="P452" s="73" t="str">
        <f>IF(A30taxstdlife="n/a","n/a",IF(P$3&gt;(A30taxstdlife+$E452),(Input!$I$172-Input!$I$206)-SUM($I452:O452),(Input!$I$172-Input!$I$206)/A30taxstdlife))</f>
        <v>n/a</v>
      </c>
      <c r="Q452" s="73" t="str">
        <f>IF(A30taxstdlife="n/a","n/a",IF(Q$3&gt;(A30taxstdlife+$E452),(Input!$I$172-Input!$I$206)-SUM($I452:P452),(Input!$I$172-Input!$I$206)/A30taxstdlife))</f>
        <v>n/a</v>
      </c>
      <c r="R452" s="73"/>
      <c r="S452" s="107"/>
      <c r="T452" s="107"/>
      <c r="U452" s="107"/>
      <c r="V452" s="107"/>
      <c r="W452" s="107"/>
      <c r="X452" s="107"/>
      <c r="Y452" s="107"/>
      <c r="Z452" s="223"/>
      <c r="AA452" s="223"/>
      <c r="AB452" s="223"/>
      <c r="AC452" s="223"/>
      <c r="AD452" s="223"/>
      <c r="AE452" s="223"/>
      <c r="AF452" s="223"/>
      <c r="AG452" s="223"/>
      <c r="AH452" s="223"/>
      <c r="AI452" s="223"/>
      <c r="AJ452" s="223"/>
      <c r="AK452" s="223"/>
      <c r="AL452" s="223"/>
      <c r="AM452" s="223"/>
      <c r="AN452" s="223"/>
      <c r="AO452" s="223"/>
      <c r="AP452" s="223"/>
      <c r="AQ452" s="223"/>
      <c r="AR452" s="223"/>
      <c r="AS452" s="223"/>
      <c r="AT452" s="223"/>
      <c r="AU452" s="223"/>
      <c r="AV452" s="223"/>
      <c r="AW452" s="223"/>
      <c r="AX452" s="223"/>
      <c r="AY452" s="223"/>
      <c r="AZ452" s="223"/>
      <c r="BA452" s="223"/>
      <c r="BB452" s="223"/>
      <c r="BC452" s="223"/>
      <c r="BD452" s="223"/>
      <c r="BE452" s="223"/>
      <c r="BF452" s="223"/>
      <c r="BG452" s="223"/>
      <c r="BH452" s="223"/>
      <c r="BI452" s="204"/>
      <c r="BJ452" s="204"/>
      <c r="BK452" s="204"/>
      <c r="BL452" s="204"/>
      <c r="BM452" s="204"/>
      <c r="BN452" s="204"/>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2.75" hidden="1" customHeight="1" outlineLevel="2">
      <c r="A453" s="9"/>
      <c r="B453" s="9"/>
      <c r="C453" s="26"/>
      <c r="D453" s="392"/>
      <c r="E453" s="91">
        <v>3</v>
      </c>
      <c r="F453" s="27"/>
      <c r="G453" s="27"/>
      <c r="H453" s="149"/>
      <c r="I453" s="151"/>
      <c r="J453" s="150"/>
      <c r="K453" s="73" t="str">
        <f>IF(A30taxstdlife="n/a","n/a",IF(K$3&gt;(A30taxstdlife+$E453),(Input!$J$172-Input!$J$206)-SUM($J453:J453),(Input!$J$172-Input!$J$206)/A30taxstdlife))</f>
        <v>n/a</v>
      </c>
      <c r="L453" s="73" t="str">
        <f>IF(A30taxstdlife="n/a","n/a",IF(L$3&gt;(A30taxstdlife+$E453),(Input!$J$172-Input!$J$206)-SUM($J453:K453),(Input!$J$172-Input!$J$206)/A30taxstdlife))</f>
        <v>n/a</v>
      </c>
      <c r="M453" s="73" t="str">
        <f>IF(A30taxstdlife="n/a","n/a",IF(M$3&gt;(A30taxstdlife+$E453),(Input!$J$172-Input!$J$206)-SUM($J453:L453),(Input!$J$172-Input!$J$206)/A30taxstdlife))</f>
        <v>n/a</v>
      </c>
      <c r="N453" s="73" t="str">
        <f>IF(A30taxstdlife="n/a","n/a",IF(N$3&gt;(A30taxstdlife+$E453),(Input!$J$172-Input!$J$206)-SUM($J453:M453),(Input!$J$172-Input!$J$206)/A30taxstdlife))</f>
        <v>n/a</v>
      </c>
      <c r="O453" s="73" t="str">
        <f>IF(A30taxstdlife="n/a","n/a",IF(O$3&gt;(A30taxstdlife+$E453),(Input!$J$172-Input!$J$206)-SUM($J453:N453),(Input!$J$172-Input!$J$206)/A30taxstdlife))</f>
        <v>n/a</v>
      </c>
      <c r="P453" s="73" t="str">
        <f>IF(A30taxstdlife="n/a","n/a",IF(P$3&gt;(A30taxstdlife+$E453),(Input!$J$172-Input!$J$206)-SUM($J453:O453),(Input!$J$172-Input!$J$206)/A30taxstdlife))</f>
        <v>n/a</v>
      </c>
      <c r="Q453" s="73" t="str">
        <f>IF(A30taxstdlife="n/a","n/a",IF(Q$3&gt;(A30taxstdlife+$E453),(Input!$J$172-Input!$J$206)-SUM($J453:P453),(Input!$J$172-Input!$J$206)/A30taxstdlife))</f>
        <v>n/a</v>
      </c>
      <c r="R453" s="73"/>
      <c r="S453" s="107"/>
      <c r="T453" s="107"/>
      <c r="U453" s="107"/>
      <c r="V453" s="107"/>
      <c r="W453" s="107"/>
      <c r="X453" s="107"/>
      <c r="Y453" s="107"/>
      <c r="Z453" s="223"/>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5"/>
      <c r="BJ453" s="204"/>
      <c r="BK453" s="204"/>
      <c r="BL453" s="204"/>
      <c r="BM453" s="204"/>
      <c r="BN453" s="204"/>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2.75" hidden="1" customHeight="1" outlineLevel="2">
      <c r="A454" s="9"/>
      <c r="B454" s="9"/>
      <c r="C454" s="26"/>
      <c r="D454" s="392"/>
      <c r="E454" s="91">
        <v>4</v>
      </c>
      <c r="F454" s="27"/>
      <c r="G454" s="27"/>
      <c r="H454" s="149"/>
      <c r="I454" s="151"/>
      <c r="J454" s="151"/>
      <c r="K454" s="150"/>
      <c r="L454" s="73" t="str">
        <f>IF(A30taxstdlife="n/a","n/a",IF(L$3&gt;(A30taxstdlife+$E454),(Input!$K$172-Input!$K$206)-SUM($K454:K454),(Input!$K$172-Input!$K$206)/A30taxstdlife))</f>
        <v>n/a</v>
      </c>
      <c r="M454" s="73" t="str">
        <f>IF(A30taxstdlife="n/a","n/a",IF(M$3&gt;(A30taxstdlife+$E454),(Input!$K$172-Input!$K$206)-SUM($K454:L454),(Input!$K$172-Input!$K$206)/A30taxstdlife))</f>
        <v>n/a</v>
      </c>
      <c r="N454" s="73" t="str">
        <f>IF(A30taxstdlife="n/a","n/a",IF(N$3&gt;(A30taxstdlife+$E454),(Input!$K$172-Input!$K$206)-SUM($K454:M454),(Input!$K$172-Input!$K$206)/A30taxstdlife))</f>
        <v>n/a</v>
      </c>
      <c r="O454" s="73" t="str">
        <f>IF(A30taxstdlife="n/a","n/a",IF(O$3&gt;(A30taxstdlife+$E454),(Input!$K$172-Input!$K$206)-SUM($K454:N454),(Input!$K$172-Input!$K$206)/A30taxstdlife))</f>
        <v>n/a</v>
      </c>
      <c r="P454" s="73" t="str">
        <f>IF(A30taxstdlife="n/a","n/a",IF(P$3&gt;(A30taxstdlife+$E454),(Input!$K$172-Input!$K$206)-SUM($K454:O454),(Input!$K$172-Input!$K$206)/A30taxstdlife))</f>
        <v>n/a</v>
      </c>
      <c r="Q454" s="73" t="str">
        <f>IF(A30taxstdlife="n/a","n/a",IF(Q$3&gt;(A30taxstdlife+$E454),(Input!$K$172-Input!$K$206)-SUM($K454:P454),(Input!$K$172-Input!$K$206)/A30taxstdlife))</f>
        <v>n/a</v>
      </c>
      <c r="R454" s="73"/>
      <c r="S454" s="107"/>
      <c r="T454" s="107"/>
      <c r="U454" s="107"/>
      <c r="V454" s="107"/>
      <c r="W454" s="107"/>
      <c r="X454" s="107"/>
      <c r="Y454" s="107"/>
      <c r="Z454" s="223"/>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223"/>
      <c r="BE454" s="223"/>
      <c r="BF454" s="223"/>
      <c r="BG454" s="223"/>
      <c r="BH454" s="223"/>
      <c r="BI454" s="204"/>
      <c r="BJ454" s="204"/>
      <c r="BK454" s="204"/>
      <c r="BL454" s="204"/>
      <c r="BM454" s="204"/>
      <c r="BN454" s="20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2.75" hidden="1" customHeight="1" outlineLevel="2">
      <c r="A455" s="9"/>
      <c r="B455" s="9"/>
      <c r="C455" s="26"/>
      <c r="D455" s="392"/>
      <c r="E455" s="91">
        <v>5</v>
      </c>
      <c r="F455" s="27"/>
      <c r="G455" s="27"/>
      <c r="H455" s="149"/>
      <c r="I455" s="151"/>
      <c r="J455" s="151"/>
      <c r="K455" s="151"/>
      <c r="L455" s="150"/>
      <c r="M455" s="73" t="str">
        <f>IF(A30taxstdlife="n/a","n/a",IF(M$3&gt;(A30taxstdlife+$E455),(Input!$L$172-Input!$L$206)-SUM($L455:L455),(Input!$L$172-Input!$L$206)/A30taxstdlife))</f>
        <v>n/a</v>
      </c>
      <c r="N455" s="73" t="str">
        <f>IF(A30taxstdlife="n/a","n/a",IF(N$3&gt;(A30taxstdlife+$E455),(Input!$L$172-Input!$L$206)-SUM($L455:M455),(Input!$L$172-Input!$L$206)/A30taxstdlife))</f>
        <v>n/a</v>
      </c>
      <c r="O455" s="73" t="str">
        <f>IF(A30taxstdlife="n/a","n/a",IF(O$3&gt;(A30taxstdlife+$E455),(Input!$L$172-Input!$L$206)-SUM($L455:N455),(Input!$L$172-Input!$L$206)/A30taxstdlife))</f>
        <v>n/a</v>
      </c>
      <c r="P455" s="73" t="str">
        <f>IF(A30taxstdlife="n/a","n/a",IF(P$3&gt;(A30taxstdlife+$E455),(Input!$L$172-Input!$L$206)-SUM($L455:O455),(Input!$L$172-Input!$L$206)/A30taxstdlife))</f>
        <v>n/a</v>
      </c>
      <c r="Q455" s="73" t="str">
        <f>IF(A30taxstdlife="n/a","n/a",IF(Q$3&gt;(A30taxstdlife+$E455),(Input!$L$172-Input!$L$206)-SUM($L455:P455),(Input!$L$172-Input!$L$206)/A30taxstdlife))</f>
        <v>n/a</v>
      </c>
      <c r="R455" s="73"/>
      <c r="S455" s="107"/>
      <c r="T455" s="107"/>
      <c r="U455" s="107"/>
      <c r="V455" s="107"/>
      <c r="W455" s="107"/>
      <c r="X455" s="107"/>
      <c r="Y455" s="107"/>
      <c r="Z455" s="223"/>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223"/>
      <c r="BE455" s="223"/>
      <c r="BF455" s="223"/>
      <c r="BG455" s="223"/>
      <c r="BH455" s="223"/>
      <c r="BI455" s="204"/>
      <c r="BJ455" s="204"/>
      <c r="BK455" s="204"/>
      <c r="BL455" s="204"/>
      <c r="BM455" s="204"/>
      <c r="BN455" s="204"/>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2.75" hidden="1" customHeight="1" outlineLevel="2">
      <c r="A456" s="9"/>
      <c r="B456" s="9"/>
      <c r="C456" s="26"/>
      <c r="D456" s="392"/>
      <c r="E456" s="91">
        <v>6</v>
      </c>
      <c r="F456" s="27"/>
      <c r="G456" s="27"/>
      <c r="H456" s="149"/>
      <c r="I456" s="151"/>
      <c r="J456" s="151"/>
      <c r="K456" s="151"/>
      <c r="L456" s="151"/>
      <c r="M456" s="150"/>
      <c r="N456" s="73" t="str">
        <f>IF(A30taxstdlife="n/a","n/a",IF(N$3&gt;(A30taxstdlife+$E456),(Input!$M$172-Input!$M$206)-SUM($M456:M456),(Input!$M$172-Input!$M$206)/A30taxstdlife))</f>
        <v>n/a</v>
      </c>
      <c r="O456" s="73" t="str">
        <f>IF(A30taxstdlife="n/a","n/a",IF(O$3&gt;(A30taxstdlife+$E456),(Input!$M$172-Input!$M$206)-SUM($M456:N456),(Input!$M$172-Input!$M$206)/A30taxstdlife))</f>
        <v>n/a</v>
      </c>
      <c r="P456" s="73" t="str">
        <f>IF(A30taxstdlife="n/a","n/a",IF(P$3&gt;(A30taxstdlife+$E456),(Input!$M$172-Input!$M$206)-SUM($M456:O456),(Input!$M$172-Input!$M$206)/A30taxstdlife))</f>
        <v>n/a</v>
      </c>
      <c r="Q456" s="73" t="str">
        <f>IF(A30taxstdlife="n/a","n/a",IF(Q$3&gt;(A30taxstdlife+$E456),(Input!$M$172-Input!$M$206)-SUM($M456:P456),(Input!$M$172-Input!$M$206)/A30taxstdlife))</f>
        <v>n/a</v>
      </c>
      <c r="R456" s="73"/>
      <c r="S456" s="107"/>
      <c r="T456" s="107"/>
      <c r="U456" s="107"/>
      <c r="V456" s="107"/>
      <c r="W456" s="107"/>
      <c r="X456" s="107"/>
      <c r="Y456" s="107"/>
      <c r="Z456" s="223"/>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223"/>
      <c r="BE456" s="223"/>
      <c r="BF456" s="223"/>
      <c r="BG456" s="223"/>
      <c r="BH456" s="223"/>
      <c r="BI456" s="204"/>
      <c r="BJ456" s="204"/>
      <c r="BK456" s="204"/>
      <c r="BL456" s="204"/>
      <c r="BM456" s="204"/>
      <c r="BN456" s="204"/>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2.75" hidden="1" customHeight="1" outlineLevel="2">
      <c r="A457" s="9"/>
      <c r="B457" s="9"/>
      <c r="C457" s="26"/>
      <c r="D457" s="392"/>
      <c r="E457" s="91">
        <v>7</v>
      </c>
      <c r="F457" s="27"/>
      <c r="G457" s="27"/>
      <c r="H457" s="149"/>
      <c r="I457" s="151"/>
      <c r="J457" s="151"/>
      <c r="K457" s="151"/>
      <c r="L457" s="151"/>
      <c r="M457" s="151"/>
      <c r="N457" s="150"/>
      <c r="O457" s="73" t="str">
        <f>IF(A30taxstdlife="n/a","n/a",IF(O$3&gt;(A30taxstdlife+$E457),(Input!$N$172-Input!$N$206)-SUM($N457:N457),(Input!$N$172-Input!$N$206)/A30taxstdlife))</f>
        <v>n/a</v>
      </c>
      <c r="P457" s="73" t="str">
        <f>IF(A30taxstdlife="n/a","n/a",IF(P$3&gt;(A30taxstdlife+$E457),(Input!$N$172-Input!$N$206)-SUM($N457:O457),(Input!$N$172-Input!$N$206)/A30taxstdlife))</f>
        <v>n/a</v>
      </c>
      <c r="Q457" s="73" t="str">
        <f>IF(A30taxstdlife="n/a","n/a",IF(Q$3&gt;(A30taxstdlife+$E457),(Input!$N$172-Input!$N$206)-SUM($N457:P457),(Input!$N$172-Input!$N$206)/A30taxstdlife))</f>
        <v>n/a</v>
      </c>
      <c r="R457" s="73"/>
      <c r="S457" s="107"/>
      <c r="T457" s="107"/>
      <c r="U457" s="107"/>
      <c r="V457" s="107"/>
      <c r="W457" s="107"/>
      <c r="X457" s="107"/>
      <c r="Y457" s="107"/>
      <c r="Z457" s="223"/>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04"/>
      <c r="BJ457" s="204"/>
      <c r="BK457" s="204"/>
      <c r="BL457" s="204"/>
      <c r="BM457" s="204"/>
      <c r="BN457" s="204"/>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2.75" hidden="1" customHeight="1" outlineLevel="2">
      <c r="A458" s="9"/>
      <c r="B458" s="9"/>
      <c r="C458" s="26"/>
      <c r="D458" s="392"/>
      <c r="E458" s="91">
        <v>8</v>
      </c>
      <c r="F458" s="27"/>
      <c r="G458" s="27"/>
      <c r="H458" s="149"/>
      <c r="I458" s="151"/>
      <c r="J458" s="151"/>
      <c r="K458" s="151"/>
      <c r="L458" s="151"/>
      <c r="M458" s="151"/>
      <c r="N458" s="151"/>
      <c r="O458" s="150"/>
      <c r="P458" s="73" t="str">
        <f>IF(A30taxstdlife="n/a","n/a",IF(P$3&gt;(A30taxstdlife+$E458),(Input!$O$172-Input!$O$206)-SUM($O458:O458),(Input!$O$172-Input!$O$206)/A30taxstdlife))</f>
        <v>n/a</v>
      </c>
      <c r="Q458" s="73" t="str">
        <f>IF(A30taxstdlife="n/a","n/a",IF(Q$3&gt;(A30taxstdlife+$E458),(Input!$O$172-Input!$O$206)-SUM($O458:P458),(Input!$O$172-Input!$O$206)/A30taxstdlife))</f>
        <v>n/a</v>
      </c>
      <c r="R458" s="73"/>
      <c r="S458" s="107"/>
      <c r="T458" s="107"/>
      <c r="U458" s="107"/>
      <c r="V458" s="107"/>
      <c r="W458" s="107"/>
      <c r="X458" s="107"/>
      <c r="Y458" s="107"/>
      <c r="Z458" s="223"/>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223"/>
      <c r="BE458" s="223"/>
      <c r="BF458" s="223"/>
      <c r="BG458" s="223"/>
      <c r="BH458" s="223"/>
      <c r="BI458" s="204"/>
      <c r="BJ458" s="204"/>
      <c r="BK458" s="204"/>
      <c r="BL458" s="204"/>
      <c r="BM458" s="204"/>
      <c r="BN458" s="204"/>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2.75" hidden="1" customHeight="1" outlineLevel="2">
      <c r="A459" s="9"/>
      <c r="B459" s="9"/>
      <c r="C459" s="26"/>
      <c r="D459" s="392"/>
      <c r="E459" s="91">
        <v>9</v>
      </c>
      <c r="F459" s="27"/>
      <c r="G459" s="27"/>
      <c r="H459" s="149"/>
      <c r="I459" s="151"/>
      <c r="J459" s="151"/>
      <c r="K459" s="151"/>
      <c r="L459" s="151"/>
      <c r="M459" s="151"/>
      <c r="N459" s="151"/>
      <c r="O459" s="151"/>
      <c r="P459" s="150"/>
      <c r="Q459" s="73" t="str">
        <f>IF(A30taxstdlife="n/a","n/a",IF(Q$3&gt;(A30taxstdlife+$E459),(Input!$P$172-Input!$P$206)-SUM($P459:P459),(Input!$P$172-Input!$P$206)/A30taxstdlife))</f>
        <v>n/a</v>
      </c>
      <c r="R459" s="73"/>
      <c r="S459" s="107"/>
      <c r="T459" s="107"/>
      <c r="U459" s="107"/>
      <c r="V459" s="107"/>
      <c r="W459" s="107"/>
      <c r="X459" s="107"/>
      <c r="Y459" s="107"/>
      <c r="Z459" s="223"/>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04"/>
      <c r="BJ459" s="204"/>
      <c r="BK459" s="204"/>
      <c r="BL459" s="204"/>
      <c r="BM459" s="204"/>
      <c r="BN459" s="204"/>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2.75" hidden="1" customHeight="1" outlineLevel="2">
      <c r="A460" s="9"/>
      <c r="B460" s="9"/>
      <c r="C460" s="26"/>
      <c r="D460" s="392"/>
      <c r="E460" s="92">
        <v>10</v>
      </c>
      <c r="F460" s="27"/>
      <c r="G460" s="27"/>
      <c r="H460" s="149"/>
      <c r="I460" s="151"/>
      <c r="J460" s="151"/>
      <c r="K460" s="151"/>
      <c r="L460" s="151"/>
      <c r="M460" s="151"/>
      <c r="N460" s="151"/>
      <c r="O460" s="151"/>
      <c r="P460" s="151"/>
      <c r="Q460" s="150"/>
      <c r="R460" s="73"/>
      <c r="S460" s="107"/>
      <c r="T460" s="107"/>
      <c r="U460" s="107"/>
      <c r="V460" s="107"/>
      <c r="W460" s="107"/>
      <c r="X460" s="107"/>
      <c r="Y460" s="107"/>
      <c r="Z460" s="223"/>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223"/>
      <c r="BE460" s="223"/>
      <c r="BF460" s="223"/>
      <c r="BG460" s="223"/>
      <c r="BH460" s="223"/>
      <c r="BI460" s="204"/>
      <c r="BJ460" s="204"/>
      <c r="BK460" s="204"/>
      <c r="BL460" s="204"/>
      <c r="BM460" s="204"/>
      <c r="BN460" s="204"/>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idden="1" outlineLevel="1" collapsed="1">
      <c r="A461" s="9"/>
      <c r="B461" s="9"/>
      <c r="C461" s="279">
        <f>Asset30</f>
        <v>0</v>
      </c>
      <c r="D461" s="9"/>
      <c r="E461" s="9"/>
      <c r="F461" s="23"/>
      <c r="G461" s="23"/>
      <c r="H461" s="305">
        <f>-SUM(H449:H460)</f>
        <v>0</v>
      </c>
      <c r="I461" s="164">
        <f>-SUM(I449:I460)</f>
        <v>0</v>
      </c>
      <c r="J461" s="164">
        <f>-SUM(J449:J460)</f>
        <v>0</v>
      </c>
      <c r="K461" s="164">
        <f>-SUM(K449:K460)</f>
        <v>0</v>
      </c>
      <c r="L461" s="164">
        <f>-SUM(L449:L460)</f>
        <v>0</v>
      </c>
      <c r="M461" s="164">
        <f>IF(COUNT($H461:L461)&gt;=Input!$W$7,0, -SUM(M449:M460))</f>
        <v>0</v>
      </c>
      <c r="N461" s="164">
        <f>IF(COUNT($H461:M461)&gt;=Input!$W$7,0, -SUM(N449:N460))</f>
        <v>0</v>
      </c>
      <c r="O461" s="164">
        <f>IF(COUNT($H461:N461)&gt;=Input!$W$7,0, -SUM(O449:O460))</f>
        <v>0</v>
      </c>
      <c r="P461" s="164">
        <f>IF(COUNT($H461:O461)&gt;=Input!$W$7,0, -SUM(P449:P460))</f>
        <v>0</v>
      </c>
      <c r="Q461" s="164">
        <f>IF(COUNT($H461:P461)&gt;=Input!$W$7,0, -SUM(Q449:Q460))</f>
        <v>0</v>
      </c>
      <c r="R461" s="164"/>
      <c r="S461" s="106"/>
      <c r="T461" s="106"/>
      <c r="U461" s="106"/>
      <c r="V461" s="106"/>
      <c r="W461" s="106"/>
      <c r="X461" s="106"/>
      <c r="Y461" s="106"/>
      <c r="Z461" s="224"/>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04"/>
      <c r="BJ461" s="204"/>
      <c r="BK461" s="204"/>
      <c r="BL461" s="204"/>
      <c r="BM461" s="204"/>
      <c r="BN461" s="204"/>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ht="12" customHeight="1" collapsed="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c r="BI462" s="204"/>
      <c r="BJ462" s="204"/>
      <c r="BK462" s="204"/>
      <c r="BL462" s="204"/>
      <c r="BM462" s="204"/>
      <c r="BN462" s="204"/>
    </row>
    <row r="463" spans="1:255"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204"/>
      <c r="AA463" s="204"/>
      <c r="AB463" s="204"/>
      <c r="AC463" s="204"/>
      <c r="AD463" s="204"/>
      <c r="AE463" s="204"/>
      <c r="AF463" s="204"/>
      <c r="AG463" s="204"/>
      <c r="AH463" s="204"/>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c r="BI463" s="204"/>
      <c r="BJ463" s="204"/>
      <c r="BK463" s="204"/>
      <c r="BL463" s="204"/>
      <c r="BM463" s="204"/>
      <c r="BN463" s="204"/>
    </row>
    <row r="464" spans="1:255"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204"/>
      <c r="AA464" s="204"/>
      <c r="AB464" s="204"/>
      <c r="AC464" s="204"/>
      <c r="AD464" s="204"/>
      <c r="AE464" s="204"/>
      <c r="AF464" s="204"/>
      <c r="AG464" s="204"/>
      <c r="AH464" s="204"/>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c r="BI464" s="204"/>
      <c r="BJ464" s="204"/>
      <c r="BK464" s="204"/>
      <c r="BL464" s="204"/>
      <c r="BM464" s="204"/>
      <c r="BN464" s="204"/>
    </row>
    <row r="465" spans="1:6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204"/>
      <c r="AA465" s="204"/>
      <c r="AB465" s="204"/>
      <c r="AC465" s="204"/>
      <c r="AD465" s="204"/>
      <c r="AE465" s="204"/>
      <c r="AF465" s="204"/>
      <c r="AG465" s="204"/>
      <c r="AH465" s="204"/>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c r="BI465" s="204"/>
      <c r="BJ465" s="204"/>
      <c r="BK465" s="204"/>
      <c r="BL465" s="204"/>
      <c r="BM465" s="204"/>
      <c r="BN465" s="204"/>
    </row>
    <row r="466" spans="1:6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204"/>
      <c r="AA466" s="204"/>
      <c r="AB466" s="204"/>
      <c r="AC466" s="204"/>
      <c r="AD466" s="204"/>
      <c r="AE466" s="204"/>
      <c r="AF466" s="204"/>
      <c r="AG466" s="204"/>
      <c r="AH466" s="204"/>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c r="BI466" s="204"/>
      <c r="BJ466" s="204"/>
      <c r="BK466" s="204"/>
      <c r="BL466" s="204"/>
      <c r="BM466" s="204"/>
      <c r="BN466" s="204"/>
    </row>
    <row r="467" spans="1:6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204"/>
      <c r="AA467" s="204"/>
      <c r="AB467" s="204"/>
      <c r="AC467" s="204"/>
      <c r="AD467" s="204"/>
      <c r="AE467" s="204"/>
      <c r="AF467" s="204"/>
      <c r="AG467" s="204"/>
      <c r="AH467" s="204"/>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c r="BI467" s="204"/>
      <c r="BJ467" s="204"/>
      <c r="BK467" s="204"/>
      <c r="BL467" s="204"/>
      <c r="BM467" s="204"/>
      <c r="BN467" s="204"/>
    </row>
    <row r="468" spans="1:6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204"/>
      <c r="AA468" s="204"/>
      <c r="AB468" s="204"/>
      <c r="AC468" s="204"/>
      <c r="AD468" s="204"/>
      <c r="AE468" s="204"/>
      <c r="AF468" s="204"/>
      <c r="AG468" s="204"/>
      <c r="AH468" s="204"/>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c r="BI468" s="204"/>
      <c r="BJ468" s="204"/>
      <c r="BK468" s="204"/>
      <c r="BL468" s="204"/>
      <c r="BM468" s="204"/>
      <c r="BN468" s="204"/>
    </row>
    <row r="469" spans="1:6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204"/>
      <c r="AA469" s="204"/>
      <c r="AB469" s="204"/>
      <c r="AC469" s="204"/>
      <c r="AD469" s="204"/>
      <c r="AE469" s="204"/>
      <c r="AF469" s="204"/>
      <c r="AG469" s="204"/>
      <c r="AH469" s="204"/>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c r="BI469" s="204"/>
      <c r="BJ469" s="204"/>
      <c r="BK469" s="204"/>
      <c r="BL469" s="204"/>
      <c r="BM469" s="204"/>
      <c r="BN469" s="204"/>
    </row>
    <row r="470" spans="1:6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204"/>
      <c r="AA470" s="204"/>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c r="BI470" s="204"/>
      <c r="BJ470" s="204"/>
      <c r="BK470" s="204"/>
      <c r="BL470" s="204"/>
      <c r="BM470" s="204"/>
      <c r="BN470" s="204"/>
    </row>
    <row r="471" spans="1:6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c r="BI471" s="204"/>
      <c r="BJ471" s="204"/>
      <c r="BK471" s="204"/>
      <c r="BL471" s="204"/>
      <c r="BM471" s="204"/>
      <c r="BN471" s="204"/>
    </row>
    <row r="472" spans="1:6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204"/>
      <c r="AA472" s="204"/>
      <c r="AB472" s="204"/>
      <c r="AC472" s="204"/>
      <c r="AD472" s="204"/>
      <c r="AE472" s="204"/>
      <c r="AF472" s="204"/>
      <c r="AG472" s="204"/>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c r="BI472" s="204"/>
      <c r="BJ472" s="204"/>
      <c r="BK472" s="204"/>
      <c r="BL472" s="204"/>
      <c r="BM472" s="204"/>
      <c r="BN472" s="204"/>
    </row>
    <row r="473" spans="1:6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204"/>
      <c r="AA473" s="204"/>
      <c r="AB473" s="204"/>
      <c r="AC473" s="204"/>
      <c r="AD473" s="204"/>
      <c r="AE473" s="204"/>
      <c r="AF473" s="204"/>
      <c r="AG473" s="204"/>
      <c r="AH473" s="204"/>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c r="BF473" s="204"/>
      <c r="BG473" s="204"/>
      <c r="BH473" s="204"/>
      <c r="BI473" s="204"/>
      <c r="BJ473" s="204"/>
      <c r="BK473" s="204"/>
      <c r="BL473" s="204"/>
      <c r="BM473" s="204"/>
      <c r="BN473" s="204"/>
    </row>
    <row r="474" spans="1:6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c r="BI474" s="204"/>
      <c r="BJ474" s="204"/>
      <c r="BK474" s="204"/>
      <c r="BL474" s="204"/>
      <c r="BM474" s="204"/>
      <c r="BN474" s="204"/>
    </row>
    <row r="475" spans="1:6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204"/>
      <c r="AA475" s="204"/>
      <c r="AB475" s="204"/>
      <c r="AC475" s="204"/>
      <c r="AD475" s="204"/>
      <c r="AE475" s="204"/>
      <c r="AF475" s="204"/>
      <c r="AG475" s="204"/>
      <c r="AH475" s="204"/>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c r="BI475" s="204"/>
      <c r="BJ475" s="204"/>
      <c r="BK475" s="204"/>
      <c r="BL475" s="204"/>
      <c r="BM475" s="204"/>
      <c r="BN475" s="204"/>
    </row>
    <row r="476" spans="1:6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204"/>
      <c r="AA476" s="204"/>
      <c r="AB476" s="204"/>
      <c r="AC476" s="204"/>
      <c r="AD476" s="204"/>
      <c r="AE476" s="204"/>
      <c r="AF476" s="204"/>
      <c r="AG476" s="204"/>
      <c r="AH476" s="204"/>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c r="BI476" s="204"/>
      <c r="BJ476" s="204"/>
      <c r="BK476" s="204"/>
      <c r="BL476" s="204"/>
      <c r="BM476" s="204"/>
      <c r="BN476" s="204"/>
    </row>
    <row r="477" spans="1:6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204"/>
      <c r="AA477" s="204"/>
      <c r="AB477" s="204"/>
      <c r="AC477" s="204"/>
      <c r="AD477" s="204"/>
      <c r="AE477" s="204"/>
      <c r="AF477" s="204"/>
      <c r="AG477" s="204"/>
      <c r="AH477" s="204"/>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c r="BI477" s="204"/>
      <c r="BJ477" s="204"/>
      <c r="BK477" s="204"/>
      <c r="BL477" s="204"/>
      <c r="BM477" s="204"/>
      <c r="BN477" s="204"/>
    </row>
    <row r="478" spans="1:6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204"/>
      <c r="AA478" s="204"/>
      <c r="AB478" s="204"/>
      <c r="AC478" s="204"/>
      <c r="AD478" s="204"/>
      <c r="AE478" s="204"/>
      <c r="AF478" s="204"/>
      <c r="AG478" s="204"/>
      <c r="AH478" s="204"/>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c r="BI478" s="204"/>
      <c r="BJ478" s="204"/>
      <c r="BK478" s="204"/>
      <c r="BL478" s="204"/>
      <c r="BM478" s="204"/>
      <c r="BN478" s="204"/>
    </row>
    <row r="479" spans="1:6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204"/>
      <c r="AA479" s="204"/>
      <c r="AB479" s="204"/>
      <c r="AC479" s="204"/>
      <c r="AD479" s="204"/>
      <c r="AE479" s="204"/>
      <c r="AF479" s="204"/>
      <c r="AG479" s="204"/>
      <c r="AH479" s="204"/>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c r="BI479" s="204"/>
      <c r="BJ479" s="204"/>
      <c r="BK479" s="204"/>
      <c r="BL479" s="204"/>
      <c r="BM479" s="204"/>
      <c r="BN479" s="204"/>
    </row>
    <row r="480" spans="1:6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204"/>
      <c r="AA480" s="204"/>
      <c r="AB480" s="204"/>
      <c r="AC480" s="204"/>
      <c r="AD480" s="204"/>
      <c r="AE480" s="204"/>
      <c r="AF480" s="204"/>
      <c r="AG480" s="204"/>
      <c r="AH480" s="204"/>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c r="BI480" s="204"/>
      <c r="BJ480" s="204"/>
      <c r="BK480" s="204"/>
      <c r="BL480" s="204"/>
      <c r="BM480" s="204"/>
      <c r="BN480" s="204"/>
    </row>
    <row r="481" spans="1:6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c r="BI481" s="204"/>
      <c r="BJ481" s="204"/>
      <c r="BK481" s="204"/>
      <c r="BL481" s="204"/>
      <c r="BM481" s="204"/>
      <c r="BN481" s="204"/>
    </row>
    <row r="482" spans="1:6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c r="BI482" s="204"/>
      <c r="BJ482" s="204"/>
      <c r="BK482" s="204"/>
      <c r="BL482" s="204"/>
      <c r="BM482" s="204"/>
      <c r="BN482" s="204"/>
    </row>
    <row r="483" spans="1:6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c r="BI483" s="204"/>
      <c r="BJ483" s="204"/>
      <c r="BK483" s="204"/>
      <c r="BL483" s="204"/>
      <c r="BM483" s="204"/>
      <c r="BN483" s="204"/>
    </row>
    <row r="484" spans="1:6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c r="BI484" s="204"/>
      <c r="BJ484" s="204"/>
      <c r="BK484" s="204"/>
      <c r="BL484" s="204"/>
      <c r="BM484" s="204"/>
      <c r="BN484" s="204"/>
    </row>
    <row r="485" spans="1:6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204"/>
      <c r="AA485" s="204"/>
      <c r="AB485" s="204"/>
      <c r="AC485" s="204"/>
      <c r="AD485" s="204"/>
      <c r="AE485" s="204"/>
      <c r="AF485" s="204"/>
      <c r="AG485" s="204"/>
      <c r="AH485" s="204"/>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c r="BI485" s="204"/>
      <c r="BJ485" s="204"/>
      <c r="BK485" s="204"/>
      <c r="BL485" s="204"/>
      <c r="BM485" s="204"/>
      <c r="BN485" s="204"/>
    </row>
    <row r="486" spans="1:6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c r="BI486" s="204"/>
      <c r="BJ486" s="204"/>
      <c r="BK486" s="204"/>
      <c r="BL486" s="204"/>
      <c r="BM486" s="204"/>
      <c r="BN486" s="204"/>
    </row>
    <row r="487" spans="1:6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204"/>
      <c r="AA487" s="204"/>
      <c r="AB487" s="204"/>
      <c r="AC487" s="204"/>
      <c r="AD487" s="204"/>
      <c r="AE487" s="204"/>
      <c r="AF487" s="204"/>
      <c r="AG487" s="204"/>
      <c r="AH487" s="204"/>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c r="BI487" s="204"/>
      <c r="BJ487" s="204"/>
      <c r="BK487" s="204"/>
      <c r="BL487" s="204"/>
      <c r="BM487" s="204"/>
      <c r="BN487" s="204"/>
    </row>
    <row r="488" spans="1:6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204"/>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c r="BI488" s="204"/>
      <c r="BJ488" s="204"/>
      <c r="BK488" s="204"/>
      <c r="BL488" s="204"/>
      <c r="BM488" s="204"/>
      <c r="BN488" s="204"/>
    </row>
    <row r="489" spans="1:6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204"/>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c r="BI489" s="204"/>
      <c r="BJ489" s="204"/>
    </row>
    <row r="490" spans="1:66">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66">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66">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66">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66">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66">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6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sheetData>
  <mergeCells count="30">
    <mergeCell ref="D450:D460"/>
    <mergeCell ref="D385:D395"/>
    <mergeCell ref="D398:D408"/>
    <mergeCell ref="D411:D421"/>
    <mergeCell ref="D424:D434"/>
    <mergeCell ref="D333:D343"/>
    <mergeCell ref="D346:D356"/>
    <mergeCell ref="D359:D369"/>
    <mergeCell ref="D372:D382"/>
    <mergeCell ref="D437:D447"/>
    <mergeCell ref="D307:D317"/>
    <mergeCell ref="D320:D330"/>
    <mergeCell ref="D203:D213"/>
    <mergeCell ref="D216:D226"/>
    <mergeCell ref="D255:D265"/>
    <mergeCell ref="D268:D278"/>
    <mergeCell ref="D229:D239"/>
    <mergeCell ref="D242:D252"/>
    <mergeCell ref="D73:D83"/>
    <mergeCell ref="D281:D291"/>
    <mergeCell ref="D294:D304"/>
    <mergeCell ref="D86:D96"/>
    <mergeCell ref="D99:D109"/>
    <mergeCell ref="D112:D122"/>
    <mergeCell ref="D177:D187"/>
    <mergeCell ref="D190:D200"/>
    <mergeCell ref="D125:D135"/>
    <mergeCell ref="D138:D148"/>
    <mergeCell ref="D151:D161"/>
    <mergeCell ref="D164:D174"/>
  </mergeCells>
  <phoneticPr fontId="0" type="noConversion"/>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60"/>
  <sheetViews>
    <sheetView zoomScaleNormal="100" workbookViewId="0">
      <selection activeCell="E78" sqref="E78"/>
    </sheetView>
  </sheetViews>
  <sheetFormatPr defaultRowHeight="13.2" outlineLevelRow="1"/>
  <cols>
    <col min="1" max="1" width="4.109375" customWidth="1"/>
    <col min="2" max="2" width="25.44140625" customWidth="1"/>
    <col min="3" max="3" width="12" customWidth="1"/>
    <col min="4" max="4" width="5.44140625" customWidth="1"/>
    <col min="5" max="5" width="18.109375" style="262" customWidth="1"/>
    <col min="6" max="6" width="21" style="262" customWidth="1"/>
    <col min="7" max="7" width="4.109375" style="271" customWidth="1"/>
    <col min="8" max="8" width="6.88671875" style="274" customWidth="1"/>
    <col min="9" max="9" width="6.88671875" style="272" customWidth="1"/>
    <col min="10" max="10" width="16.109375" style="274" customWidth="1"/>
    <col min="11" max="11" width="24.5546875" style="272" customWidth="1"/>
    <col min="12" max="12" width="9.109375" style="287"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6">
      <c r="A2" s="260"/>
      <c r="B2" s="58" t="str">
        <f>"Average Remaining Asset Lives Roll Forward - RFM "&amp;Intro!L4</f>
        <v>Average Remaining Asset Lives Roll Forward - RFM Version: 2.0</v>
      </c>
      <c r="C2" s="261"/>
      <c r="D2" s="261"/>
      <c r="E2" s="261"/>
      <c r="F2" s="261"/>
      <c r="G2" s="261"/>
      <c r="H2" s="261"/>
      <c r="I2" s="261"/>
      <c r="J2" s="261"/>
      <c r="K2" s="261"/>
      <c r="L2" s="261"/>
      <c r="M2" s="261"/>
      <c r="N2" s="261"/>
      <c r="O2" s="261"/>
      <c r="P2" s="261"/>
      <c r="Q2" s="261"/>
      <c r="R2" s="261"/>
      <c r="S2" s="261"/>
      <c r="T2" s="261"/>
      <c r="U2" s="261"/>
      <c r="V2" s="261"/>
      <c r="W2" s="261"/>
      <c r="X2" s="261"/>
      <c r="Y2" s="261"/>
      <c r="Z2" s="261"/>
    </row>
    <row r="3" spans="1:26">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row>
    <row r="4" spans="1:26" ht="16.5" customHeight="1">
      <c r="A4" s="86"/>
      <c r="B4" s="87"/>
      <c r="C4" s="86"/>
      <c r="D4" s="86"/>
      <c r="E4" s="86"/>
      <c r="F4" s="86"/>
      <c r="G4" s="147"/>
      <c r="H4" s="147"/>
      <c r="I4" s="147"/>
      <c r="J4" s="147"/>
      <c r="K4" s="147"/>
      <c r="L4" s="147"/>
      <c r="M4" s="147"/>
      <c r="N4" s="147"/>
      <c r="O4" s="147"/>
      <c r="P4" s="147"/>
      <c r="Q4" s="147"/>
      <c r="R4" s="147"/>
      <c r="S4" s="261"/>
      <c r="T4" s="261"/>
      <c r="U4" s="261"/>
      <c r="V4" s="261"/>
      <c r="W4" s="261"/>
      <c r="X4" s="261"/>
      <c r="Y4" s="261"/>
      <c r="Z4" s="261"/>
    </row>
    <row r="5" spans="1:26">
      <c r="A5" s="78"/>
      <c r="B5" s="85" t="s">
        <v>102</v>
      </c>
      <c r="C5" s="78"/>
      <c r="D5" s="78"/>
      <c r="E5" s="283" t="str">
        <f>"($m Real "&amp;'Tax value roll forward'!H4&amp;")"</f>
        <v>($m Real 2009-10)</v>
      </c>
      <c r="F5" s="283" t="s">
        <v>104</v>
      </c>
      <c r="G5" s="284"/>
      <c r="H5" s="283"/>
      <c r="I5" s="283"/>
      <c r="J5" s="283" t="s">
        <v>103</v>
      </c>
      <c r="K5" s="283" t="s">
        <v>104</v>
      </c>
      <c r="L5" s="78"/>
      <c r="M5" s="78"/>
      <c r="N5" s="78"/>
      <c r="O5" s="78"/>
      <c r="P5" s="78"/>
      <c r="Q5" s="78"/>
      <c r="R5" s="78"/>
      <c r="S5" s="261"/>
      <c r="T5" s="261"/>
      <c r="U5" s="261"/>
      <c r="V5" s="261"/>
      <c r="W5" s="261"/>
      <c r="X5" s="261"/>
      <c r="Y5" s="261"/>
      <c r="Z5" s="261"/>
    </row>
    <row r="6" spans="1:26" s="204" customFormat="1" ht="12.75" customHeight="1">
      <c r="A6" s="12"/>
      <c r="B6" s="12"/>
      <c r="C6" s="12"/>
      <c r="D6" s="270"/>
      <c r="E6" s="285" t="s">
        <v>105</v>
      </c>
      <c r="F6" s="285" t="s">
        <v>98</v>
      </c>
      <c r="G6" s="12"/>
      <c r="H6" s="9"/>
      <c r="I6" s="9"/>
      <c r="J6" s="286" t="s">
        <v>106</v>
      </c>
      <c r="K6" s="285" t="s">
        <v>101</v>
      </c>
      <c r="L6" s="12"/>
      <c r="M6" s="12"/>
      <c r="N6" s="12"/>
      <c r="O6" s="12"/>
      <c r="P6" s="12"/>
      <c r="Q6" s="12"/>
      <c r="R6" s="12"/>
      <c r="S6" s="261"/>
      <c r="T6" s="261"/>
      <c r="U6" s="261"/>
      <c r="V6" s="261"/>
      <c r="W6" s="261"/>
      <c r="X6" s="261"/>
      <c r="Y6" s="261"/>
      <c r="Z6" s="261"/>
    </row>
    <row r="7" spans="1:26" s="204" customFormat="1" hidden="1" outlineLevel="1">
      <c r="A7" s="12"/>
      <c r="B7" s="280" t="str">
        <f>Asset1</f>
        <v>Transmission Lines and Cables</v>
      </c>
      <c r="C7" s="12"/>
      <c r="D7" s="12"/>
      <c r="E7" s="285"/>
      <c r="F7" s="285"/>
      <c r="G7" s="12"/>
      <c r="H7" s="9"/>
      <c r="I7" s="9"/>
      <c r="J7" s="9"/>
      <c r="L7" s="12"/>
      <c r="M7" s="12"/>
      <c r="N7" s="12"/>
      <c r="O7" s="12"/>
      <c r="P7" s="12"/>
      <c r="Q7" s="12"/>
      <c r="R7" s="12"/>
      <c r="S7" s="261"/>
      <c r="T7" s="261"/>
      <c r="U7" s="261"/>
      <c r="V7" s="261"/>
      <c r="W7" s="261"/>
      <c r="X7" s="261"/>
      <c r="Y7" s="261"/>
      <c r="Z7" s="261"/>
    </row>
    <row r="8" spans="1:26" ht="12.75" hidden="1" customHeight="1" outlineLevel="1">
      <c r="A8" s="9"/>
      <c r="B8" s="9"/>
      <c r="C8" s="396" t="s">
        <v>26</v>
      </c>
      <c r="D8" s="397"/>
      <c r="E8" s="338">
        <f ca="1">(A1value-'Actual RAB roll forward'!G630)-SUM('Actual RAB roll forward'!H76:OFFSET('Actual RAB roll forward'!H76,0,Input!$W$7-1))</f>
        <v>223.89701046380935</v>
      </c>
      <c r="F8" s="268">
        <f>IF(A1remlife="N/A","n/a",A1remlife-Input!$W$7)</f>
        <v>16.038908294264232</v>
      </c>
      <c r="G8" s="264"/>
      <c r="H8" s="306" t="s">
        <v>65</v>
      </c>
      <c r="I8" s="307"/>
      <c r="J8" s="268">
        <f ca="1">A1taxvalue-SUM('Tax value roll forward'!H72:OFFSET('Tax value roll forward'!H72,0,Input!$W$7-1))</f>
        <v>194.30526959303626</v>
      </c>
      <c r="K8" s="268">
        <f>IF(A1taxremlife="N/A","n/a",A1taxremlife-Input!$W$7)</f>
        <v>16.473736546935687</v>
      </c>
      <c r="L8" s="114"/>
      <c r="M8" s="9"/>
      <c r="N8" s="9"/>
      <c r="O8" s="9"/>
      <c r="P8" s="9"/>
      <c r="Q8" s="9"/>
      <c r="R8" s="9"/>
      <c r="S8" s="261"/>
      <c r="T8" s="261"/>
      <c r="U8" s="261"/>
      <c r="V8" s="261"/>
      <c r="W8" s="261"/>
      <c r="X8" s="261"/>
      <c r="Y8" s="261"/>
      <c r="Z8" s="261"/>
    </row>
    <row r="9" spans="1:26" hidden="1" outlineLevel="1">
      <c r="A9" s="9"/>
      <c r="B9" s="9"/>
      <c r="C9" s="393" t="s">
        <v>81</v>
      </c>
      <c r="D9" s="91">
        <v>1</v>
      </c>
      <c r="E9" s="268">
        <f ca="1">OFFSET('Actual RAB roll forward'!H$44,0,D9-1)-SUM('Actual RAB roll forward'!H78:OFFSET('Actual RAB roll forward'!H78,0,Input!$W$7-1))</f>
        <v>0</v>
      </c>
      <c r="F9" s="268">
        <f ca="1">IF(A1stdlife="N/A","n/a",IF(E9=0,0,A1stdlife+D9-Input!$W$7))</f>
        <v>0</v>
      </c>
      <c r="G9" s="264"/>
      <c r="H9" s="393" t="s">
        <v>81</v>
      </c>
      <c r="I9" s="91">
        <v>1</v>
      </c>
      <c r="J9" s="268">
        <f ca="1">OFFSET('Tax value roll forward'!H$40,0,I9-1)-SUM('Tax value roll forward'!H74:OFFSET('Tax value roll forward'!H74,0,Input!$W$7-1))</f>
        <v>0</v>
      </c>
      <c r="K9" s="268">
        <f ca="1">IF(A1taxstdlife="N/A","n/a",IF(J9=0,0,A1taxstdlife+I9-Input!$W$7))</f>
        <v>0</v>
      </c>
      <c r="L9" s="114"/>
      <c r="M9" s="9"/>
      <c r="N9" s="9"/>
      <c r="O9" s="9"/>
      <c r="P9" s="9"/>
      <c r="Q9" s="9"/>
      <c r="R9" s="9"/>
      <c r="S9" s="261"/>
      <c r="T9" s="261"/>
      <c r="U9" s="261"/>
      <c r="V9" s="261"/>
      <c r="W9" s="261"/>
      <c r="X9" s="261"/>
      <c r="Y9" s="261"/>
      <c r="Z9" s="261"/>
    </row>
    <row r="10" spans="1:26" hidden="1" outlineLevel="1">
      <c r="A10" s="9"/>
      <c r="B10" s="9"/>
      <c r="C10" s="394"/>
      <c r="D10" s="91">
        <v>2</v>
      </c>
      <c r="E10" s="268">
        <f ca="1">OFFSET('Actual RAB roll forward'!H$44,0,D10-1)-SUM('Actual RAB roll forward'!H79:OFFSET('Actual RAB roll forward'!H79,0,Input!$W$7-1))</f>
        <v>0</v>
      </c>
      <c r="F10" s="268">
        <f ca="1">IF(A1stdlife="N/A","n/a",IF(E10=0,0,A1stdlife+D10-Input!$W$7))</f>
        <v>0</v>
      </c>
      <c r="G10" s="264"/>
      <c r="H10" s="394"/>
      <c r="I10" s="91">
        <v>2</v>
      </c>
      <c r="J10" s="268">
        <f ca="1">OFFSET('Tax value roll forward'!H$40,0,I10-1)-SUM('Tax value roll forward'!H75:OFFSET('Tax value roll forward'!H75,0,Input!$W$7-1))</f>
        <v>0</v>
      </c>
      <c r="K10" s="268">
        <f ca="1">IF(A1taxstdlife="N/A","n/a",IF(J10=0,0,A1taxstdlife+I10-Input!$W$7))</f>
        <v>0</v>
      </c>
      <c r="L10" s="114"/>
      <c r="M10" s="9"/>
      <c r="N10" s="9"/>
      <c r="O10" s="9"/>
      <c r="P10" s="9"/>
      <c r="Q10" s="9"/>
      <c r="R10" s="9"/>
      <c r="S10" s="261"/>
      <c r="T10" s="261"/>
      <c r="U10" s="261"/>
      <c r="V10" s="261"/>
      <c r="W10" s="261"/>
      <c r="X10" s="261"/>
      <c r="Y10" s="261"/>
      <c r="Z10" s="261"/>
    </row>
    <row r="11" spans="1:26" hidden="1" outlineLevel="1">
      <c r="A11" s="9"/>
      <c r="B11" s="9"/>
      <c r="C11" s="394"/>
      <c r="D11" s="91">
        <v>3</v>
      </c>
      <c r="E11" s="268">
        <f ca="1">OFFSET('Actual RAB roll forward'!H$44,0,D11-1)-SUM('Actual RAB roll forward'!H80:OFFSET('Actual RAB roll forward'!H80,0,Input!$W$7-1))</f>
        <v>0</v>
      </c>
      <c r="F11" s="268">
        <f ca="1">IF(A1stdlife="N/A","n/a",IF(E11=0,0,A1stdlife+D11-Input!$W$7))</f>
        <v>0</v>
      </c>
      <c r="G11" s="264"/>
      <c r="H11" s="394"/>
      <c r="I11" s="91">
        <v>3</v>
      </c>
      <c r="J11" s="268">
        <f ca="1">OFFSET('Tax value roll forward'!H$40,0,I11-1)-SUM('Tax value roll forward'!H76:OFFSET('Tax value roll forward'!H76,0,Input!$W$7-1))</f>
        <v>0</v>
      </c>
      <c r="K11" s="268">
        <f ca="1">IF(A1taxstdlife="N/A","n/a",IF(J11=0,0,A1taxstdlife+I11-Input!$W$7))</f>
        <v>0</v>
      </c>
      <c r="L11" s="114"/>
      <c r="M11" s="9"/>
      <c r="N11" s="9"/>
      <c r="O11" s="9"/>
      <c r="P11" s="9"/>
      <c r="Q11" s="9"/>
      <c r="R11" s="9"/>
      <c r="S11" s="261"/>
      <c r="T11" s="261"/>
      <c r="U11" s="261"/>
      <c r="V11" s="261"/>
      <c r="W11" s="261"/>
      <c r="X11" s="261"/>
      <c r="Y11" s="261"/>
      <c r="Z11" s="261"/>
    </row>
    <row r="12" spans="1:26" hidden="1" outlineLevel="1">
      <c r="A12" s="9"/>
      <c r="B12" s="9"/>
      <c r="C12" s="394"/>
      <c r="D12" s="91">
        <v>4</v>
      </c>
      <c r="E12" s="268">
        <f ca="1">OFFSET('Actual RAB roll forward'!H$44,0,D12-1)-SUM('Actual RAB roll forward'!H81:OFFSET('Actual RAB roll forward'!H81,0,Input!$W$7-1))</f>
        <v>-0.20785263150988403</v>
      </c>
      <c r="F12" s="268">
        <f ca="1">IF(A1stdlife="N/A","n/a",IF(E12=0,0,A1stdlife+D12-Input!$W$7))</f>
        <v>59</v>
      </c>
      <c r="G12" s="264"/>
      <c r="H12" s="394"/>
      <c r="I12" s="91">
        <v>4</v>
      </c>
      <c r="J12" s="268">
        <f ca="1">OFFSET('Tax value roll forward'!H$40,0,I12-1)-SUM('Tax value roll forward'!H77:OFFSET('Tax value roll forward'!H77,0,Input!$W$7-1))</f>
        <v>-0.21928333333333333</v>
      </c>
      <c r="K12" s="268">
        <f ca="1">IF(A1taxstdlife="N/A","n/a",IF(J12=0,0,A1taxstdlife+I12-Input!$W$7))</f>
        <v>59</v>
      </c>
      <c r="L12" s="114"/>
      <c r="M12" s="9"/>
      <c r="N12" s="9"/>
      <c r="O12" s="9"/>
      <c r="P12" s="9"/>
      <c r="Q12" s="9"/>
      <c r="R12" s="9"/>
      <c r="S12" s="261"/>
      <c r="T12" s="261"/>
      <c r="U12" s="261"/>
      <c r="V12" s="261"/>
      <c r="W12" s="261"/>
      <c r="X12" s="261"/>
      <c r="Y12" s="261"/>
      <c r="Z12" s="261"/>
    </row>
    <row r="13" spans="1:26" hidden="1" outlineLevel="1">
      <c r="A13" s="9"/>
      <c r="B13" s="9"/>
      <c r="C13" s="394"/>
      <c r="D13" s="91">
        <v>5</v>
      </c>
      <c r="E13" s="268">
        <f ca="1">OFFSET('Actual RAB roll forward'!H$44,0,D13-1)-SUM('Actual RAB roll forward'!H82:OFFSET('Actual RAB roll forward'!H82,0,Input!$W$7-1))</f>
        <v>0</v>
      </c>
      <c r="F13" s="268">
        <f ca="1">IF(A1stdlife="N/A","n/a",IF(E13=0,0,A1stdlife+D13-Input!$W$7))</f>
        <v>0</v>
      </c>
      <c r="G13" s="264"/>
      <c r="H13" s="394"/>
      <c r="I13" s="91">
        <v>5</v>
      </c>
      <c r="J13" s="268">
        <f ca="1">OFFSET('Tax value roll forward'!H$40,0,I13-1)-SUM('Tax value roll forward'!H78:OFFSET('Tax value roll forward'!H78,0,Input!$W$7-1))</f>
        <v>0</v>
      </c>
      <c r="K13" s="268">
        <f ca="1">IF(A1taxstdlife="N/A","n/a",IF(J13=0,0,A1taxstdlife+I13-Input!$W$7))</f>
        <v>0</v>
      </c>
      <c r="L13" s="114"/>
      <c r="M13" s="9"/>
      <c r="N13" s="9"/>
      <c r="O13" s="9"/>
      <c r="P13" s="9"/>
      <c r="Q13" s="9"/>
      <c r="R13" s="9"/>
      <c r="S13" s="261"/>
      <c r="T13" s="261"/>
      <c r="U13" s="261"/>
      <c r="V13" s="261"/>
      <c r="W13" s="261"/>
      <c r="X13" s="261"/>
      <c r="Y13" s="261"/>
      <c r="Z13" s="261"/>
    </row>
    <row r="14" spans="1:26" hidden="1" outlineLevel="1">
      <c r="A14" s="9"/>
      <c r="B14" s="9"/>
      <c r="C14" s="394"/>
      <c r="D14" s="91">
        <v>6</v>
      </c>
      <c r="E14" s="268">
        <f ca="1">OFFSET('Actual RAB roll forward'!H$44,0,D14-1)-SUM('Actual RAB roll forward'!H83:OFFSET('Actual RAB roll forward'!H83,0,Input!$W$7-1))</f>
        <v>0</v>
      </c>
      <c r="F14" s="268">
        <f ca="1">IF(A1stdlife="N/A","n/a",IF(E14=0,0,A1stdlife+D14-Input!$W$7))</f>
        <v>0</v>
      </c>
      <c r="G14" s="264"/>
      <c r="H14" s="394"/>
      <c r="I14" s="91">
        <v>6</v>
      </c>
      <c r="J14" s="325">
        <f ca="1">OFFSET('Tax value roll forward'!H$40,0,I14-1)-SUM('Tax value roll forward'!H79:OFFSET('Tax value roll forward'!H79,0,Input!$W$7-1))</f>
        <v>0</v>
      </c>
      <c r="K14" s="268">
        <f ca="1">IF(A1taxstdlife="N/A","n/a",IF(J14=0,0,A1taxstdlife+I14-Input!$W$7))</f>
        <v>0</v>
      </c>
      <c r="L14" s="114"/>
      <c r="M14" s="9"/>
      <c r="N14" s="9"/>
      <c r="O14" s="9"/>
      <c r="P14" s="9"/>
      <c r="Q14" s="9"/>
      <c r="R14" s="9"/>
      <c r="S14" s="261"/>
      <c r="T14" s="261"/>
      <c r="U14" s="261"/>
      <c r="V14" s="261"/>
      <c r="W14" s="261"/>
      <c r="X14" s="261"/>
      <c r="Y14" s="261"/>
      <c r="Z14" s="261"/>
    </row>
    <row r="15" spans="1:26" hidden="1" outlineLevel="1">
      <c r="A15" s="9"/>
      <c r="B15" s="9"/>
      <c r="C15" s="394"/>
      <c r="D15" s="91">
        <v>7</v>
      </c>
      <c r="E15" s="268">
        <f ca="1">OFFSET('Actual RAB roll forward'!H$44,0,D15-1)-SUM('Actual RAB roll forward'!H84:OFFSET('Actual RAB roll forward'!H84,0,Input!$W$7-1))</f>
        <v>0</v>
      </c>
      <c r="F15" s="268">
        <f ca="1">IF(A1stdlife="N/A","n/a",IF(E15=0,0,A1stdlife+D15-Input!$W$7))</f>
        <v>0</v>
      </c>
      <c r="G15" s="264"/>
      <c r="H15" s="394"/>
      <c r="I15" s="91">
        <v>7</v>
      </c>
      <c r="J15" s="268">
        <f ca="1">OFFSET('Tax value roll forward'!H$40,0,I15-1)-SUM('Tax value roll forward'!H80:OFFSET('Tax value roll forward'!H80,0,Input!$W$7-1))</f>
        <v>0</v>
      </c>
      <c r="K15" s="268">
        <f ca="1">IF(A1taxstdlife="N/A","n/a",IF(J15=0,0,A1taxstdlife+I15-Input!$W$7))</f>
        <v>0</v>
      </c>
      <c r="L15" s="114"/>
      <c r="M15" s="9"/>
      <c r="N15" s="9"/>
      <c r="O15" s="9"/>
      <c r="P15" s="9"/>
      <c r="Q15" s="9"/>
      <c r="R15" s="9"/>
      <c r="S15" s="261"/>
      <c r="T15" s="261"/>
      <c r="U15" s="261"/>
      <c r="V15" s="261"/>
      <c r="W15" s="261"/>
      <c r="X15" s="261"/>
      <c r="Y15" s="261"/>
      <c r="Z15" s="261"/>
    </row>
    <row r="16" spans="1:26" hidden="1" outlineLevel="1">
      <c r="A16" s="9"/>
      <c r="B16" s="9"/>
      <c r="C16" s="394"/>
      <c r="D16" s="91">
        <v>8</v>
      </c>
      <c r="E16" s="268">
        <f ca="1">OFFSET('Actual RAB roll forward'!H$44,0,D16-1)-SUM('Actual RAB roll forward'!H85:OFFSET('Actual RAB roll forward'!H85,0,Input!$W$7-1))</f>
        <v>0</v>
      </c>
      <c r="F16" s="268">
        <f ca="1">IF(A1stdlife="N/A","n/a",IF(E16=0,0,A1stdlife+D16-Input!$W$7))</f>
        <v>0</v>
      </c>
      <c r="G16" s="264"/>
      <c r="H16" s="394"/>
      <c r="I16" s="91">
        <v>8</v>
      </c>
      <c r="J16" s="268">
        <f ca="1">OFFSET('Tax value roll forward'!H$40,0,I16-1)-SUM('Tax value roll forward'!H81:OFFSET('Tax value roll forward'!H81,0,Input!$W$7-1))</f>
        <v>0</v>
      </c>
      <c r="K16" s="268">
        <f ca="1">IF(A1taxstdlife="N/A","n/a",IF(J16=0,0,A1taxstdlife+I16-Input!$W$7))</f>
        <v>0</v>
      </c>
      <c r="L16" s="114"/>
      <c r="M16" s="9"/>
      <c r="N16" s="9"/>
      <c r="O16" s="9"/>
      <c r="P16" s="9"/>
      <c r="Q16" s="9"/>
      <c r="R16" s="9"/>
      <c r="S16" s="261"/>
      <c r="T16" s="261"/>
      <c r="U16" s="261"/>
      <c r="V16" s="261"/>
      <c r="W16" s="261"/>
      <c r="X16" s="261"/>
      <c r="Y16" s="261"/>
      <c r="Z16" s="261"/>
    </row>
    <row r="17" spans="1:26" hidden="1" outlineLevel="1">
      <c r="A17" s="9"/>
      <c r="B17" s="9"/>
      <c r="C17" s="394"/>
      <c r="D17" s="91">
        <v>9</v>
      </c>
      <c r="E17" s="268">
        <f ca="1">OFFSET('Actual RAB roll forward'!H$44,0,D17-1)-SUM('Actual RAB roll forward'!H86:OFFSET('Actual RAB roll forward'!H86,0,Input!$W$7-1))</f>
        <v>0</v>
      </c>
      <c r="F17" s="268">
        <f ca="1">IF(A1stdlife="N/A","n/a",IF(E17=0,0,A1stdlife+D17-Input!$W$7))</f>
        <v>0</v>
      </c>
      <c r="G17" s="264"/>
      <c r="H17" s="394"/>
      <c r="I17" s="91">
        <v>9</v>
      </c>
      <c r="J17" s="268">
        <f ca="1">OFFSET('Tax value roll forward'!H$40,0,I17-1)-SUM('Tax value roll forward'!H82:OFFSET('Tax value roll forward'!H82,0,Input!$W$7-1))</f>
        <v>0</v>
      </c>
      <c r="K17" s="268">
        <f ca="1">IF(A1taxstdlife="N/A","n/a",IF(J17=0,0,A1taxstdlife+I17-Input!$W$7))</f>
        <v>0</v>
      </c>
      <c r="L17" s="114"/>
      <c r="M17" s="9"/>
      <c r="N17" s="9"/>
      <c r="O17" s="9"/>
      <c r="P17" s="9"/>
      <c r="Q17" s="9"/>
      <c r="R17" s="9"/>
      <c r="S17" s="261"/>
      <c r="T17" s="261"/>
      <c r="U17" s="261"/>
      <c r="V17" s="261"/>
      <c r="W17" s="261"/>
      <c r="X17" s="261"/>
      <c r="Y17" s="261"/>
      <c r="Z17" s="261"/>
    </row>
    <row r="18" spans="1:26" hidden="1" outlineLevel="1">
      <c r="A18" s="9"/>
      <c r="B18" s="9"/>
      <c r="C18" s="395"/>
      <c r="D18" s="92">
        <v>10</v>
      </c>
      <c r="E18" s="268">
        <f ca="1">OFFSET('Actual RAB roll forward'!H$44,0,D18-1)-SUM('Actual RAB roll forward'!H87:OFFSET('Actual RAB roll forward'!H87,0,Input!$W$7-1))</f>
        <v>0</v>
      </c>
      <c r="F18" s="268">
        <f ca="1">IF(A1stdlife="N/A","n/a",IF(E18=0,0,A1stdlife+D18-Input!$W$7))</f>
        <v>0</v>
      </c>
      <c r="G18" s="264"/>
      <c r="H18" s="395"/>
      <c r="I18" s="92">
        <v>10</v>
      </c>
      <c r="J18" s="268">
        <f ca="1">OFFSET('Tax value roll forward'!H$40,0,I18-1)-SUM('Tax value roll forward'!H83:OFFSET('Tax value roll forward'!H83,0,Input!$W$7-1))</f>
        <v>0</v>
      </c>
      <c r="K18" s="268">
        <f ca="1">IF(A1taxstdlife="N/A","n/a",IF(J18=0,0,A1taxstdlife+I18-Input!$W$7))</f>
        <v>0</v>
      </c>
      <c r="L18" s="114"/>
      <c r="M18" s="9"/>
      <c r="N18" s="9"/>
      <c r="O18" s="9"/>
      <c r="P18" s="9"/>
      <c r="Q18" s="9"/>
      <c r="R18" s="9"/>
      <c r="S18" s="261"/>
      <c r="T18" s="261"/>
      <c r="U18" s="261"/>
      <c r="V18" s="261"/>
      <c r="W18" s="261"/>
      <c r="X18" s="261"/>
      <c r="Y18" s="261"/>
      <c r="Z18" s="261"/>
    </row>
    <row r="19" spans="1:26" collapsed="1">
      <c r="A19" s="9"/>
      <c r="B19" s="9"/>
      <c r="C19" s="114" t="str">
        <f>Asset1</f>
        <v>Transmission Lines and Cables</v>
      </c>
      <c r="D19" s="9"/>
      <c r="E19" s="268">
        <f ca="1">SUM(E8:E18)</f>
        <v>223.68915783229946</v>
      </c>
      <c r="F19" s="268">
        <f ca="1">IF(E19=0,0,SUMPRODUCT(E8:E18,F8:F18)/E19)</f>
        <v>15.998988719931223</v>
      </c>
      <c r="G19" s="264"/>
      <c r="H19" s="43"/>
      <c r="I19" s="268"/>
      <c r="J19" s="268">
        <f ca="1">SUM(J8:J18)</f>
        <v>194.08598625970293</v>
      </c>
      <c r="K19" s="268">
        <f ca="1">IF(J19=0,0,SUMPRODUCT(J8:J18,K8:K18)/J19)</f>
        <v>16.425689281989303</v>
      </c>
      <c r="L19" s="114"/>
      <c r="M19" s="9"/>
      <c r="N19" s="9"/>
      <c r="O19" s="9"/>
      <c r="P19" s="9"/>
      <c r="Q19" s="9"/>
      <c r="R19" s="9"/>
      <c r="S19" s="261"/>
      <c r="T19" s="261"/>
      <c r="U19" s="261"/>
      <c r="V19" s="261"/>
      <c r="W19" s="261"/>
      <c r="X19" s="261"/>
      <c r="Y19" s="261"/>
      <c r="Z19" s="261"/>
    </row>
    <row r="20" spans="1:26" hidden="1" outlineLevel="1">
      <c r="A20" s="9"/>
      <c r="B20" s="263"/>
      <c r="C20" s="114"/>
      <c r="D20" s="9"/>
      <c r="E20" s="268"/>
      <c r="F20" s="268"/>
      <c r="G20" s="264"/>
      <c r="H20" s="268"/>
      <c r="I20" s="268"/>
      <c r="J20" s="268"/>
      <c r="K20" s="268"/>
      <c r="L20" s="114"/>
      <c r="M20" s="9"/>
      <c r="N20" s="9"/>
      <c r="O20" s="9"/>
      <c r="P20" s="9"/>
      <c r="Q20" s="9"/>
      <c r="R20" s="9"/>
      <c r="S20" s="261"/>
      <c r="T20" s="261"/>
      <c r="U20" s="261"/>
      <c r="V20" s="261"/>
      <c r="W20" s="261"/>
      <c r="X20" s="261"/>
      <c r="Y20" s="261"/>
      <c r="Z20" s="261"/>
    </row>
    <row r="21" spans="1:26" hidden="1" outlineLevel="1">
      <c r="A21" s="9"/>
      <c r="B21" s="280" t="str">
        <f>Asset2</f>
        <v>Transmission Substations</v>
      </c>
      <c r="C21" s="265"/>
      <c r="D21" s="266"/>
      <c r="E21" s="269"/>
      <c r="F21" s="268"/>
      <c r="G21" s="264"/>
      <c r="H21" s="268"/>
      <c r="I21" s="268"/>
      <c r="J21" s="268"/>
      <c r="K21" s="268"/>
      <c r="L21" s="114"/>
      <c r="M21" s="9"/>
      <c r="N21" s="9"/>
      <c r="O21" s="9"/>
      <c r="P21" s="9"/>
      <c r="Q21" s="9"/>
      <c r="R21" s="9"/>
      <c r="S21" s="261"/>
      <c r="T21" s="261"/>
      <c r="U21" s="261"/>
      <c r="V21" s="261"/>
      <c r="W21" s="261"/>
      <c r="X21" s="261"/>
      <c r="Y21" s="261"/>
      <c r="Z21" s="261"/>
    </row>
    <row r="22" spans="1:26" ht="12.75" hidden="1" customHeight="1" outlineLevel="1">
      <c r="A22" s="9"/>
      <c r="B22" s="9"/>
      <c r="C22" s="396" t="s">
        <v>26</v>
      </c>
      <c r="D22" s="397"/>
      <c r="E22" s="338">
        <f ca="1">(A2value-'Actual RAB roll forward'!G631)-SUM('Actual RAB roll forward'!H89:OFFSET('Actual RAB roll forward'!H89,0,Input!$W$7-1))</f>
        <v>322.04220435142804</v>
      </c>
      <c r="F22" s="268">
        <f>IF(A2remlife="N/A","n/a",A2remlife-Input!$W$7)</f>
        <v>23.153743705440963</v>
      </c>
      <c r="G22" s="264"/>
      <c r="H22" s="306" t="s">
        <v>65</v>
      </c>
      <c r="I22" s="307"/>
      <c r="J22" s="268">
        <f ca="1">A2taxvalue-SUM('Tax value roll forward'!H85:OFFSET('Tax value roll forward'!H85,0,Input!$W$7-1))</f>
        <v>287.66151061002768</v>
      </c>
      <c r="K22" s="268">
        <f>IF(A2taxremlife="N/A","n/a",A2taxremlife-Input!$W$7)</f>
        <v>23.760916344933783</v>
      </c>
      <c r="L22" s="114"/>
      <c r="M22" s="9"/>
      <c r="N22" s="9"/>
      <c r="O22" s="9"/>
      <c r="P22" s="9"/>
      <c r="Q22" s="9"/>
      <c r="R22" s="9"/>
      <c r="S22" s="261"/>
      <c r="T22" s="261"/>
      <c r="U22" s="261"/>
      <c r="V22" s="261"/>
      <c r="W22" s="261"/>
      <c r="X22" s="261"/>
      <c r="Y22" s="261"/>
      <c r="Z22" s="261"/>
    </row>
    <row r="23" spans="1:26" hidden="1" outlineLevel="1">
      <c r="A23" s="9"/>
      <c r="B23" s="9"/>
      <c r="C23" s="393" t="s">
        <v>81</v>
      </c>
      <c r="D23" s="91">
        <v>1</v>
      </c>
      <c r="E23" s="268">
        <f ca="1">OFFSET('Actual RAB roll forward'!H$45,0,D23-1)-SUM('Actual RAB roll forward'!H91:OFFSET('Actual RAB roll forward'!H91,0,Input!$W$7-1))</f>
        <v>0</v>
      </c>
      <c r="F23" s="268">
        <f ca="1">IF(A2stdlife="N/A","n/a",IF(E23=0,0,A2stdlife+D23-Input!$W$7))</f>
        <v>0</v>
      </c>
      <c r="G23" s="264"/>
      <c r="H23" s="393" t="s">
        <v>81</v>
      </c>
      <c r="I23" s="91">
        <v>1</v>
      </c>
      <c r="J23" s="268">
        <f ca="1">OFFSET('Tax value roll forward'!H$41,0,I23-1)-SUM('Tax value roll forward'!H87:OFFSET('Tax value roll forward'!H87,0,Input!$W$7-1))</f>
        <v>0</v>
      </c>
      <c r="K23" s="268">
        <f ca="1">IF(A2taxstdlife="N/A","n/a",IF(J23=0,0,A2taxstdlife+I23-Input!$W$7))</f>
        <v>0</v>
      </c>
      <c r="L23" s="114"/>
      <c r="M23" s="9"/>
      <c r="N23" s="9"/>
      <c r="O23" s="9"/>
      <c r="P23" s="9"/>
      <c r="Q23" s="9"/>
      <c r="R23" s="9"/>
      <c r="S23" s="261"/>
      <c r="T23" s="261"/>
      <c r="U23" s="261"/>
      <c r="V23" s="261"/>
      <c r="W23" s="261"/>
      <c r="X23" s="261"/>
      <c r="Y23" s="261"/>
      <c r="Z23" s="261"/>
    </row>
    <row r="24" spans="1:26" hidden="1" outlineLevel="1">
      <c r="A24" s="9"/>
      <c r="B24" s="9"/>
      <c r="C24" s="394"/>
      <c r="D24" s="91">
        <v>2</v>
      </c>
      <c r="E24" s="268">
        <f ca="1">OFFSET('Actual RAB roll forward'!H$45,0,D24-1)-SUM('Actual RAB roll forward'!H92:OFFSET('Actual RAB roll forward'!H92,0,Input!$W$7-1))</f>
        <v>-0.49864745346704309</v>
      </c>
      <c r="F24" s="268">
        <f ca="1">IF(A2stdlife="N/A","n/a",IF(E24=0,0,A2stdlife+D24-Input!$W$7))</f>
        <v>47</v>
      </c>
      <c r="G24" s="264"/>
      <c r="H24" s="394"/>
      <c r="I24" s="91">
        <v>2</v>
      </c>
      <c r="J24" s="268">
        <f ca="1">OFFSET('Tax value roll forward'!H$41,0,I24-1)-SUM('Tax value roll forward'!H88:OFFSET('Tax value roll forward'!H88,0,Input!$W$7-1))</f>
        <v>-0.49914000000000003</v>
      </c>
      <c r="K24" s="268">
        <f ca="1">IF(A2taxstdlife="N/A","n/a",IF(J24=0,0,A2taxstdlife+I24-Input!$W$7))</f>
        <v>47</v>
      </c>
      <c r="L24" s="114"/>
      <c r="M24" s="9"/>
      <c r="N24" s="9"/>
      <c r="O24" s="9"/>
      <c r="P24" s="9"/>
      <c r="Q24" s="9"/>
      <c r="R24" s="9"/>
      <c r="S24" s="261"/>
      <c r="T24" s="261"/>
      <c r="U24" s="261"/>
      <c r="V24" s="261"/>
      <c r="W24" s="261"/>
      <c r="X24" s="261"/>
      <c r="Y24" s="261"/>
      <c r="Z24" s="261"/>
    </row>
    <row r="25" spans="1:26" hidden="1" outlineLevel="1">
      <c r="A25" s="9"/>
      <c r="B25" s="9"/>
      <c r="C25" s="394"/>
      <c r="D25" s="91">
        <v>3</v>
      </c>
      <c r="E25" s="268">
        <f ca="1">OFFSET('Actual RAB roll forward'!H$45,0,D25-1)-SUM('Actual RAB roll forward'!H93:OFFSET('Actual RAB roll forward'!H93,0,Input!$W$7-1))</f>
        <v>0</v>
      </c>
      <c r="F25" s="268">
        <f ca="1">IF(A2stdlife="N/A","n/a",IF(E25=0,0,A2stdlife+D25-Input!$W$7))</f>
        <v>0</v>
      </c>
      <c r="G25" s="264"/>
      <c r="H25" s="394"/>
      <c r="I25" s="91">
        <v>3</v>
      </c>
      <c r="J25" s="268">
        <f ca="1">OFFSET('Tax value roll forward'!H$41,0,I25-1)-SUM('Tax value roll forward'!H89:OFFSET('Tax value roll forward'!H89,0,Input!$W$7-1))</f>
        <v>0</v>
      </c>
      <c r="K25" s="268">
        <f ca="1">IF(A2taxstdlife="N/A","n/a",IF(J25=0,0,A2taxstdlife+I25-Input!$W$7))</f>
        <v>0</v>
      </c>
      <c r="L25" s="114"/>
      <c r="M25" s="9"/>
      <c r="N25" s="9"/>
      <c r="O25" s="9"/>
      <c r="P25" s="9"/>
      <c r="Q25" s="9"/>
      <c r="R25" s="9"/>
      <c r="S25" s="261"/>
      <c r="T25" s="261"/>
      <c r="U25" s="261"/>
      <c r="V25" s="261"/>
      <c r="W25" s="261"/>
      <c r="X25" s="261"/>
      <c r="Y25" s="261"/>
      <c r="Z25" s="261"/>
    </row>
    <row r="26" spans="1:26" hidden="1" outlineLevel="1">
      <c r="A26" s="9"/>
      <c r="B26" s="9"/>
      <c r="C26" s="394"/>
      <c r="D26" s="91">
        <v>4</v>
      </c>
      <c r="E26" s="268">
        <f ca="1">OFFSET('Actual RAB roll forward'!H$45,0,D26-1)-SUM('Actual RAB roll forward'!H94:OFFSET('Actual RAB roll forward'!H94,0,Input!$W$7-1))</f>
        <v>0</v>
      </c>
      <c r="F26" s="268">
        <f ca="1">IF(A2stdlife="N/A","n/a",IF(E26=0,0,A2stdlife+D26-Input!$W$7))</f>
        <v>0</v>
      </c>
      <c r="G26" s="264"/>
      <c r="H26" s="394"/>
      <c r="I26" s="91">
        <v>4</v>
      </c>
      <c r="J26" s="268">
        <f ca="1">OFFSET('Tax value roll forward'!H$41,0,I26-1)-SUM('Tax value roll forward'!H90:OFFSET('Tax value roll forward'!H90,0,Input!$W$7-1))</f>
        <v>0</v>
      </c>
      <c r="K26" s="268">
        <f ca="1">IF(A2taxstdlife="N/A","n/a",IF(J26=0,0,A2taxstdlife+I26-Input!$W$7))</f>
        <v>0</v>
      </c>
      <c r="L26" s="114"/>
      <c r="M26" s="9"/>
      <c r="N26" s="9"/>
      <c r="O26" s="9"/>
      <c r="P26" s="9"/>
      <c r="Q26" s="9"/>
      <c r="R26" s="9"/>
      <c r="S26" s="261"/>
      <c r="T26" s="261"/>
      <c r="U26" s="261"/>
      <c r="V26" s="261"/>
      <c r="W26" s="261"/>
      <c r="X26" s="261"/>
      <c r="Y26" s="261"/>
      <c r="Z26" s="261"/>
    </row>
    <row r="27" spans="1:26" hidden="1" outlineLevel="1">
      <c r="A27" s="9"/>
      <c r="B27" s="9"/>
      <c r="C27" s="394"/>
      <c r="D27" s="91">
        <v>5</v>
      </c>
      <c r="E27" s="268">
        <f ca="1">OFFSET('Actual RAB roll forward'!H$45,0,D27-1)-SUM('Actual RAB roll forward'!H95:OFFSET('Actual RAB roll forward'!H95,0,Input!$W$7-1))</f>
        <v>0</v>
      </c>
      <c r="F27" s="268">
        <f ca="1">IF(A2stdlife="N/A","n/a",IF(E27=0,0,A2stdlife+D27-Input!$W$7))</f>
        <v>0</v>
      </c>
      <c r="G27" s="264"/>
      <c r="H27" s="394"/>
      <c r="I27" s="91">
        <v>5</v>
      </c>
      <c r="J27" s="268">
        <f ca="1">OFFSET('Tax value roll forward'!H$41,0,I27-1)-SUM('Tax value roll forward'!H91:OFFSET('Tax value roll forward'!H91,0,Input!$W$7-1))</f>
        <v>0</v>
      </c>
      <c r="K27" s="268">
        <f ca="1">IF(A2taxstdlife="N/A","n/a",IF(J27=0,0,A2taxstdlife+I27-Input!$W$7))</f>
        <v>0</v>
      </c>
      <c r="L27" s="114"/>
      <c r="M27" s="9"/>
      <c r="N27" s="9"/>
      <c r="O27" s="9"/>
      <c r="P27" s="9"/>
      <c r="Q27" s="9"/>
      <c r="R27" s="9"/>
      <c r="S27" s="261"/>
      <c r="T27" s="261"/>
      <c r="U27" s="261"/>
      <c r="V27" s="261"/>
      <c r="W27" s="261"/>
      <c r="X27" s="261"/>
      <c r="Y27" s="261"/>
      <c r="Z27" s="261"/>
    </row>
    <row r="28" spans="1:26" hidden="1" outlineLevel="1">
      <c r="A28" s="9"/>
      <c r="B28" s="9"/>
      <c r="C28" s="394"/>
      <c r="D28" s="91">
        <v>6</v>
      </c>
      <c r="E28" s="268">
        <f ca="1">OFFSET('Actual RAB roll forward'!H$45,0,D28-1)-SUM('Actual RAB roll forward'!H96:OFFSET('Actual RAB roll forward'!H96,0,Input!$W$7-1))</f>
        <v>0</v>
      </c>
      <c r="F28" s="268">
        <f ca="1">IF(A2stdlife="N/A","n/a",IF(E28=0,0,A2stdlife+D28-Input!$W$7))</f>
        <v>0</v>
      </c>
      <c r="G28" s="264"/>
      <c r="H28" s="394"/>
      <c r="I28" s="91">
        <v>6</v>
      </c>
      <c r="J28" s="268">
        <f ca="1">OFFSET('Tax value roll forward'!H$41,0,I28-1)-SUM('Tax value roll forward'!H92:OFFSET('Tax value roll forward'!H92,0,Input!$W$7-1))</f>
        <v>0</v>
      </c>
      <c r="K28" s="268">
        <f ca="1">IF(A2taxstdlife="N/A","n/a",IF(J28=0,0,A2taxstdlife+I28-Input!$W$7))</f>
        <v>0</v>
      </c>
      <c r="L28" s="114"/>
      <c r="M28" s="9"/>
      <c r="N28" s="9"/>
      <c r="O28" s="9"/>
      <c r="P28" s="9"/>
      <c r="Q28" s="9"/>
      <c r="R28" s="9"/>
      <c r="S28" s="261"/>
      <c r="T28" s="261"/>
      <c r="U28" s="261"/>
      <c r="V28" s="261"/>
      <c r="W28" s="261"/>
      <c r="X28" s="261"/>
      <c r="Y28" s="261"/>
      <c r="Z28" s="261"/>
    </row>
    <row r="29" spans="1:26" hidden="1" outlineLevel="1">
      <c r="A29" s="9"/>
      <c r="B29" s="9"/>
      <c r="C29" s="394"/>
      <c r="D29" s="91">
        <v>7</v>
      </c>
      <c r="E29" s="268">
        <f ca="1">OFFSET('Actual RAB roll forward'!H$45,0,D29-1)-SUM('Actual RAB roll forward'!H97:OFFSET('Actual RAB roll forward'!H97,0,Input!$W$7-1))</f>
        <v>0</v>
      </c>
      <c r="F29" s="268">
        <f ca="1">IF(A2stdlife="N/A","n/a",IF(E29=0,0,A2stdlife+D29-Input!$W$7))</f>
        <v>0</v>
      </c>
      <c r="G29" s="264"/>
      <c r="H29" s="394"/>
      <c r="I29" s="91">
        <v>7</v>
      </c>
      <c r="J29" s="268">
        <f ca="1">OFFSET('Tax value roll forward'!H$41,0,I29-1)-SUM('Tax value roll forward'!H93:OFFSET('Tax value roll forward'!H93,0,Input!$W$7-1))</f>
        <v>0</v>
      </c>
      <c r="K29" s="268">
        <f ca="1">IF(A2taxstdlife="N/A","n/a",IF(J29=0,0,A2taxstdlife+I29-Input!$W$7))</f>
        <v>0</v>
      </c>
      <c r="L29" s="114"/>
      <c r="M29" s="9"/>
      <c r="N29" s="9"/>
      <c r="O29" s="9"/>
      <c r="P29" s="9"/>
      <c r="Q29" s="9"/>
      <c r="R29" s="9"/>
      <c r="S29" s="261"/>
      <c r="T29" s="261"/>
      <c r="U29" s="261"/>
      <c r="V29" s="261"/>
      <c r="W29" s="261"/>
      <c r="X29" s="261"/>
      <c r="Y29" s="261"/>
      <c r="Z29" s="261"/>
    </row>
    <row r="30" spans="1:26" hidden="1" outlineLevel="1">
      <c r="A30" s="9"/>
      <c r="B30" s="9"/>
      <c r="C30" s="394"/>
      <c r="D30" s="91">
        <v>8</v>
      </c>
      <c r="E30" s="268">
        <f ca="1">OFFSET('Actual RAB roll forward'!H$45,0,D30-1)-SUM('Actual RAB roll forward'!H98:OFFSET('Actual RAB roll forward'!H98,0,Input!$W$7-1))</f>
        <v>0</v>
      </c>
      <c r="F30" s="268">
        <f ca="1">IF(A2stdlife="N/A","n/a",IF(E30=0,0,A2stdlife+D30-Input!$W$7))</f>
        <v>0</v>
      </c>
      <c r="G30" s="264"/>
      <c r="H30" s="394"/>
      <c r="I30" s="91">
        <v>8</v>
      </c>
      <c r="J30" s="268">
        <f ca="1">OFFSET('Tax value roll forward'!H$41,0,I30-1)-SUM('Tax value roll forward'!H94:OFFSET('Tax value roll forward'!H94,0,Input!$W$7-1))</f>
        <v>0</v>
      </c>
      <c r="K30" s="268">
        <f ca="1">IF(A2taxstdlife="N/A","n/a",IF(J30=0,0,A2taxstdlife+I30-Input!$W$7))</f>
        <v>0</v>
      </c>
      <c r="M30" s="9"/>
      <c r="N30" s="9"/>
      <c r="O30" s="9"/>
      <c r="P30" s="9"/>
      <c r="Q30" s="9"/>
      <c r="R30" s="9"/>
      <c r="S30" s="261"/>
      <c r="T30" s="261"/>
      <c r="U30" s="261"/>
      <c r="V30" s="261"/>
      <c r="W30" s="261"/>
      <c r="X30" s="261"/>
      <c r="Y30" s="261"/>
      <c r="Z30" s="261"/>
    </row>
    <row r="31" spans="1:26" hidden="1" outlineLevel="1">
      <c r="A31" s="9"/>
      <c r="B31" s="9"/>
      <c r="C31" s="394"/>
      <c r="D31" s="91">
        <v>9</v>
      </c>
      <c r="E31" s="268">
        <f ca="1">OFFSET('Actual RAB roll forward'!H$45,0,D31-1)-SUM('Actual RAB roll forward'!H99:OFFSET('Actual RAB roll forward'!H99,0,Input!$W$7-1))</f>
        <v>0</v>
      </c>
      <c r="F31" s="268">
        <f ca="1">IF(A2stdlife="N/A","n/a",IF(E31=0,0,A2stdlife+D31-Input!$W$7))</f>
        <v>0</v>
      </c>
      <c r="G31" s="264"/>
      <c r="H31" s="394"/>
      <c r="I31" s="91">
        <v>9</v>
      </c>
      <c r="J31" s="268">
        <f ca="1">OFFSET('Tax value roll forward'!H$41,0,I31-1)-SUM('Tax value roll forward'!H95:OFFSET('Tax value roll forward'!H95,0,Input!$W$7-1))</f>
        <v>0</v>
      </c>
      <c r="K31" s="268">
        <f ca="1">IF(A2taxstdlife="N/A","n/a",IF(J31=0,0,A2taxstdlife+I31-Input!$W$7))</f>
        <v>0</v>
      </c>
      <c r="L31" s="114"/>
      <c r="M31" s="9"/>
      <c r="N31" s="9"/>
      <c r="O31" s="9"/>
      <c r="P31" s="9"/>
      <c r="Q31" s="9"/>
      <c r="R31" s="9"/>
      <c r="S31" s="261"/>
      <c r="T31" s="261"/>
      <c r="U31" s="261"/>
      <c r="V31" s="261"/>
      <c r="W31" s="261"/>
      <c r="X31" s="261"/>
      <c r="Y31" s="261"/>
      <c r="Z31" s="261"/>
    </row>
    <row r="32" spans="1:26" hidden="1" outlineLevel="1">
      <c r="A32" s="9"/>
      <c r="B32" s="9"/>
      <c r="C32" s="395"/>
      <c r="D32" s="92">
        <v>10</v>
      </c>
      <c r="E32" s="268">
        <f ca="1">OFFSET('Actual RAB roll forward'!H$45,0,D32-1)-SUM('Actual RAB roll forward'!H100:OFFSET('Actual RAB roll forward'!H100,0,Input!$W$7-1))</f>
        <v>0</v>
      </c>
      <c r="F32" s="268">
        <f ca="1">IF(A2stdlife="N/A","n/a",IF(E32=0,0,A2stdlife+D32-Input!$W$7))</f>
        <v>0</v>
      </c>
      <c r="G32" s="264"/>
      <c r="H32" s="395"/>
      <c r="I32" s="92">
        <v>10</v>
      </c>
      <c r="J32" s="268">
        <f ca="1">OFFSET('Tax value roll forward'!H$41,0,I32-1)-SUM('Tax value roll forward'!H96:OFFSET('Tax value roll forward'!H96,0,Input!$W$7-1))</f>
        <v>0</v>
      </c>
      <c r="K32" s="268">
        <f ca="1">IF(A2taxstdlife="N/A","n/a",IF(J32=0,0,A2taxstdlife+I32-Input!$W$7))</f>
        <v>0</v>
      </c>
      <c r="L32" s="114"/>
      <c r="M32" s="9"/>
      <c r="N32" s="9"/>
      <c r="O32" s="9"/>
      <c r="P32" s="9"/>
      <c r="Q32" s="9"/>
      <c r="R32" s="9"/>
      <c r="S32" s="261"/>
      <c r="T32" s="261"/>
      <c r="U32" s="261"/>
      <c r="V32" s="261"/>
      <c r="W32" s="261"/>
      <c r="X32" s="261"/>
      <c r="Y32" s="261"/>
      <c r="Z32" s="261"/>
    </row>
    <row r="33" spans="1:26" collapsed="1">
      <c r="A33" s="9"/>
      <c r="B33" s="9"/>
      <c r="C33" s="114" t="str">
        <f>Asset2</f>
        <v>Transmission Substations</v>
      </c>
      <c r="D33" s="9"/>
      <c r="E33" s="268">
        <f ca="1">SUM(E22:E32)</f>
        <v>321.54355689796103</v>
      </c>
      <c r="F33" s="268">
        <f ca="1">IF(E33=0,0,SUMPRODUCT(E22:E32,F22:F32)/E33)</f>
        <v>23.116763101348873</v>
      </c>
      <c r="G33" s="264"/>
      <c r="H33" s="43"/>
      <c r="J33" s="268">
        <f ca="1">SUM(J22:J32)</f>
        <v>287.16237061002766</v>
      </c>
      <c r="K33" s="268">
        <f ca="1">IF(J33=0,0,SUMPRODUCT(J22:J32,K22:K32)/J33)</f>
        <v>23.720522625551443</v>
      </c>
      <c r="L33" s="114"/>
      <c r="M33" s="9"/>
      <c r="N33" s="9"/>
      <c r="O33" s="9"/>
      <c r="P33" s="9"/>
      <c r="Q33" s="9"/>
      <c r="R33" s="9"/>
      <c r="S33" s="261"/>
      <c r="T33" s="261"/>
      <c r="U33" s="261"/>
      <c r="V33" s="261"/>
      <c r="W33" s="261"/>
      <c r="X33" s="261"/>
      <c r="Y33" s="261"/>
      <c r="Z33" s="261"/>
    </row>
    <row r="34" spans="1:26" hidden="1" outlineLevel="1">
      <c r="A34" s="9"/>
      <c r="B34" s="9"/>
      <c r="C34" s="114"/>
      <c r="D34" s="9"/>
      <c r="E34" s="268"/>
      <c r="F34" s="268"/>
      <c r="G34" s="264"/>
      <c r="H34" s="268"/>
      <c r="I34" s="268"/>
      <c r="J34" s="273"/>
      <c r="K34" s="268"/>
      <c r="L34" s="114"/>
      <c r="M34" s="9"/>
      <c r="N34" s="9"/>
      <c r="O34" s="9"/>
      <c r="P34" s="9"/>
      <c r="Q34" s="9"/>
      <c r="R34" s="9"/>
      <c r="S34" s="261"/>
      <c r="T34" s="261"/>
      <c r="U34" s="261"/>
      <c r="V34" s="261"/>
      <c r="W34" s="261"/>
      <c r="X34" s="261"/>
      <c r="Y34" s="261"/>
      <c r="Z34" s="261"/>
    </row>
    <row r="35" spans="1:26" hidden="1" outlineLevel="1">
      <c r="A35" s="9"/>
      <c r="B35" s="280" t="str">
        <f>Asset3</f>
        <v>Protection and Control</v>
      </c>
      <c r="C35" s="267"/>
      <c r="D35" s="12"/>
      <c r="E35" s="269"/>
      <c r="F35" s="268"/>
      <c r="G35" s="264"/>
      <c r="H35" s="268"/>
      <c r="I35" s="268"/>
      <c r="J35" s="273"/>
      <c r="K35" s="268"/>
      <c r="L35" s="114"/>
      <c r="M35" s="9"/>
      <c r="N35" s="9"/>
      <c r="O35" s="9"/>
      <c r="P35" s="9"/>
      <c r="Q35" s="9"/>
      <c r="R35" s="9"/>
      <c r="S35" s="261"/>
      <c r="T35" s="261"/>
      <c r="U35" s="261"/>
      <c r="V35" s="261"/>
      <c r="W35" s="261"/>
      <c r="X35" s="261"/>
      <c r="Y35" s="261"/>
      <c r="Z35" s="261"/>
    </row>
    <row r="36" spans="1:26" ht="12.75" hidden="1" customHeight="1" outlineLevel="1">
      <c r="A36" s="9"/>
      <c r="B36" s="9"/>
      <c r="C36" s="396" t="s">
        <v>26</v>
      </c>
      <c r="D36" s="397"/>
      <c r="E36" s="338">
        <f ca="1">(A3value-'Actual RAB roll forward'!G632)-SUM('Actual RAB roll forward'!H102:OFFSET('Actual RAB roll forward'!H102,0,Input!$W$7-1))</f>
        <v>20.81541569469416</v>
      </c>
      <c r="F36" s="268">
        <f>IF(A3remlife="N/A","n/a",A3remlife-Input!$W$7)</f>
        <v>3.5850508862110857</v>
      </c>
      <c r="G36" s="264"/>
      <c r="H36" s="306" t="s">
        <v>65</v>
      </c>
      <c r="I36" s="307"/>
      <c r="J36" s="268">
        <f ca="1">A3taxvalue-SUM('Tax value roll forward'!H98:OFFSET('Tax value roll forward'!H98,0,Input!$W$7-1))</f>
        <v>20.036861179962859</v>
      </c>
      <c r="K36" s="268">
        <f>IF(A3taxremlife="N/A","n/a",A3taxremlife-Input!$W$7)</f>
        <v>3.7748316813933567</v>
      </c>
      <c r="L36" s="114"/>
      <c r="M36" s="9"/>
      <c r="N36" s="9"/>
      <c r="O36" s="9"/>
      <c r="P36" s="9"/>
      <c r="Q36" s="9"/>
      <c r="R36" s="9"/>
      <c r="S36" s="261"/>
      <c r="T36" s="261"/>
      <c r="U36" s="261"/>
      <c r="V36" s="261"/>
      <c r="W36" s="261"/>
      <c r="X36" s="261"/>
      <c r="Y36" s="261"/>
      <c r="Z36" s="261"/>
    </row>
    <row r="37" spans="1:26" hidden="1" outlineLevel="1">
      <c r="A37" s="9"/>
      <c r="B37" s="9"/>
      <c r="C37" s="393" t="s">
        <v>81</v>
      </c>
      <c r="D37" s="91">
        <v>1</v>
      </c>
      <c r="E37" s="268">
        <f ca="1">OFFSET('Actual RAB roll forward'!H$46,0,D37-1)-SUM('Actual RAB roll forward'!H104:OFFSET('Actual RAB roll forward'!H104,0,Input!$W$7-1))</f>
        <v>0</v>
      </c>
      <c r="F37" s="268">
        <f ca="1">IF(A3stdlife="N/A","n/a",IF(E37=0,0,A3stdlife+D37-Input!$W$7))</f>
        <v>0</v>
      </c>
      <c r="G37" s="264"/>
      <c r="H37" s="393" t="s">
        <v>81</v>
      </c>
      <c r="I37" s="91">
        <v>1</v>
      </c>
      <c r="J37" s="268">
        <f ca="1">OFFSET('Tax value roll forward'!H$42,0,I37-1)-SUM('Tax value roll forward'!H100:OFFSET('Tax value roll forward'!H100,0,Input!$W$7-1))</f>
        <v>0</v>
      </c>
      <c r="K37" s="268">
        <f ca="1">IF(A3taxstdlife="N/A","n/a",IF(J37=0,0,A3taxstdlife+I37-Input!$W$7))</f>
        <v>0</v>
      </c>
      <c r="L37" s="114"/>
      <c r="M37" s="9"/>
      <c r="N37" s="9"/>
      <c r="O37" s="9"/>
      <c r="P37" s="9"/>
      <c r="Q37" s="9"/>
      <c r="R37" s="9"/>
      <c r="S37" s="261"/>
      <c r="T37" s="261"/>
      <c r="U37" s="261"/>
      <c r="V37" s="261"/>
      <c r="W37" s="261"/>
      <c r="X37" s="261"/>
      <c r="Y37" s="261"/>
      <c r="Z37" s="261"/>
    </row>
    <row r="38" spans="1:26" hidden="1" outlineLevel="1">
      <c r="A38" s="9"/>
      <c r="B38" s="9"/>
      <c r="C38" s="394"/>
      <c r="D38" s="91">
        <v>2</v>
      </c>
      <c r="E38" s="268">
        <f ca="1">OFFSET('Actual RAB roll forward'!H$46,0,D38-1)-SUM('Actual RAB roll forward'!H105:OFFSET('Actual RAB roll forward'!H105,0,Input!$W$7-1))</f>
        <v>-3.5165264979845179E-2</v>
      </c>
      <c r="F38" s="268">
        <f ca="1">IF(A3stdlife="N/A","n/a",IF(E38=0,0,A3stdlife+D38-Input!$W$7))</f>
        <v>12</v>
      </c>
      <c r="G38" s="264"/>
      <c r="H38" s="394"/>
      <c r="I38" s="91">
        <v>2</v>
      </c>
      <c r="J38" s="268">
        <f ca="1">OFFSET('Tax value roll forward'!H$42,0,I38-1)-SUM('Tax value roll forward'!H101:OFFSET('Tax value roll forward'!H101,0,Input!$W$7-1))</f>
        <v>-3.5200000000000009E-2</v>
      </c>
      <c r="K38" s="268">
        <f ca="1">IF(A3taxstdlife="N/A","n/a",IF(J38=0,0,A3taxstdlife+I38-Input!$W$7))</f>
        <v>12</v>
      </c>
      <c r="L38" s="114"/>
      <c r="M38" s="9"/>
      <c r="N38" s="9"/>
      <c r="O38" s="9"/>
      <c r="P38" s="9"/>
      <c r="Q38" s="9"/>
      <c r="R38" s="9"/>
      <c r="S38" s="261"/>
      <c r="T38" s="261"/>
      <c r="U38" s="261"/>
      <c r="V38" s="261"/>
      <c r="W38" s="261"/>
      <c r="X38" s="261"/>
      <c r="Y38" s="261"/>
      <c r="Z38" s="261"/>
    </row>
    <row r="39" spans="1:26" hidden="1" outlineLevel="1">
      <c r="A39" s="9"/>
      <c r="B39" s="9"/>
      <c r="C39" s="394"/>
      <c r="D39" s="91">
        <v>3</v>
      </c>
      <c r="E39" s="268">
        <f ca="1">OFFSET('Actual RAB roll forward'!H$46,0,D39-1)-SUM('Actual RAB roll forward'!H106:OFFSET('Actual RAB roll forward'!H106,0,Input!$W$7-1))</f>
        <v>0</v>
      </c>
      <c r="F39" s="268">
        <f ca="1">IF(A3stdlife="N/A","n/a",IF(E39=0,0,A3stdlife+D39-Input!$W$7))</f>
        <v>0</v>
      </c>
      <c r="G39" s="264"/>
      <c r="H39" s="394"/>
      <c r="I39" s="91">
        <v>3</v>
      </c>
      <c r="J39" s="268">
        <f ca="1">OFFSET('Tax value roll forward'!H$42,0,I39-1)-SUM('Tax value roll forward'!H102:OFFSET('Tax value roll forward'!H102,0,Input!$W$7-1))</f>
        <v>0</v>
      </c>
      <c r="K39" s="268">
        <f ca="1">IF(A3taxstdlife="N/A","n/a",IF(J39=0,0,A3taxstdlife+I39-Input!$W$7))</f>
        <v>0</v>
      </c>
      <c r="L39" s="114"/>
      <c r="M39" s="9"/>
      <c r="N39" s="9"/>
      <c r="O39" s="9"/>
      <c r="P39" s="9"/>
      <c r="Q39" s="9"/>
      <c r="R39" s="9"/>
      <c r="S39" s="261"/>
      <c r="T39" s="261"/>
      <c r="U39" s="261"/>
      <c r="V39" s="261"/>
      <c r="W39" s="261"/>
      <c r="X39" s="261"/>
      <c r="Y39" s="261"/>
      <c r="Z39" s="261"/>
    </row>
    <row r="40" spans="1:26" hidden="1" outlineLevel="1">
      <c r="A40" s="9"/>
      <c r="B40" s="9"/>
      <c r="C40" s="394"/>
      <c r="D40" s="91">
        <v>4</v>
      </c>
      <c r="E40" s="268">
        <f ca="1">OFFSET('Actual RAB roll forward'!H$46,0,D40-1)-SUM('Actual RAB roll forward'!H107:OFFSET('Actual RAB roll forward'!H107,0,Input!$W$7-1))</f>
        <v>0</v>
      </c>
      <c r="F40" s="268">
        <f ca="1">IF(A3stdlife="N/A","n/a",IF(E40=0,0,A3stdlife+D40-Input!$W$7))</f>
        <v>0</v>
      </c>
      <c r="G40" s="264"/>
      <c r="H40" s="394"/>
      <c r="I40" s="91">
        <v>4</v>
      </c>
      <c r="J40" s="268">
        <f ca="1">OFFSET('Tax value roll forward'!H$42,0,I40-1)-SUM('Tax value roll forward'!H103:OFFSET('Tax value roll forward'!H103,0,Input!$W$7-1))</f>
        <v>0</v>
      </c>
      <c r="K40" s="268">
        <f ca="1">IF(A3taxstdlife="N/A","n/a",IF(J40=0,0,A3taxstdlife+I40-Input!$W$7))</f>
        <v>0</v>
      </c>
      <c r="L40" s="114"/>
      <c r="M40" s="9"/>
      <c r="N40" s="9"/>
      <c r="O40" s="9"/>
      <c r="P40" s="9"/>
      <c r="Q40" s="9"/>
      <c r="R40" s="9"/>
      <c r="S40" s="261"/>
      <c r="T40" s="261"/>
      <c r="U40" s="261"/>
      <c r="V40" s="261"/>
      <c r="W40" s="261"/>
      <c r="X40" s="261"/>
      <c r="Y40" s="261"/>
      <c r="Z40" s="261"/>
    </row>
    <row r="41" spans="1:26" hidden="1" outlineLevel="1">
      <c r="A41" s="9"/>
      <c r="B41" s="9"/>
      <c r="C41" s="394"/>
      <c r="D41" s="91">
        <v>5</v>
      </c>
      <c r="E41" s="268">
        <f ca="1">OFFSET('Actual RAB roll forward'!H$46,0,D41-1)-SUM('Actual RAB roll forward'!H108:OFFSET('Actual RAB roll forward'!H108,0,Input!$W$7-1))</f>
        <v>0</v>
      </c>
      <c r="F41" s="268">
        <f ca="1">IF(A3stdlife="N/A","n/a",IF(E41=0,0,A3stdlife+D41-Input!$W$7))</f>
        <v>0</v>
      </c>
      <c r="G41" s="264"/>
      <c r="H41" s="394"/>
      <c r="I41" s="91">
        <v>5</v>
      </c>
      <c r="J41" s="268">
        <f ca="1">OFFSET('Tax value roll forward'!H$42,0,I41-1)-SUM('Tax value roll forward'!H104:OFFSET('Tax value roll forward'!H104,0,Input!$W$7-1))</f>
        <v>0</v>
      </c>
      <c r="K41" s="268">
        <f ca="1">IF(A3taxstdlife="N/A","n/a",IF(J41=0,0,A3taxstdlife+I41-Input!$W$7))</f>
        <v>0</v>
      </c>
      <c r="L41" s="114"/>
      <c r="M41" s="9"/>
      <c r="N41" s="9"/>
      <c r="O41" s="9"/>
      <c r="P41" s="9"/>
      <c r="Q41" s="9"/>
      <c r="R41" s="9"/>
      <c r="S41" s="261"/>
      <c r="T41" s="261"/>
      <c r="U41" s="261"/>
      <c r="V41" s="261"/>
      <c r="W41" s="261"/>
      <c r="X41" s="261"/>
      <c r="Y41" s="261"/>
      <c r="Z41" s="261"/>
    </row>
    <row r="42" spans="1:26" hidden="1" outlineLevel="1">
      <c r="A42" s="9"/>
      <c r="B42" s="9"/>
      <c r="C42" s="394"/>
      <c r="D42" s="91">
        <v>6</v>
      </c>
      <c r="E42" s="268">
        <f ca="1">OFFSET('Actual RAB roll forward'!H$46,0,D42-1)-SUM('Actual RAB roll forward'!H109:OFFSET('Actual RAB roll forward'!H109,0,Input!$W$7-1))</f>
        <v>0</v>
      </c>
      <c r="F42" s="268">
        <f ca="1">IF(A3stdlife="N/A","n/a",IF(E42=0,0,A3stdlife+D42-Input!$W$7))</f>
        <v>0</v>
      </c>
      <c r="G42" s="264"/>
      <c r="H42" s="394"/>
      <c r="I42" s="91">
        <v>6</v>
      </c>
      <c r="J42" s="268">
        <f ca="1">OFFSET('Tax value roll forward'!H$42,0,I42-1)-SUM('Tax value roll forward'!H105:OFFSET('Tax value roll forward'!H105,0,Input!$W$7-1))</f>
        <v>0</v>
      </c>
      <c r="K42" s="268">
        <f ca="1">IF(A3taxstdlife="N/A","n/a",IF(J42=0,0,A3taxstdlife+I42-Input!$W$7))</f>
        <v>0</v>
      </c>
      <c r="L42" s="114"/>
      <c r="M42" s="9"/>
      <c r="N42" s="9"/>
      <c r="O42" s="9"/>
      <c r="P42" s="9"/>
      <c r="Q42" s="9"/>
      <c r="R42" s="9"/>
      <c r="S42" s="261"/>
      <c r="T42" s="261"/>
      <c r="U42" s="261"/>
      <c r="V42" s="261"/>
      <c r="W42" s="261"/>
      <c r="X42" s="261"/>
      <c r="Y42" s="261"/>
      <c r="Z42" s="261"/>
    </row>
    <row r="43" spans="1:26" hidden="1" outlineLevel="1">
      <c r="A43" s="9"/>
      <c r="B43" s="9"/>
      <c r="C43" s="394"/>
      <c r="D43" s="91">
        <v>7</v>
      </c>
      <c r="E43" s="268">
        <f ca="1">OFFSET('Actual RAB roll forward'!H$46,0,D43-1)-SUM('Actual RAB roll forward'!H110:OFFSET('Actual RAB roll forward'!H110,0,Input!$W$7-1))</f>
        <v>0</v>
      </c>
      <c r="F43" s="268">
        <f ca="1">IF(A3stdlife="N/A","n/a",IF(E43=0,0,A3stdlife+D43-Input!$W$7))</f>
        <v>0</v>
      </c>
      <c r="G43" s="264"/>
      <c r="H43" s="394"/>
      <c r="I43" s="91">
        <v>7</v>
      </c>
      <c r="J43" s="268">
        <f ca="1">OFFSET('Tax value roll forward'!H$42,0,I43-1)-SUM('Tax value roll forward'!H106:OFFSET('Tax value roll forward'!H106,0,Input!$W$7-1))</f>
        <v>0</v>
      </c>
      <c r="K43" s="268">
        <f ca="1">IF(A3taxstdlife="N/A","n/a",IF(J43=0,0,A3taxstdlife+I43-Input!$W$7))</f>
        <v>0</v>
      </c>
      <c r="L43" s="114"/>
      <c r="M43" s="9"/>
      <c r="N43" s="9"/>
      <c r="O43" s="9"/>
      <c r="P43" s="9"/>
      <c r="Q43" s="9"/>
      <c r="R43" s="9"/>
      <c r="S43" s="261"/>
      <c r="T43" s="261"/>
      <c r="U43" s="261"/>
      <c r="V43" s="261"/>
      <c r="W43" s="261"/>
      <c r="X43" s="261"/>
      <c r="Y43" s="261"/>
      <c r="Z43" s="261"/>
    </row>
    <row r="44" spans="1:26" hidden="1" outlineLevel="1">
      <c r="A44" s="9"/>
      <c r="B44" s="9"/>
      <c r="C44" s="394"/>
      <c r="D44" s="91">
        <v>8</v>
      </c>
      <c r="E44" s="268">
        <f ca="1">OFFSET('Actual RAB roll forward'!H$46,0,D44-1)-SUM('Actual RAB roll forward'!H111:OFFSET('Actual RAB roll forward'!H111,0,Input!$W$7-1))</f>
        <v>0</v>
      </c>
      <c r="F44" s="268">
        <f ca="1">IF(A3stdlife="N/A","n/a",IF(E44=0,0,A3stdlife+D44-Input!$W$7))</f>
        <v>0</v>
      </c>
      <c r="G44" s="264"/>
      <c r="H44" s="394"/>
      <c r="I44" s="91">
        <v>8</v>
      </c>
      <c r="J44" s="268">
        <f ca="1">OFFSET('Tax value roll forward'!H$42,0,I44-1)-SUM('Tax value roll forward'!H107:OFFSET('Tax value roll forward'!H107,0,Input!$W$7-1))</f>
        <v>0</v>
      </c>
      <c r="K44" s="268">
        <f ca="1">IF(A3taxstdlife="N/A","n/a",IF(J44=0,0,A3taxstdlife+I44-Input!$W$7))</f>
        <v>0</v>
      </c>
      <c r="L44" s="114"/>
      <c r="M44" s="9"/>
      <c r="N44" s="9"/>
      <c r="O44" s="9"/>
      <c r="P44" s="9"/>
      <c r="Q44" s="9"/>
      <c r="R44" s="9"/>
      <c r="S44" s="261"/>
      <c r="T44" s="261"/>
      <c r="U44" s="261"/>
      <c r="V44" s="261"/>
      <c r="W44" s="261"/>
      <c r="X44" s="261"/>
      <c r="Y44" s="261"/>
      <c r="Z44" s="261"/>
    </row>
    <row r="45" spans="1:26" hidden="1" outlineLevel="1">
      <c r="A45" s="9"/>
      <c r="B45" s="9"/>
      <c r="C45" s="394"/>
      <c r="D45" s="91">
        <v>9</v>
      </c>
      <c r="E45" s="268">
        <f ca="1">OFFSET('Actual RAB roll forward'!H$46,0,D45-1)-SUM('Actual RAB roll forward'!H112:OFFSET('Actual RAB roll forward'!H112,0,Input!$W$7-1))</f>
        <v>0</v>
      </c>
      <c r="F45" s="268">
        <f ca="1">IF(A3stdlife="N/A","n/a",IF(E45=0,0,A3stdlife+D45-Input!$W$7))</f>
        <v>0</v>
      </c>
      <c r="G45" s="264"/>
      <c r="H45" s="394"/>
      <c r="I45" s="91">
        <v>9</v>
      </c>
      <c r="J45" s="268">
        <f ca="1">OFFSET('Tax value roll forward'!H$42,0,I45-1)-SUM('Tax value roll forward'!H108:OFFSET('Tax value roll forward'!H108,0,Input!$W$7-1))</f>
        <v>0</v>
      </c>
      <c r="K45" s="268">
        <f ca="1">IF(A3taxstdlife="N/A","n/a",IF(J45=0,0,A3taxstdlife+I45-Input!$W$7))</f>
        <v>0</v>
      </c>
      <c r="L45" s="114"/>
      <c r="M45" s="9"/>
      <c r="N45" s="9"/>
      <c r="O45" s="9"/>
      <c r="P45" s="9"/>
      <c r="Q45" s="9"/>
      <c r="R45" s="9"/>
      <c r="S45" s="261"/>
      <c r="T45" s="261"/>
      <c r="U45" s="261"/>
      <c r="V45" s="261"/>
      <c r="W45" s="261"/>
      <c r="X45" s="261"/>
      <c r="Y45" s="261"/>
      <c r="Z45" s="261"/>
    </row>
    <row r="46" spans="1:26" hidden="1" outlineLevel="1">
      <c r="A46" s="9"/>
      <c r="B46" s="9"/>
      <c r="C46" s="395"/>
      <c r="D46" s="92">
        <v>10</v>
      </c>
      <c r="E46" s="268">
        <f ca="1">OFFSET('Actual RAB roll forward'!H$46,0,D46-1)-SUM('Actual RAB roll forward'!H113:OFFSET('Actual RAB roll forward'!H113,0,Input!$W$7-1))</f>
        <v>0</v>
      </c>
      <c r="F46" s="268">
        <f ca="1">IF(A3stdlife="N/A","n/a",IF(E46=0,0,A3stdlife+D46-Input!$W$7))</f>
        <v>0</v>
      </c>
      <c r="G46" s="264"/>
      <c r="H46" s="395"/>
      <c r="I46" s="92">
        <v>10</v>
      </c>
      <c r="J46" s="268">
        <f ca="1">OFFSET('Tax value roll forward'!H$42,0,I46-1)-SUM('Tax value roll forward'!H109:OFFSET('Tax value roll forward'!H109,0,Input!$W$7-1))</f>
        <v>0</v>
      </c>
      <c r="K46" s="268">
        <f ca="1">IF(A3taxstdlife="N/A","n/a",IF(J46=0,0,A3taxstdlife+I46-Input!$W$7))</f>
        <v>0</v>
      </c>
      <c r="L46" s="114"/>
      <c r="M46" s="9"/>
      <c r="N46" s="9"/>
      <c r="O46" s="9"/>
      <c r="P46" s="9"/>
      <c r="Q46" s="9"/>
      <c r="R46" s="9"/>
      <c r="S46" s="261"/>
      <c r="T46" s="261"/>
      <c r="U46" s="261"/>
      <c r="V46" s="261"/>
      <c r="W46" s="261"/>
      <c r="X46" s="261"/>
      <c r="Y46" s="261"/>
      <c r="Z46" s="261"/>
    </row>
    <row r="47" spans="1:26" collapsed="1">
      <c r="A47" s="9"/>
      <c r="B47" s="9"/>
      <c r="C47" s="114" t="str">
        <f>Asset3</f>
        <v>Protection and Control</v>
      </c>
      <c r="D47" s="9"/>
      <c r="E47" s="268">
        <f ca="1">SUM(E36:E46)</f>
        <v>20.780250429714314</v>
      </c>
      <c r="F47" s="268">
        <f ca="1">IF(E47=0,0,SUMPRODUCT(E36:E46,F36:F46)/E47)</f>
        <v>3.570810734660498</v>
      </c>
      <c r="G47" s="264"/>
      <c r="H47" s="43"/>
      <c r="I47" s="268"/>
      <c r="J47" s="268">
        <f ca="1">SUM(J36:J46)</f>
        <v>20.001661179962859</v>
      </c>
      <c r="K47" s="268">
        <f ca="1">IF(J47=0,0,SUMPRODUCT(J36:J46,K36:K46)/J47)</f>
        <v>3.7603565874394107</v>
      </c>
      <c r="L47" s="114"/>
      <c r="M47" s="9"/>
      <c r="N47" s="9"/>
      <c r="O47" s="9"/>
      <c r="P47" s="9"/>
      <c r="Q47" s="9"/>
      <c r="R47" s="9"/>
      <c r="S47" s="261"/>
      <c r="T47" s="261"/>
      <c r="U47" s="261"/>
      <c r="V47" s="261"/>
      <c r="W47" s="261"/>
      <c r="X47" s="261"/>
      <c r="Y47" s="261"/>
      <c r="Z47" s="261"/>
    </row>
    <row r="48" spans="1:26" hidden="1" outlineLevel="1">
      <c r="A48" s="9"/>
      <c r="B48" s="9"/>
      <c r="C48" s="114"/>
      <c r="D48" s="9"/>
      <c r="E48" s="268"/>
      <c r="F48" s="268"/>
      <c r="G48" s="264"/>
      <c r="H48" s="268"/>
      <c r="I48" s="268"/>
      <c r="J48" s="273"/>
      <c r="K48" s="268"/>
      <c r="L48" s="114"/>
      <c r="M48" s="9"/>
      <c r="N48" s="9"/>
      <c r="O48" s="9"/>
      <c r="P48" s="9"/>
      <c r="Q48" s="9"/>
      <c r="R48" s="9"/>
      <c r="S48" s="261"/>
      <c r="T48" s="261"/>
      <c r="U48" s="261"/>
      <c r="V48" s="261"/>
      <c r="W48" s="261"/>
      <c r="X48" s="261"/>
      <c r="Y48" s="261"/>
      <c r="Z48" s="261"/>
    </row>
    <row r="49" spans="1:26" hidden="1" outlineLevel="1">
      <c r="A49" s="9"/>
      <c r="B49" s="280" t="str">
        <f>Asset4</f>
        <v>Refurbishment</v>
      </c>
      <c r="C49" s="9"/>
      <c r="D49" s="9"/>
      <c r="E49" s="268"/>
      <c r="F49" s="268"/>
      <c r="G49" s="264"/>
      <c r="H49" s="268"/>
      <c r="I49" s="268"/>
      <c r="J49" s="273"/>
      <c r="K49" s="268"/>
      <c r="L49" s="114"/>
      <c r="M49" s="9"/>
      <c r="N49" s="9"/>
      <c r="O49" s="9"/>
      <c r="P49" s="9"/>
      <c r="Q49" s="9"/>
      <c r="R49" s="9"/>
      <c r="S49" s="261"/>
      <c r="T49" s="261"/>
      <c r="U49" s="261"/>
      <c r="V49" s="261"/>
      <c r="W49" s="261"/>
      <c r="X49" s="261"/>
      <c r="Y49" s="261"/>
      <c r="Z49" s="261"/>
    </row>
    <row r="50" spans="1:26" ht="12.75" hidden="1" customHeight="1" outlineLevel="1">
      <c r="A50" s="9"/>
      <c r="B50" s="9"/>
      <c r="C50" s="398" t="s">
        <v>26</v>
      </c>
      <c r="D50" s="399"/>
      <c r="E50" s="338">
        <f ca="1">(A4value-'Actual RAB roll forward'!G633)-SUM('Actual RAB roll forward'!H115:OFFSET('Actual RAB roll forward'!H115,0,Input!$W$7-1))</f>
        <v>11.350495453762161</v>
      </c>
      <c r="F50" s="268">
        <f>IF(A4remlife="N/A","n/a",A4remlife-Input!$W$7)</f>
        <v>5.0158497122468741</v>
      </c>
      <c r="G50" s="264"/>
      <c r="H50" s="306" t="s">
        <v>65</v>
      </c>
      <c r="I50" s="307"/>
      <c r="J50" s="268">
        <f ca="1">A4taxvalue-SUM('Tax value roll forward'!H111:OFFSET('Tax value roll forward'!H111,0,Input!$W$7-1))</f>
        <v>11.273189290079017</v>
      </c>
      <c r="K50" s="268">
        <f>IF(A4taxremlife="N/A","n/a",A4taxremlife-Input!$W$7)</f>
        <v>5.0430504383288532</v>
      </c>
      <c r="L50" s="114"/>
      <c r="M50" s="9"/>
      <c r="N50" s="9"/>
      <c r="O50" s="9"/>
      <c r="P50" s="9"/>
      <c r="Q50" s="9"/>
      <c r="R50" s="9"/>
      <c r="S50" s="261"/>
      <c r="T50" s="261"/>
      <c r="U50" s="261"/>
      <c r="V50" s="261"/>
      <c r="W50" s="261"/>
      <c r="X50" s="261"/>
      <c r="Y50" s="261"/>
      <c r="Z50" s="261"/>
    </row>
    <row r="51" spans="1:26" hidden="1" outlineLevel="1">
      <c r="A51" s="9"/>
      <c r="B51" s="9"/>
      <c r="C51" s="393" t="s">
        <v>81</v>
      </c>
      <c r="D51" s="91">
        <v>1</v>
      </c>
      <c r="E51" s="268">
        <f ca="1">OFFSET('Actual RAB roll forward'!H$47,0,D51-1)-SUM('Actual RAB roll forward'!H117:OFFSET('Actual RAB roll forward'!H117,0,Input!$W$7-1))</f>
        <v>0</v>
      </c>
      <c r="F51" s="332">
        <f ca="1">IF(A4stdlife="N/A","n/a",IF(E51=0,0,A4stdlife+D51-Input!$W$7))</f>
        <v>0</v>
      </c>
      <c r="G51" s="264"/>
      <c r="H51" s="393" t="s">
        <v>81</v>
      </c>
      <c r="I51" s="91">
        <v>1</v>
      </c>
      <c r="J51" s="268">
        <f ca="1">OFFSET('Tax value roll forward'!H$43,0,I51-1)-SUM('Tax value roll forward'!H113:OFFSET('Tax value roll forward'!H113,0,Input!$W$7-1))</f>
        <v>0</v>
      </c>
      <c r="K51" s="268">
        <f ca="1">IF(A4taxstdlife="N/A","n/a",IF(J51=0,0,A4taxstdlife+I51-Input!$W$7))</f>
        <v>0</v>
      </c>
      <c r="L51" s="114"/>
      <c r="M51" s="9"/>
      <c r="N51" s="9"/>
      <c r="O51" s="9"/>
      <c r="P51" s="9"/>
      <c r="Q51" s="9"/>
      <c r="R51" s="9"/>
      <c r="S51" s="261"/>
      <c r="T51" s="261"/>
      <c r="U51" s="261"/>
      <c r="V51" s="261"/>
      <c r="W51" s="261"/>
      <c r="X51" s="261"/>
      <c r="Y51" s="261"/>
      <c r="Z51" s="261"/>
    </row>
    <row r="52" spans="1:26" hidden="1" outlineLevel="1">
      <c r="A52" s="9"/>
      <c r="B52" s="9"/>
      <c r="C52" s="394"/>
      <c r="D52" s="91">
        <v>2</v>
      </c>
      <c r="E52" s="268">
        <f ca="1">OFFSET('Actual RAB roll forward'!H$47,0,D52-1)-SUM('Actual RAB roll forward'!H118:OFFSET('Actual RAB roll forward'!H118,0,Input!$W$7-1))</f>
        <v>0</v>
      </c>
      <c r="F52" s="332">
        <f ca="1">IF(A4stdlife="N/A","n/a",IF(E52=0,0,A4stdlife+D52-Input!$W$7))</f>
        <v>0</v>
      </c>
      <c r="G52" s="264"/>
      <c r="H52" s="394"/>
      <c r="I52" s="91">
        <v>2</v>
      </c>
      <c r="J52" s="268">
        <f ca="1">OFFSET('Tax value roll forward'!H$43,0,I52-1)-SUM('Tax value roll forward'!H114:OFFSET('Tax value roll forward'!H114,0,Input!$W$7-1))</f>
        <v>0</v>
      </c>
      <c r="K52" s="268">
        <f ca="1">IF(A4taxstdlife="N/A","n/a",IF(J52=0,0,A4taxstdlife+I52-Input!$W$7))</f>
        <v>0</v>
      </c>
      <c r="L52" s="114"/>
      <c r="M52" s="9"/>
      <c r="N52" s="9"/>
      <c r="O52" s="9"/>
      <c r="P52" s="9"/>
      <c r="Q52" s="9"/>
      <c r="R52" s="9"/>
      <c r="S52" s="261"/>
      <c r="T52" s="261"/>
      <c r="U52" s="261"/>
      <c r="V52" s="261"/>
      <c r="W52" s="261"/>
      <c r="X52" s="261"/>
      <c r="Y52" s="261"/>
      <c r="Z52" s="261"/>
    </row>
    <row r="53" spans="1:26" hidden="1" outlineLevel="1">
      <c r="A53" s="9"/>
      <c r="B53" s="9"/>
      <c r="C53" s="394"/>
      <c r="D53" s="91">
        <v>3</v>
      </c>
      <c r="E53" s="268">
        <f ca="1">OFFSET('Actual RAB roll forward'!H$47,0,D53-1)-SUM('Actual RAB roll forward'!H119:OFFSET('Actual RAB roll forward'!H119,0,Input!$W$7-1))</f>
        <v>0</v>
      </c>
      <c r="F53" s="333">
        <f ca="1">IF(A4stdlife="N/A","n/a",IF(E53=0,0,A4stdlife+D53-Input!$W$7))</f>
        <v>0</v>
      </c>
      <c r="G53" s="264"/>
      <c r="H53" s="394"/>
      <c r="I53" s="91">
        <v>3</v>
      </c>
      <c r="J53" s="268">
        <f ca="1">OFFSET('Tax value roll forward'!H$43,0,I53-1)-SUM('Tax value roll forward'!H115:OFFSET('Tax value roll forward'!H115,0,Input!$W$7-1))</f>
        <v>0</v>
      </c>
      <c r="K53" s="268">
        <f ca="1">IF(A4taxstdlife="N/A","n/a",IF(J53=0,0,A4taxstdlife+I53-Input!$W$7))</f>
        <v>0</v>
      </c>
      <c r="L53" s="114"/>
      <c r="M53" s="9"/>
      <c r="N53" s="9"/>
      <c r="O53" s="9"/>
      <c r="P53" s="9"/>
      <c r="Q53" s="9"/>
      <c r="R53" s="9"/>
      <c r="S53" s="261"/>
      <c r="T53" s="261"/>
      <c r="U53" s="261"/>
      <c r="V53" s="261"/>
      <c r="W53" s="261"/>
      <c r="X53" s="261"/>
      <c r="Y53" s="261"/>
      <c r="Z53" s="261"/>
    </row>
    <row r="54" spans="1:26" hidden="1" outlineLevel="1">
      <c r="A54" s="9"/>
      <c r="B54" s="9"/>
      <c r="C54" s="394"/>
      <c r="D54" s="91">
        <v>4</v>
      </c>
      <c r="E54" s="268">
        <f ca="1">OFFSET('Actual RAB roll forward'!H$47,0,D54-1)-SUM('Actual RAB roll forward'!H120:OFFSET('Actual RAB roll forward'!H120,0,Input!$W$7-1))</f>
        <v>0</v>
      </c>
      <c r="F54" s="332">
        <f ca="1">IF(A4stdlife="N/A","n/a",IF(E54=0,0,A4stdlife+D54-Input!$W$7))</f>
        <v>0</v>
      </c>
      <c r="G54" s="264"/>
      <c r="H54" s="394"/>
      <c r="I54" s="91">
        <v>4</v>
      </c>
      <c r="J54" s="268">
        <f ca="1">OFFSET('Tax value roll forward'!H$43,0,I54-1)-SUM('Tax value roll forward'!H116:OFFSET('Tax value roll forward'!H116,0,Input!$W$7-1))</f>
        <v>0</v>
      </c>
      <c r="K54" s="268">
        <f ca="1">IF(A4taxstdlife="N/A","n/a",IF(J54=0,0,A4taxstdlife+I54-Input!$W$7))</f>
        <v>0</v>
      </c>
      <c r="L54" s="114"/>
      <c r="M54" s="9"/>
      <c r="N54" s="9"/>
      <c r="O54" s="9"/>
      <c r="P54" s="9"/>
      <c r="Q54" s="9"/>
      <c r="R54" s="9"/>
      <c r="S54" s="261"/>
      <c r="T54" s="261"/>
      <c r="U54" s="261"/>
      <c r="V54" s="261"/>
      <c r="W54" s="261"/>
      <c r="X54" s="261"/>
      <c r="Y54" s="261"/>
      <c r="Z54" s="261"/>
    </row>
    <row r="55" spans="1:26" hidden="1" outlineLevel="1">
      <c r="A55" s="9"/>
      <c r="B55" s="9"/>
      <c r="C55" s="394"/>
      <c r="D55" s="91">
        <v>5</v>
      </c>
      <c r="E55" s="268">
        <f ca="1">OFFSET('Actual RAB roll forward'!H$47,0,D55-1)-SUM('Actual RAB roll forward'!H121:OFFSET('Actual RAB roll forward'!H121,0,Input!$W$7-1))</f>
        <v>0</v>
      </c>
      <c r="F55" s="332">
        <f ca="1">IF(A4stdlife="N/A","n/a",IF(E55=0,0,A4stdlife+D55-Input!$W$7))</f>
        <v>0</v>
      </c>
      <c r="G55" s="264"/>
      <c r="H55" s="394"/>
      <c r="I55" s="91">
        <v>5</v>
      </c>
      <c r="J55" s="268">
        <f ca="1">OFFSET('Tax value roll forward'!H$43,0,I55-1)-SUM('Tax value roll forward'!H117:OFFSET('Tax value roll forward'!H117,0,Input!$W$7-1))</f>
        <v>0</v>
      </c>
      <c r="K55" s="268">
        <f ca="1">IF(A4taxstdlife="N/A","n/a",IF(J55=0,0,A4taxstdlife+I55-Input!$W$7))</f>
        <v>0</v>
      </c>
      <c r="L55" s="114"/>
      <c r="M55" s="9"/>
      <c r="N55" s="9"/>
      <c r="O55" s="9"/>
      <c r="P55" s="9"/>
      <c r="Q55" s="9"/>
      <c r="R55" s="9"/>
      <c r="S55" s="261"/>
      <c r="T55" s="261"/>
      <c r="U55" s="261"/>
      <c r="V55" s="261"/>
      <c r="W55" s="261"/>
      <c r="X55" s="261"/>
      <c r="Y55" s="261"/>
      <c r="Z55" s="261"/>
    </row>
    <row r="56" spans="1:26" hidden="1" outlineLevel="1">
      <c r="A56" s="9"/>
      <c r="B56" s="9"/>
      <c r="C56" s="394"/>
      <c r="D56" s="91">
        <v>6</v>
      </c>
      <c r="E56" s="268">
        <f ca="1">OFFSET('Actual RAB roll forward'!H$47,0,D56-1)-SUM('Actual RAB roll forward'!H122:OFFSET('Actual RAB roll forward'!H122,0,Input!$W$7-1))</f>
        <v>0</v>
      </c>
      <c r="F56" s="332">
        <f ca="1">IF(A4stdlife="N/A","n/a",IF(E56=0,0,A4stdlife+D56-Input!$W$7))</f>
        <v>0</v>
      </c>
      <c r="G56" s="264"/>
      <c r="H56" s="394"/>
      <c r="I56" s="91">
        <v>6</v>
      </c>
      <c r="J56" s="268">
        <f ca="1">OFFSET('Tax value roll forward'!H$43,0,I56-1)-SUM('Tax value roll forward'!H118:OFFSET('Tax value roll forward'!H118,0,Input!$W$7-1))</f>
        <v>0</v>
      </c>
      <c r="K56" s="268">
        <f ca="1">IF(A4taxstdlife="N/A","n/a",IF(J56=0,0,A4taxstdlife+I56-Input!$W$7))</f>
        <v>0</v>
      </c>
      <c r="L56" s="114"/>
      <c r="M56" s="9"/>
      <c r="N56" s="9"/>
      <c r="O56" s="9"/>
      <c r="P56" s="9"/>
      <c r="Q56" s="9"/>
      <c r="R56" s="9"/>
      <c r="S56" s="261"/>
      <c r="T56" s="261"/>
      <c r="U56" s="261"/>
      <c r="V56" s="261"/>
      <c r="W56" s="261"/>
      <c r="X56" s="261"/>
      <c r="Y56" s="261"/>
      <c r="Z56" s="261"/>
    </row>
    <row r="57" spans="1:26" hidden="1" outlineLevel="1">
      <c r="A57" s="9"/>
      <c r="B57" s="9"/>
      <c r="C57" s="394"/>
      <c r="D57" s="91">
        <v>7</v>
      </c>
      <c r="E57" s="268">
        <f ca="1">OFFSET('Actual RAB roll forward'!H$47,0,D57-1)-SUM('Actual RAB roll forward'!H123:OFFSET('Actual RAB roll forward'!H123,0,Input!$W$7-1))</f>
        <v>0</v>
      </c>
      <c r="F57" s="332">
        <f ca="1">IF(A4stdlife="N/A","n/a",IF(E57=0,0,A4stdlife+D57-Input!$W$7))</f>
        <v>0</v>
      </c>
      <c r="G57" s="264"/>
      <c r="H57" s="394"/>
      <c r="I57" s="91">
        <v>7</v>
      </c>
      <c r="J57" s="268">
        <f ca="1">OFFSET('Tax value roll forward'!H$43,0,I57-1)-SUM('Tax value roll forward'!H119:OFFSET('Tax value roll forward'!H119,0,Input!$W$7-1))</f>
        <v>0</v>
      </c>
      <c r="K57" s="268">
        <f ca="1">IF(A4taxstdlife="N/A","n/a",IF(J57=0,0,A4taxstdlife+I57-Input!$W$7))</f>
        <v>0</v>
      </c>
      <c r="L57" s="114"/>
      <c r="M57" s="9"/>
      <c r="N57" s="9"/>
      <c r="O57" s="9"/>
      <c r="P57" s="9"/>
      <c r="Q57" s="9"/>
      <c r="R57" s="9"/>
      <c r="S57" s="261"/>
      <c r="T57" s="261"/>
      <c r="U57" s="261"/>
      <c r="V57" s="261"/>
      <c r="W57" s="261"/>
      <c r="X57" s="261"/>
      <c r="Y57" s="261"/>
      <c r="Z57" s="261"/>
    </row>
    <row r="58" spans="1:26" hidden="1" outlineLevel="1">
      <c r="A58" s="9"/>
      <c r="B58" s="9"/>
      <c r="C58" s="394"/>
      <c r="D58" s="91">
        <v>8</v>
      </c>
      <c r="E58" s="268">
        <f ca="1">OFFSET('Actual RAB roll forward'!H$47,0,D58-1)-SUM('Actual RAB roll forward'!H124:OFFSET('Actual RAB roll forward'!H124,0,Input!$W$7-1))</f>
        <v>0</v>
      </c>
      <c r="F58" s="332">
        <f ca="1">IF(A4stdlife="N/A","n/a",IF(E58=0,0,A4stdlife+D58-Input!$W$7))</f>
        <v>0</v>
      </c>
      <c r="G58" s="264"/>
      <c r="H58" s="394"/>
      <c r="I58" s="91">
        <v>8</v>
      </c>
      <c r="J58" s="268">
        <f ca="1">OFFSET('Tax value roll forward'!H$43,0,I58-1)-SUM('Tax value roll forward'!H120:OFFSET('Tax value roll forward'!H120,0,Input!$W$7-1))</f>
        <v>0</v>
      </c>
      <c r="K58" s="268">
        <f ca="1">IF(A4taxstdlife="N/A","n/a",IF(J58=0,0,A4taxstdlife+I58-Input!$W$7))</f>
        <v>0</v>
      </c>
      <c r="L58" s="114"/>
      <c r="M58" s="9"/>
      <c r="N58" s="9"/>
      <c r="O58" s="9"/>
      <c r="P58" s="9"/>
      <c r="Q58" s="9"/>
      <c r="R58" s="9"/>
      <c r="S58" s="261"/>
      <c r="T58" s="261"/>
      <c r="U58" s="261"/>
      <c r="V58" s="261"/>
      <c r="W58" s="261"/>
      <c r="X58" s="261"/>
      <c r="Y58" s="261"/>
      <c r="Z58" s="261"/>
    </row>
    <row r="59" spans="1:26" hidden="1" outlineLevel="1">
      <c r="A59" s="9"/>
      <c r="B59" s="9"/>
      <c r="C59" s="394"/>
      <c r="D59" s="91">
        <v>9</v>
      </c>
      <c r="E59" s="268">
        <f ca="1">OFFSET('Actual RAB roll forward'!H$47,0,D59-1)-SUM('Actual RAB roll forward'!H125:OFFSET('Actual RAB roll forward'!H125,0,Input!$W$7-1))</f>
        <v>0</v>
      </c>
      <c r="F59" s="332">
        <f ca="1">IF(A4stdlife="N/A","n/a",IF(E59=0,0,A4stdlife+D59-Input!$W$7))</f>
        <v>0</v>
      </c>
      <c r="G59" s="264"/>
      <c r="H59" s="394"/>
      <c r="I59" s="91">
        <v>9</v>
      </c>
      <c r="J59" s="268">
        <f ca="1">OFFSET('Tax value roll forward'!H$43,0,I59-1)-SUM('Tax value roll forward'!H121:OFFSET('Tax value roll forward'!H121,0,Input!$W$7-1))</f>
        <v>0</v>
      </c>
      <c r="K59" s="268">
        <f ca="1">IF(A4taxstdlife="N/A","n/a",IF(J59=0,0,A4taxstdlife+I59-Input!$W$7))</f>
        <v>0</v>
      </c>
      <c r="L59" s="114"/>
      <c r="M59" s="9"/>
      <c r="N59" s="9"/>
      <c r="O59" s="9"/>
      <c r="P59" s="9"/>
      <c r="Q59" s="9"/>
      <c r="R59" s="9"/>
      <c r="S59" s="261"/>
      <c r="T59" s="261"/>
      <c r="U59" s="261"/>
      <c r="V59" s="261"/>
      <c r="W59" s="261"/>
      <c r="X59" s="261"/>
      <c r="Y59" s="261"/>
      <c r="Z59" s="261"/>
    </row>
    <row r="60" spans="1:26" hidden="1" outlineLevel="1">
      <c r="A60" s="9"/>
      <c r="B60" s="9"/>
      <c r="C60" s="395"/>
      <c r="D60" s="92">
        <v>10</v>
      </c>
      <c r="E60" s="268">
        <f ca="1">OFFSET('Actual RAB roll forward'!H$47,0,D60-1)-SUM('Actual RAB roll forward'!H126:OFFSET('Actual RAB roll forward'!H126,0,Input!$W$7-1))</f>
        <v>0</v>
      </c>
      <c r="F60" s="332">
        <f ca="1">IF(A4stdlife="N/A","n/a",IF(E60=0,0,A4stdlife+D60-Input!$W$7))</f>
        <v>0</v>
      </c>
      <c r="G60" s="264"/>
      <c r="H60" s="395"/>
      <c r="I60" s="92">
        <v>10</v>
      </c>
      <c r="J60" s="268">
        <f ca="1">OFFSET('Tax value roll forward'!H$43,0,I60-1)-SUM('Tax value roll forward'!H122:OFFSET('Tax value roll forward'!H122,0,Input!$W$7-1))</f>
        <v>0</v>
      </c>
      <c r="K60" s="268">
        <f ca="1">IF(A4taxstdlife="N/A","n/a",IF(J60=0,0,A4taxstdlife+I60-Input!$W$7))</f>
        <v>0</v>
      </c>
      <c r="L60" s="114"/>
      <c r="M60" s="9"/>
      <c r="N60" s="9"/>
      <c r="O60" s="9"/>
      <c r="P60" s="9"/>
      <c r="Q60" s="9"/>
      <c r="R60" s="9"/>
      <c r="S60" s="261"/>
      <c r="T60" s="261"/>
      <c r="U60" s="261"/>
      <c r="V60" s="261"/>
      <c r="W60" s="261"/>
      <c r="X60" s="261"/>
      <c r="Y60" s="261"/>
      <c r="Z60" s="261"/>
    </row>
    <row r="61" spans="1:26" collapsed="1">
      <c r="A61" s="9"/>
      <c r="B61" s="9"/>
      <c r="C61" s="282" t="str">
        <f>Asset4</f>
        <v>Refurbishment</v>
      </c>
      <c r="D61" s="9"/>
      <c r="E61" s="268">
        <f ca="1">SUM(E50:E60)</f>
        <v>11.350495453762161</v>
      </c>
      <c r="F61" s="268">
        <f ca="1">IF(E61=0,0,SUMPRODUCT(E50:E60,F50:F60)/E61)</f>
        <v>5.0158497122468741</v>
      </c>
      <c r="G61" s="264"/>
      <c r="H61" s="43"/>
      <c r="I61" s="268"/>
      <c r="J61" s="268">
        <f ca="1">SUM(J50:J60)</f>
        <v>11.273189290079017</v>
      </c>
      <c r="K61" s="268">
        <f ca="1">IF(J61=0,0,SUMPRODUCT(J50:J60,K50:K60)/J61)</f>
        <v>5.0430504383288532</v>
      </c>
      <c r="L61" s="114"/>
      <c r="M61" s="9"/>
      <c r="N61" s="9"/>
      <c r="O61" s="9"/>
      <c r="P61" s="9"/>
      <c r="Q61" s="9"/>
      <c r="R61" s="9"/>
      <c r="S61" s="261"/>
      <c r="T61" s="261"/>
      <c r="U61" s="261"/>
      <c r="V61" s="261"/>
      <c r="W61" s="261"/>
      <c r="X61" s="261"/>
      <c r="Y61" s="261"/>
      <c r="Z61" s="261"/>
    </row>
    <row r="62" spans="1:26" hidden="1" outlineLevel="1">
      <c r="A62" s="9"/>
      <c r="B62" s="9"/>
      <c r="C62" s="282"/>
      <c r="D62" s="9"/>
      <c r="E62" s="268"/>
      <c r="F62" s="268"/>
      <c r="G62" s="264"/>
      <c r="H62" s="268"/>
      <c r="I62" s="268"/>
      <c r="J62" s="273"/>
      <c r="K62" s="268"/>
      <c r="L62" s="114"/>
      <c r="M62" s="9"/>
      <c r="N62" s="9"/>
      <c r="O62" s="9"/>
      <c r="P62" s="9"/>
      <c r="Q62" s="9"/>
      <c r="R62" s="9"/>
      <c r="S62" s="261"/>
      <c r="T62" s="261"/>
      <c r="U62" s="261"/>
      <c r="V62" s="261"/>
      <c r="W62" s="261"/>
      <c r="X62" s="261"/>
      <c r="Y62" s="261"/>
      <c r="Z62" s="261"/>
    </row>
    <row r="63" spans="1:26" hidden="1" outlineLevel="1">
      <c r="A63" s="9"/>
      <c r="B63" s="280" t="str">
        <f>Asset5</f>
        <v>Other</v>
      </c>
      <c r="C63" s="9"/>
      <c r="D63" s="9"/>
      <c r="E63" s="268"/>
      <c r="F63" s="268"/>
      <c r="G63" s="264"/>
      <c r="H63" s="268"/>
      <c r="I63" s="268"/>
      <c r="J63" s="273"/>
      <c r="K63" s="268"/>
      <c r="L63" s="114"/>
      <c r="M63" s="9"/>
      <c r="N63" s="9"/>
      <c r="O63" s="9"/>
      <c r="P63" s="9"/>
      <c r="Q63" s="9"/>
      <c r="R63" s="9"/>
      <c r="S63" s="261"/>
      <c r="T63" s="261"/>
      <c r="U63" s="261"/>
      <c r="V63" s="261"/>
      <c r="W63" s="261"/>
      <c r="X63" s="261"/>
      <c r="Y63" s="261"/>
      <c r="Z63" s="261"/>
    </row>
    <row r="64" spans="1:26" ht="12.75" hidden="1" customHeight="1" outlineLevel="1">
      <c r="A64" s="9"/>
      <c r="B64" s="9"/>
      <c r="C64" s="398" t="s">
        <v>26</v>
      </c>
      <c r="D64" s="399"/>
      <c r="E64" s="338">
        <f ca="1">(A5value-'Actual RAB roll forward'!G634)-SUM('Actual RAB roll forward'!H128:OFFSET('Actual RAB roll forward'!H128,0,Input!$W$7-1))</f>
        <v>0.51499774543934507</v>
      </c>
      <c r="F64" s="268">
        <f>IF(A5remlife="N/A","n/a",A5remlife-Input!$W$7)</f>
        <v>0.27293845468381228</v>
      </c>
      <c r="G64" s="264"/>
      <c r="H64" s="306" t="s">
        <v>65</v>
      </c>
      <c r="I64" s="307"/>
      <c r="J64" s="268">
        <f ca="1">A5taxvalue-SUM('Tax value roll forward'!H124:OFFSET('Tax value roll forward'!H124,0,Input!$W$7-1))</f>
        <v>0.42313108520285159</v>
      </c>
      <c r="K64" s="268">
        <f>IF(A5taxremlife="N/A","n/a",A5taxremlife-Input!$W$7)</f>
        <v>0.27059100980185669</v>
      </c>
      <c r="L64" s="114"/>
      <c r="M64" s="9"/>
      <c r="N64" s="9"/>
      <c r="O64" s="9"/>
      <c r="P64" s="9"/>
      <c r="Q64" s="9"/>
      <c r="R64" s="9"/>
      <c r="S64" s="261"/>
      <c r="T64" s="261"/>
      <c r="U64" s="261"/>
      <c r="V64" s="261"/>
      <c r="W64" s="261"/>
      <c r="X64" s="261"/>
      <c r="Y64" s="261"/>
      <c r="Z64" s="261"/>
    </row>
    <row r="65" spans="1:26" hidden="1" outlineLevel="1">
      <c r="A65" s="9"/>
      <c r="B65" s="9"/>
      <c r="C65" s="393" t="s">
        <v>81</v>
      </c>
      <c r="D65" s="91">
        <v>1</v>
      </c>
      <c r="E65" s="268">
        <f ca="1">OFFSET('Actual RAB roll forward'!H$48,0,D65-1)-SUM('Actual RAB roll forward'!H130:OFFSET('Actual RAB roll forward'!H130,0,Input!$W$7-1))</f>
        <v>0</v>
      </c>
      <c r="F65" s="268" t="str">
        <f>IF(A5stdlife="N/A","n/a",IF(E65=0,0,A5stdlife+D65-Input!$W$7))</f>
        <v>n/a</v>
      </c>
      <c r="G65" s="264"/>
      <c r="H65" s="393" t="s">
        <v>81</v>
      </c>
      <c r="I65" s="91">
        <v>1</v>
      </c>
      <c r="J65" s="268">
        <f ca="1">OFFSET('Tax value roll forward'!H$44,0,I65-1)-SUM('Tax value roll forward'!H126:OFFSET('Tax value roll forward'!H126,0,Input!$W$7-1))</f>
        <v>0</v>
      </c>
      <c r="K65" s="268" t="str">
        <f>IF(A5taxstdlife="N/A","n/a",IF(J65=0,0,A5taxstdlife+I65-Input!$W$7))</f>
        <v>n/a</v>
      </c>
      <c r="L65" s="114"/>
      <c r="M65" s="9"/>
      <c r="N65" s="9"/>
      <c r="O65" s="9"/>
      <c r="P65" s="9"/>
      <c r="Q65" s="9"/>
      <c r="R65" s="9"/>
      <c r="S65" s="261"/>
      <c r="T65" s="261"/>
      <c r="U65" s="261"/>
      <c r="V65" s="261"/>
      <c r="W65" s="261"/>
      <c r="X65" s="261"/>
      <c r="Y65" s="261"/>
      <c r="Z65" s="261"/>
    </row>
    <row r="66" spans="1:26" hidden="1" outlineLevel="1">
      <c r="A66" s="9"/>
      <c r="B66" s="9"/>
      <c r="C66" s="394"/>
      <c r="D66" s="91">
        <v>2</v>
      </c>
      <c r="E66" s="268">
        <f ca="1">OFFSET('Actual RAB roll forward'!H$48,0,D66-1)-SUM('Actual RAB roll forward'!H131:OFFSET('Actual RAB roll forward'!H131,0,Input!$W$7-1))</f>
        <v>0</v>
      </c>
      <c r="F66" s="268" t="str">
        <f>IF(A5stdlife="N/A","n/a",IF(E66=0,0,A5stdlife+D66-Input!$W$7))</f>
        <v>n/a</v>
      </c>
      <c r="G66" s="264"/>
      <c r="H66" s="394"/>
      <c r="I66" s="91">
        <v>2</v>
      </c>
      <c r="J66" s="268">
        <f ca="1">OFFSET('Tax value roll forward'!H$44,0,I66-1)-SUM('Tax value roll forward'!H127:OFFSET('Tax value roll forward'!H127,0,Input!$W$7-1))</f>
        <v>0</v>
      </c>
      <c r="K66" s="268" t="str">
        <f>IF(A5taxstdlife="N/A","n/a",IF(J66=0,0,A5taxstdlife+I66-Input!$W$7))</f>
        <v>n/a</v>
      </c>
      <c r="L66" s="114"/>
      <c r="M66" s="9"/>
      <c r="N66" s="9"/>
      <c r="O66" s="9"/>
      <c r="P66" s="9"/>
      <c r="Q66" s="9"/>
      <c r="R66" s="9"/>
      <c r="S66" s="261"/>
      <c r="T66" s="261"/>
      <c r="U66" s="261"/>
      <c r="V66" s="261"/>
      <c r="W66" s="261"/>
      <c r="X66" s="261"/>
      <c r="Y66" s="261"/>
      <c r="Z66" s="261"/>
    </row>
    <row r="67" spans="1:26" hidden="1" outlineLevel="1">
      <c r="A67" s="9"/>
      <c r="B67" s="9"/>
      <c r="C67" s="394"/>
      <c r="D67" s="91">
        <v>3</v>
      </c>
      <c r="E67" s="268">
        <f ca="1">OFFSET('Actual RAB roll forward'!H$48,0,D67-1)-SUM('Actual RAB roll forward'!H132:OFFSET('Actual RAB roll forward'!H132,0,Input!$W$7-1))</f>
        <v>0</v>
      </c>
      <c r="F67" s="268" t="str">
        <f>IF(A5stdlife="N/A","n/a",IF(E67=0,0,A5stdlife+D67-Input!$W$7))</f>
        <v>n/a</v>
      </c>
      <c r="G67" s="264"/>
      <c r="H67" s="394"/>
      <c r="I67" s="91">
        <v>3</v>
      </c>
      <c r="J67" s="268">
        <f ca="1">OFFSET('Tax value roll forward'!H$44,0,I67-1)-SUM('Tax value roll forward'!H128:OFFSET('Tax value roll forward'!H128,0,Input!$W$7-1))</f>
        <v>0</v>
      </c>
      <c r="K67" s="268" t="str">
        <f>IF(A5taxstdlife="N/A","n/a",IF(J67=0,0,A5taxstdlife+I67-Input!$W$7))</f>
        <v>n/a</v>
      </c>
      <c r="L67" s="114"/>
      <c r="M67" s="9"/>
      <c r="N67" s="9"/>
      <c r="O67" s="9"/>
      <c r="P67" s="9"/>
      <c r="Q67" s="9"/>
      <c r="R67" s="9"/>
      <c r="S67" s="261"/>
      <c r="T67" s="261"/>
      <c r="U67" s="261"/>
      <c r="V67" s="261"/>
      <c r="W67" s="261"/>
      <c r="X67" s="261"/>
      <c r="Y67" s="261"/>
      <c r="Z67" s="261"/>
    </row>
    <row r="68" spans="1:26" hidden="1" outlineLevel="1">
      <c r="A68" s="9"/>
      <c r="B68" s="9"/>
      <c r="C68" s="394"/>
      <c r="D68" s="91">
        <v>4</v>
      </c>
      <c r="E68" s="268">
        <f ca="1">OFFSET('Actual RAB roll forward'!H$48,0,D68-1)-SUM('Actual RAB roll forward'!H133:OFFSET('Actual RAB roll forward'!H133,0,Input!$W$7-1))</f>
        <v>0</v>
      </c>
      <c r="F68" s="268" t="str">
        <f>IF(A5stdlife="N/A","n/a",IF(E68=0,0,A5stdlife+D68-Input!$W$7))</f>
        <v>n/a</v>
      </c>
      <c r="G68" s="264"/>
      <c r="H68" s="394"/>
      <c r="I68" s="91">
        <v>4</v>
      </c>
      <c r="J68" s="268">
        <f ca="1">OFFSET('Tax value roll forward'!H$44,0,I68-1)-SUM('Tax value roll forward'!H129:OFFSET('Tax value roll forward'!H129,0,Input!$W$7-1))</f>
        <v>0</v>
      </c>
      <c r="K68" s="268" t="str">
        <f>IF(A5taxstdlife="N/A","n/a",IF(J68=0,0,A5taxstdlife+I68-Input!$W$7))</f>
        <v>n/a</v>
      </c>
      <c r="L68" s="114"/>
      <c r="M68" s="9"/>
      <c r="N68" s="9"/>
      <c r="O68" s="9"/>
      <c r="P68" s="9"/>
      <c r="Q68" s="9"/>
      <c r="R68" s="9"/>
      <c r="S68" s="261"/>
      <c r="T68" s="261"/>
      <c r="U68" s="261"/>
      <c r="V68" s="261"/>
      <c r="W68" s="261"/>
      <c r="X68" s="261"/>
      <c r="Y68" s="261"/>
      <c r="Z68" s="261"/>
    </row>
    <row r="69" spans="1:26" hidden="1" outlineLevel="1">
      <c r="A69" s="9"/>
      <c r="B69" s="9"/>
      <c r="C69" s="394"/>
      <c r="D69" s="91">
        <v>5</v>
      </c>
      <c r="E69" s="268">
        <f ca="1">OFFSET('Actual RAB roll forward'!H$48,0,D69-1)-SUM('Actual RAB roll forward'!H134:OFFSET('Actual RAB roll forward'!H134,0,Input!$W$7-1))</f>
        <v>0</v>
      </c>
      <c r="F69" s="268" t="str">
        <f>IF(A5stdlife="N/A","n/a",IF(E69=0,0,A5stdlife+D69-Input!$W$7))</f>
        <v>n/a</v>
      </c>
      <c r="G69" s="264"/>
      <c r="H69" s="394"/>
      <c r="I69" s="91">
        <v>5</v>
      </c>
      <c r="J69" s="268">
        <f ca="1">OFFSET('Tax value roll forward'!H$44,0,I69-1)-SUM('Tax value roll forward'!H130:OFFSET('Tax value roll forward'!H130,0,Input!$W$7-1))</f>
        <v>0</v>
      </c>
      <c r="K69" s="268" t="str">
        <f>IF(A5taxstdlife="N/A","n/a",IF(J69=0,0,A5taxstdlife+I69-Input!$W$7))</f>
        <v>n/a</v>
      </c>
      <c r="L69" s="114"/>
      <c r="M69" s="9"/>
      <c r="N69" s="9"/>
      <c r="O69" s="9"/>
      <c r="P69" s="9"/>
      <c r="Q69" s="9"/>
      <c r="R69" s="9"/>
      <c r="S69" s="261"/>
      <c r="T69" s="261"/>
      <c r="U69" s="261"/>
      <c r="V69" s="261"/>
      <c r="W69" s="261"/>
      <c r="X69" s="261"/>
      <c r="Y69" s="261"/>
      <c r="Z69" s="261"/>
    </row>
    <row r="70" spans="1:26" hidden="1" outlineLevel="1">
      <c r="A70" s="9"/>
      <c r="B70" s="9"/>
      <c r="C70" s="394"/>
      <c r="D70" s="91">
        <v>6</v>
      </c>
      <c r="E70" s="268">
        <f ca="1">OFFSET('Actual RAB roll forward'!H$48,0,D70-1)-SUM('Actual RAB roll forward'!H135:OFFSET('Actual RAB roll forward'!H135,0,Input!$W$7-1))</f>
        <v>0</v>
      </c>
      <c r="F70" s="268" t="str">
        <f>IF(A5stdlife="N/A","n/a",IF(E70=0,0,A5stdlife+D70-Input!$W$7))</f>
        <v>n/a</v>
      </c>
      <c r="G70" s="264"/>
      <c r="H70" s="394"/>
      <c r="I70" s="91">
        <v>6</v>
      </c>
      <c r="J70" s="268">
        <f ca="1">OFFSET('Tax value roll forward'!H$44,0,I70-1)-SUM('Tax value roll forward'!H131:OFFSET('Tax value roll forward'!H131,0,Input!$W$7-1))</f>
        <v>0</v>
      </c>
      <c r="K70" s="268" t="str">
        <f>IF(A5taxstdlife="N/A","n/a",IF(J70=0,0,A5taxstdlife+I70-Input!$W$7))</f>
        <v>n/a</v>
      </c>
      <c r="L70" s="114"/>
      <c r="M70" s="9"/>
      <c r="N70" s="9"/>
      <c r="O70" s="9"/>
      <c r="P70" s="9"/>
      <c r="Q70" s="9"/>
      <c r="R70" s="9"/>
      <c r="S70" s="261"/>
      <c r="T70" s="261"/>
      <c r="U70" s="261"/>
      <c r="V70" s="261"/>
      <c r="W70" s="261"/>
      <c r="X70" s="261"/>
      <c r="Y70" s="261"/>
      <c r="Z70" s="261"/>
    </row>
    <row r="71" spans="1:26" hidden="1" outlineLevel="1">
      <c r="A71" s="9"/>
      <c r="B71" s="9"/>
      <c r="C71" s="394"/>
      <c r="D71" s="91">
        <v>7</v>
      </c>
      <c r="E71" s="268">
        <f ca="1">OFFSET('Actual RAB roll forward'!H$48,0,D71-1)-SUM('Actual RAB roll forward'!H136:OFFSET('Actual RAB roll forward'!H136,0,Input!$W$7-1))</f>
        <v>0</v>
      </c>
      <c r="F71" s="268" t="str">
        <f>IF(A5stdlife="N/A","n/a",IF(E71=0,0,A5stdlife+D71-Input!$W$7))</f>
        <v>n/a</v>
      </c>
      <c r="G71" s="264"/>
      <c r="H71" s="394"/>
      <c r="I71" s="91">
        <v>7</v>
      </c>
      <c r="J71" s="268">
        <f ca="1">OFFSET('Tax value roll forward'!H$44,0,I71-1)-SUM('Tax value roll forward'!H132:OFFSET('Tax value roll forward'!H132,0,Input!$W$7-1))</f>
        <v>0</v>
      </c>
      <c r="K71" s="268" t="str">
        <f>IF(A5taxstdlife="N/A","n/a",IF(J71=0,0,A5taxstdlife+I71-Input!$W$7))</f>
        <v>n/a</v>
      </c>
      <c r="L71" s="114"/>
      <c r="M71" s="9"/>
      <c r="N71" s="9"/>
      <c r="O71" s="9"/>
      <c r="P71" s="9"/>
      <c r="Q71" s="9"/>
      <c r="R71" s="9"/>
      <c r="S71" s="261"/>
      <c r="T71" s="261"/>
      <c r="U71" s="261"/>
      <c r="V71" s="261"/>
      <c r="W71" s="261"/>
      <c r="X71" s="261"/>
      <c r="Y71" s="261"/>
      <c r="Z71" s="261"/>
    </row>
    <row r="72" spans="1:26" hidden="1" outlineLevel="1">
      <c r="A72" s="9"/>
      <c r="B72" s="9"/>
      <c r="C72" s="394"/>
      <c r="D72" s="91">
        <v>8</v>
      </c>
      <c r="E72" s="268">
        <f ca="1">OFFSET('Actual RAB roll forward'!H$48,0,D72-1)-SUM('Actual RAB roll forward'!H137:OFFSET('Actual RAB roll forward'!H137,0,Input!$W$7-1))</f>
        <v>0</v>
      </c>
      <c r="F72" s="268" t="str">
        <f>IF(A5stdlife="N/A","n/a",IF(E72=0,0,A5stdlife+D72-Input!$W$7))</f>
        <v>n/a</v>
      </c>
      <c r="G72" s="264"/>
      <c r="H72" s="394"/>
      <c r="I72" s="91">
        <v>8</v>
      </c>
      <c r="J72" s="268">
        <f ca="1">OFFSET('Tax value roll forward'!H$44,0,I72-1)-SUM('Tax value roll forward'!H133:OFFSET('Tax value roll forward'!H133,0,Input!$W$7-1))</f>
        <v>0</v>
      </c>
      <c r="K72" s="268" t="str">
        <f>IF(A5taxstdlife="N/A","n/a",IF(J72=0,0,A5taxstdlife+I72-Input!$W$7))</f>
        <v>n/a</v>
      </c>
      <c r="L72" s="114"/>
      <c r="M72" s="9"/>
      <c r="N72" s="9"/>
      <c r="O72" s="9"/>
      <c r="P72" s="9"/>
      <c r="Q72" s="9"/>
      <c r="R72" s="9"/>
      <c r="S72" s="261"/>
      <c r="T72" s="261"/>
      <c r="U72" s="261"/>
      <c r="V72" s="261"/>
      <c r="W72" s="261"/>
      <c r="X72" s="261"/>
      <c r="Y72" s="261"/>
      <c r="Z72" s="261"/>
    </row>
    <row r="73" spans="1:26" hidden="1" outlineLevel="1">
      <c r="A73" s="9"/>
      <c r="B73" s="9"/>
      <c r="C73" s="394"/>
      <c r="D73" s="91">
        <v>9</v>
      </c>
      <c r="E73" s="268">
        <f ca="1">OFFSET('Actual RAB roll forward'!H$48,0,D73-1)-SUM('Actual RAB roll forward'!H138:OFFSET('Actual RAB roll forward'!H138,0,Input!$W$7-1))</f>
        <v>0</v>
      </c>
      <c r="F73" s="268" t="str">
        <f>IF(A5stdlife="N/A","n/a",IF(E73=0,0,A5stdlife+D73-Input!$W$7))</f>
        <v>n/a</v>
      </c>
      <c r="G73" s="264"/>
      <c r="H73" s="394"/>
      <c r="I73" s="91">
        <v>9</v>
      </c>
      <c r="J73" s="268">
        <f ca="1">OFFSET('Tax value roll forward'!H$44,0,I73-1)-SUM('Tax value roll forward'!H134:OFFSET('Tax value roll forward'!H134,0,Input!$W$7-1))</f>
        <v>0</v>
      </c>
      <c r="K73" s="268" t="str">
        <f>IF(A5taxstdlife="N/A","n/a",IF(J73=0,0,A5taxstdlife+I73-Input!$W$7))</f>
        <v>n/a</v>
      </c>
      <c r="L73" s="114"/>
      <c r="M73" s="9"/>
      <c r="N73" s="9"/>
      <c r="O73" s="9"/>
      <c r="P73" s="9"/>
      <c r="Q73" s="9"/>
      <c r="R73" s="9"/>
      <c r="S73" s="261"/>
      <c r="T73" s="261"/>
      <c r="U73" s="261"/>
      <c r="V73" s="261"/>
      <c r="W73" s="261"/>
      <c r="X73" s="261"/>
      <c r="Y73" s="261"/>
      <c r="Z73" s="261"/>
    </row>
    <row r="74" spans="1:26" hidden="1" outlineLevel="1">
      <c r="A74" s="9"/>
      <c r="B74" s="9"/>
      <c r="C74" s="395"/>
      <c r="D74" s="92">
        <v>10</v>
      </c>
      <c r="E74" s="268">
        <f ca="1">OFFSET('Actual RAB roll forward'!H$48,0,D74-1)-SUM('Actual RAB roll forward'!H139:OFFSET('Actual RAB roll forward'!H139,0,Input!$W$7-1))</f>
        <v>0</v>
      </c>
      <c r="F74" s="268" t="str">
        <f>IF(A5stdlife="N/A","n/a",IF(E74=0,0,A5stdlife+D74-Input!$W$7))</f>
        <v>n/a</v>
      </c>
      <c r="G74" s="264"/>
      <c r="H74" s="395"/>
      <c r="I74" s="92">
        <v>10</v>
      </c>
      <c r="J74" s="268">
        <f ca="1">OFFSET('Tax value roll forward'!H$44,0,I74-1)-SUM('Tax value roll forward'!H135:OFFSET('Tax value roll forward'!H135,0,Input!$W$7-1))</f>
        <v>0</v>
      </c>
      <c r="K74" s="268" t="str">
        <f>IF(A5taxstdlife="N/A","n/a",IF(J74=0,0,A5taxstdlife+I74-Input!$W$7))</f>
        <v>n/a</v>
      </c>
      <c r="L74" s="114"/>
      <c r="M74" s="9"/>
      <c r="N74" s="9"/>
      <c r="O74" s="9"/>
      <c r="P74" s="9"/>
      <c r="Q74" s="9"/>
      <c r="R74" s="9"/>
      <c r="S74" s="261"/>
      <c r="T74" s="261"/>
      <c r="U74" s="261"/>
      <c r="V74" s="261"/>
      <c r="W74" s="261"/>
      <c r="X74" s="261"/>
      <c r="Y74" s="261"/>
      <c r="Z74" s="261"/>
    </row>
    <row r="75" spans="1:26" collapsed="1">
      <c r="A75" s="9"/>
      <c r="B75" s="9"/>
      <c r="C75" s="282" t="str">
        <f>Asset5</f>
        <v>Other</v>
      </c>
      <c r="D75" s="9"/>
      <c r="E75" s="268">
        <f ca="1">SUM(E64:E74)</f>
        <v>0.51499774543934507</v>
      </c>
      <c r="F75" s="268">
        <f ca="1">IF(E75=0,0,SUMPRODUCT(E64:E74,F64:F74)/E75)</f>
        <v>0.27293845468381228</v>
      </c>
      <c r="G75" s="264"/>
      <c r="H75" s="43"/>
      <c r="I75" s="268"/>
      <c r="J75" s="268">
        <f ca="1">SUM(J64:J74)</f>
        <v>0.42313108520285159</v>
      </c>
      <c r="K75" s="268">
        <f ca="1">IF(J75=0,0,SUMPRODUCT(J64:J74,K64:K74)/J75)</f>
        <v>0.27059100980185669</v>
      </c>
      <c r="L75" s="114"/>
      <c r="M75" s="9"/>
      <c r="N75" s="9"/>
      <c r="O75" s="9"/>
      <c r="P75" s="9"/>
      <c r="Q75" s="9"/>
      <c r="R75" s="9"/>
      <c r="S75" s="261"/>
      <c r="T75" s="261"/>
      <c r="U75" s="261"/>
      <c r="V75" s="261"/>
      <c r="W75" s="261"/>
      <c r="X75" s="261"/>
      <c r="Y75" s="261"/>
      <c r="Z75" s="261"/>
    </row>
    <row r="76" spans="1:26" hidden="1" outlineLevel="1">
      <c r="A76" s="9"/>
      <c r="B76" s="9"/>
      <c r="C76" s="282"/>
      <c r="D76" s="9"/>
      <c r="E76" s="268"/>
      <c r="F76" s="268"/>
      <c r="G76" s="264"/>
      <c r="H76" s="268"/>
      <c r="I76" s="268"/>
      <c r="J76" s="273"/>
      <c r="K76" s="268"/>
      <c r="L76" s="114"/>
      <c r="M76" s="9"/>
      <c r="N76" s="9"/>
      <c r="O76" s="9"/>
      <c r="P76" s="9"/>
      <c r="Q76" s="9"/>
      <c r="R76" s="9"/>
      <c r="S76" s="261"/>
      <c r="T76" s="261"/>
      <c r="U76" s="261"/>
      <c r="V76" s="261"/>
      <c r="W76" s="261"/>
      <c r="X76" s="261"/>
      <c r="Y76" s="261"/>
      <c r="Z76" s="261"/>
    </row>
    <row r="77" spans="1:26" hidden="1" outlineLevel="1">
      <c r="A77" s="9"/>
      <c r="B77" s="280" t="str">
        <f>Asset6</f>
        <v>Other - IT</v>
      </c>
      <c r="C77" s="9"/>
      <c r="D77" s="9"/>
      <c r="E77" s="268"/>
      <c r="F77" s="268"/>
      <c r="G77" s="264"/>
      <c r="H77" s="268"/>
      <c r="I77" s="268"/>
      <c r="J77" s="273"/>
      <c r="K77" s="268"/>
      <c r="L77" s="114"/>
      <c r="M77" s="9"/>
      <c r="N77" s="9"/>
      <c r="O77" s="9"/>
      <c r="P77" s="9"/>
      <c r="Q77" s="9"/>
      <c r="R77" s="9"/>
      <c r="S77" s="261"/>
      <c r="T77" s="261"/>
      <c r="U77" s="261"/>
      <c r="V77" s="261"/>
      <c r="W77" s="261"/>
      <c r="X77" s="261"/>
      <c r="Y77" s="261"/>
      <c r="Z77" s="261"/>
    </row>
    <row r="78" spans="1:26" ht="12.75" hidden="1" customHeight="1" outlineLevel="1">
      <c r="A78" s="9"/>
      <c r="B78" s="9"/>
      <c r="C78" s="396" t="s">
        <v>26</v>
      </c>
      <c r="D78" s="397"/>
      <c r="E78" s="338">
        <f ca="1">(A6value-'Actual RAB roll forward'!G635)-SUM('Actual RAB roll forward'!H141:OFFSET('Actual RAB roll forward'!H141,0,Input!$W$7-1))</f>
        <v>0</v>
      </c>
      <c r="F78" s="268">
        <f>IF(A6remlife="N/A","n/a",A6remlife-Input!$W$7)</f>
        <v>-3</v>
      </c>
      <c r="G78" s="264"/>
      <c r="H78" s="306" t="s">
        <v>65</v>
      </c>
      <c r="I78" s="307"/>
      <c r="J78" s="268">
        <f ca="1">A6taxvalue-SUM('Tax value roll forward'!H137:OFFSET('Tax value roll forward'!H137,0,Input!$W$7-1))</f>
        <v>0</v>
      </c>
      <c r="K78" s="268">
        <f>IF(A6taxremlife="N/A","n/a",A6taxremlife-Input!$W$7)</f>
        <v>-3</v>
      </c>
      <c r="L78" s="114"/>
      <c r="M78" s="9"/>
      <c r="N78" s="9"/>
      <c r="O78" s="9"/>
      <c r="P78" s="9"/>
      <c r="Q78" s="9"/>
      <c r="R78" s="9"/>
      <c r="S78" s="261"/>
      <c r="T78" s="261"/>
      <c r="U78" s="261"/>
      <c r="V78" s="261"/>
      <c r="W78" s="261"/>
      <c r="X78" s="261"/>
      <c r="Y78" s="261"/>
      <c r="Z78" s="261"/>
    </row>
    <row r="79" spans="1:26" hidden="1" outlineLevel="1">
      <c r="A79" s="9"/>
      <c r="B79" s="9"/>
      <c r="C79" s="393" t="s">
        <v>81</v>
      </c>
      <c r="D79" s="91">
        <v>1</v>
      </c>
      <c r="E79" s="268">
        <f ca="1">OFFSET('Actual RAB roll forward'!H$49,0,D79-1)-SUM('Actual RAB roll forward'!H143:OFFSET('Actual RAB roll forward'!H143,0,Input!$W$7-1))</f>
        <v>0</v>
      </c>
      <c r="F79" s="268">
        <f ca="1">IF(A6stdlife="N/A","n/a",IF(E79=0,0,A6stdlife+D79-Input!$W$7))</f>
        <v>0</v>
      </c>
      <c r="G79" s="264"/>
      <c r="H79" s="393" t="s">
        <v>81</v>
      </c>
      <c r="I79" s="91">
        <v>1</v>
      </c>
      <c r="J79" s="268">
        <f ca="1">OFFSET('Tax value roll forward'!H$45,0,I79-1)-SUM('Tax value roll forward'!H139:OFFSET('Tax value roll forward'!H139,0,Input!$W$7-1))</f>
        <v>0</v>
      </c>
      <c r="K79" s="268">
        <f ca="1">IF(A6taxstdlife="N/A","n/a",IF(J79=0,0,A6taxstdlife+I79-Input!$W$7))</f>
        <v>0</v>
      </c>
      <c r="L79" s="114"/>
      <c r="M79" s="9"/>
      <c r="N79" s="9"/>
      <c r="O79" s="9"/>
      <c r="P79" s="9"/>
      <c r="Q79" s="9"/>
      <c r="R79" s="9"/>
      <c r="S79" s="261"/>
      <c r="T79" s="261"/>
      <c r="U79" s="261"/>
      <c r="V79" s="261"/>
      <c r="W79" s="261"/>
      <c r="X79" s="261"/>
      <c r="Y79" s="261"/>
      <c r="Z79" s="261"/>
    </row>
    <row r="80" spans="1:26" hidden="1" outlineLevel="1">
      <c r="A80" s="9"/>
      <c r="B80" s="9"/>
      <c r="C80" s="394"/>
      <c r="D80" s="91">
        <v>2</v>
      </c>
      <c r="E80" s="268">
        <f ca="1">OFFSET('Actual RAB roll forward'!H$49,0,D80-1)-SUM('Actual RAB roll forward'!H144:OFFSET('Actual RAB roll forward'!H144,0,Input!$W$7-1))</f>
        <v>0</v>
      </c>
      <c r="F80" s="268">
        <f ca="1">IF(A6stdlife="N/A","n/a",IF(E80=0,0,A6stdlife+D80-Input!$W$7))</f>
        <v>0</v>
      </c>
      <c r="G80" s="264"/>
      <c r="H80" s="394"/>
      <c r="I80" s="91">
        <v>2</v>
      </c>
      <c r="J80" s="268">
        <f ca="1">OFFSET('Tax value roll forward'!H$45,0,I80-1)-SUM('Tax value roll forward'!H140:OFFSET('Tax value roll forward'!H140,0,Input!$W$7-1))</f>
        <v>0</v>
      </c>
      <c r="K80" s="268">
        <f ca="1">IF(A6taxstdlife="N/A","n/a",IF(J80=0,0,A6taxstdlife+I80-Input!$W$7))</f>
        <v>0</v>
      </c>
      <c r="L80" s="114"/>
      <c r="M80" s="9"/>
      <c r="N80" s="9"/>
      <c r="O80" s="9"/>
      <c r="P80" s="9"/>
      <c r="Q80" s="9"/>
      <c r="R80" s="9"/>
      <c r="S80" s="261"/>
      <c r="T80" s="261"/>
      <c r="U80" s="261"/>
      <c r="V80" s="261"/>
      <c r="W80" s="261"/>
      <c r="X80" s="261"/>
      <c r="Y80" s="261"/>
      <c r="Z80" s="261"/>
    </row>
    <row r="81" spans="1:26" hidden="1" outlineLevel="1">
      <c r="A81" s="9"/>
      <c r="B81" s="9"/>
      <c r="C81" s="394"/>
      <c r="D81" s="91">
        <v>3</v>
      </c>
      <c r="E81" s="268">
        <f ca="1">OFFSET('Actual RAB roll forward'!H$49,0,D81-1)-SUM('Actual RAB roll forward'!H145:OFFSET('Actual RAB roll forward'!H145,0,Input!$W$7-1))</f>
        <v>0</v>
      </c>
      <c r="F81" s="268">
        <f ca="1">IF(A6stdlife="N/A","n/a",IF(E81=0,0,A6stdlife+D81-Input!$W$7))</f>
        <v>0</v>
      </c>
      <c r="G81" s="264"/>
      <c r="H81" s="394"/>
      <c r="I81" s="91">
        <v>3</v>
      </c>
      <c r="J81" s="268">
        <f ca="1">OFFSET('Tax value roll forward'!H$45,0,I81-1)-SUM('Tax value roll forward'!H141:OFFSET('Tax value roll forward'!H141,0,Input!$W$7-1))</f>
        <v>0</v>
      </c>
      <c r="K81" s="268">
        <f ca="1">IF(A6taxstdlife="N/A","n/a",IF(J81=0,0,A6taxstdlife+I81-Input!$W$7))</f>
        <v>0</v>
      </c>
      <c r="L81" s="114"/>
      <c r="M81" s="9"/>
      <c r="N81" s="9"/>
      <c r="O81" s="9"/>
      <c r="P81" s="9"/>
      <c r="Q81" s="9"/>
      <c r="R81" s="9"/>
      <c r="S81" s="261"/>
      <c r="T81" s="261"/>
      <c r="U81" s="261"/>
      <c r="V81" s="261"/>
      <c r="W81" s="261"/>
      <c r="X81" s="261"/>
      <c r="Y81" s="261"/>
      <c r="Z81" s="261"/>
    </row>
    <row r="82" spans="1:26" hidden="1" outlineLevel="1">
      <c r="A82" s="9"/>
      <c r="B82" s="9"/>
      <c r="C82" s="394"/>
      <c r="D82" s="91">
        <v>4</v>
      </c>
      <c r="E82" s="268">
        <f ca="1">OFFSET('Actual RAB roll forward'!H$49,0,D82-1)-SUM('Actual RAB roll forward'!H146:OFFSET('Actual RAB roll forward'!H146,0,Input!$W$7-1))</f>
        <v>0</v>
      </c>
      <c r="F82" s="268">
        <f ca="1">IF(A6stdlife="N/A","n/a",IF(E82=0,0,A6stdlife+D82-Input!$W$7))</f>
        <v>0</v>
      </c>
      <c r="G82" s="264"/>
      <c r="H82" s="394"/>
      <c r="I82" s="91">
        <v>4</v>
      </c>
      <c r="J82" s="268">
        <f ca="1">OFFSET('Tax value roll forward'!H$45,0,I82-1)-SUM('Tax value roll forward'!H142:OFFSET('Tax value roll forward'!H142,0,Input!$W$7-1))</f>
        <v>0</v>
      </c>
      <c r="K82" s="268">
        <f ca="1">IF(A6taxstdlife="N/A","n/a",IF(J82=0,0,A6taxstdlife+I82-Input!$W$7))</f>
        <v>0</v>
      </c>
      <c r="L82" s="114"/>
      <c r="M82" s="9"/>
      <c r="N82" s="9"/>
      <c r="O82" s="9"/>
      <c r="P82" s="9"/>
      <c r="Q82" s="9"/>
      <c r="R82" s="9"/>
      <c r="S82" s="261"/>
      <c r="T82" s="261"/>
      <c r="U82" s="261"/>
      <c r="V82" s="261"/>
      <c r="W82" s="261"/>
      <c r="X82" s="261"/>
      <c r="Y82" s="261"/>
      <c r="Z82" s="261"/>
    </row>
    <row r="83" spans="1:26" hidden="1" outlineLevel="1">
      <c r="A83" s="9"/>
      <c r="B83" s="9"/>
      <c r="C83" s="394"/>
      <c r="D83" s="91">
        <v>5</v>
      </c>
      <c r="E83" s="268">
        <f ca="1">OFFSET('Actual RAB roll forward'!H$49,0,D83-1)-SUM('Actual RAB roll forward'!H147:OFFSET('Actual RAB roll forward'!H147,0,Input!$W$7-1))</f>
        <v>0</v>
      </c>
      <c r="F83" s="268">
        <f ca="1">IF(A6stdlife="N/A","n/a",IF(E83=0,0,A6stdlife+D83-Input!$W$7))</f>
        <v>0</v>
      </c>
      <c r="G83" s="264"/>
      <c r="H83" s="394"/>
      <c r="I83" s="91">
        <v>5</v>
      </c>
      <c r="J83" s="268">
        <f ca="1">OFFSET('Tax value roll forward'!H$45,0,I83-1)-SUM('Tax value roll forward'!H143:OFFSET('Tax value roll forward'!H143,0,Input!$W$7-1))</f>
        <v>0</v>
      </c>
      <c r="K83" s="268">
        <f ca="1">IF(A6taxstdlife="N/A","n/a",IF(J83=0,0,A6taxstdlife+I83-Input!$W$7))</f>
        <v>0</v>
      </c>
      <c r="L83" s="114"/>
      <c r="M83" s="9"/>
      <c r="N83" s="9"/>
      <c r="O83" s="9"/>
      <c r="P83" s="9"/>
      <c r="Q83" s="9"/>
      <c r="R83" s="9"/>
      <c r="S83" s="261"/>
      <c r="T83" s="261"/>
      <c r="U83" s="261"/>
      <c r="V83" s="261"/>
      <c r="W83" s="261"/>
      <c r="X83" s="261"/>
      <c r="Y83" s="261"/>
      <c r="Z83" s="261"/>
    </row>
    <row r="84" spans="1:26" hidden="1" outlineLevel="1">
      <c r="A84" s="9"/>
      <c r="B84" s="9"/>
      <c r="C84" s="394"/>
      <c r="D84" s="91">
        <v>6</v>
      </c>
      <c r="E84" s="268">
        <f ca="1">OFFSET('Actual RAB roll forward'!H$49,0,D84-1)-SUM('Actual RAB roll forward'!H148:OFFSET('Actual RAB roll forward'!H148,0,Input!$W$7-1))</f>
        <v>0</v>
      </c>
      <c r="F84" s="268">
        <f ca="1">IF(A6stdlife="N/A","n/a",IF(E84=0,0,A6stdlife+D84-Input!$W$7))</f>
        <v>0</v>
      </c>
      <c r="G84" s="264"/>
      <c r="H84" s="394"/>
      <c r="I84" s="91">
        <v>6</v>
      </c>
      <c r="J84" s="268">
        <f ca="1">OFFSET('Tax value roll forward'!H$45,0,I84-1)-SUM('Tax value roll forward'!H144:OFFSET('Tax value roll forward'!H144,0,Input!$W$7-1))</f>
        <v>0</v>
      </c>
      <c r="K84" s="268">
        <f ca="1">IF(A6taxstdlife="N/A","n/a",IF(J84=0,0,A6taxstdlife+I84-Input!$W$7))</f>
        <v>0</v>
      </c>
      <c r="L84" s="114"/>
      <c r="M84" s="9"/>
      <c r="N84" s="9"/>
      <c r="O84" s="9"/>
      <c r="P84" s="9"/>
      <c r="Q84" s="9"/>
      <c r="R84" s="9"/>
      <c r="S84" s="261"/>
      <c r="T84" s="261"/>
      <c r="U84" s="261"/>
      <c r="V84" s="261"/>
      <c r="W84" s="261"/>
      <c r="X84" s="261"/>
      <c r="Y84" s="261"/>
      <c r="Z84" s="261"/>
    </row>
    <row r="85" spans="1:26" hidden="1" outlineLevel="1">
      <c r="A85" s="9"/>
      <c r="B85" s="9"/>
      <c r="C85" s="394"/>
      <c r="D85" s="91">
        <v>7</v>
      </c>
      <c r="E85" s="268">
        <f ca="1">OFFSET('Actual RAB roll forward'!H$49,0,D85-1)-SUM('Actual RAB roll forward'!H149:OFFSET('Actual RAB roll forward'!H149,0,Input!$W$7-1))</f>
        <v>0</v>
      </c>
      <c r="F85" s="268">
        <f ca="1">IF(A6stdlife="N/A","n/a",IF(E85=0,0,A6stdlife+D85-Input!$W$7))</f>
        <v>0</v>
      </c>
      <c r="G85" s="264"/>
      <c r="H85" s="394"/>
      <c r="I85" s="91">
        <v>7</v>
      </c>
      <c r="J85" s="268">
        <f ca="1">OFFSET('Tax value roll forward'!H$45,0,I85-1)-SUM('Tax value roll forward'!H145:OFFSET('Tax value roll forward'!H145,0,Input!$W$7-1))</f>
        <v>0</v>
      </c>
      <c r="K85" s="268">
        <f ca="1">IF(A6taxstdlife="N/A","n/a",IF(J85=0,0,A6taxstdlife+I85-Input!$W$7))</f>
        <v>0</v>
      </c>
      <c r="L85" s="114"/>
      <c r="M85" s="9"/>
      <c r="N85" s="9"/>
      <c r="O85" s="9"/>
      <c r="P85" s="9"/>
      <c r="Q85" s="9"/>
      <c r="R85" s="9"/>
      <c r="S85" s="261"/>
      <c r="T85" s="261"/>
      <c r="U85" s="261"/>
      <c r="V85" s="261"/>
      <c r="W85" s="261"/>
      <c r="X85" s="261"/>
      <c r="Y85" s="261"/>
      <c r="Z85" s="261"/>
    </row>
    <row r="86" spans="1:26" hidden="1" outlineLevel="1">
      <c r="A86" s="9"/>
      <c r="B86" s="9"/>
      <c r="C86" s="394"/>
      <c r="D86" s="91">
        <v>8</v>
      </c>
      <c r="E86" s="268">
        <f ca="1">OFFSET('Actual RAB roll forward'!H$49,0,D86-1)-SUM('Actual RAB roll forward'!H150:OFFSET('Actual RAB roll forward'!H150,0,Input!$W$7-1))</f>
        <v>0</v>
      </c>
      <c r="F86" s="268">
        <f ca="1">IF(A6stdlife="N/A","n/a",IF(E86=0,0,A6stdlife+D86-Input!$W$7))</f>
        <v>0</v>
      </c>
      <c r="G86" s="264"/>
      <c r="H86" s="394"/>
      <c r="I86" s="91">
        <v>8</v>
      </c>
      <c r="J86" s="268">
        <f ca="1">OFFSET('Tax value roll forward'!H$45,0,I86-1)-SUM('Tax value roll forward'!H146:OFFSET('Tax value roll forward'!H146,0,Input!$W$7-1))</f>
        <v>0</v>
      </c>
      <c r="K86" s="268">
        <f ca="1">IF(A6taxstdlife="N/A","n/a",IF(J86=0,0,A6taxstdlife+I86-Input!$W$7))</f>
        <v>0</v>
      </c>
      <c r="L86" s="114"/>
      <c r="M86" s="9"/>
      <c r="N86" s="9"/>
      <c r="O86" s="9"/>
      <c r="P86" s="9"/>
      <c r="Q86" s="9"/>
      <c r="R86" s="9"/>
      <c r="S86" s="261"/>
      <c r="T86" s="261"/>
      <c r="U86" s="261"/>
      <c r="V86" s="261"/>
      <c r="W86" s="261"/>
      <c r="X86" s="261"/>
      <c r="Y86" s="261"/>
      <c r="Z86" s="261"/>
    </row>
    <row r="87" spans="1:26" hidden="1" outlineLevel="1">
      <c r="A87" s="9"/>
      <c r="B87" s="9"/>
      <c r="C87" s="394"/>
      <c r="D87" s="91">
        <v>9</v>
      </c>
      <c r="E87" s="268">
        <f ca="1">OFFSET('Actual RAB roll forward'!H$49,0,D87-1)-SUM('Actual RAB roll forward'!H151:OFFSET('Actual RAB roll forward'!H151,0,Input!$W$7-1))</f>
        <v>0</v>
      </c>
      <c r="F87" s="268">
        <f ca="1">IF(A6stdlife="N/A","n/a",IF(E87=0,0,A6stdlife+D87-Input!$W$7))</f>
        <v>0</v>
      </c>
      <c r="G87" s="264"/>
      <c r="H87" s="394"/>
      <c r="I87" s="91">
        <v>9</v>
      </c>
      <c r="J87" s="268">
        <f ca="1">OFFSET('Tax value roll forward'!H$45,0,I87-1)-SUM('Tax value roll forward'!H147:OFFSET('Tax value roll forward'!H147,0,Input!$W$7-1))</f>
        <v>0</v>
      </c>
      <c r="K87" s="268">
        <f ca="1">IF(A6taxstdlife="N/A","n/a",IF(J87=0,0,A6taxstdlife+I87-Input!$W$7))</f>
        <v>0</v>
      </c>
      <c r="L87" s="114"/>
      <c r="M87" s="9"/>
      <c r="N87" s="9"/>
      <c r="O87" s="9"/>
      <c r="P87" s="9"/>
      <c r="Q87" s="9"/>
      <c r="R87" s="9"/>
      <c r="S87" s="261"/>
      <c r="T87" s="261"/>
      <c r="U87" s="261"/>
      <c r="V87" s="261"/>
      <c r="W87" s="261"/>
      <c r="X87" s="261"/>
      <c r="Y87" s="261"/>
      <c r="Z87" s="261"/>
    </row>
    <row r="88" spans="1:26" hidden="1" outlineLevel="1">
      <c r="A88" s="9"/>
      <c r="B88" s="9"/>
      <c r="C88" s="395"/>
      <c r="D88" s="92">
        <v>10</v>
      </c>
      <c r="E88" s="268">
        <f ca="1">OFFSET('Actual RAB roll forward'!H$49,0,D88-1)-SUM('Actual RAB roll forward'!H152:OFFSET('Actual RAB roll forward'!H152,0,Input!$W$7-1))</f>
        <v>0</v>
      </c>
      <c r="F88" s="268">
        <f ca="1">IF(A6stdlife="N/A","n/a",IF(E88=0,0,A6stdlife+D88-Input!$W$7))</f>
        <v>0</v>
      </c>
      <c r="G88" s="264"/>
      <c r="H88" s="395"/>
      <c r="I88" s="92">
        <v>10</v>
      </c>
      <c r="J88" s="268">
        <f ca="1">OFFSET('Tax value roll forward'!H$45,0,I88-1)-SUM('Tax value roll forward'!H148:OFFSET('Tax value roll forward'!H148,0,Input!$W$7-1))</f>
        <v>0</v>
      </c>
      <c r="K88" s="268">
        <f ca="1">IF(A6taxstdlife="N/A","n/a",IF(J88=0,0,A6taxstdlife+I88-Input!$W$7))</f>
        <v>0</v>
      </c>
      <c r="L88" s="114"/>
      <c r="M88" s="9"/>
      <c r="N88" s="9"/>
      <c r="O88" s="9"/>
      <c r="P88" s="9"/>
      <c r="Q88" s="9"/>
      <c r="R88" s="9"/>
      <c r="S88" s="261"/>
      <c r="T88" s="261"/>
      <c r="U88" s="261"/>
      <c r="V88" s="261"/>
      <c r="W88" s="261"/>
      <c r="X88" s="261"/>
      <c r="Y88" s="261"/>
      <c r="Z88" s="261"/>
    </row>
    <row r="89" spans="1:26" collapsed="1">
      <c r="A89" s="9"/>
      <c r="B89" s="9"/>
      <c r="C89" s="282" t="str">
        <f>Asset6</f>
        <v>Other - IT</v>
      </c>
      <c r="D89" s="9"/>
      <c r="E89" s="268">
        <f ca="1">SUM(E78:E88)</f>
        <v>0</v>
      </c>
      <c r="F89" s="354">
        <f ca="1">IF(E89=0,0,SUMPRODUCT(E78:E88,F78:F88)/E89)</f>
        <v>0</v>
      </c>
      <c r="G89" s="264"/>
      <c r="H89" s="43"/>
      <c r="I89" s="268"/>
      <c r="J89" s="268">
        <f ca="1">SUM(J78:J88)</f>
        <v>0</v>
      </c>
      <c r="K89" s="268">
        <f ca="1">IF(J89=0,0,SUMPRODUCT(J78:J88,K78:K88)/J89)</f>
        <v>0</v>
      </c>
      <c r="L89" s="114"/>
      <c r="M89" s="9"/>
      <c r="N89" s="9"/>
      <c r="O89" s="9"/>
      <c r="P89" s="9"/>
      <c r="Q89" s="9"/>
      <c r="R89" s="9"/>
      <c r="S89" s="261"/>
      <c r="T89" s="261"/>
      <c r="U89" s="261"/>
      <c r="V89" s="261"/>
      <c r="W89" s="261"/>
      <c r="X89" s="261"/>
      <c r="Y89" s="261"/>
      <c r="Z89" s="261"/>
    </row>
    <row r="90" spans="1:26" hidden="1" outlineLevel="1">
      <c r="A90" s="9"/>
      <c r="B90" s="9"/>
      <c r="C90" s="282"/>
      <c r="D90" s="9"/>
      <c r="E90" s="268"/>
      <c r="F90" s="268"/>
      <c r="G90" s="264"/>
      <c r="H90" s="268"/>
      <c r="I90" s="268"/>
      <c r="J90" s="273"/>
      <c r="K90" s="268"/>
      <c r="L90" s="114"/>
      <c r="M90" s="9"/>
      <c r="N90" s="9"/>
      <c r="O90" s="9"/>
      <c r="P90" s="9"/>
      <c r="Q90" s="9"/>
      <c r="R90" s="9"/>
      <c r="S90" s="261"/>
      <c r="T90" s="261"/>
      <c r="U90" s="261"/>
      <c r="V90" s="261"/>
      <c r="W90" s="261"/>
      <c r="X90" s="261"/>
      <c r="Y90" s="261"/>
      <c r="Z90" s="261"/>
    </row>
    <row r="91" spans="1:26" hidden="1" outlineLevel="1">
      <c r="A91" s="9"/>
      <c r="B91" s="280" t="str">
        <f>Asset7</f>
        <v>Other - General</v>
      </c>
      <c r="C91" s="9"/>
      <c r="D91" s="12"/>
      <c r="E91" s="268"/>
      <c r="F91" s="268"/>
      <c r="G91" s="264"/>
      <c r="H91" s="268"/>
      <c r="I91" s="268"/>
      <c r="J91" s="273"/>
      <c r="K91" s="268"/>
      <c r="L91" s="114"/>
      <c r="M91" s="9"/>
      <c r="N91" s="9"/>
      <c r="O91" s="9"/>
      <c r="P91" s="9"/>
      <c r="Q91" s="9"/>
      <c r="R91" s="9"/>
      <c r="S91" s="261"/>
      <c r="T91" s="261"/>
      <c r="U91" s="261"/>
      <c r="V91" s="261"/>
      <c r="W91" s="261"/>
      <c r="X91" s="261"/>
      <c r="Y91" s="261"/>
      <c r="Z91" s="261"/>
    </row>
    <row r="92" spans="1:26" ht="12.75" hidden="1" customHeight="1" outlineLevel="1">
      <c r="A92" s="9"/>
      <c r="B92" s="9"/>
      <c r="C92" s="396" t="s">
        <v>26</v>
      </c>
      <c r="D92" s="397"/>
      <c r="E92" s="338">
        <f ca="1">(A7value-'Actual RAB roll forward'!G636)-SUM('Actual RAB roll forward'!H154:OFFSET('Actual RAB roll forward'!H154,0,Input!$W$7-1))</f>
        <v>0</v>
      </c>
      <c r="F92" s="268">
        <f>IF(A7remlife="N/A","n/a",A7remlife-Input!$W$7)</f>
        <v>-2</v>
      </c>
      <c r="G92" s="264"/>
      <c r="H92" s="306" t="s">
        <v>65</v>
      </c>
      <c r="I92" s="307"/>
      <c r="J92" s="268">
        <f ca="1">A7taxvalue-SUM('Tax value roll forward'!H150:OFFSET('Tax value roll forward'!H150,0,Input!$W$7-1))</f>
        <v>0</v>
      </c>
      <c r="K92" s="268">
        <f>IF(A7taxremlife="N/A","n/a",A7taxremlife-Input!$W$7)</f>
        <v>-2</v>
      </c>
      <c r="L92" s="114"/>
      <c r="M92" s="9"/>
      <c r="N92" s="9"/>
      <c r="O92" s="9"/>
      <c r="P92" s="9"/>
      <c r="Q92" s="9"/>
      <c r="R92" s="9"/>
      <c r="S92" s="261"/>
      <c r="T92" s="261"/>
      <c r="U92" s="261"/>
      <c r="V92" s="261"/>
      <c r="W92" s="261"/>
      <c r="X92" s="261"/>
      <c r="Y92" s="261"/>
      <c r="Z92" s="261"/>
    </row>
    <row r="93" spans="1:26" hidden="1" outlineLevel="1">
      <c r="A93" s="9"/>
      <c r="B93" s="9"/>
      <c r="C93" s="393" t="s">
        <v>81</v>
      </c>
      <c r="D93" s="91">
        <v>1</v>
      </c>
      <c r="E93" s="268">
        <f ca="1">OFFSET('Actual RAB roll forward'!H$50,0,D93-1)-SUM('Actual RAB roll forward'!H156:OFFSET('Actual RAB roll forward'!H156,0,Input!$W$7-1))</f>
        <v>0</v>
      </c>
      <c r="F93" s="268">
        <f ca="1">IF(A7stdlife="N/A","n/a",IF(E93=0,0,A7stdlife+D93-Input!$W$7))</f>
        <v>0</v>
      </c>
      <c r="G93" s="264"/>
      <c r="H93" s="393" t="s">
        <v>81</v>
      </c>
      <c r="I93" s="91">
        <v>1</v>
      </c>
      <c r="J93" s="268">
        <f ca="1">OFFSET('Tax value roll forward'!H$46,0,I93-1)-SUM('Tax value roll forward'!H152:OFFSET('Tax value roll forward'!H152,0,Input!$W$7-1))</f>
        <v>0</v>
      </c>
      <c r="K93" s="268">
        <f ca="1">IF(A7taxstdlife="N/A","n/a",IF(J93=0,0,A7taxstdlife+I93-Input!$W$7))</f>
        <v>0</v>
      </c>
      <c r="L93" s="114"/>
      <c r="M93" s="9"/>
      <c r="N93" s="9"/>
      <c r="O93" s="9"/>
      <c r="P93" s="9"/>
      <c r="Q93" s="9"/>
      <c r="R93" s="9"/>
      <c r="S93" s="261"/>
      <c r="T93" s="261"/>
      <c r="U93" s="261"/>
      <c r="V93" s="261"/>
      <c r="W93" s="261"/>
      <c r="X93" s="261"/>
      <c r="Y93" s="261"/>
      <c r="Z93" s="261"/>
    </row>
    <row r="94" spans="1:26" hidden="1" outlineLevel="1">
      <c r="A94" s="9"/>
      <c r="B94" s="9"/>
      <c r="C94" s="394"/>
      <c r="D94" s="91">
        <v>2</v>
      </c>
      <c r="E94" s="268">
        <f ca="1">OFFSET('Actual RAB roll forward'!H$50,0,D94-1)-SUM('Actual RAB roll forward'!H157:OFFSET('Actual RAB roll forward'!H157,0,Input!$W$7-1))</f>
        <v>0</v>
      </c>
      <c r="F94" s="268">
        <f ca="1">IF(A7stdlife="N/A","n/a",IF(E94=0,0,A7stdlife+D94-Input!$W$7))</f>
        <v>0</v>
      </c>
      <c r="G94" s="264"/>
      <c r="H94" s="394"/>
      <c r="I94" s="91">
        <v>2</v>
      </c>
      <c r="J94" s="268">
        <f ca="1">OFFSET('Tax value roll forward'!H$46,0,I94-1)-SUM('Tax value roll forward'!H153:OFFSET('Tax value roll forward'!H153,0,Input!$W$7-1))</f>
        <v>0</v>
      </c>
      <c r="K94" s="268">
        <f ca="1">IF(A7taxstdlife="N/A","n/a",IF(J94=0,0,A7taxstdlife+I94-Input!$W$7))</f>
        <v>0</v>
      </c>
      <c r="L94" s="114"/>
      <c r="M94" s="9"/>
      <c r="N94" s="9"/>
      <c r="O94" s="9"/>
      <c r="P94" s="9"/>
      <c r="Q94" s="9"/>
      <c r="R94" s="9"/>
      <c r="S94" s="261"/>
      <c r="T94" s="261"/>
      <c r="U94" s="261"/>
      <c r="V94" s="261"/>
      <c r="W94" s="261"/>
      <c r="X94" s="261"/>
      <c r="Y94" s="261"/>
      <c r="Z94" s="261"/>
    </row>
    <row r="95" spans="1:26" hidden="1" outlineLevel="1">
      <c r="A95" s="9"/>
      <c r="B95" s="9"/>
      <c r="C95" s="394"/>
      <c r="D95" s="91">
        <v>3</v>
      </c>
      <c r="E95" s="268">
        <f ca="1">OFFSET('Actual RAB roll forward'!H$50,0,D95-1)-SUM('Actual RAB roll forward'!H158:OFFSET('Actual RAB roll forward'!H158,0,Input!$W$7-1))</f>
        <v>0</v>
      </c>
      <c r="F95" s="268">
        <f ca="1">IF(A7stdlife="N/A","n/a",IF(E95=0,0,A7stdlife+D95-Input!$W$7))</f>
        <v>0</v>
      </c>
      <c r="G95" s="264"/>
      <c r="H95" s="394"/>
      <c r="I95" s="91">
        <v>3</v>
      </c>
      <c r="J95" s="268">
        <f ca="1">OFFSET('Tax value roll forward'!H$46,0,I95-1)-SUM('Tax value roll forward'!H154:OFFSET('Tax value roll forward'!H154,0,Input!$W$7-1))</f>
        <v>0</v>
      </c>
      <c r="K95" s="268">
        <f ca="1">IF(A7taxstdlife="N/A","n/a",IF(J95=0,0,A7taxstdlife+I95-Input!$W$7))</f>
        <v>0</v>
      </c>
      <c r="L95" s="114"/>
      <c r="M95" s="9"/>
      <c r="N95" s="9"/>
      <c r="O95" s="9"/>
      <c r="P95" s="9"/>
      <c r="Q95" s="9"/>
      <c r="R95" s="9"/>
      <c r="S95" s="261"/>
      <c r="T95" s="261"/>
      <c r="U95" s="261"/>
      <c r="V95" s="261"/>
      <c r="W95" s="261"/>
      <c r="X95" s="261"/>
      <c r="Y95" s="261"/>
      <c r="Z95" s="261"/>
    </row>
    <row r="96" spans="1:26" hidden="1" outlineLevel="1">
      <c r="A96" s="9"/>
      <c r="B96" s="9"/>
      <c r="C96" s="394"/>
      <c r="D96" s="91">
        <v>4</v>
      </c>
      <c r="E96" s="268">
        <f ca="1">OFFSET('Actual RAB roll forward'!H$50,0,D96-1)-SUM('Actual RAB roll forward'!H159:OFFSET('Actual RAB roll forward'!H159,0,Input!$W$7-1))</f>
        <v>0</v>
      </c>
      <c r="F96" s="268">
        <f ca="1">IF(A7stdlife="N/A","n/a",IF(E96=0,0,A7stdlife+D96-Input!$W$7))</f>
        <v>0</v>
      </c>
      <c r="G96" s="264"/>
      <c r="H96" s="394"/>
      <c r="I96" s="91">
        <v>4</v>
      </c>
      <c r="J96" s="268">
        <f ca="1">OFFSET('Tax value roll forward'!H$46,0,I96-1)-SUM('Tax value roll forward'!H155:OFFSET('Tax value roll forward'!H155,0,Input!$W$7-1))</f>
        <v>0</v>
      </c>
      <c r="K96" s="268">
        <f ca="1">IF(A7taxstdlife="N/A","n/a",IF(J96=0,0,A7taxstdlife+I96-Input!$W$7))</f>
        <v>0</v>
      </c>
      <c r="L96" s="114"/>
      <c r="M96" s="9"/>
      <c r="N96" s="9"/>
      <c r="O96" s="9"/>
      <c r="P96" s="9"/>
      <c r="Q96" s="9"/>
      <c r="R96" s="9"/>
      <c r="S96" s="261"/>
      <c r="T96" s="261"/>
      <c r="U96" s="261"/>
      <c r="V96" s="261"/>
      <c r="W96" s="261"/>
      <c r="X96" s="261"/>
      <c r="Y96" s="261"/>
      <c r="Z96" s="261"/>
    </row>
    <row r="97" spans="1:26" hidden="1" outlineLevel="1">
      <c r="A97" s="9"/>
      <c r="B97" s="9"/>
      <c r="C97" s="394"/>
      <c r="D97" s="91">
        <v>5</v>
      </c>
      <c r="E97" s="268">
        <f ca="1">OFFSET('Actual RAB roll forward'!H$50,0,D97-1)-SUM('Actual RAB roll forward'!H160:OFFSET('Actual RAB roll forward'!H160,0,Input!$W$7-1))</f>
        <v>0</v>
      </c>
      <c r="F97" s="268">
        <f ca="1">IF(A7stdlife="N/A","n/a",IF(E97=0,0,A7stdlife+D97-Input!$W$7))</f>
        <v>0</v>
      </c>
      <c r="G97" s="264"/>
      <c r="H97" s="394"/>
      <c r="I97" s="91">
        <v>5</v>
      </c>
      <c r="J97" s="268">
        <f ca="1">OFFSET('Tax value roll forward'!H$46,0,I97-1)-SUM('Tax value roll forward'!H156:OFFSET('Tax value roll forward'!H156,0,Input!$W$7-1))</f>
        <v>0</v>
      </c>
      <c r="K97" s="268">
        <f ca="1">IF(A7taxstdlife="N/A","n/a",IF(J97=0,0,A7taxstdlife+I97-Input!$W$7))</f>
        <v>0</v>
      </c>
      <c r="L97" s="114"/>
      <c r="M97" s="9"/>
      <c r="N97" s="9"/>
      <c r="O97" s="9"/>
      <c r="P97" s="9"/>
      <c r="Q97" s="9"/>
      <c r="R97" s="9"/>
      <c r="S97" s="261"/>
      <c r="T97" s="261"/>
      <c r="U97" s="261"/>
      <c r="V97" s="261"/>
      <c r="W97" s="261"/>
      <c r="X97" s="261"/>
      <c r="Y97" s="261"/>
      <c r="Z97" s="261"/>
    </row>
    <row r="98" spans="1:26" hidden="1" outlineLevel="1">
      <c r="A98" s="9"/>
      <c r="B98" s="9"/>
      <c r="C98" s="394"/>
      <c r="D98" s="91">
        <v>6</v>
      </c>
      <c r="E98" s="268">
        <f ca="1">OFFSET('Actual RAB roll forward'!H$50,0,D98-1)-SUM('Actual RAB roll forward'!H161:OFFSET('Actual RAB roll forward'!H161,0,Input!$W$7-1))</f>
        <v>0</v>
      </c>
      <c r="F98" s="268">
        <f ca="1">IF(A7stdlife="N/A","n/a",IF(E98=0,0,A7stdlife+D98-Input!$W$7))</f>
        <v>0</v>
      </c>
      <c r="G98" s="264"/>
      <c r="H98" s="394"/>
      <c r="I98" s="91">
        <v>6</v>
      </c>
      <c r="J98" s="268">
        <f ca="1">OFFSET('Tax value roll forward'!H$46,0,I98-1)-SUM('Tax value roll forward'!H157:OFFSET('Tax value roll forward'!H157,0,Input!$W$7-1))</f>
        <v>0</v>
      </c>
      <c r="K98" s="268">
        <f ca="1">IF(A7taxstdlife="N/A","n/a",IF(J98=0,0,A7taxstdlife+I98-Input!$W$7))</f>
        <v>0</v>
      </c>
      <c r="L98" s="114"/>
      <c r="M98" s="9"/>
      <c r="N98" s="9"/>
      <c r="O98" s="9"/>
      <c r="P98" s="9"/>
      <c r="Q98" s="9"/>
      <c r="R98" s="9"/>
      <c r="S98" s="261"/>
      <c r="T98" s="261"/>
      <c r="U98" s="261"/>
      <c r="V98" s="261"/>
      <c r="W98" s="261"/>
      <c r="X98" s="261"/>
      <c r="Y98" s="261"/>
      <c r="Z98" s="261"/>
    </row>
    <row r="99" spans="1:26" hidden="1" outlineLevel="1">
      <c r="A99" s="9"/>
      <c r="B99" s="9"/>
      <c r="C99" s="394"/>
      <c r="D99" s="91">
        <v>7</v>
      </c>
      <c r="E99" s="268">
        <f ca="1">OFFSET('Actual RAB roll forward'!H$50,0,D99-1)-SUM('Actual RAB roll forward'!H162:OFFSET('Actual RAB roll forward'!H162,0,Input!$W$7-1))</f>
        <v>0</v>
      </c>
      <c r="F99" s="268">
        <f ca="1">IF(A7stdlife="N/A","n/a",IF(E99=0,0,A7stdlife+D99-Input!$W$7))</f>
        <v>0</v>
      </c>
      <c r="G99" s="264"/>
      <c r="H99" s="394"/>
      <c r="I99" s="91">
        <v>7</v>
      </c>
      <c r="J99" s="268">
        <f ca="1">OFFSET('Tax value roll forward'!H$46,0,I99-1)-SUM('Tax value roll forward'!H158:OFFSET('Tax value roll forward'!H158,0,Input!$W$7-1))</f>
        <v>0</v>
      </c>
      <c r="K99" s="268">
        <f ca="1">IF(A7taxstdlife="N/A","n/a",IF(J99=0,0,A7taxstdlife+I99-Input!$W$7))</f>
        <v>0</v>
      </c>
      <c r="L99" s="114"/>
      <c r="M99" s="9"/>
      <c r="N99" s="9"/>
      <c r="O99" s="9"/>
      <c r="P99" s="9"/>
      <c r="Q99" s="9"/>
      <c r="R99" s="9"/>
      <c r="S99" s="261"/>
      <c r="T99" s="261"/>
      <c r="U99" s="261"/>
      <c r="V99" s="261"/>
      <c r="W99" s="261"/>
      <c r="X99" s="261"/>
      <c r="Y99" s="261"/>
      <c r="Z99" s="261"/>
    </row>
    <row r="100" spans="1:26" hidden="1" outlineLevel="1">
      <c r="A100" s="9"/>
      <c r="B100" s="9"/>
      <c r="C100" s="394"/>
      <c r="D100" s="91">
        <v>8</v>
      </c>
      <c r="E100" s="268">
        <f ca="1">OFFSET('Actual RAB roll forward'!H$50,0,D100-1)-SUM('Actual RAB roll forward'!H163:OFFSET('Actual RAB roll forward'!H163,0,Input!$W$7-1))</f>
        <v>0</v>
      </c>
      <c r="F100" s="268">
        <f ca="1">IF(A7stdlife="N/A","n/a",IF(E100=0,0,A7stdlife+D100-Input!$W$7))</f>
        <v>0</v>
      </c>
      <c r="G100" s="264"/>
      <c r="H100" s="394"/>
      <c r="I100" s="91">
        <v>8</v>
      </c>
      <c r="J100" s="268">
        <f ca="1">OFFSET('Tax value roll forward'!H$46,0,I100-1)-SUM('Tax value roll forward'!H159:OFFSET('Tax value roll forward'!H159,0,Input!$W$7-1))</f>
        <v>0</v>
      </c>
      <c r="K100" s="268">
        <f ca="1">IF(A7taxstdlife="N/A","n/a",IF(J100=0,0,A7taxstdlife+I100-Input!$W$7))</f>
        <v>0</v>
      </c>
      <c r="L100" s="114"/>
      <c r="M100" s="9"/>
      <c r="N100" s="9"/>
      <c r="O100" s="9"/>
      <c r="P100" s="9"/>
      <c r="Q100" s="9"/>
      <c r="R100" s="9"/>
      <c r="S100" s="261"/>
      <c r="T100" s="261"/>
      <c r="U100" s="261"/>
      <c r="V100" s="261"/>
      <c r="W100" s="261"/>
      <c r="X100" s="261"/>
      <c r="Y100" s="261"/>
      <c r="Z100" s="261"/>
    </row>
    <row r="101" spans="1:26" hidden="1" outlineLevel="1">
      <c r="A101" s="9"/>
      <c r="B101" s="9"/>
      <c r="C101" s="394"/>
      <c r="D101" s="91">
        <v>9</v>
      </c>
      <c r="E101" s="268">
        <f ca="1">OFFSET('Actual RAB roll forward'!H$50,0,D101-1)-SUM('Actual RAB roll forward'!H164:OFFSET('Actual RAB roll forward'!H164,0,Input!$W$7-1))</f>
        <v>0</v>
      </c>
      <c r="F101" s="268">
        <f ca="1">IF(A7stdlife="N/A","n/a",IF(E101=0,0,A7stdlife+D101-Input!$W$7))</f>
        <v>0</v>
      </c>
      <c r="G101" s="264"/>
      <c r="H101" s="394"/>
      <c r="I101" s="91">
        <v>9</v>
      </c>
      <c r="J101" s="268">
        <f ca="1">OFFSET('Tax value roll forward'!H$46,0,I101-1)-SUM('Tax value roll forward'!H160:OFFSET('Tax value roll forward'!H160,0,Input!$W$7-1))</f>
        <v>0</v>
      </c>
      <c r="K101" s="268">
        <f ca="1">IF(A7taxstdlife="N/A","n/a",IF(J101=0,0,A7taxstdlife+I101-Input!$W$7))</f>
        <v>0</v>
      </c>
      <c r="L101" s="114"/>
      <c r="M101" s="9"/>
      <c r="N101" s="9"/>
      <c r="O101" s="9"/>
      <c r="P101" s="9"/>
      <c r="Q101" s="9"/>
      <c r="R101" s="9"/>
      <c r="S101" s="261"/>
      <c r="T101" s="261"/>
      <c r="U101" s="261"/>
      <c r="V101" s="261"/>
      <c r="W101" s="261"/>
      <c r="X101" s="261"/>
      <c r="Y101" s="261"/>
      <c r="Z101" s="261"/>
    </row>
    <row r="102" spans="1:26" hidden="1" outlineLevel="1">
      <c r="A102" s="9"/>
      <c r="B102" s="9"/>
      <c r="C102" s="395"/>
      <c r="D102" s="92">
        <v>10</v>
      </c>
      <c r="E102" s="268">
        <f ca="1">OFFSET('Actual RAB roll forward'!H$50,0,D102-1)-SUM('Actual RAB roll forward'!H165:OFFSET('Actual RAB roll forward'!H165,0,Input!$W$7-1))</f>
        <v>0</v>
      </c>
      <c r="F102" s="268">
        <f ca="1">IF(A7stdlife="N/A","n/a",IF(E102=0,0,A7stdlife+D102-Input!$W$7))</f>
        <v>0</v>
      </c>
      <c r="G102" s="264"/>
      <c r="H102" s="395"/>
      <c r="I102" s="92">
        <v>10</v>
      </c>
      <c r="J102" s="268">
        <f ca="1">OFFSET('Tax value roll forward'!H$46,0,I102-1)-SUM('Tax value roll forward'!H161:OFFSET('Tax value roll forward'!H161,0,Input!$W$7-1))</f>
        <v>0</v>
      </c>
      <c r="K102" s="268">
        <f ca="1">IF(A7taxstdlife="N/A","n/a",IF(J102=0,0,A7taxstdlife+I102-Input!$W$7))</f>
        <v>0</v>
      </c>
      <c r="L102" s="114"/>
      <c r="M102" s="9"/>
      <c r="N102" s="9"/>
      <c r="O102" s="9"/>
      <c r="P102" s="9"/>
      <c r="Q102" s="9"/>
      <c r="R102" s="9"/>
      <c r="S102" s="261"/>
      <c r="T102" s="261"/>
      <c r="U102" s="261"/>
      <c r="V102" s="261"/>
      <c r="W102" s="261"/>
      <c r="X102" s="261"/>
      <c r="Y102" s="261"/>
      <c r="Z102" s="261"/>
    </row>
    <row r="103" spans="1:26" collapsed="1">
      <c r="A103" s="9"/>
      <c r="B103" s="9"/>
      <c r="C103" s="282" t="str">
        <f>Asset7</f>
        <v>Other - General</v>
      </c>
      <c r="D103" s="9"/>
      <c r="E103" s="268">
        <f ca="1">SUM(E92:E102)</f>
        <v>0</v>
      </c>
      <c r="F103" s="268">
        <f ca="1">IF(E103=0,0,SUMPRODUCT(E92:E102,F92:F102)/E103)</f>
        <v>0</v>
      </c>
      <c r="G103" s="264"/>
      <c r="H103" s="43"/>
      <c r="I103" s="268"/>
      <c r="J103" s="268">
        <f ca="1">SUM(J92:J102)</f>
        <v>0</v>
      </c>
      <c r="K103" s="268">
        <f ca="1">IF(J103=0,0,SUMPRODUCT(J92:J102,K92:K102)/J103)</f>
        <v>0</v>
      </c>
      <c r="L103" s="114"/>
      <c r="M103" s="9"/>
      <c r="N103" s="9"/>
      <c r="O103" s="9"/>
      <c r="P103" s="9"/>
      <c r="Q103" s="9"/>
      <c r="R103" s="9"/>
      <c r="S103" s="261"/>
      <c r="T103" s="261"/>
      <c r="U103" s="261"/>
      <c r="V103" s="261"/>
      <c r="W103" s="261"/>
      <c r="X103" s="261"/>
      <c r="Y103" s="261"/>
      <c r="Z103" s="261"/>
    </row>
    <row r="104" spans="1:26" hidden="1" outlineLevel="1">
      <c r="A104" s="9"/>
      <c r="B104" s="9"/>
      <c r="C104" s="282"/>
      <c r="D104" s="9"/>
      <c r="E104" s="268"/>
      <c r="F104" s="268"/>
      <c r="G104" s="264"/>
      <c r="H104" s="268"/>
      <c r="I104" s="268"/>
      <c r="J104" s="273"/>
      <c r="K104" s="268"/>
      <c r="L104" s="114"/>
      <c r="M104" s="9"/>
      <c r="N104" s="9"/>
      <c r="O104" s="9"/>
      <c r="P104" s="9"/>
      <c r="Q104" s="9"/>
      <c r="R104" s="9"/>
      <c r="S104" s="261"/>
      <c r="T104" s="261"/>
      <c r="U104" s="261"/>
      <c r="V104" s="261"/>
      <c r="W104" s="261"/>
      <c r="X104" s="261"/>
      <c r="Y104" s="261"/>
      <c r="Z104" s="261"/>
    </row>
    <row r="105" spans="1:26" hidden="1" outlineLevel="1">
      <c r="A105" s="9"/>
      <c r="B105" s="280" t="str">
        <f>Asset8</f>
        <v>Other - Buildings</v>
      </c>
      <c r="C105" s="9"/>
      <c r="D105" s="9"/>
      <c r="E105" s="268"/>
      <c r="F105" s="268"/>
      <c r="G105" s="264"/>
      <c r="H105" s="268"/>
      <c r="I105" s="268"/>
      <c r="J105" s="273"/>
      <c r="K105" s="268"/>
      <c r="L105" s="114"/>
      <c r="M105" s="9"/>
      <c r="N105" s="9"/>
      <c r="O105" s="9"/>
      <c r="P105" s="9"/>
      <c r="Q105" s="9"/>
      <c r="R105" s="9"/>
      <c r="S105" s="261"/>
      <c r="T105" s="261"/>
      <c r="U105" s="261"/>
      <c r="V105" s="261"/>
      <c r="W105" s="261"/>
      <c r="X105" s="261"/>
      <c r="Y105" s="261"/>
      <c r="Z105" s="261"/>
    </row>
    <row r="106" spans="1:26" ht="12.75" hidden="1" customHeight="1" outlineLevel="1">
      <c r="A106" s="9"/>
      <c r="B106" s="9"/>
      <c r="C106" s="396" t="s">
        <v>26</v>
      </c>
      <c r="D106" s="397"/>
      <c r="E106" s="338">
        <f ca="1">(A8value-'Actual RAB roll forward'!G637)-SUM('Actual RAB roll forward'!H167:OFFSET('Actual RAB roll forward'!H167,0,Input!$W$7-1))</f>
        <v>18.321390865261186</v>
      </c>
      <c r="F106" s="268">
        <f>IF(A8remlife="N/A","n/a",A8remlife-Input!$W$7)</f>
        <v>31.241279046673355</v>
      </c>
      <c r="G106" s="264"/>
      <c r="H106" s="306" t="s">
        <v>65</v>
      </c>
      <c r="I106" s="307"/>
      <c r="J106" s="268">
        <f ca="1">A8taxvalue-SUM('Tax value roll forward'!H163:OFFSET('Tax value roll forward'!H163,0,Input!$W$7-1))</f>
        <v>18.457239065390763</v>
      </c>
      <c r="K106" s="268">
        <f>IF(A8taxremlife="N/A","n/a",A8taxremlife-Input!$W$7)</f>
        <v>31.300373214891799</v>
      </c>
      <c r="L106" s="114"/>
      <c r="M106" s="9"/>
      <c r="N106" s="9"/>
      <c r="O106" s="9"/>
      <c r="P106" s="9"/>
      <c r="Q106" s="9"/>
      <c r="R106" s="9"/>
      <c r="S106" s="261"/>
      <c r="T106" s="261"/>
      <c r="U106" s="261"/>
      <c r="V106" s="261"/>
      <c r="W106" s="261"/>
      <c r="X106" s="261"/>
      <c r="Y106" s="261"/>
      <c r="Z106" s="261"/>
    </row>
    <row r="107" spans="1:26" hidden="1" outlineLevel="1">
      <c r="A107" s="9"/>
      <c r="B107" s="9"/>
      <c r="C107" s="393" t="s">
        <v>81</v>
      </c>
      <c r="D107" s="91">
        <v>1</v>
      </c>
      <c r="E107" s="268">
        <f ca="1">OFFSET('Actual RAB roll forward'!H$51,0,D107-1)-SUM('Actual RAB roll forward'!H169:OFFSET('Actual RAB roll forward'!H169,0,Input!$W$7-1))</f>
        <v>0</v>
      </c>
      <c r="F107" s="268">
        <f ca="1">IF(A8stdlife="N/A","n/a",IF(E107=0,0,A8stdlife+D107-Input!$W$7))</f>
        <v>0</v>
      </c>
      <c r="G107" s="264"/>
      <c r="H107" s="393" t="s">
        <v>81</v>
      </c>
      <c r="I107" s="91">
        <v>1</v>
      </c>
      <c r="J107" s="268">
        <f ca="1">OFFSET('Tax value roll forward'!H$47,0,I107-1)-SUM('Tax value roll forward'!H165:OFFSET('Tax value roll forward'!H165,0,Input!$W$7-1))</f>
        <v>0</v>
      </c>
      <c r="K107" s="268">
        <f ca="1">IF(A8taxstdlife="N/A","n/a",IF(J107=0,0,A8taxstdlife+I107-Input!$W$7))</f>
        <v>0</v>
      </c>
      <c r="L107" s="114"/>
      <c r="M107" s="9"/>
      <c r="N107" s="9"/>
      <c r="O107" s="9"/>
      <c r="P107" s="9"/>
      <c r="Q107" s="9"/>
      <c r="R107" s="9"/>
      <c r="S107" s="261"/>
      <c r="T107" s="261"/>
      <c r="U107" s="261"/>
      <c r="V107" s="261"/>
      <c r="W107" s="261"/>
      <c r="X107" s="261"/>
      <c r="Y107" s="261"/>
      <c r="Z107" s="261"/>
    </row>
    <row r="108" spans="1:26" hidden="1" outlineLevel="1">
      <c r="A108" s="9"/>
      <c r="B108" s="9"/>
      <c r="C108" s="394"/>
      <c r="D108" s="91">
        <v>2</v>
      </c>
      <c r="E108" s="268">
        <f ca="1">OFFSET('Actual RAB roll forward'!H$51,0,D108-1)-SUM('Actual RAB roll forward'!H170:OFFSET('Actual RAB roll forward'!H170,0,Input!$W$7-1))</f>
        <v>0</v>
      </c>
      <c r="F108" s="268">
        <f ca="1">IF(A8stdlife="N/A","n/a",IF(E108=0,0,A8stdlife+D108-Input!$W$7))</f>
        <v>0</v>
      </c>
      <c r="G108" s="264"/>
      <c r="H108" s="394"/>
      <c r="I108" s="91">
        <v>2</v>
      </c>
      <c r="J108" s="268">
        <f ca="1">OFFSET('Tax value roll forward'!H$47,0,I108-1)-SUM('Tax value roll forward'!H166:OFFSET('Tax value roll forward'!H166,0,Input!$W$7-1))</f>
        <v>0</v>
      </c>
      <c r="K108" s="268">
        <f ca="1">IF(A8taxstdlife="N/A","n/a",IF(J108=0,0,A8taxstdlife+I108-Input!$W$7))</f>
        <v>0</v>
      </c>
      <c r="L108" s="114"/>
      <c r="M108" s="9"/>
      <c r="N108" s="9"/>
      <c r="O108" s="9"/>
      <c r="P108" s="9"/>
      <c r="Q108" s="9"/>
      <c r="R108" s="9"/>
      <c r="S108" s="261"/>
      <c r="T108" s="261"/>
      <c r="U108" s="261"/>
      <c r="V108" s="261"/>
      <c r="W108" s="261"/>
      <c r="X108" s="261"/>
      <c r="Y108" s="261"/>
      <c r="Z108" s="261"/>
    </row>
    <row r="109" spans="1:26" hidden="1" outlineLevel="1">
      <c r="A109" s="9"/>
      <c r="B109" s="9"/>
      <c r="C109" s="394"/>
      <c r="D109" s="91">
        <v>3</v>
      </c>
      <c r="E109" s="268">
        <f ca="1">OFFSET('Actual RAB roll forward'!H$51,0,D109-1)-SUM('Actual RAB roll forward'!H171:OFFSET('Actual RAB roll forward'!H171,0,Input!$W$7-1))</f>
        <v>0</v>
      </c>
      <c r="F109" s="268">
        <f ca="1">IF(A8stdlife="N/A","n/a",IF(E109=0,0,A8stdlife+D109-Input!$W$7))</f>
        <v>0</v>
      </c>
      <c r="G109" s="264"/>
      <c r="H109" s="394"/>
      <c r="I109" s="91">
        <v>3</v>
      </c>
      <c r="J109" s="268">
        <f ca="1">OFFSET('Tax value roll forward'!H$47,0,I109-1)-SUM('Tax value roll forward'!H167:OFFSET('Tax value roll forward'!H167,0,Input!$W$7-1))</f>
        <v>0</v>
      </c>
      <c r="K109" s="268">
        <f ca="1">IF(A8taxstdlife="N/A","n/a",IF(J109=0,0,A8taxstdlife+I109-Input!$W$7))</f>
        <v>0</v>
      </c>
      <c r="L109" s="114"/>
      <c r="M109" s="9"/>
      <c r="N109" s="9"/>
      <c r="O109" s="9"/>
      <c r="P109" s="9"/>
      <c r="Q109" s="9"/>
      <c r="R109" s="9"/>
      <c r="S109" s="261"/>
      <c r="T109" s="261"/>
      <c r="U109" s="261"/>
      <c r="V109" s="261"/>
      <c r="W109" s="261"/>
      <c r="X109" s="261"/>
      <c r="Y109" s="261"/>
      <c r="Z109" s="261"/>
    </row>
    <row r="110" spans="1:26" hidden="1" outlineLevel="1">
      <c r="A110" s="9"/>
      <c r="B110" s="9"/>
      <c r="C110" s="394"/>
      <c r="D110" s="91">
        <v>4</v>
      </c>
      <c r="E110" s="268">
        <f ca="1">OFFSET('Actual RAB roll forward'!H$51,0,D110-1)-SUM('Actual RAB roll forward'!H172:OFFSET('Actual RAB roll forward'!H172,0,Input!$W$7-1))</f>
        <v>0</v>
      </c>
      <c r="F110" s="268">
        <f ca="1">IF(A8stdlife="N/A","n/a",IF(E110=0,0,A8stdlife+D110-Input!$W$7))</f>
        <v>0</v>
      </c>
      <c r="G110" s="264"/>
      <c r="H110" s="394"/>
      <c r="I110" s="91">
        <v>4</v>
      </c>
      <c r="J110" s="268">
        <f ca="1">OFFSET('Tax value roll forward'!H$47,0,I110-1)-SUM('Tax value roll forward'!H168:OFFSET('Tax value roll forward'!H168,0,Input!$W$7-1))</f>
        <v>0</v>
      </c>
      <c r="K110" s="268">
        <f ca="1">IF(A8taxstdlife="N/A","n/a",IF(J110=0,0,A8taxstdlife+I110-Input!$W$7))</f>
        <v>0</v>
      </c>
      <c r="L110" s="114"/>
      <c r="M110" s="9"/>
      <c r="N110" s="9"/>
      <c r="O110" s="9"/>
      <c r="P110" s="9"/>
      <c r="Q110" s="9"/>
      <c r="R110" s="9"/>
      <c r="S110" s="261"/>
      <c r="T110" s="261"/>
      <c r="U110" s="261"/>
      <c r="V110" s="261"/>
      <c r="W110" s="261"/>
      <c r="X110" s="261"/>
      <c r="Y110" s="261"/>
      <c r="Z110" s="261"/>
    </row>
    <row r="111" spans="1:26" hidden="1" outlineLevel="1">
      <c r="A111" s="9"/>
      <c r="B111" s="9"/>
      <c r="C111" s="394"/>
      <c r="D111" s="91">
        <v>5</v>
      </c>
      <c r="E111" s="268">
        <f ca="1">OFFSET('Actual RAB roll forward'!H$51,0,D111-1)-SUM('Actual RAB roll forward'!H173:OFFSET('Actual RAB roll forward'!H173,0,Input!$W$7-1))</f>
        <v>0</v>
      </c>
      <c r="F111" s="268">
        <f ca="1">IF(A8stdlife="N/A","n/a",IF(E111=0,0,A8stdlife+D111-Input!$W$7))</f>
        <v>0</v>
      </c>
      <c r="G111" s="264"/>
      <c r="H111" s="394"/>
      <c r="I111" s="91">
        <v>5</v>
      </c>
      <c r="J111" s="268">
        <f ca="1">OFFSET('Tax value roll forward'!H$47,0,I111-1)-SUM('Tax value roll forward'!H169:OFFSET('Tax value roll forward'!H169,0,Input!$W$7-1))</f>
        <v>0</v>
      </c>
      <c r="K111" s="268">
        <f ca="1">IF(A8taxstdlife="N/A","n/a",IF(J111=0,0,A8taxstdlife+I111-Input!$W$7))</f>
        <v>0</v>
      </c>
      <c r="L111" s="114"/>
      <c r="M111" s="9"/>
      <c r="N111" s="9"/>
      <c r="O111" s="9"/>
      <c r="P111" s="9"/>
      <c r="Q111" s="9"/>
      <c r="R111" s="9"/>
      <c r="S111" s="261"/>
      <c r="T111" s="261"/>
      <c r="U111" s="261"/>
      <c r="V111" s="261"/>
      <c r="W111" s="261"/>
      <c r="X111" s="261"/>
      <c r="Y111" s="261"/>
      <c r="Z111" s="261"/>
    </row>
    <row r="112" spans="1:26" hidden="1" outlineLevel="1">
      <c r="A112" s="9"/>
      <c r="B112" s="9"/>
      <c r="C112" s="394"/>
      <c r="D112" s="91">
        <v>6</v>
      </c>
      <c r="E112" s="268">
        <f ca="1">OFFSET('Actual RAB roll forward'!H$51,0,D112-1)-SUM('Actual RAB roll forward'!H174:OFFSET('Actual RAB roll forward'!H174,0,Input!$W$7-1))</f>
        <v>0</v>
      </c>
      <c r="F112" s="268">
        <f ca="1">IF(A8stdlife="N/A","n/a",IF(E112=0,0,A8stdlife+D112-Input!$W$7))</f>
        <v>0</v>
      </c>
      <c r="G112" s="264"/>
      <c r="H112" s="394"/>
      <c r="I112" s="91">
        <v>6</v>
      </c>
      <c r="J112" s="268">
        <f ca="1">OFFSET('Tax value roll forward'!H$47,0,I112-1)-SUM('Tax value roll forward'!H170:OFFSET('Tax value roll forward'!H170,0,Input!$W$7-1))</f>
        <v>0</v>
      </c>
      <c r="K112" s="268">
        <f ca="1">IF(A8taxstdlife="N/A","n/a",IF(J112=0,0,A8taxstdlife+I112-Input!$W$7))</f>
        <v>0</v>
      </c>
      <c r="L112" s="114"/>
      <c r="M112" s="9"/>
      <c r="N112" s="9"/>
      <c r="O112" s="9"/>
      <c r="P112" s="9"/>
      <c r="Q112" s="9"/>
      <c r="R112" s="9"/>
      <c r="S112" s="261"/>
      <c r="T112" s="261"/>
      <c r="U112" s="261"/>
      <c r="V112" s="261"/>
      <c r="W112" s="261"/>
      <c r="X112" s="261"/>
      <c r="Y112" s="261"/>
      <c r="Z112" s="261"/>
    </row>
    <row r="113" spans="1:26" hidden="1" outlineLevel="1">
      <c r="A113" s="9"/>
      <c r="B113" s="9"/>
      <c r="C113" s="394"/>
      <c r="D113" s="91">
        <v>7</v>
      </c>
      <c r="E113" s="268">
        <f ca="1">OFFSET('Actual RAB roll forward'!H$51,0,D113-1)-SUM('Actual RAB roll forward'!H175:OFFSET('Actual RAB roll forward'!H175,0,Input!$W$7-1))</f>
        <v>0</v>
      </c>
      <c r="F113" s="268">
        <f ca="1">IF(A8stdlife="N/A","n/a",IF(E113=0,0,A8stdlife+D113-Input!$W$7))</f>
        <v>0</v>
      </c>
      <c r="G113" s="264"/>
      <c r="H113" s="394"/>
      <c r="I113" s="91">
        <v>7</v>
      </c>
      <c r="J113" s="268">
        <f ca="1">OFFSET('Tax value roll forward'!H$47,0,I113-1)-SUM('Tax value roll forward'!H171:OFFSET('Tax value roll forward'!H171,0,Input!$W$7-1))</f>
        <v>0</v>
      </c>
      <c r="K113" s="268">
        <f ca="1">IF(A8taxstdlife="N/A","n/a",IF(J113=0,0,A8taxstdlife+I113-Input!$W$7))</f>
        <v>0</v>
      </c>
      <c r="L113" s="114"/>
      <c r="M113" s="9"/>
      <c r="N113" s="9"/>
      <c r="O113" s="9"/>
      <c r="P113" s="9"/>
      <c r="Q113" s="9"/>
      <c r="R113" s="9"/>
      <c r="S113" s="261"/>
      <c r="T113" s="261"/>
      <c r="U113" s="261"/>
      <c r="V113" s="261"/>
      <c r="W113" s="261"/>
      <c r="X113" s="261"/>
      <c r="Y113" s="261"/>
      <c r="Z113" s="261"/>
    </row>
    <row r="114" spans="1:26" hidden="1" outlineLevel="1">
      <c r="A114" s="9"/>
      <c r="B114" s="9"/>
      <c r="C114" s="394"/>
      <c r="D114" s="91">
        <v>8</v>
      </c>
      <c r="E114" s="268">
        <f ca="1">OFFSET('Actual RAB roll forward'!H$51,0,D114-1)-SUM('Actual RAB roll forward'!H176:OFFSET('Actual RAB roll forward'!H176,0,Input!$W$7-1))</f>
        <v>0</v>
      </c>
      <c r="F114" s="268">
        <f ca="1">IF(A8stdlife="N/A","n/a",IF(E114=0,0,A8stdlife+D114-Input!$W$7))</f>
        <v>0</v>
      </c>
      <c r="G114" s="264"/>
      <c r="H114" s="394"/>
      <c r="I114" s="91">
        <v>8</v>
      </c>
      <c r="J114" s="268">
        <f ca="1">OFFSET('Tax value roll forward'!H$47,0,I114-1)-SUM('Tax value roll forward'!H172:OFFSET('Tax value roll forward'!H172,0,Input!$W$7-1))</f>
        <v>0</v>
      </c>
      <c r="K114" s="268">
        <f ca="1">IF(A8taxstdlife="N/A","n/a",IF(J114=0,0,A8taxstdlife+I114-Input!$W$7))</f>
        <v>0</v>
      </c>
      <c r="L114" s="114"/>
      <c r="M114" s="9"/>
      <c r="N114" s="9"/>
      <c r="O114" s="9"/>
      <c r="P114" s="9"/>
      <c r="Q114" s="9"/>
      <c r="R114" s="9"/>
      <c r="S114" s="261"/>
      <c r="T114" s="261"/>
      <c r="U114" s="261"/>
      <c r="V114" s="261"/>
      <c r="W114" s="261"/>
      <c r="X114" s="261"/>
      <c r="Y114" s="261"/>
      <c r="Z114" s="261"/>
    </row>
    <row r="115" spans="1:26" hidden="1" outlineLevel="1">
      <c r="A115" s="9"/>
      <c r="B115" s="9"/>
      <c r="C115" s="394"/>
      <c r="D115" s="91">
        <v>9</v>
      </c>
      <c r="E115" s="268">
        <f ca="1">OFFSET('Actual RAB roll forward'!H$51,0,D115-1)-SUM('Actual RAB roll forward'!H177:OFFSET('Actual RAB roll forward'!H177,0,Input!$W$7-1))</f>
        <v>0</v>
      </c>
      <c r="F115" s="268">
        <f ca="1">IF(A8stdlife="N/A","n/a",IF(E115=0,0,A8stdlife+D115-Input!$W$7))</f>
        <v>0</v>
      </c>
      <c r="G115" s="264"/>
      <c r="H115" s="394"/>
      <c r="I115" s="91">
        <v>9</v>
      </c>
      <c r="J115" s="268">
        <f ca="1">OFFSET('Tax value roll forward'!H$47,0,I115-1)-SUM('Tax value roll forward'!H173:OFFSET('Tax value roll forward'!H173,0,Input!$W$7-1))</f>
        <v>0</v>
      </c>
      <c r="K115" s="268">
        <f ca="1">IF(A8taxstdlife="N/A","n/a",IF(J115=0,0,A8taxstdlife+I115-Input!$W$7))</f>
        <v>0</v>
      </c>
      <c r="L115" s="114"/>
      <c r="M115" s="9"/>
      <c r="N115" s="9"/>
      <c r="O115" s="9"/>
      <c r="P115" s="9"/>
      <c r="Q115" s="9"/>
      <c r="R115" s="9"/>
      <c r="S115" s="261"/>
      <c r="T115" s="261"/>
      <c r="U115" s="261"/>
      <c r="V115" s="261"/>
      <c r="W115" s="261"/>
      <c r="X115" s="261"/>
      <c r="Y115" s="261"/>
      <c r="Z115" s="261"/>
    </row>
    <row r="116" spans="1:26" hidden="1" outlineLevel="1">
      <c r="A116" s="9"/>
      <c r="B116" s="9"/>
      <c r="C116" s="395"/>
      <c r="D116" s="92">
        <v>10</v>
      </c>
      <c r="E116" s="268">
        <f ca="1">OFFSET('Actual RAB roll forward'!H$51,0,D116-1)-SUM('Actual RAB roll forward'!H178:OFFSET('Actual RAB roll forward'!H178,0,Input!$W$7-1))</f>
        <v>0</v>
      </c>
      <c r="F116" s="268">
        <f ca="1">IF(A8stdlife="N/A","n/a",IF(E116=0,0,A8stdlife+D116-Input!$W$7))</f>
        <v>0</v>
      </c>
      <c r="G116" s="264"/>
      <c r="H116" s="395"/>
      <c r="I116" s="92">
        <v>10</v>
      </c>
      <c r="J116" s="268">
        <f ca="1">OFFSET('Tax value roll forward'!H$47,0,I116-1)-SUM('Tax value roll forward'!H174:OFFSET('Tax value roll forward'!H174,0,Input!$W$7-1))</f>
        <v>0</v>
      </c>
      <c r="K116" s="268">
        <f ca="1">IF(A8taxstdlife="N/A","n/a",IF(J116=0,0,A8taxstdlife+I116-Input!$W$7))</f>
        <v>0</v>
      </c>
      <c r="L116" s="114"/>
      <c r="M116" s="9"/>
      <c r="N116" s="9"/>
      <c r="O116" s="9"/>
      <c r="P116" s="9"/>
      <c r="Q116" s="9"/>
      <c r="R116" s="9"/>
      <c r="S116" s="261"/>
      <c r="T116" s="261"/>
      <c r="U116" s="261"/>
      <c r="V116" s="261"/>
      <c r="W116" s="261"/>
      <c r="X116" s="261"/>
      <c r="Y116" s="261"/>
      <c r="Z116" s="261"/>
    </row>
    <row r="117" spans="1:26" collapsed="1">
      <c r="A117" s="9"/>
      <c r="B117" s="9"/>
      <c r="C117" s="282" t="str">
        <f>Asset8</f>
        <v>Other - Buildings</v>
      </c>
      <c r="D117" s="9"/>
      <c r="E117" s="268">
        <f ca="1">SUM(E106:E116)</f>
        <v>18.321390865261186</v>
      </c>
      <c r="F117" s="268">
        <f ca="1">IF(E117=0,0,SUMPRODUCT(E106:E116,F106:F116)/E117)</f>
        <v>31.241279046673355</v>
      </c>
      <c r="G117" s="264"/>
      <c r="H117" s="43"/>
      <c r="I117" s="268"/>
      <c r="J117" s="268">
        <f ca="1">SUM(J106:J116)</f>
        <v>18.457239065390763</v>
      </c>
      <c r="K117" s="268">
        <f ca="1">IF(J117=0,0,SUMPRODUCT(J106:J116,K106:K116)/J117)</f>
        <v>31.300373214891799</v>
      </c>
      <c r="L117" s="114"/>
      <c r="M117" s="9"/>
      <c r="N117" s="9"/>
      <c r="O117" s="9"/>
      <c r="P117" s="9"/>
      <c r="Q117" s="9"/>
      <c r="R117" s="9"/>
      <c r="S117" s="261"/>
      <c r="T117" s="261"/>
      <c r="U117" s="261"/>
      <c r="V117" s="261"/>
      <c r="W117" s="261"/>
      <c r="X117" s="261"/>
      <c r="Y117" s="261"/>
      <c r="Z117" s="261"/>
    </row>
    <row r="118" spans="1:26" hidden="1" outlineLevel="1">
      <c r="A118" s="9"/>
      <c r="B118" s="9"/>
      <c r="C118" s="282"/>
      <c r="D118" s="9"/>
      <c r="E118" s="268"/>
      <c r="F118" s="268"/>
      <c r="G118" s="264"/>
      <c r="H118" s="268"/>
      <c r="I118" s="268"/>
      <c r="J118" s="273"/>
      <c r="K118" s="268"/>
      <c r="L118" s="114"/>
      <c r="M118" s="9"/>
      <c r="N118" s="9"/>
      <c r="O118" s="9"/>
      <c r="P118" s="9"/>
      <c r="Q118" s="9"/>
      <c r="R118" s="9"/>
      <c r="S118" s="261"/>
      <c r="T118" s="261"/>
      <c r="U118" s="261"/>
      <c r="V118" s="261"/>
      <c r="W118" s="261"/>
      <c r="X118" s="261"/>
      <c r="Y118" s="261"/>
      <c r="Z118" s="261"/>
    </row>
    <row r="119" spans="1:26" hidden="1" outlineLevel="1">
      <c r="A119" s="9"/>
      <c r="B119" s="280" t="str">
        <f>Asset9</f>
        <v>Land and Easements</v>
      </c>
      <c r="C119" s="9"/>
      <c r="D119" s="9"/>
      <c r="E119" s="114"/>
      <c r="F119" s="114"/>
      <c r="G119" s="264"/>
      <c r="H119" s="268"/>
      <c r="I119" s="268"/>
      <c r="J119" s="273"/>
      <c r="K119" s="268"/>
      <c r="L119" s="114"/>
      <c r="M119" s="9"/>
      <c r="N119" s="9"/>
      <c r="O119" s="9"/>
      <c r="P119" s="9"/>
      <c r="Q119" s="9"/>
      <c r="R119" s="9"/>
      <c r="S119" s="261"/>
      <c r="T119" s="261"/>
      <c r="U119" s="261"/>
      <c r="V119" s="261"/>
      <c r="W119" s="261"/>
      <c r="X119" s="261"/>
      <c r="Y119" s="261"/>
      <c r="Z119" s="261"/>
    </row>
    <row r="120" spans="1:26" ht="12.75" hidden="1" customHeight="1" outlineLevel="1">
      <c r="A120" s="9"/>
      <c r="B120" s="9"/>
      <c r="C120" s="396" t="s">
        <v>26</v>
      </c>
      <c r="D120" s="397"/>
      <c r="E120" s="338">
        <f ca="1">(A9value-'Actual RAB roll forward'!G638)-SUM('Actual RAB roll forward'!H180:OFFSET('Actual RAB roll forward'!H180,0,Input!$W$7-1))</f>
        <v>88.002304241435738</v>
      </c>
      <c r="F120" s="268" t="str">
        <f>IF(A9remlife="N/A","n/a",A9remlife-Input!$W$7)</f>
        <v>n/a</v>
      </c>
      <c r="G120" s="264"/>
      <c r="H120" s="306" t="s">
        <v>65</v>
      </c>
      <c r="I120" s="307"/>
      <c r="J120" s="268">
        <f ca="1">A9taxvalue-SUM('Tax value roll forward'!H176:OFFSET('Tax value roll forward'!H176,0,Input!$W$7-1))</f>
        <v>74.779829562411351</v>
      </c>
      <c r="K120" s="268" t="str">
        <f>IF(A9taxremlife="N/A","n/a",A9taxremlife-Input!$W$7)</f>
        <v>n/a</v>
      </c>
      <c r="L120" s="114"/>
      <c r="M120" s="9"/>
      <c r="N120" s="9"/>
      <c r="O120" s="9"/>
      <c r="P120" s="9"/>
      <c r="Q120" s="9"/>
      <c r="R120" s="9"/>
      <c r="S120" s="261"/>
      <c r="T120" s="261"/>
      <c r="U120" s="261"/>
      <c r="V120" s="261"/>
      <c r="W120" s="261"/>
      <c r="X120" s="261"/>
      <c r="Y120" s="261"/>
      <c r="Z120" s="261"/>
    </row>
    <row r="121" spans="1:26" hidden="1" outlineLevel="1">
      <c r="A121" s="9"/>
      <c r="B121" s="9"/>
      <c r="C121" s="393" t="s">
        <v>81</v>
      </c>
      <c r="D121" s="91">
        <v>1</v>
      </c>
      <c r="E121" s="268">
        <f ca="1">OFFSET('Actual RAB roll forward'!H$52,0,D121-1)-SUM('Actual RAB roll forward'!H182:OFFSET('Actual RAB roll forward'!H182,0,Input!$W$7-1))</f>
        <v>0</v>
      </c>
      <c r="F121" s="268" t="str">
        <f>IF(A9stdlife="N/A","n/a",IF(E121=0,0,A9stdlife+D121-Input!$W$7))</f>
        <v>n/a</v>
      </c>
      <c r="G121" s="264"/>
      <c r="H121" s="393" t="s">
        <v>81</v>
      </c>
      <c r="I121" s="91">
        <v>1</v>
      </c>
      <c r="J121" s="268">
        <f ca="1">OFFSET('Tax value roll forward'!H$48,0,I121-1)-SUM('Tax value roll forward'!H178:OFFSET('Tax value roll forward'!H178,0,Input!$W$7-1))</f>
        <v>0</v>
      </c>
      <c r="K121" s="268" t="str">
        <f>IF(A9taxstdlife="N/A","n/a",IF(J121=0,0,A9taxstdlife+I121-Input!$W$7))</f>
        <v>n/a</v>
      </c>
      <c r="L121" s="114"/>
      <c r="M121" s="9"/>
      <c r="N121" s="9"/>
      <c r="O121" s="9"/>
      <c r="P121" s="9"/>
      <c r="Q121" s="9"/>
      <c r="R121" s="9"/>
      <c r="S121" s="261"/>
      <c r="T121" s="261"/>
      <c r="U121" s="261"/>
      <c r="V121" s="261"/>
      <c r="W121" s="261"/>
      <c r="X121" s="261"/>
      <c r="Y121" s="261"/>
      <c r="Z121" s="261"/>
    </row>
    <row r="122" spans="1:26" hidden="1" outlineLevel="1">
      <c r="A122" s="9"/>
      <c r="B122" s="9"/>
      <c r="C122" s="394"/>
      <c r="D122" s="91">
        <v>2</v>
      </c>
      <c r="E122" s="268">
        <f ca="1">OFFSET('Actual RAB roll forward'!H$52,0,D122-1)-SUM('Actual RAB roll forward'!H183:OFFSET('Actual RAB roll forward'!H183,0,Input!$W$7-1))</f>
        <v>0</v>
      </c>
      <c r="F122" s="268" t="str">
        <f>IF(A9stdlife="N/A","n/a",IF(E122=0,0,A9stdlife+D122-Input!$W$7))</f>
        <v>n/a</v>
      </c>
      <c r="G122" s="264"/>
      <c r="H122" s="394"/>
      <c r="I122" s="91">
        <v>2</v>
      </c>
      <c r="J122" s="268">
        <f ca="1">OFFSET('Tax value roll forward'!H$48,0,I122-1)-SUM('Tax value roll forward'!H179:OFFSET('Tax value roll forward'!H179,0,Input!$W$7-1))</f>
        <v>0</v>
      </c>
      <c r="K122" s="268" t="str">
        <f>IF(A9taxstdlife="N/A","n/a",IF(J122=0,0,A9taxstdlife+I122-Input!$W$7))</f>
        <v>n/a</v>
      </c>
      <c r="L122" s="114"/>
      <c r="M122" s="9"/>
      <c r="N122" s="9"/>
      <c r="O122" s="9"/>
      <c r="P122" s="9"/>
      <c r="Q122" s="9"/>
      <c r="R122" s="9"/>
      <c r="S122" s="261"/>
      <c r="T122" s="261"/>
      <c r="U122" s="261"/>
      <c r="V122" s="261"/>
      <c r="W122" s="261"/>
      <c r="X122" s="261"/>
      <c r="Y122" s="261"/>
      <c r="Z122" s="261"/>
    </row>
    <row r="123" spans="1:26" hidden="1" outlineLevel="1">
      <c r="A123" s="9"/>
      <c r="B123" s="9"/>
      <c r="C123" s="394"/>
      <c r="D123" s="91">
        <v>3</v>
      </c>
      <c r="E123" s="268">
        <f ca="1">OFFSET('Actual RAB roll forward'!H$52,0,D123-1)-SUM('Actual RAB roll forward'!H184:OFFSET('Actual RAB roll forward'!H184,0,Input!$W$7-1))</f>
        <v>0</v>
      </c>
      <c r="F123" s="268" t="str">
        <f>IF(A9stdlife="N/A","n/a",IF(E123=0,0,A9stdlife+D123-Input!$W$7))</f>
        <v>n/a</v>
      </c>
      <c r="G123" s="264"/>
      <c r="H123" s="394"/>
      <c r="I123" s="91">
        <v>3</v>
      </c>
      <c r="J123" s="268">
        <f ca="1">OFFSET('Tax value roll forward'!H$48,0,I123-1)-SUM('Tax value roll forward'!H180:OFFSET('Tax value roll forward'!H180,0,Input!$W$7-1))</f>
        <v>0</v>
      </c>
      <c r="K123" s="268" t="str">
        <f>IF(A9taxstdlife="N/A","n/a",IF(J123=0,0,A9taxstdlife+I123-Input!$W$7))</f>
        <v>n/a</v>
      </c>
      <c r="L123" s="114"/>
      <c r="M123" s="9"/>
      <c r="N123" s="9"/>
      <c r="O123" s="9"/>
      <c r="P123" s="9"/>
      <c r="Q123" s="9"/>
      <c r="R123" s="9"/>
      <c r="S123" s="261"/>
      <c r="T123" s="261"/>
      <c r="U123" s="261"/>
      <c r="V123" s="261"/>
      <c r="W123" s="261"/>
      <c r="X123" s="261"/>
      <c r="Y123" s="261"/>
      <c r="Z123" s="261"/>
    </row>
    <row r="124" spans="1:26" hidden="1" outlineLevel="1">
      <c r="A124" s="9"/>
      <c r="B124" s="9"/>
      <c r="C124" s="394"/>
      <c r="D124" s="91">
        <v>4</v>
      </c>
      <c r="E124" s="268">
        <f ca="1">OFFSET('Actual RAB roll forward'!H$52,0,D124-1)-SUM('Actual RAB roll forward'!H185:OFFSET('Actual RAB roll forward'!H185,0,Input!$W$7-1))</f>
        <v>0</v>
      </c>
      <c r="F124" s="268" t="str">
        <f>IF(A9stdlife="N/A","n/a",IF(E124=0,0,A9stdlife+D124-Input!$W$7))</f>
        <v>n/a</v>
      </c>
      <c r="G124" s="264"/>
      <c r="H124" s="394"/>
      <c r="I124" s="91">
        <v>4</v>
      </c>
      <c r="J124" s="268">
        <f ca="1">OFFSET('Tax value roll forward'!H$48,0,I124-1)-SUM('Tax value roll forward'!H181:OFFSET('Tax value roll forward'!H181,0,Input!$W$7-1))</f>
        <v>0</v>
      </c>
      <c r="K124" s="268" t="str">
        <f>IF(A9taxstdlife="N/A","n/a",IF(J124=0,0,A9taxstdlife+I124-Input!$W$7))</f>
        <v>n/a</v>
      </c>
      <c r="L124" s="114"/>
      <c r="M124" s="9"/>
      <c r="N124" s="9"/>
      <c r="O124" s="9"/>
      <c r="P124" s="9"/>
      <c r="Q124" s="9"/>
      <c r="R124" s="9"/>
      <c r="S124" s="261"/>
      <c r="T124" s="261"/>
      <c r="U124" s="261"/>
      <c r="V124" s="261"/>
      <c r="W124" s="261"/>
      <c r="X124" s="261"/>
      <c r="Y124" s="261"/>
      <c r="Z124" s="261"/>
    </row>
    <row r="125" spans="1:26" hidden="1" outlineLevel="1">
      <c r="A125" s="9"/>
      <c r="B125" s="9"/>
      <c r="C125" s="394"/>
      <c r="D125" s="91">
        <v>5</v>
      </c>
      <c r="E125" s="268">
        <f ca="1">OFFSET('Actual RAB roll forward'!H$52,0,D125-1)-SUM('Actual RAB roll forward'!H186:OFFSET('Actual RAB roll forward'!H186,0,Input!$W$7-1))</f>
        <v>0</v>
      </c>
      <c r="F125" s="268" t="str">
        <f>IF(A9stdlife="N/A","n/a",IF(E125=0,0,A9stdlife+D125-Input!$W$7))</f>
        <v>n/a</v>
      </c>
      <c r="G125" s="264"/>
      <c r="H125" s="394"/>
      <c r="I125" s="91">
        <v>5</v>
      </c>
      <c r="J125" s="268">
        <f ca="1">OFFSET('Tax value roll forward'!H$48,0,I125-1)-SUM('Tax value roll forward'!H182:OFFSET('Tax value roll forward'!H182,0,Input!$W$7-1))</f>
        <v>0</v>
      </c>
      <c r="K125" s="268" t="str">
        <f>IF(A9taxstdlife="N/A","n/a",IF(J125=0,0,A9taxstdlife+I125-Input!$W$7))</f>
        <v>n/a</v>
      </c>
      <c r="L125" s="114"/>
      <c r="M125" s="9"/>
      <c r="N125" s="9"/>
      <c r="O125" s="9"/>
      <c r="P125" s="9"/>
      <c r="Q125" s="9"/>
      <c r="R125" s="9"/>
      <c r="S125" s="261"/>
      <c r="T125" s="261"/>
      <c r="U125" s="261"/>
      <c r="V125" s="261"/>
      <c r="W125" s="261"/>
      <c r="X125" s="261"/>
      <c r="Y125" s="261"/>
      <c r="Z125" s="261"/>
    </row>
    <row r="126" spans="1:26" hidden="1" outlineLevel="1">
      <c r="A126" s="9"/>
      <c r="B126" s="9"/>
      <c r="C126" s="394"/>
      <c r="D126" s="91">
        <v>6</v>
      </c>
      <c r="E126" s="268">
        <f ca="1">OFFSET('Actual RAB roll forward'!H$52,0,D126-1)-SUM('Actual RAB roll forward'!H187:OFFSET('Actual RAB roll forward'!H187,0,Input!$W$7-1))</f>
        <v>0</v>
      </c>
      <c r="F126" s="268" t="str">
        <f>IF(A9stdlife="N/A","n/a",IF(E126=0,0,A9stdlife+D126-Input!$W$7))</f>
        <v>n/a</v>
      </c>
      <c r="G126" s="264"/>
      <c r="H126" s="394"/>
      <c r="I126" s="91">
        <v>6</v>
      </c>
      <c r="J126" s="268">
        <f ca="1">OFFSET('Tax value roll forward'!H$48,0,I126-1)-SUM('Tax value roll forward'!H183:OFFSET('Tax value roll forward'!H183,0,Input!$W$7-1))</f>
        <v>0</v>
      </c>
      <c r="K126" s="268" t="str">
        <f>IF(A9taxstdlife="N/A","n/a",IF(J126=0,0,A9taxstdlife+I126-Input!$W$7))</f>
        <v>n/a</v>
      </c>
      <c r="L126" s="114"/>
      <c r="M126" s="9"/>
      <c r="N126" s="9"/>
      <c r="O126" s="9"/>
      <c r="P126" s="9"/>
      <c r="Q126" s="9"/>
      <c r="R126" s="9"/>
      <c r="S126" s="261"/>
      <c r="T126" s="261"/>
      <c r="U126" s="261"/>
      <c r="V126" s="261"/>
      <c r="W126" s="261"/>
      <c r="X126" s="261"/>
      <c r="Y126" s="261"/>
      <c r="Z126" s="261"/>
    </row>
    <row r="127" spans="1:26" hidden="1" outlineLevel="1">
      <c r="A127" s="9"/>
      <c r="B127" s="9"/>
      <c r="C127" s="394"/>
      <c r="D127" s="91">
        <v>7</v>
      </c>
      <c r="E127" s="268">
        <f ca="1">OFFSET('Actual RAB roll forward'!H$52,0,D127-1)-SUM('Actual RAB roll forward'!H188:OFFSET('Actual RAB roll forward'!H188,0,Input!$W$7-1))</f>
        <v>0</v>
      </c>
      <c r="F127" s="268" t="str">
        <f>IF(A9stdlife="N/A","n/a",IF(E127=0,0,A9stdlife+D127-Input!$W$7))</f>
        <v>n/a</v>
      </c>
      <c r="G127" s="264"/>
      <c r="H127" s="394"/>
      <c r="I127" s="91">
        <v>7</v>
      </c>
      <c r="J127" s="268">
        <f ca="1">OFFSET('Tax value roll forward'!H$48,0,I127-1)-SUM('Tax value roll forward'!H184:OFFSET('Tax value roll forward'!H184,0,Input!$W$7-1))</f>
        <v>0</v>
      </c>
      <c r="K127" s="268" t="str">
        <f>IF(A9taxstdlife="N/A","n/a",IF(J127=0,0,A9taxstdlife+I127-Input!$W$7))</f>
        <v>n/a</v>
      </c>
      <c r="L127" s="114"/>
      <c r="M127" s="9"/>
      <c r="N127" s="9"/>
      <c r="O127" s="9"/>
      <c r="P127" s="9"/>
      <c r="Q127" s="9"/>
      <c r="R127" s="9"/>
      <c r="S127" s="261"/>
      <c r="T127" s="261"/>
      <c r="U127" s="261"/>
      <c r="V127" s="261"/>
      <c r="W127" s="261"/>
      <c r="X127" s="261"/>
      <c r="Y127" s="261"/>
      <c r="Z127" s="261"/>
    </row>
    <row r="128" spans="1:26" hidden="1" outlineLevel="1">
      <c r="A128" s="9"/>
      <c r="B128" s="9"/>
      <c r="C128" s="394"/>
      <c r="D128" s="91">
        <v>8</v>
      </c>
      <c r="E128" s="268">
        <f ca="1">OFFSET('Actual RAB roll forward'!H$52,0,D128-1)-SUM('Actual RAB roll forward'!H189:OFFSET('Actual RAB roll forward'!H189,0,Input!$W$7-1))</f>
        <v>0</v>
      </c>
      <c r="F128" s="268" t="str">
        <f>IF(A9stdlife="N/A","n/a",IF(E128=0,0,A9stdlife+D128-Input!$W$7))</f>
        <v>n/a</v>
      </c>
      <c r="G128" s="264"/>
      <c r="H128" s="394"/>
      <c r="I128" s="91">
        <v>8</v>
      </c>
      <c r="J128" s="268">
        <f ca="1">OFFSET('Tax value roll forward'!H$48,0,I128-1)-SUM('Tax value roll forward'!H185:OFFSET('Tax value roll forward'!H185,0,Input!$W$7-1))</f>
        <v>0</v>
      </c>
      <c r="K128" s="268" t="str">
        <f>IF(A9taxstdlife="N/A","n/a",IF(J128=0,0,A9taxstdlife+I128-Input!$W$7))</f>
        <v>n/a</v>
      </c>
      <c r="L128" s="114"/>
      <c r="M128" s="9"/>
      <c r="N128" s="9"/>
      <c r="O128" s="9"/>
      <c r="P128" s="9"/>
      <c r="Q128" s="9"/>
      <c r="R128" s="9"/>
      <c r="S128" s="261"/>
      <c r="T128" s="261"/>
      <c r="U128" s="261"/>
      <c r="V128" s="261"/>
      <c r="W128" s="261"/>
      <c r="X128" s="261"/>
      <c r="Y128" s="261"/>
      <c r="Z128" s="261"/>
    </row>
    <row r="129" spans="1:26" hidden="1" outlineLevel="1">
      <c r="A129" s="9"/>
      <c r="B129" s="9"/>
      <c r="C129" s="394"/>
      <c r="D129" s="91">
        <v>9</v>
      </c>
      <c r="E129" s="268">
        <f ca="1">OFFSET('Actual RAB roll forward'!H$52,0,D129-1)-SUM('Actual RAB roll forward'!H190:OFFSET('Actual RAB roll forward'!H190,0,Input!$W$7-1))</f>
        <v>0</v>
      </c>
      <c r="F129" s="268" t="str">
        <f>IF(A9stdlife="N/A","n/a",IF(E129=0,0,A9stdlife+D129-Input!$W$7))</f>
        <v>n/a</v>
      </c>
      <c r="G129" s="264"/>
      <c r="H129" s="394"/>
      <c r="I129" s="91">
        <v>9</v>
      </c>
      <c r="J129" s="268">
        <f ca="1">OFFSET('Tax value roll forward'!H$48,0,I129-1)-SUM('Tax value roll forward'!H186:OFFSET('Tax value roll forward'!H186,0,Input!$W$7-1))</f>
        <v>0</v>
      </c>
      <c r="K129" s="268" t="str">
        <f>IF(A9taxstdlife="N/A","n/a",IF(J129=0,0,A9taxstdlife+I129-Input!$W$7))</f>
        <v>n/a</v>
      </c>
      <c r="L129" s="114"/>
      <c r="M129" s="9"/>
      <c r="N129" s="9"/>
      <c r="O129" s="9"/>
      <c r="P129" s="9"/>
      <c r="Q129" s="9"/>
      <c r="R129" s="9"/>
      <c r="S129" s="261"/>
      <c r="T129" s="261"/>
      <c r="U129" s="261"/>
      <c r="V129" s="261"/>
      <c r="W129" s="261"/>
      <c r="X129" s="261"/>
      <c r="Y129" s="261"/>
      <c r="Z129" s="261"/>
    </row>
    <row r="130" spans="1:26" hidden="1" outlineLevel="1">
      <c r="A130" s="9"/>
      <c r="B130" s="9"/>
      <c r="C130" s="395"/>
      <c r="D130" s="92">
        <v>10</v>
      </c>
      <c r="E130" s="268">
        <f ca="1">OFFSET('Actual RAB roll forward'!H$52,0,D130-1)-SUM('Actual RAB roll forward'!H191:OFFSET('Actual RAB roll forward'!H191,0,Input!$W$7-1))</f>
        <v>0</v>
      </c>
      <c r="F130" s="268" t="str">
        <f>IF(A9stdlife="N/A","n/a",IF(E130=0,0,A9stdlife+D130-Input!$W$7))</f>
        <v>n/a</v>
      </c>
      <c r="G130" s="264"/>
      <c r="H130" s="395"/>
      <c r="I130" s="92">
        <v>10</v>
      </c>
      <c r="J130" s="268">
        <f ca="1">OFFSET('Tax value roll forward'!H$48,0,I130-1)-SUM('Tax value roll forward'!H187:OFFSET('Tax value roll forward'!H187,0,Input!$W$7-1))</f>
        <v>0</v>
      </c>
      <c r="K130" s="268" t="str">
        <f>IF(A9taxstdlife="N/A","n/a",IF(J130=0,0,A9taxstdlife+I130-Input!$W$7))</f>
        <v>n/a</v>
      </c>
      <c r="L130" s="114"/>
      <c r="M130" s="9"/>
      <c r="N130" s="9"/>
      <c r="O130" s="9"/>
      <c r="P130" s="9"/>
      <c r="Q130" s="9"/>
      <c r="R130" s="9"/>
      <c r="S130" s="261"/>
      <c r="T130" s="261"/>
      <c r="U130" s="261"/>
      <c r="V130" s="261"/>
      <c r="W130" s="261"/>
      <c r="X130" s="261"/>
      <c r="Y130" s="261"/>
      <c r="Z130" s="261"/>
    </row>
    <row r="131" spans="1:26" collapsed="1">
      <c r="A131" s="9"/>
      <c r="B131" s="9"/>
      <c r="C131" s="282" t="str">
        <f>Asset9</f>
        <v>Land and Easements</v>
      </c>
      <c r="D131" s="9"/>
      <c r="E131" s="268">
        <f ca="1">SUM(E120:E130)</f>
        <v>88.002304241435738</v>
      </c>
      <c r="F131" s="268">
        <f ca="1">IF(E131=0,0,SUMPRODUCT(E120:E130,F120:F130)/E131)</f>
        <v>0</v>
      </c>
      <c r="G131" s="264"/>
      <c r="H131" s="43"/>
      <c r="I131" s="268"/>
      <c r="J131" s="268">
        <f ca="1">SUM(J120:J130)</f>
        <v>74.779829562411351</v>
      </c>
      <c r="K131" s="268">
        <f ca="1">IF(J131=0,0,SUMPRODUCT(J120:J130,K120:K130)/J131)</f>
        <v>0</v>
      </c>
      <c r="L131" s="114"/>
      <c r="M131" s="9"/>
      <c r="N131" s="9"/>
      <c r="O131" s="9"/>
      <c r="P131" s="9"/>
      <c r="Q131" s="9"/>
      <c r="R131" s="9"/>
      <c r="S131" s="261"/>
      <c r="T131" s="261"/>
      <c r="U131" s="261"/>
      <c r="V131" s="261"/>
      <c r="W131" s="261"/>
      <c r="X131" s="261"/>
      <c r="Y131" s="261"/>
      <c r="Z131" s="261"/>
    </row>
    <row r="132" spans="1:26" hidden="1" outlineLevel="1">
      <c r="A132" s="9"/>
      <c r="B132" s="9"/>
      <c r="C132" s="282"/>
      <c r="D132" s="9"/>
      <c r="E132" s="268"/>
      <c r="F132" s="268"/>
      <c r="G132" s="264"/>
      <c r="H132" s="268"/>
      <c r="I132" s="268"/>
      <c r="J132" s="273"/>
      <c r="K132" s="268"/>
      <c r="L132" s="114"/>
      <c r="M132" s="9"/>
      <c r="N132" s="9"/>
      <c r="O132" s="9"/>
      <c r="P132" s="9"/>
      <c r="Q132" s="9"/>
      <c r="R132" s="9"/>
      <c r="S132" s="261"/>
      <c r="T132" s="261"/>
      <c r="U132" s="261"/>
      <c r="V132" s="261"/>
      <c r="W132" s="261"/>
      <c r="X132" s="261"/>
      <c r="Y132" s="261"/>
      <c r="Z132" s="261"/>
    </row>
    <row r="133" spans="1:26" hidden="1" outlineLevel="1">
      <c r="A133" s="9"/>
      <c r="B133" s="280" t="str">
        <f>Asset10</f>
        <v>Transmission line assets - long life (60)</v>
      </c>
      <c r="C133" s="9"/>
      <c r="D133" s="9"/>
      <c r="E133" s="35"/>
      <c r="F133" s="35"/>
      <c r="G133" s="264"/>
      <c r="H133" s="268"/>
      <c r="I133" s="268"/>
      <c r="J133" s="273"/>
      <c r="K133" s="268"/>
      <c r="L133" s="114"/>
      <c r="M133" s="9"/>
      <c r="N133" s="9"/>
      <c r="O133" s="9"/>
      <c r="P133" s="9"/>
      <c r="Q133" s="9"/>
      <c r="R133" s="9"/>
      <c r="S133" s="261"/>
      <c r="T133" s="261"/>
      <c r="U133" s="261"/>
      <c r="V133" s="261"/>
      <c r="W133" s="261"/>
      <c r="X133" s="261"/>
      <c r="Y133" s="261"/>
      <c r="Z133" s="261"/>
    </row>
    <row r="134" spans="1:26" ht="12.75" hidden="1" customHeight="1" outlineLevel="1">
      <c r="A134" s="9"/>
      <c r="B134" s="9"/>
      <c r="C134" s="396" t="s">
        <v>26</v>
      </c>
      <c r="D134" s="397"/>
      <c r="E134" s="338">
        <f ca="1">(A10value-'Actual RAB roll forward'!G639)-SUM('Actual RAB roll forward'!H193:OFFSET('Actual RAB roll forward'!H193,0,Input!$W$7-1))</f>
        <v>0</v>
      </c>
      <c r="F134" s="268" t="str">
        <f>IF(A10remlife="N/A","n/a",A10remlife-Input!$W$7)</f>
        <v>n/a</v>
      </c>
      <c r="G134" s="264"/>
      <c r="H134" s="306" t="s">
        <v>65</v>
      </c>
      <c r="I134" s="307"/>
      <c r="J134" s="268">
        <f ca="1">A10taxvalue-SUM('Tax value roll forward'!H189:OFFSET('Tax value roll forward'!H189,0,Input!$W$7-1))</f>
        <v>0</v>
      </c>
      <c r="K134" s="268" t="str">
        <f>IF(A10taxremlife="N/A","n/a",A10taxremlife-Input!$W$7)</f>
        <v>n/a</v>
      </c>
      <c r="L134" s="114"/>
      <c r="M134" s="9"/>
      <c r="N134" s="9"/>
      <c r="O134" s="9"/>
      <c r="P134" s="9"/>
      <c r="Q134" s="9"/>
      <c r="R134" s="9"/>
      <c r="S134" s="261"/>
      <c r="T134" s="261"/>
      <c r="U134" s="261"/>
      <c r="V134" s="261"/>
      <c r="W134" s="261"/>
      <c r="X134" s="261"/>
      <c r="Y134" s="261"/>
      <c r="Z134" s="261"/>
    </row>
    <row r="135" spans="1:26" hidden="1" outlineLevel="1">
      <c r="A135" s="9"/>
      <c r="B135" s="9"/>
      <c r="C135" s="393" t="s">
        <v>81</v>
      </c>
      <c r="D135" s="91">
        <v>1</v>
      </c>
      <c r="E135" s="268">
        <f ca="1">OFFSET('Actual RAB roll forward'!H$53,0,D135-1)-SUM('Actual RAB roll forward'!H195:OFFSET('Actual RAB roll forward'!H195,0,Input!$W$7-1))</f>
        <v>1.1465037944938448</v>
      </c>
      <c r="F135" s="268">
        <f ca="1">IF(A10stdlife="N/A","n/a",IF(E135=0,0,A10stdlife+D135-Input!$W$7))</f>
        <v>56</v>
      </c>
      <c r="G135" s="264"/>
      <c r="H135" s="393" t="s">
        <v>81</v>
      </c>
      <c r="I135" s="91">
        <v>1</v>
      </c>
      <c r="J135" s="268">
        <f ca="1">OFFSET('Tax value roll forward'!H$49,0,I135-1)-SUM('Tax value roll forward'!H191:OFFSET('Tax value roll forward'!H191,0,Input!$W$7-1))</f>
        <v>1.1178328</v>
      </c>
      <c r="K135" s="268">
        <f ca="1">IF(A10taxstdlife="N/A","n/a",IF(J135=0,0,A10taxstdlife+I135-Input!$W$7))</f>
        <v>56</v>
      </c>
      <c r="L135" s="114"/>
      <c r="M135" s="9"/>
      <c r="N135" s="9"/>
      <c r="O135" s="9"/>
      <c r="P135" s="9"/>
      <c r="Q135" s="9"/>
      <c r="R135" s="9"/>
      <c r="S135" s="261"/>
      <c r="T135" s="261"/>
      <c r="U135" s="261"/>
      <c r="V135" s="261"/>
      <c r="W135" s="261"/>
      <c r="X135" s="261"/>
      <c r="Y135" s="261"/>
      <c r="Z135" s="261"/>
    </row>
    <row r="136" spans="1:26" hidden="1" outlineLevel="1">
      <c r="A136" s="9"/>
      <c r="B136" s="9"/>
      <c r="C136" s="394"/>
      <c r="D136" s="91">
        <v>2</v>
      </c>
      <c r="E136" s="268">
        <f ca="1">OFFSET('Actual RAB roll forward'!H$53,0,D136-1)-SUM('Actual RAB roll forward'!H196:OFFSET('Actual RAB roll forward'!H196,0,Input!$W$7-1))</f>
        <v>105.02326169136884</v>
      </c>
      <c r="F136" s="268">
        <f ca="1">IF(A10stdlife="N/A","n/a",IF(E136=0,0,A10stdlife+D136-Input!$W$7))</f>
        <v>57</v>
      </c>
      <c r="G136" s="264"/>
      <c r="H136" s="394"/>
      <c r="I136" s="91">
        <v>2</v>
      </c>
      <c r="J136" s="268">
        <f ca="1">OFFSET('Tax value roll forward'!H$49,0,I136-1)-SUM('Tax value roll forward'!H192:OFFSET('Tax value roll forward'!H192,0,Input!$W$7-1))</f>
        <v>105.127</v>
      </c>
      <c r="K136" s="268">
        <f ca="1">IF(A10taxstdlife="N/A","n/a",IF(J136=0,0,A10taxstdlife+I136-Input!$W$7))</f>
        <v>57</v>
      </c>
      <c r="L136" s="114"/>
      <c r="M136" s="9"/>
      <c r="N136" s="9"/>
      <c r="O136" s="9"/>
      <c r="P136" s="9"/>
      <c r="Q136" s="9"/>
      <c r="R136" s="9"/>
      <c r="S136" s="261"/>
      <c r="T136" s="261"/>
      <c r="U136" s="261"/>
      <c r="V136" s="261"/>
      <c r="W136" s="261"/>
      <c r="X136" s="261"/>
      <c r="Y136" s="261"/>
      <c r="Z136" s="261"/>
    </row>
    <row r="137" spans="1:26" hidden="1" outlineLevel="1">
      <c r="A137" s="9"/>
      <c r="B137" s="9"/>
      <c r="C137" s="394"/>
      <c r="D137" s="91">
        <v>3</v>
      </c>
      <c r="E137" s="268">
        <f ca="1">OFFSET('Actual RAB roll forward'!H$53,0,D137-1)-SUM('Actual RAB roll forward'!H197:OFFSET('Actual RAB roll forward'!H197,0,Input!$W$7-1))</f>
        <v>16.325176023185715</v>
      </c>
      <c r="F137" s="268">
        <f ca="1">IF(A10stdlife="N/A","n/a",IF(E137=0,0,A10stdlife+D137-Input!$W$7))</f>
        <v>58</v>
      </c>
      <c r="G137" s="264"/>
      <c r="H137" s="394"/>
      <c r="I137" s="91">
        <v>3</v>
      </c>
      <c r="J137" s="268">
        <f ca="1">OFFSET('Tax value roll forward'!H$49,0,I137-1)-SUM('Tax value roll forward'!H193:OFFSET('Tax value roll forward'!H193,0,Input!$W$7-1))</f>
        <v>17.03073333333333</v>
      </c>
      <c r="K137" s="268">
        <f ca="1">IF(A10taxstdlife="N/A","n/a",IF(J137=0,0,A10taxstdlife+I137-Input!$W$7))</f>
        <v>58</v>
      </c>
      <c r="L137" s="114"/>
      <c r="M137" s="9"/>
      <c r="N137" s="9"/>
      <c r="O137" s="9"/>
      <c r="P137" s="9"/>
      <c r="Q137" s="9"/>
      <c r="R137" s="9"/>
      <c r="S137" s="261"/>
      <c r="T137" s="261"/>
      <c r="U137" s="261"/>
      <c r="V137" s="261"/>
      <c r="W137" s="261"/>
      <c r="X137" s="261"/>
      <c r="Y137" s="261"/>
      <c r="Z137" s="261"/>
    </row>
    <row r="138" spans="1:26" hidden="1" outlineLevel="1">
      <c r="A138" s="9"/>
      <c r="B138" s="9"/>
      <c r="C138" s="394"/>
      <c r="D138" s="91">
        <v>4</v>
      </c>
      <c r="E138" s="268">
        <f ca="1">OFFSET('Actual RAB roll forward'!H$53,0,D138-1)-SUM('Actual RAB roll forward'!H198:OFFSET('Actual RAB roll forward'!H198,0,Input!$W$7-1))</f>
        <v>9.076542267458521</v>
      </c>
      <c r="F138" s="268">
        <f ca="1">IF(A10stdlife="N/A","n/a",IF(E138=0,0,A10stdlife+D138-Input!$W$7))</f>
        <v>59</v>
      </c>
      <c r="G138" s="264"/>
      <c r="H138" s="394"/>
      <c r="I138" s="91">
        <v>4</v>
      </c>
      <c r="J138" s="268">
        <f ca="1">OFFSET('Tax value roll forward'!H$49,0,I138-1)-SUM('Tax value roll forward'!H194:OFFSET('Tax value roll forward'!H194,0,Input!$W$7-1))</f>
        <v>9.5756999999999994</v>
      </c>
      <c r="K138" s="268">
        <f ca="1">IF(A10taxstdlife="N/A","n/a",IF(J138=0,0,A10taxstdlife+I138-Input!$W$7))</f>
        <v>59</v>
      </c>
      <c r="L138" s="114"/>
      <c r="M138" s="9"/>
      <c r="N138" s="9"/>
      <c r="O138" s="9"/>
      <c r="P138" s="9"/>
      <c r="Q138" s="9"/>
      <c r="R138" s="9"/>
      <c r="S138" s="261"/>
      <c r="T138" s="261"/>
      <c r="U138" s="261"/>
      <c r="V138" s="261"/>
      <c r="W138" s="261"/>
      <c r="X138" s="261"/>
      <c r="Y138" s="261"/>
      <c r="Z138" s="261"/>
    </row>
    <row r="139" spans="1:26" hidden="1" outlineLevel="1">
      <c r="A139" s="9"/>
      <c r="B139" s="9"/>
      <c r="C139" s="394"/>
      <c r="D139" s="91">
        <v>5</v>
      </c>
      <c r="E139" s="268">
        <f ca="1">OFFSET('Actual RAB roll forward'!H$53,0,D139-1)-SUM('Actual RAB roll forward'!H199:OFFSET('Actual RAB roll forward'!H199,0,Input!$W$7-1))</f>
        <v>38.19873126886219</v>
      </c>
      <c r="F139" s="268">
        <f ca="1">IF(A10stdlife="N/A","n/a",IF(E139=0,0,A10stdlife+D139-Input!$W$7))</f>
        <v>60</v>
      </c>
      <c r="G139" s="264"/>
      <c r="H139" s="394"/>
      <c r="I139" s="91">
        <v>5</v>
      </c>
      <c r="J139" s="268">
        <f ca="1">OFFSET('Tax value roll forward'!H$49,0,I139-1)-SUM('Tax value roll forward'!H195:OFFSET('Tax value roll forward'!H195,0,Input!$W$7-1))</f>
        <v>41.308441065679425</v>
      </c>
      <c r="K139" s="268">
        <f ca="1">IF(A10taxstdlife="N/A","n/a",IF(J139=0,0,A10taxstdlife+I139-Input!$W$7))</f>
        <v>60</v>
      </c>
      <c r="L139" s="114"/>
      <c r="M139" s="9"/>
      <c r="N139" s="9"/>
      <c r="O139" s="9"/>
      <c r="P139" s="9"/>
      <c r="Q139" s="9"/>
      <c r="R139" s="9"/>
      <c r="S139" s="261"/>
      <c r="T139" s="261"/>
      <c r="U139" s="261"/>
      <c r="V139" s="261"/>
      <c r="W139" s="261"/>
      <c r="X139" s="261"/>
      <c r="Y139" s="261"/>
      <c r="Z139" s="261"/>
    </row>
    <row r="140" spans="1:26" hidden="1" outlineLevel="1">
      <c r="A140" s="9"/>
      <c r="B140" s="9"/>
      <c r="C140" s="394"/>
      <c r="D140" s="91">
        <v>6</v>
      </c>
      <c r="E140" s="268">
        <f ca="1">OFFSET('Actual RAB roll forward'!H$53,0,D140-1)-SUM('Actual RAB roll forward'!H200:OFFSET('Actual RAB roll forward'!H200,0,Input!$W$7-1))</f>
        <v>0</v>
      </c>
      <c r="F140" s="268">
        <f ca="1">IF(A10stdlife="N/A","n/a",IF(E140=0,0,A10stdlife+D140-Input!$W$7))</f>
        <v>0</v>
      </c>
      <c r="G140" s="264"/>
      <c r="H140" s="394"/>
      <c r="I140" s="91">
        <v>6</v>
      </c>
      <c r="J140" s="268">
        <f ca="1">OFFSET('Tax value roll forward'!H$49,0,I140-1)-SUM('Tax value roll forward'!H196:OFFSET('Tax value roll forward'!H196,0,Input!$W$7-1))</f>
        <v>0</v>
      </c>
      <c r="K140" s="268">
        <f ca="1">IF(A10taxstdlife="N/A","n/a",IF(J140=0,0,A10taxstdlife+I140-Input!$W$7))</f>
        <v>0</v>
      </c>
      <c r="L140" s="114"/>
      <c r="M140" s="9"/>
      <c r="N140" s="9"/>
      <c r="O140" s="9"/>
      <c r="P140" s="9"/>
      <c r="Q140" s="9"/>
      <c r="R140" s="9"/>
      <c r="S140" s="261"/>
      <c r="T140" s="261"/>
      <c r="U140" s="261"/>
      <c r="V140" s="261"/>
      <c r="W140" s="261"/>
      <c r="X140" s="261"/>
      <c r="Y140" s="261"/>
      <c r="Z140" s="261"/>
    </row>
    <row r="141" spans="1:26" hidden="1" outlineLevel="1">
      <c r="A141" s="9"/>
      <c r="B141" s="9"/>
      <c r="C141" s="394"/>
      <c r="D141" s="91">
        <v>7</v>
      </c>
      <c r="E141" s="268">
        <f ca="1">OFFSET('Actual RAB roll forward'!H$53,0,D141-1)-SUM('Actual RAB roll forward'!H201:OFFSET('Actual RAB roll forward'!H201,0,Input!$W$7-1))</f>
        <v>0</v>
      </c>
      <c r="F141" s="268">
        <f ca="1">IF(A10stdlife="N/A","n/a",IF(E141=0,0,A10stdlife+D141-Input!$W$7))</f>
        <v>0</v>
      </c>
      <c r="G141" s="264"/>
      <c r="H141" s="394"/>
      <c r="I141" s="91">
        <v>7</v>
      </c>
      <c r="J141" s="268">
        <f ca="1">OFFSET('Tax value roll forward'!H$49,0,I141-1)-SUM('Tax value roll forward'!H197:OFFSET('Tax value roll forward'!H197,0,Input!$W$7-1))</f>
        <v>0</v>
      </c>
      <c r="K141" s="268">
        <f ca="1">IF(A10taxstdlife="N/A","n/a",IF(J141=0,0,A10taxstdlife+I141-Input!$W$7))</f>
        <v>0</v>
      </c>
      <c r="L141" s="114"/>
      <c r="M141" s="9"/>
      <c r="N141" s="9"/>
      <c r="O141" s="9"/>
      <c r="P141" s="9"/>
      <c r="Q141" s="9"/>
      <c r="R141" s="9"/>
      <c r="S141" s="261"/>
      <c r="T141" s="261"/>
      <c r="U141" s="261"/>
      <c r="V141" s="261"/>
      <c r="W141" s="261"/>
      <c r="X141" s="261"/>
      <c r="Y141" s="261"/>
      <c r="Z141" s="261"/>
    </row>
    <row r="142" spans="1:26" hidden="1" outlineLevel="1">
      <c r="A142" s="9"/>
      <c r="B142" s="9"/>
      <c r="C142" s="394"/>
      <c r="D142" s="91">
        <v>8</v>
      </c>
      <c r="E142" s="268">
        <f ca="1">OFFSET('Actual RAB roll forward'!H$53,0,D142-1)-SUM('Actual RAB roll forward'!H202:OFFSET('Actual RAB roll forward'!H202,0,Input!$W$7-1))</f>
        <v>0</v>
      </c>
      <c r="F142" s="268">
        <f ca="1">IF(A10stdlife="N/A","n/a",IF(E142=0,0,A10stdlife+D142-Input!$W$7))</f>
        <v>0</v>
      </c>
      <c r="G142" s="264"/>
      <c r="H142" s="394"/>
      <c r="I142" s="91">
        <v>8</v>
      </c>
      <c r="J142" s="268">
        <f ca="1">OFFSET('Tax value roll forward'!H$49,0,I142-1)-SUM('Tax value roll forward'!H198:OFFSET('Tax value roll forward'!H198,0,Input!$W$7-1))</f>
        <v>0</v>
      </c>
      <c r="K142" s="268">
        <f ca="1">IF(A10taxstdlife="N/A","n/a",IF(J142=0,0,A10taxstdlife+I142-Input!$W$7))</f>
        <v>0</v>
      </c>
      <c r="L142" s="114"/>
      <c r="M142" s="9"/>
      <c r="N142" s="9"/>
      <c r="O142" s="9"/>
      <c r="P142" s="9"/>
      <c r="Q142" s="9"/>
      <c r="R142" s="9"/>
      <c r="S142" s="261"/>
      <c r="T142" s="261"/>
      <c r="U142" s="261"/>
      <c r="V142" s="261"/>
      <c r="W142" s="261"/>
      <c r="X142" s="261"/>
      <c r="Y142" s="261"/>
      <c r="Z142" s="261"/>
    </row>
    <row r="143" spans="1:26" hidden="1" outlineLevel="1">
      <c r="A143" s="9"/>
      <c r="B143" s="9"/>
      <c r="C143" s="394"/>
      <c r="D143" s="91">
        <v>9</v>
      </c>
      <c r="E143" s="268">
        <f ca="1">OFFSET('Actual RAB roll forward'!H$53,0,D143-1)-SUM('Actual RAB roll forward'!H203:OFFSET('Actual RAB roll forward'!H203,0,Input!$W$7-1))</f>
        <v>0</v>
      </c>
      <c r="F143" s="268">
        <f ca="1">IF(A10stdlife="N/A","n/a",IF(E143=0,0,A10stdlife+D143-Input!$W$7))</f>
        <v>0</v>
      </c>
      <c r="G143" s="264"/>
      <c r="H143" s="394"/>
      <c r="I143" s="91">
        <v>9</v>
      </c>
      <c r="J143" s="268">
        <f ca="1">OFFSET('Tax value roll forward'!H$49,0,I143-1)-SUM('Tax value roll forward'!H199:OFFSET('Tax value roll forward'!H199,0,Input!$W$7-1))</f>
        <v>0</v>
      </c>
      <c r="K143" s="268">
        <f ca="1">IF(A10taxstdlife="N/A","n/a",IF(J143=0,0,A10taxstdlife+I143-Input!$W$7))</f>
        <v>0</v>
      </c>
      <c r="L143" s="114"/>
      <c r="M143" s="9"/>
      <c r="N143" s="9"/>
      <c r="O143" s="9"/>
      <c r="P143" s="9"/>
      <c r="Q143" s="9"/>
      <c r="R143" s="9"/>
      <c r="S143" s="261"/>
      <c r="T143" s="261"/>
      <c r="U143" s="261"/>
      <c r="V143" s="261"/>
      <c r="W143" s="261"/>
      <c r="X143" s="261"/>
      <c r="Y143" s="261"/>
      <c r="Z143" s="261"/>
    </row>
    <row r="144" spans="1:26" hidden="1" outlineLevel="1">
      <c r="A144" s="9"/>
      <c r="B144" s="9"/>
      <c r="C144" s="395"/>
      <c r="D144" s="92">
        <v>10</v>
      </c>
      <c r="E144" s="268">
        <f ca="1">OFFSET('Actual RAB roll forward'!H$53,0,D144-1)-SUM('Actual RAB roll forward'!H204:OFFSET('Actual RAB roll forward'!H204,0,Input!$W$7-1))</f>
        <v>0</v>
      </c>
      <c r="F144" s="268">
        <f ca="1">IF(A10stdlife="N/A","n/a",IF(E144=0,0,A10stdlife+D144-Input!$W$7))</f>
        <v>0</v>
      </c>
      <c r="G144" s="264"/>
      <c r="H144" s="395"/>
      <c r="I144" s="92">
        <v>10</v>
      </c>
      <c r="J144" s="268">
        <f ca="1">OFFSET('Tax value roll forward'!H$49,0,I144-1)-SUM('Tax value roll forward'!H200:OFFSET('Tax value roll forward'!H200,0,Input!$W$7-1))</f>
        <v>0</v>
      </c>
      <c r="K144" s="268">
        <f ca="1">IF(A10taxstdlife="N/A","n/a",IF(J144=0,0,A10taxstdlife+I144-Input!$W$7))</f>
        <v>0</v>
      </c>
      <c r="L144" s="114"/>
      <c r="M144" s="9"/>
      <c r="N144" s="9"/>
      <c r="O144" s="9"/>
      <c r="P144" s="9"/>
      <c r="Q144" s="9"/>
      <c r="R144" s="9"/>
      <c r="S144" s="261"/>
      <c r="T144" s="261"/>
      <c r="U144" s="261"/>
      <c r="V144" s="261"/>
      <c r="W144" s="261"/>
      <c r="X144" s="261"/>
      <c r="Y144" s="261"/>
      <c r="Z144" s="261"/>
    </row>
    <row r="145" spans="1:26" collapsed="1">
      <c r="A145" s="9"/>
      <c r="B145" s="9"/>
      <c r="C145" s="282" t="str">
        <f>Asset10</f>
        <v>Transmission line assets - long life (60)</v>
      </c>
      <c r="D145" s="9"/>
      <c r="E145" s="268">
        <f ca="1">SUM(E134:E144)</f>
        <v>169.7702150453691</v>
      </c>
      <c r="F145" s="268">
        <f ca="1">IF(E145=0,0,SUMPRODUCT(E134:E144,F134:F144)/E145)</f>
        <v>57.871342187619099</v>
      </c>
      <c r="G145" s="264"/>
      <c r="H145" s="43"/>
      <c r="I145" s="268"/>
      <c r="J145" s="268">
        <f ca="1">SUM(J134:J144)</f>
        <v>174.15970719901276</v>
      </c>
      <c r="K145" s="268">
        <f ca="1">IF(J145=0,0,SUMPRODUCT(J134:J144,K134:K144)/J145)</f>
        <v>57.912895561708162</v>
      </c>
      <c r="L145" s="114"/>
      <c r="M145" s="9"/>
      <c r="N145" s="9"/>
      <c r="O145" s="9"/>
      <c r="P145" s="9"/>
      <c r="Q145" s="9"/>
      <c r="R145" s="9"/>
      <c r="S145" s="261"/>
      <c r="T145" s="261"/>
      <c r="U145" s="261"/>
      <c r="V145" s="261"/>
      <c r="W145" s="261"/>
      <c r="X145" s="261"/>
      <c r="Y145" s="261"/>
      <c r="Z145" s="261"/>
    </row>
    <row r="146" spans="1:26" hidden="1" outlineLevel="1">
      <c r="A146" s="9"/>
      <c r="B146" s="9"/>
      <c r="C146" s="282"/>
      <c r="D146" s="9"/>
      <c r="E146" s="268"/>
      <c r="F146" s="268"/>
      <c r="G146" s="264"/>
      <c r="H146" s="268"/>
      <c r="I146" s="268"/>
      <c r="J146" s="273"/>
      <c r="K146" s="268"/>
      <c r="L146" s="114"/>
      <c r="M146" s="9"/>
      <c r="N146" s="9"/>
      <c r="O146" s="9"/>
      <c r="P146" s="9"/>
      <c r="Q146" s="9"/>
      <c r="R146" s="9"/>
      <c r="S146" s="261"/>
      <c r="T146" s="261"/>
      <c r="U146" s="261"/>
      <c r="V146" s="261"/>
      <c r="W146" s="261"/>
      <c r="X146" s="261"/>
      <c r="Y146" s="261"/>
      <c r="Z146" s="261"/>
    </row>
    <row r="147" spans="1:26" hidden="1" outlineLevel="1">
      <c r="A147" s="9"/>
      <c r="B147" s="280" t="str">
        <f>Asset11</f>
        <v>Transmission line assets - medium life (45)</v>
      </c>
      <c r="C147" s="9"/>
      <c r="D147" s="9"/>
      <c r="E147" s="35"/>
      <c r="F147" s="35"/>
      <c r="G147" s="264"/>
      <c r="H147" s="268"/>
      <c r="I147" s="268"/>
      <c r="J147" s="273"/>
      <c r="K147" s="268"/>
      <c r="L147" s="114"/>
      <c r="M147" s="9"/>
      <c r="N147" s="9"/>
      <c r="O147" s="9"/>
      <c r="P147" s="9"/>
      <c r="Q147" s="9"/>
      <c r="R147" s="9"/>
      <c r="S147" s="261"/>
      <c r="T147" s="261"/>
      <c r="U147" s="261"/>
      <c r="V147" s="261"/>
      <c r="W147" s="261"/>
      <c r="X147" s="261"/>
      <c r="Y147" s="261"/>
      <c r="Z147" s="261"/>
    </row>
    <row r="148" spans="1:26" ht="12.75" hidden="1" customHeight="1" outlineLevel="1">
      <c r="A148" s="9"/>
      <c r="B148" s="9"/>
      <c r="C148" s="396" t="s">
        <v>26</v>
      </c>
      <c r="D148" s="397"/>
      <c r="E148" s="338">
        <f ca="1">(A11value-'Actual RAB roll forward'!G640)-SUM('Actual RAB roll forward'!H206:OFFSET('Actual RAB roll forward'!H206,0,Input!$W$7-1))</f>
        <v>0</v>
      </c>
      <c r="F148" s="268" t="str">
        <f>IF(A11remlife="N/A","n/a",A11remlife-Input!$W$7)</f>
        <v>n/a</v>
      </c>
      <c r="G148" s="264"/>
      <c r="H148" s="306" t="s">
        <v>65</v>
      </c>
      <c r="I148" s="307"/>
      <c r="J148" s="268">
        <f ca="1">A11taxvalue-SUM('Tax value roll forward'!H202:OFFSET('Tax value roll forward'!H202,0,Input!$W$7-1))</f>
        <v>0</v>
      </c>
      <c r="K148" s="268" t="str">
        <f>IF(A11taxremlife="N/A","n/a",A11taxremlife-Input!$W$7)</f>
        <v>n/a</v>
      </c>
      <c r="L148" s="114"/>
      <c r="M148" s="9"/>
      <c r="N148" s="9"/>
      <c r="O148" s="9"/>
      <c r="P148" s="9"/>
      <c r="Q148" s="9"/>
      <c r="R148" s="9"/>
      <c r="S148" s="261"/>
      <c r="T148" s="261"/>
      <c r="U148" s="261"/>
      <c r="V148" s="261"/>
      <c r="W148" s="261"/>
      <c r="X148" s="261"/>
      <c r="Y148" s="261"/>
      <c r="Z148" s="261"/>
    </row>
    <row r="149" spans="1:26" hidden="1" outlineLevel="1">
      <c r="A149" s="9"/>
      <c r="B149" s="9"/>
      <c r="C149" s="393" t="s">
        <v>81</v>
      </c>
      <c r="D149" s="91">
        <v>1</v>
      </c>
      <c r="E149" s="268">
        <f ca="1">OFFSET('Actual RAB roll forward'!H$54,0,D149-1)-SUM('Actual RAB roll forward'!H208:OFFSET('Actual RAB roll forward'!H208,0,Input!$W$7-1))</f>
        <v>1.201273983823288E-2</v>
      </c>
      <c r="F149" s="268">
        <f ca="1">IF(A11stdlife="N/A","n/a",IF(E149=0,0,A11stdlife+D149-Input!$W$7))</f>
        <v>41</v>
      </c>
      <c r="G149" s="264"/>
      <c r="H149" s="393" t="s">
        <v>81</v>
      </c>
      <c r="I149" s="91">
        <v>1</v>
      </c>
      <c r="J149" s="268">
        <f ca="1">OFFSET('Tax value roll forward'!H$50,0,I149-1)-SUM('Tax value roll forward'!H204:OFFSET('Tax value roll forward'!H204,0,Input!$W$7-1))</f>
        <v>1.1712333333333333E-2</v>
      </c>
      <c r="K149" s="268">
        <f ca="1">IF(A11taxstdlife="N/A","n/a",IF(J149=0,0,A11taxstdlife+I149-Input!$W$7))</f>
        <v>41</v>
      </c>
      <c r="L149" s="114"/>
      <c r="M149" s="9"/>
      <c r="N149" s="9"/>
      <c r="O149" s="9"/>
      <c r="P149" s="9"/>
      <c r="Q149" s="9"/>
      <c r="R149" s="9"/>
      <c r="S149" s="261"/>
      <c r="T149" s="261"/>
      <c r="U149" s="261"/>
      <c r="V149" s="261"/>
      <c r="W149" s="261"/>
      <c r="X149" s="261"/>
      <c r="Y149" s="261"/>
      <c r="Z149" s="261"/>
    </row>
    <row r="150" spans="1:26" hidden="1" outlineLevel="1">
      <c r="A150" s="9"/>
      <c r="B150" s="9"/>
      <c r="C150" s="394"/>
      <c r="D150" s="91">
        <v>2</v>
      </c>
      <c r="E150" s="268">
        <f ca="1">OFFSET('Actual RAB roll forward'!H$54,0,D150-1)-SUM('Actual RAB roll forward'!H209:OFFSET('Actual RAB roll forward'!H209,0,Input!$W$7-1))</f>
        <v>2.7972369870331384E-2</v>
      </c>
      <c r="F150" s="268">
        <f ca="1">IF(A11stdlife="N/A","n/a",IF(E150=0,0,A11stdlife+D150-Input!$W$7))</f>
        <v>42</v>
      </c>
      <c r="G150" s="264"/>
      <c r="H150" s="394"/>
      <c r="I150" s="91">
        <v>2</v>
      </c>
      <c r="J150" s="268">
        <f ca="1">OFFSET('Tax value roll forward'!H$50,0,I150-1)-SUM('Tax value roll forward'!H205:OFFSET('Tax value roll forward'!H205,0,Input!$W$7-1))</f>
        <v>2.7999999999999997E-2</v>
      </c>
      <c r="K150" s="268">
        <f ca="1">IF(A11taxstdlife="N/A","n/a",IF(J150=0,0,A11taxstdlife+I150-Input!$W$7))</f>
        <v>42</v>
      </c>
      <c r="L150" s="114"/>
      <c r="M150" s="9"/>
      <c r="N150" s="9"/>
      <c r="O150" s="9"/>
      <c r="P150" s="9"/>
      <c r="Q150" s="9"/>
      <c r="R150" s="9"/>
      <c r="S150" s="261"/>
      <c r="T150" s="261"/>
      <c r="U150" s="261"/>
      <c r="V150" s="261"/>
      <c r="W150" s="261"/>
      <c r="X150" s="261"/>
      <c r="Y150" s="261"/>
      <c r="Z150" s="261"/>
    </row>
    <row r="151" spans="1:26" hidden="1" outlineLevel="1">
      <c r="A151" s="9"/>
      <c r="B151" s="9"/>
      <c r="C151" s="394"/>
      <c r="D151" s="91">
        <v>3</v>
      </c>
      <c r="E151" s="268">
        <f ca="1">OFFSET('Actual RAB roll forward'!H$54,0,D151-1)-SUM('Actual RAB roll forward'!H210:OFFSET('Actual RAB roll forward'!H210,0,Input!$W$7-1))</f>
        <v>0.17311801741483085</v>
      </c>
      <c r="F151" s="268">
        <f ca="1">IF(A11stdlife="N/A","n/a",IF(E151=0,0,A11stdlife+D151-Input!$W$7))</f>
        <v>43</v>
      </c>
      <c r="G151" s="264"/>
      <c r="H151" s="394"/>
      <c r="I151" s="91">
        <v>3</v>
      </c>
      <c r="J151" s="268">
        <f ca="1">OFFSET('Tax value roll forward'!H$50,0,I151-1)-SUM('Tax value roll forward'!H206:OFFSET('Tax value roll forward'!H206,0,Input!$W$7-1))</f>
        <v>0.18060000000000001</v>
      </c>
      <c r="K151" s="268">
        <f ca="1">IF(A11taxstdlife="N/A","n/a",IF(J151=0,0,A11taxstdlife+I151-Input!$W$7))</f>
        <v>43</v>
      </c>
      <c r="L151" s="114"/>
      <c r="M151" s="9"/>
      <c r="N151" s="9"/>
      <c r="O151" s="9"/>
      <c r="P151" s="9"/>
      <c r="Q151" s="9"/>
      <c r="R151" s="9"/>
      <c r="S151" s="261"/>
      <c r="T151" s="261"/>
      <c r="U151" s="261"/>
      <c r="V151" s="261"/>
      <c r="W151" s="261"/>
      <c r="X151" s="261"/>
      <c r="Y151" s="261"/>
      <c r="Z151" s="261"/>
    </row>
    <row r="152" spans="1:26" hidden="1" outlineLevel="1">
      <c r="A152" s="9"/>
      <c r="B152" s="9"/>
      <c r="C152" s="394"/>
      <c r="D152" s="91">
        <v>4</v>
      </c>
      <c r="E152" s="268">
        <f ca="1">OFFSET('Actual RAB roll forward'!H$54,0,D152-1)-SUM('Actual RAB roll forward'!H211:OFFSET('Actual RAB roll forward'!H211,0,Input!$W$7-1))</f>
        <v>0.35311408524047488</v>
      </c>
      <c r="F152" s="268">
        <f ca="1">IF(A11stdlife="N/A","n/a",IF(E152=0,0,A11stdlife+D152-Input!$W$7))</f>
        <v>44</v>
      </c>
      <c r="G152" s="264"/>
      <c r="H152" s="394"/>
      <c r="I152" s="91">
        <v>4</v>
      </c>
      <c r="J152" s="268">
        <f ca="1">OFFSET('Tax value roll forward'!H$50,0,I152-1)-SUM('Tax value roll forward'!H207:OFFSET('Tax value roll forward'!H207,0,Input!$W$7-1))</f>
        <v>0.37253333333333333</v>
      </c>
      <c r="K152" s="268">
        <f ca="1">IF(A11taxstdlife="N/A","n/a",IF(J152=0,0,A11taxstdlife+I152-Input!$W$7))</f>
        <v>44</v>
      </c>
      <c r="L152" s="114"/>
      <c r="M152" s="9"/>
      <c r="N152" s="9"/>
      <c r="O152" s="9"/>
      <c r="P152" s="9"/>
      <c r="Q152" s="9"/>
      <c r="R152" s="9"/>
      <c r="S152" s="261"/>
      <c r="T152" s="261"/>
      <c r="U152" s="261"/>
      <c r="V152" s="261"/>
      <c r="W152" s="261"/>
      <c r="X152" s="261"/>
      <c r="Y152" s="261"/>
      <c r="Z152" s="261"/>
    </row>
    <row r="153" spans="1:26" hidden="1" outlineLevel="1">
      <c r="A153" s="9"/>
      <c r="B153" s="9"/>
      <c r="C153" s="394"/>
      <c r="D153" s="91">
        <v>5</v>
      </c>
      <c r="E153" s="268">
        <f ca="1">OFFSET('Actual RAB roll forward'!H$54,0,D153-1)-SUM('Actual RAB roll forward'!H212:OFFSET('Actual RAB roll forward'!H212,0,Input!$W$7-1))</f>
        <v>0.14040852202364196</v>
      </c>
      <c r="F153" s="268">
        <f ca="1">IF(A11stdlife="N/A","n/a",IF(E153=0,0,A11stdlife+D153-Input!$W$7))</f>
        <v>45</v>
      </c>
      <c r="G153" s="264"/>
      <c r="H153" s="394"/>
      <c r="I153" s="91">
        <v>5</v>
      </c>
      <c r="J153" s="268">
        <f ca="1">OFFSET('Tax value roll forward'!H$50,0,I153-1)-SUM('Tax value roll forward'!H208:OFFSET('Tax value roll forward'!H208,0,Input!$W$7-1))</f>
        <v>0.151839</v>
      </c>
      <c r="K153" s="268">
        <f ca="1">IF(A11taxstdlife="N/A","n/a",IF(J153=0,0,A11taxstdlife+I153-Input!$W$7))</f>
        <v>45</v>
      </c>
      <c r="L153" s="114"/>
      <c r="M153" s="9"/>
      <c r="N153" s="9"/>
      <c r="O153" s="9"/>
      <c r="P153" s="9"/>
      <c r="Q153" s="9"/>
      <c r="R153" s="9"/>
      <c r="S153" s="261"/>
      <c r="T153" s="261"/>
      <c r="U153" s="261"/>
      <c r="V153" s="261"/>
      <c r="W153" s="261"/>
      <c r="X153" s="261"/>
      <c r="Y153" s="261"/>
      <c r="Z153" s="261"/>
    </row>
    <row r="154" spans="1:26" hidden="1" outlineLevel="1">
      <c r="A154" s="9"/>
      <c r="B154" s="9"/>
      <c r="C154" s="394"/>
      <c r="D154" s="91">
        <v>6</v>
      </c>
      <c r="E154" s="268">
        <f ca="1">OFFSET('Actual RAB roll forward'!H$54,0,D154-1)-SUM('Actual RAB roll forward'!H213:OFFSET('Actual RAB roll forward'!H213,0,Input!$W$7-1))</f>
        <v>0</v>
      </c>
      <c r="F154" s="268">
        <f ca="1">IF(A11stdlife="N/A","n/a",IF(E154=0,0,A11stdlife+D154-Input!$W$7))</f>
        <v>0</v>
      </c>
      <c r="G154" s="264"/>
      <c r="H154" s="394"/>
      <c r="I154" s="91">
        <v>6</v>
      </c>
      <c r="J154" s="268">
        <f ca="1">OFFSET('Tax value roll forward'!H$50,0,I154-1)-SUM('Tax value roll forward'!H209:OFFSET('Tax value roll forward'!H209,0,Input!$W$7-1))</f>
        <v>0</v>
      </c>
      <c r="K154" s="268">
        <f ca="1">IF(A11taxstdlife="N/A","n/a",IF(J154=0,0,A11taxstdlife+I154-Input!$W$7))</f>
        <v>0</v>
      </c>
      <c r="L154" s="114"/>
      <c r="M154" s="9"/>
      <c r="N154" s="9"/>
      <c r="O154" s="9"/>
      <c r="P154" s="9"/>
      <c r="Q154" s="9"/>
      <c r="R154" s="9"/>
      <c r="S154" s="261"/>
      <c r="T154" s="261"/>
      <c r="U154" s="261"/>
      <c r="V154" s="261"/>
      <c r="W154" s="261"/>
      <c r="X154" s="261"/>
      <c r="Y154" s="261"/>
      <c r="Z154" s="261"/>
    </row>
    <row r="155" spans="1:26" hidden="1" outlineLevel="1">
      <c r="A155" s="9"/>
      <c r="B155" s="9"/>
      <c r="C155" s="394"/>
      <c r="D155" s="91">
        <v>7</v>
      </c>
      <c r="E155" s="268">
        <f ca="1">OFFSET('Actual RAB roll forward'!H$54,0,D155-1)-SUM('Actual RAB roll forward'!H214:OFFSET('Actual RAB roll forward'!H214,0,Input!$W$7-1))</f>
        <v>0</v>
      </c>
      <c r="F155" s="268">
        <f ca="1">IF(A11stdlife="N/A","n/a",IF(E155=0,0,A11stdlife+D155-Input!$W$7))</f>
        <v>0</v>
      </c>
      <c r="G155" s="264"/>
      <c r="H155" s="394"/>
      <c r="I155" s="91">
        <v>7</v>
      </c>
      <c r="J155" s="268">
        <f ca="1">OFFSET('Tax value roll forward'!H$50,0,I155-1)-SUM('Tax value roll forward'!H210:OFFSET('Tax value roll forward'!H210,0,Input!$W$7-1))</f>
        <v>0</v>
      </c>
      <c r="K155" s="268">
        <f ca="1">IF(A11taxstdlife="N/A","n/a",IF(J155=0,0,A11taxstdlife+I155-Input!$W$7))</f>
        <v>0</v>
      </c>
      <c r="L155" s="114"/>
      <c r="M155" s="9"/>
      <c r="N155" s="9"/>
      <c r="O155" s="9"/>
      <c r="P155" s="9"/>
      <c r="Q155" s="9"/>
      <c r="R155" s="9"/>
      <c r="S155" s="261"/>
      <c r="T155" s="261"/>
      <c r="U155" s="261"/>
      <c r="V155" s="261"/>
      <c r="W155" s="261"/>
      <c r="X155" s="261"/>
      <c r="Y155" s="261"/>
      <c r="Z155" s="261"/>
    </row>
    <row r="156" spans="1:26" hidden="1" outlineLevel="1">
      <c r="A156" s="9"/>
      <c r="B156" s="9"/>
      <c r="C156" s="394"/>
      <c r="D156" s="91">
        <v>8</v>
      </c>
      <c r="E156" s="268">
        <f ca="1">OFFSET('Actual RAB roll forward'!H$54,0,D156-1)-SUM('Actual RAB roll forward'!H215:OFFSET('Actual RAB roll forward'!H215,0,Input!$W$7-1))</f>
        <v>0</v>
      </c>
      <c r="F156" s="268">
        <f ca="1">IF(A11stdlife="N/A","n/a",IF(E156=0,0,A11stdlife+D156-Input!$W$7))</f>
        <v>0</v>
      </c>
      <c r="G156" s="264"/>
      <c r="H156" s="394"/>
      <c r="I156" s="91">
        <v>8</v>
      </c>
      <c r="J156" s="268">
        <f ca="1">OFFSET('Tax value roll forward'!H$50,0,I156-1)-SUM('Tax value roll forward'!H211:OFFSET('Tax value roll forward'!H211,0,Input!$W$7-1))</f>
        <v>0</v>
      </c>
      <c r="K156" s="268">
        <f ca="1">IF(A11taxstdlife="N/A","n/a",IF(J156=0,0,A11taxstdlife+I156-Input!$W$7))</f>
        <v>0</v>
      </c>
      <c r="L156" s="114"/>
      <c r="M156" s="9"/>
      <c r="N156" s="9"/>
      <c r="O156" s="9"/>
      <c r="P156" s="9"/>
      <c r="Q156" s="9"/>
      <c r="R156" s="9"/>
      <c r="S156" s="261"/>
      <c r="T156" s="261"/>
      <c r="U156" s="261"/>
      <c r="V156" s="261"/>
      <c r="W156" s="261"/>
      <c r="X156" s="261"/>
      <c r="Y156" s="261"/>
      <c r="Z156" s="261"/>
    </row>
    <row r="157" spans="1:26" hidden="1" outlineLevel="1">
      <c r="A157" s="9"/>
      <c r="B157" s="9"/>
      <c r="C157" s="394"/>
      <c r="D157" s="91">
        <v>9</v>
      </c>
      <c r="E157" s="268">
        <f ca="1">OFFSET('Actual RAB roll forward'!H$54,0,D157-1)-SUM('Actual RAB roll forward'!H216:OFFSET('Actual RAB roll forward'!H216,0,Input!$W$7-1))</f>
        <v>0</v>
      </c>
      <c r="F157" s="268">
        <f ca="1">IF(A11stdlife="N/A","n/a",IF(E157=0,0,A11stdlife+D157-Input!$W$7))</f>
        <v>0</v>
      </c>
      <c r="G157" s="264"/>
      <c r="H157" s="394"/>
      <c r="I157" s="91">
        <v>9</v>
      </c>
      <c r="J157" s="268">
        <f ca="1">OFFSET('Tax value roll forward'!H$50,0,I157-1)-SUM('Tax value roll forward'!H212:OFFSET('Tax value roll forward'!H212,0,Input!$W$7-1))</f>
        <v>0</v>
      </c>
      <c r="K157" s="268">
        <f ca="1">IF(A11taxstdlife="N/A","n/a",IF(J157=0,0,A11taxstdlife+I157-Input!$W$7))</f>
        <v>0</v>
      </c>
      <c r="L157" s="114"/>
      <c r="M157" s="9"/>
      <c r="N157" s="9"/>
      <c r="O157" s="9"/>
      <c r="P157" s="9"/>
      <c r="Q157" s="9"/>
      <c r="R157" s="9"/>
      <c r="S157" s="261"/>
      <c r="T157" s="261"/>
      <c r="U157" s="261"/>
      <c r="V157" s="261"/>
      <c r="W157" s="261"/>
      <c r="X157" s="261"/>
      <c r="Y157" s="261"/>
      <c r="Z157" s="261"/>
    </row>
    <row r="158" spans="1:26" hidden="1" outlineLevel="1">
      <c r="A158" s="9"/>
      <c r="B158" s="9"/>
      <c r="C158" s="395"/>
      <c r="D158" s="92">
        <v>10</v>
      </c>
      <c r="E158" s="268">
        <f ca="1">OFFSET('Actual RAB roll forward'!H$54,0,D158-1)-SUM('Actual RAB roll forward'!H217:OFFSET('Actual RAB roll forward'!H217,0,Input!$W$7-1))</f>
        <v>0</v>
      </c>
      <c r="F158" s="268">
        <f ca="1">IF(A11stdlife="N/A","n/a",IF(E158=0,0,A11stdlife+D158-Input!$W$7))</f>
        <v>0</v>
      </c>
      <c r="G158" s="264"/>
      <c r="H158" s="395"/>
      <c r="I158" s="92">
        <v>10</v>
      </c>
      <c r="J158" s="268">
        <f ca="1">OFFSET('Tax value roll forward'!H$50,0,I158-1)-SUM('Tax value roll forward'!H213:OFFSET('Tax value roll forward'!H213,0,Input!$W$7-1))</f>
        <v>0</v>
      </c>
      <c r="K158" s="268">
        <f ca="1">IF(A11taxstdlife="N/A","n/a",IF(J158=0,0,A11taxstdlife+I158-Input!$W$7))</f>
        <v>0</v>
      </c>
      <c r="L158" s="114"/>
      <c r="M158" s="9"/>
      <c r="N158" s="9"/>
      <c r="O158" s="9"/>
      <c r="P158" s="9"/>
      <c r="Q158" s="9"/>
      <c r="R158" s="9"/>
      <c r="S158" s="261"/>
      <c r="T158" s="261"/>
      <c r="U158" s="261"/>
      <c r="V158" s="261"/>
      <c r="W158" s="261"/>
      <c r="X158" s="261"/>
      <c r="Y158" s="261"/>
      <c r="Z158" s="261"/>
    </row>
    <row r="159" spans="1:26" collapsed="1">
      <c r="A159" s="9"/>
      <c r="B159" s="9"/>
      <c r="C159" s="282" t="str">
        <f>Asset11</f>
        <v>Transmission line assets - medium life (45)</v>
      </c>
      <c r="D159" s="9"/>
      <c r="E159" s="268">
        <f ca="1">SUM(E148:E158)</f>
        <v>0.70662573438751197</v>
      </c>
      <c r="F159" s="268">
        <f ca="1">IF(E159=0,0,SUMPRODUCT(E148:E158,F148:F158)/E159)</f>
        <v>43.82353819203226</v>
      </c>
      <c r="G159" s="264"/>
      <c r="H159" s="43"/>
      <c r="I159" s="268"/>
      <c r="J159" s="268">
        <f ca="1">SUM(J148:J158)</f>
        <v>0.74468466666666666</v>
      </c>
      <c r="K159" s="268">
        <f ca="1">IF(J159=0,0,SUMPRODUCT(J148:J158,K148:K158)/J159)</f>
        <v>43.838994939244984</v>
      </c>
      <c r="L159" s="114"/>
      <c r="M159" s="9"/>
      <c r="N159" s="9"/>
      <c r="O159" s="9"/>
      <c r="P159" s="9"/>
      <c r="Q159" s="9"/>
      <c r="R159" s="9"/>
      <c r="S159" s="261"/>
      <c r="T159" s="261"/>
      <c r="U159" s="261"/>
      <c r="V159" s="261"/>
      <c r="W159" s="261"/>
      <c r="X159" s="261"/>
      <c r="Y159" s="261"/>
      <c r="Z159" s="261"/>
    </row>
    <row r="160" spans="1:26" hidden="1" outlineLevel="1">
      <c r="A160" s="9"/>
      <c r="B160" s="9"/>
      <c r="C160" s="282"/>
      <c r="D160" s="9"/>
      <c r="E160" s="268"/>
      <c r="F160" s="268"/>
      <c r="G160" s="264"/>
      <c r="H160" s="268"/>
      <c r="I160" s="268"/>
      <c r="J160" s="273"/>
      <c r="K160" s="268"/>
      <c r="L160" s="114"/>
      <c r="M160" s="9"/>
      <c r="N160" s="9"/>
      <c r="O160" s="9"/>
      <c r="P160" s="9"/>
      <c r="Q160" s="9"/>
      <c r="R160" s="9"/>
      <c r="S160" s="261"/>
      <c r="T160" s="261"/>
      <c r="U160" s="261"/>
      <c r="V160" s="261"/>
      <c r="W160" s="261"/>
      <c r="X160" s="261"/>
      <c r="Y160" s="261"/>
      <c r="Z160" s="261"/>
    </row>
    <row r="161" spans="1:26" hidden="1" outlineLevel="1">
      <c r="A161" s="9"/>
      <c r="B161" s="280" t="str">
        <f>Asset12</f>
        <v>Transmission line assets - short life (10)</v>
      </c>
      <c r="C161" s="9"/>
      <c r="D161" s="9"/>
      <c r="E161" s="35"/>
      <c r="F161" s="35"/>
      <c r="G161" s="264"/>
      <c r="H161" s="268"/>
      <c r="I161" s="268"/>
      <c r="J161" s="273"/>
      <c r="K161" s="268"/>
      <c r="L161" s="114"/>
      <c r="M161" s="9"/>
      <c r="N161" s="9"/>
      <c r="O161" s="9"/>
      <c r="P161" s="9"/>
      <c r="Q161" s="9"/>
      <c r="R161" s="9"/>
      <c r="S161" s="261"/>
      <c r="T161" s="261"/>
      <c r="U161" s="261"/>
      <c r="V161" s="261"/>
      <c r="W161" s="261"/>
      <c r="X161" s="261"/>
      <c r="Y161" s="261"/>
      <c r="Z161" s="261"/>
    </row>
    <row r="162" spans="1:26" ht="12.75" hidden="1" customHeight="1" outlineLevel="1">
      <c r="A162" s="9"/>
      <c r="B162" s="9"/>
      <c r="C162" s="396" t="s">
        <v>26</v>
      </c>
      <c r="D162" s="397"/>
      <c r="E162" s="338">
        <f ca="1">(A12value-'Actual RAB roll forward'!G641)-SUM('Actual RAB roll forward'!H219:OFFSET('Actual RAB roll forward'!H219,0,Input!$W$7-1))</f>
        <v>0</v>
      </c>
      <c r="F162" s="268" t="str">
        <f>IF(A12remlife="N/A","n/a",A12remlife-Input!$W$7)</f>
        <v>n/a</v>
      </c>
      <c r="G162" s="264"/>
      <c r="H162" s="306" t="s">
        <v>65</v>
      </c>
      <c r="I162" s="307"/>
      <c r="J162" s="268">
        <f ca="1">A12taxvalue-SUM('Tax value roll forward'!H215:OFFSET('Tax value roll forward'!H215,0,Input!$W$7-1))</f>
        <v>0</v>
      </c>
      <c r="K162" s="268" t="str">
        <f>IF(A12taxremlife="N/A","n/a",A12taxremlife-Input!$W$7)</f>
        <v>n/a</v>
      </c>
      <c r="L162" s="114"/>
      <c r="M162" s="9"/>
      <c r="N162" s="9"/>
      <c r="O162" s="9"/>
      <c r="P162" s="9"/>
      <c r="Q162" s="9"/>
      <c r="R162" s="9"/>
      <c r="S162" s="261"/>
      <c r="T162" s="261"/>
      <c r="U162" s="261"/>
      <c r="V162" s="261"/>
      <c r="W162" s="261"/>
      <c r="X162" s="261"/>
      <c r="Y162" s="261"/>
      <c r="Z162" s="261"/>
    </row>
    <row r="163" spans="1:26" hidden="1" outlineLevel="1">
      <c r="A163" s="9"/>
      <c r="B163" s="9"/>
      <c r="C163" s="393" t="s">
        <v>81</v>
      </c>
      <c r="D163" s="91">
        <v>1</v>
      </c>
      <c r="E163" s="268">
        <f ca="1">OFFSET('Actual RAB roll forward'!H$55,0,D163-1)-SUM('Actual RAB roll forward'!H221:OFFSET('Actual RAB roll forward'!H221,0,Input!$W$7-1))</f>
        <v>0.22171120443378653</v>
      </c>
      <c r="F163" s="268">
        <f ca="1">IF(A12stdlife="N/A","n/a",IF(E163=0,0,A12stdlife+D163-Input!$W$7))</f>
        <v>6</v>
      </c>
      <c r="G163" s="264"/>
      <c r="H163" s="393" t="s">
        <v>81</v>
      </c>
      <c r="I163" s="91">
        <v>1</v>
      </c>
      <c r="J163" s="268">
        <f ca="1">OFFSET('Tax value roll forward'!H$51,0,I163-1)-SUM('Tax value roll forward'!H217:OFFSET('Tax value roll forward'!H217,0,Input!$W$7-1))</f>
        <v>0.21616679999999999</v>
      </c>
      <c r="K163" s="268">
        <f ca="1">IF(A12taxstdlife="N/A","n/a",IF(J163=0,0,A12taxstdlife+I163-Input!$W$7))</f>
        <v>6</v>
      </c>
      <c r="L163" s="114"/>
      <c r="M163" s="9"/>
      <c r="N163" s="9"/>
      <c r="O163" s="9"/>
      <c r="P163" s="9"/>
      <c r="Q163" s="9"/>
      <c r="R163" s="9"/>
      <c r="S163" s="261"/>
      <c r="T163" s="261"/>
      <c r="U163" s="261"/>
      <c r="V163" s="261"/>
      <c r="W163" s="261"/>
      <c r="X163" s="261"/>
      <c r="Y163" s="261"/>
      <c r="Z163" s="261"/>
    </row>
    <row r="164" spans="1:26" hidden="1" outlineLevel="1">
      <c r="A164" s="9"/>
      <c r="B164" s="9"/>
      <c r="C164" s="394"/>
      <c r="D164" s="91">
        <v>2</v>
      </c>
      <c r="E164" s="268">
        <f ca="1">OFFSET('Actual RAB roll forward'!H$55,0,D164-1)-SUM('Actual RAB roll forward'!H222:OFFSET('Actual RAB roll forward'!H222,0,Input!$W$7-1))</f>
        <v>0.26783544150842309</v>
      </c>
      <c r="F164" s="268">
        <f ca="1">IF(A12stdlife="N/A","n/a",IF(E164=0,0,A12stdlife+D164-Input!$W$7))</f>
        <v>7</v>
      </c>
      <c r="G164" s="264"/>
      <c r="H164" s="394"/>
      <c r="I164" s="91">
        <v>2</v>
      </c>
      <c r="J164" s="268">
        <f ca="1">OFFSET('Tax value roll forward'!H$51,0,I164-1)-SUM('Tax value roll forward'!H218:OFFSET('Tax value roll forward'!H218,0,Input!$W$7-1))</f>
        <v>0.2681</v>
      </c>
      <c r="K164" s="268">
        <f ca="1">IF(A12taxstdlife="N/A","n/a",IF(J164=0,0,A12taxstdlife+I164-Input!$W$7))</f>
        <v>7</v>
      </c>
      <c r="L164" s="114"/>
      <c r="M164" s="9"/>
      <c r="N164" s="9"/>
      <c r="O164" s="9"/>
      <c r="P164" s="9"/>
      <c r="Q164" s="9"/>
      <c r="R164" s="9"/>
      <c r="S164" s="261"/>
      <c r="T164" s="261"/>
      <c r="U164" s="261"/>
      <c r="V164" s="261"/>
      <c r="W164" s="261"/>
      <c r="X164" s="261"/>
      <c r="Y164" s="261"/>
      <c r="Z164" s="261"/>
    </row>
    <row r="165" spans="1:26" hidden="1" outlineLevel="1">
      <c r="A165" s="9"/>
      <c r="B165" s="9"/>
      <c r="C165" s="394"/>
      <c r="D165" s="91">
        <v>3</v>
      </c>
      <c r="E165" s="268">
        <f ca="1">OFFSET('Actual RAB roll forward'!H$55,0,D165-1)-SUM('Actual RAB roll forward'!H223:OFFSET('Actual RAB roll forward'!H223,0,Input!$W$7-1))</f>
        <v>0.39646518273961262</v>
      </c>
      <c r="F165" s="268">
        <f ca="1">IF(A12stdlife="N/A","n/a",IF(E165=0,0,A12stdlife+D165-Input!$W$7))</f>
        <v>8</v>
      </c>
      <c r="G165" s="264"/>
      <c r="H165" s="394"/>
      <c r="I165" s="91">
        <v>3</v>
      </c>
      <c r="J165" s="268">
        <f ca="1">OFFSET('Tax value roll forward'!H$51,0,I165-1)-SUM('Tax value roll forward'!H219:OFFSET('Tax value roll forward'!H219,0,Input!$W$7-1))</f>
        <v>0.41360000000000002</v>
      </c>
      <c r="K165" s="268">
        <f ca="1">IF(A12taxstdlife="N/A","n/a",IF(J165=0,0,A12taxstdlife+I165-Input!$W$7))</f>
        <v>8</v>
      </c>
      <c r="L165" s="114"/>
      <c r="M165" s="9"/>
      <c r="N165" s="9"/>
      <c r="O165" s="9"/>
      <c r="P165" s="9"/>
      <c r="Q165" s="9"/>
      <c r="R165" s="9"/>
      <c r="S165" s="261"/>
      <c r="T165" s="261"/>
      <c r="U165" s="261"/>
      <c r="V165" s="261"/>
      <c r="W165" s="261"/>
      <c r="X165" s="261"/>
      <c r="Y165" s="261"/>
      <c r="Z165" s="261"/>
    </row>
    <row r="166" spans="1:26" hidden="1" outlineLevel="1">
      <c r="A166" s="9"/>
      <c r="B166" s="9"/>
      <c r="C166" s="394"/>
      <c r="D166" s="91">
        <v>4</v>
      </c>
      <c r="E166" s="268">
        <f ca="1">OFFSET('Actual RAB roll forward'!H$55,0,D166-1)-SUM('Actual RAB roll forward'!H224:OFFSET('Actual RAB roll forward'!H224,0,Input!$W$7-1))</f>
        <v>0.54426836366789721</v>
      </c>
      <c r="F166" s="268">
        <f ca="1">IF(A12stdlife="N/A","n/a",IF(E166=0,0,A12stdlife+D166-Input!$W$7))</f>
        <v>9</v>
      </c>
      <c r="G166" s="264"/>
      <c r="H166" s="394"/>
      <c r="I166" s="91">
        <v>4</v>
      </c>
      <c r="J166" s="268">
        <f ca="1">OFFSET('Tax value roll forward'!H$51,0,I166-1)-SUM('Tax value roll forward'!H220:OFFSET('Tax value roll forward'!H220,0,Input!$W$7-1))</f>
        <v>0.57420000000000004</v>
      </c>
      <c r="K166" s="268">
        <f ca="1">IF(A12taxstdlife="N/A","n/a",IF(J166=0,0,A12taxstdlife+I166-Input!$W$7))</f>
        <v>9</v>
      </c>
      <c r="L166" s="114"/>
      <c r="M166" s="9"/>
      <c r="N166" s="9"/>
      <c r="O166" s="9"/>
      <c r="P166" s="9"/>
      <c r="Q166" s="9"/>
      <c r="R166" s="9"/>
      <c r="S166" s="261"/>
      <c r="T166" s="261"/>
      <c r="U166" s="261"/>
      <c r="V166" s="261"/>
      <c r="W166" s="261"/>
      <c r="X166" s="261"/>
      <c r="Y166" s="261"/>
      <c r="Z166" s="261"/>
    </row>
    <row r="167" spans="1:26" hidden="1" outlineLevel="1">
      <c r="A167" s="9"/>
      <c r="B167" s="9"/>
      <c r="C167" s="394"/>
      <c r="D167" s="91">
        <v>5</v>
      </c>
      <c r="E167" s="268">
        <f ca="1">OFFSET('Actual RAB roll forward'!H$55,0,D167-1)-SUM('Actual RAB roll forward'!H225:OFFSET('Actual RAB roll forward'!H225,0,Input!$W$7-1))</f>
        <v>3.2500283334696212</v>
      </c>
      <c r="F167" s="268">
        <f ca="1">IF(A12stdlife="N/A","n/a",IF(E167=0,0,A12stdlife+D167-Input!$W$7))</f>
        <v>10</v>
      </c>
      <c r="G167" s="264"/>
      <c r="H167" s="394"/>
      <c r="I167" s="91">
        <v>5</v>
      </c>
      <c r="J167" s="268">
        <f ca="1">OFFSET('Tax value roll forward'!H$51,0,I167-1)-SUM('Tax value roll forward'!H221:OFFSET('Tax value roll forward'!H221,0,Input!$W$7-1))</f>
        <v>3.5146089782399499</v>
      </c>
      <c r="K167" s="268">
        <f ca="1">IF(A12taxstdlife="N/A","n/a",IF(J167=0,0,A12taxstdlife+I167-Input!$W$7))</f>
        <v>10</v>
      </c>
      <c r="L167" s="114"/>
      <c r="M167" s="9"/>
      <c r="N167" s="9"/>
      <c r="O167" s="9"/>
      <c r="P167" s="9"/>
      <c r="Q167" s="9"/>
      <c r="R167" s="9"/>
      <c r="S167" s="261"/>
      <c r="T167" s="261"/>
      <c r="U167" s="261"/>
      <c r="V167" s="261"/>
      <c r="W167" s="261"/>
      <c r="X167" s="261"/>
      <c r="Y167" s="261"/>
      <c r="Z167" s="261"/>
    </row>
    <row r="168" spans="1:26" hidden="1" outlineLevel="1">
      <c r="A168" s="9"/>
      <c r="B168" s="9"/>
      <c r="C168" s="394"/>
      <c r="D168" s="91">
        <v>6</v>
      </c>
      <c r="E168" s="268">
        <f ca="1">OFFSET('Actual RAB roll forward'!H$55,0,D168-1)-SUM('Actual RAB roll forward'!H226:OFFSET('Actual RAB roll forward'!H226,0,Input!$W$7-1))</f>
        <v>0</v>
      </c>
      <c r="F168" s="268">
        <f ca="1">IF(A12stdlife="N/A","n/a",IF(E168=0,0,A12stdlife+D168-Input!$W$7))</f>
        <v>0</v>
      </c>
      <c r="G168" s="264"/>
      <c r="H168" s="394"/>
      <c r="I168" s="91">
        <v>6</v>
      </c>
      <c r="J168" s="268">
        <f ca="1">OFFSET('Tax value roll forward'!H$51,0,I168-1)-SUM('Tax value roll forward'!H222:OFFSET('Tax value roll forward'!H222,0,Input!$W$7-1))</f>
        <v>0</v>
      </c>
      <c r="K168" s="268">
        <f ca="1">IF(A12taxstdlife="N/A","n/a",IF(J168=0,0,A12taxstdlife+I168-Input!$W$7))</f>
        <v>0</v>
      </c>
      <c r="L168" s="114"/>
      <c r="M168" s="9"/>
      <c r="N168" s="9"/>
      <c r="O168" s="9"/>
      <c r="P168" s="9"/>
      <c r="Q168" s="9"/>
      <c r="R168" s="9"/>
      <c r="S168" s="261"/>
      <c r="T168" s="261"/>
      <c r="U168" s="261"/>
      <c r="V168" s="261"/>
      <c r="W168" s="261"/>
      <c r="X168" s="261"/>
      <c r="Y168" s="261"/>
      <c r="Z168" s="261"/>
    </row>
    <row r="169" spans="1:26" hidden="1" outlineLevel="1">
      <c r="A169" s="9"/>
      <c r="B169" s="9"/>
      <c r="C169" s="394"/>
      <c r="D169" s="91">
        <v>7</v>
      </c>
      <c r="E169" s="268">
        <f ca="1">OFFSET('Actual RAB roll forward'!H$55,0,D169-1)-SUM('Actual RAB roll forward'!H227:OFFSET('Actual RAB roll forward'!H227,0,Input!$W$7-1))</f>
        <v>0</v>
      </c>
      <c r="F169" s="268">
        <f ca="1">IF(A12stdlife="N/A","n/a",IF(E169=0,0,A12stdlife+D169-Input!$W$7))</f>
        <v>0</v>
      </c>
      <c r="G169" s="264"/>
      <c r="H169" s="394"/>
      <c r="I169" s="91">
        <v>7</v>
      </c>
      <c r="J169" s="268">
        <f ca="1">OFFSET('Tax value roll forward'!H$51,0,I169-1)-SUM('Tax value roll forward'!H223:OFFSET('Tax value roll forward'!H223,0,Input!$W$7-1))</f>
        <v>0</v>
      </c>
      <c r="K169" s="268">
        <f ca="1">IF(A12taxstdlife="N/A","n/a",IF(J169=0,0,A12taxstdlife+I169-Input!$W$7))</f>
        <v>0</v>
      </c>
      <c r="L169" s="114"/>
      <c r="M169" s="9"/>
      <c r="N169" s="9"/>
      <c r="O169" s="9"/>
      <c r="P169" s="9"/>
      <c r="Q169" s="9"/>
      <c r="R169" s="9"/>
      <c r="S169" s="261"/>
      <c r="T169" s="261"/>
      <c r="U169" s="261"/>
      <c r="V169" s="261"/>
      <c r="W169" s="261"/>
      <c r="X169" s="261"/>
      <c r="Y169" s="261"/>
      <c r="Z169" s="261"/>
    </row>
    <row r="170" spans="1:26" hidden="1" outlineLevel="1">
      <c r="A170" s="9"/>
      <c r="B170" s="9"/>
      <c r="C170" s="394"/>
      <c r="D170" s="91">
        <v>8</v>
      </c>
      <c r="E170" s="268">
        <f ca="1">OFFSET('Actual RAB roll forward'!H$55,0,D170-1)-SUM('Actual RAB roll forward'!H228:OFFSET('Actual RAB roll forward'!H228,0,Input!$W$7-1))</f>
        <v>0</v>
      </c>
      <c r="F170" s="268">
        <f ca="1">IF(A12stdlife="N/A","n/a",IF(E170=0,0,A12stdlife+D170-Input!$W$7))</f>
        <v>0</v>
      </c>
      <c r="G170" s="264"/>
      <c r="H170" s="394"/>
      <c r="I170" s="91">
        <v>8</v>
      </c>
      <c r="J170" s="268">
        <f ca="1">OFFSET('Tax value roll forward'!H$51,0,I170-1)-SUM('Tax value roll forward'!H224:OFFSET('Tax value roll forward'!H224,0,Input!$W$7-1))</f>
        <v>0</v>
      </c>
      <c r="K170" s="268">
        <f ca="1">IF(A12taxstdlife="N/A","n/a",IF(J170=0,0,A12taxstdlife+I170-Input!$W$7))</f>
        <v>0</v>
      </c>
      <c r="L170" s="114"/>
      <c r="M170" s="9"/>
      <c r="N170" s="9"/>
      <c r="O170" s="9"/>
      <c r="P170" s="9"/>
      <c r="Q170" s="9"/>
      <c r="R170" s="9"/>
      <c r="S170" s="261"/>
      <c r="T170" s="261"/>
      <c r="U170" s="261"/>
      <c r="V170" s="261"/>
      <c r="W170" s="261"/>
      <c r="X170" s="261"/>
      <c r="Y170" s="261"/>
      <c r="Z170" s="261"/>
    </row>
    <row r="171" spans="1:26" hidden="1" outlineLevel="1">
      <c r="A171" s="9"/>
      <c r="B171" s="9"/>
      <c r="C171" s="394"/>
      <c r="D171" s="91">
        <v>9</v>
      </c>
      <c r="E171" s="268">
        <f ca="1">OFFSET('Actual RAB roll forward'!H$55,0,D171-1)-SUM('Actual RAB roll forward'!H229:OFFSET('Actual RAB roll forward'!H229,0,Input!$W$7-1))</f>
        <v>0</v>
      </c>
      <c r="F171" s="268">
        <f ca="1">IF(A12stdlife="N/A","n/a",IF(E171=0,0,A12stdlife+D171-Input!$W$7))</f>
        <v>0</v>
      </c>
      <c r="G171" s="264"/>
      <c r="H171" s="394"/>
      <c r="I171" s="91">
        <v>9</v>
      </c>
      <c r="J171" s="268">
        <f ca="1">OFFSET('Tax value roll forward'!H$51,0,I171-1)-SUM('Tax value roll forward'!H225:OFFSET('Tax value roll forward'!H225,0,Input!$W$7-1))</f>
        <v>0</v>
      </c>
      <c r="K171" s="268">
        <f ca="1">IF(A12taxstdlife="N/A","n/a",IF(J171=0,0,A12taxstdlife+I171-Input!$W$7))</f>
        <v>0</v>
      </c>
      <c r="L171" s="114"/>
      <c r="M171" s="9"/>
      <c r="N171" s="9"/>
      <c r="O171" s="9"/>
      <c r="P171" s="9"/>
      <c r="Q171" s="9"/>
      <c r="R171" s="9"/>
      <c r="S171" s="261"/>
      <c r="T171" s="261"/>
      <c r="U171" s="261"/>
      <c r="V171" s="261"/>
      <c r="W171" s="261"/>
      <c r="X171" s="261"/>
      <c r="Y171" s="261"/>
      <c r="Z171" s="261"/>
    </row>
    <row r="172" spans="1:26" hidden="1" outlineLevel="1">
      <c r="A172" s="9"/>
      <c r="B172" s="9"/>
      <c r="C172" s="395"/>
      <c r="D172" s="92">
        <v>10</v>
      </c>
      <c r="E172" s="268">
        <f ca="1">OFFSET('Actual RAB roll forward'!H$55,0,D172-1)-SUM('Actual RAB roll forward'!H230:OFFSET('Actual RAB roll forward'!H230,0,Input!$W$7-1))</f>
        <v>0</v>
      </c>
      <c r="F172" s="268">
        <f ca="1">IF(A12stdlife="N/A","n/a",IF(E172=0,0,A12stdlife+D172-Input!$W$7))</f>
        <v>0</v>
      </c>
      <c r="G172" s="264"/>
      <c r="H172" s="395"/>
      <c r="I172" s="92">
        <v>10</v>
      </c>
      <c r="J172" s="268">
        <f ca="1">OFFSET('Tax value roll forward'!H$51,0,I172-1)-SUM('Tax value roll forward'!H226:OFFSET('Tax value roll forward'!H226,0,Input!$W$7-1))</f>
        <v>0</v>
      </c>
      <c r="K172" s="268">
        <f ca="1">IF(A12taxstdlife="N/A","n/a",IF(J172=0,0,A12taxstdlife+I172-Input!$W$7))</f>
        <v>0</v>
      </c>
      <c r="L172" s="114"/>
      <c r="M172" s="9"/>
      <c r="N172" s="9"/>
      <c r="O172" s="9"/>
      <c r="P172" s="9"/>
      <c r="Q172" s="9"/>
      <c r="R172" s="9"/>
      <c r="S172" s="261"/>
      <c r="T172" s="261"/>
      <c r="U172" s="261"/>
      <c r="V172" s="261"/>
      <c r="W172" s="261"/>
      <c r="X172" s="261"/>
      <c r="Y172" s="261"/>
      <c r="Z172" s="261"/>
    </row>
    <row r="173" spans="1:26" collapsed="1">
      <c r="A173" s="9"/>
      <c r="B173" s="9"/>
      <c r="C173" s="282" t="str">
        <f>Asset12</f>
        <v>Transmission line assets - short life (10)</v>
      </c>
      <c r="D173" s="9"/>
      <c r="E173" s="268">
        <f ca="1">SUM(E162:E172)</f>
        <v>4.6803085258193402</v>
      </c>
      <c r="F173" s="268">
        <f ca="1">IF(E173=0,0,SUMPRODUCT(E162:E172,F162:F172)/E173)</f>
        <v>9.3531302787613715</v>
      </c>
      <c r="G173" s="264"/>
      <c r="H173" s="43"/>
      <c r="I173" s="268"/>
      <c r="J173" s="268">
        <f ca="1">SUM(J162:J172)</f>
        <v>4.9866757782399498</v>
      </c>
      <c r="K173" s="268">
        <f ca="1">IF(J173=0,0,SUMPRODUCT(J162:J172,K162:K172)/J173)</f>
        <v>9.3842857774315362</v>
      </c>
      <c r="L173" s="114"/>
      <c r="M173" s="9"/>
      <c r="N173" s="9"/>
      <c r="O173" s="9"/>
      <c r="P173" s="9"/>
      <c r="Q173" s="9"/>
      <c r="R173" s="9"/>
      <c r="S173" s="261"/>
      <c r="T173" s="261"/>
      <c r="U173" s="261"/>
      <c r="V173" s="261"/>
      <c r="W173" s="261"/>
      <c r="X173" s="261"/>
      <c r="Y173" s="261"/>
      <c r="Z173" s="261"/>
    </row>
    <row r="174" spans="1:26" hidden="1" outlineLevel="1">
      <c r="A174" s="9"/>
      <c r="B174" s="9"/>
      <c r="C174" s="282"/>
      <c r="D174" s="9"/>
      <c r="E174" s="268"/>
      <c r="F174" s="268"/>
      <c r="G174" s="264"/>
      <c r="H174" s="268"/>
      <c r="I174" s="268"/>
      <c r="J174" s="273"/>
      <c r="K174" s="268"/>
      <c r="L174" s="114"/>
      <c r="M174" s="9"/>
      <c r="N174" s="9"/>
      <c r="O174" s="9"/>
      <c r="P174" s="9"/>
      <c r="Q174" s="9"/>
      <c r="R174" s="9"/>
      <c r="S174" s="261"/>
      <c r="T174" s="261"/>
      <c r="U174" s="261"/>
      <c r="V174" s="261"/>
      <c r="W174" s="261"/>
      <c r="X174" s="261"/>
      <c r="Y174" s="261"/>
      <c r="Z174" s="261"/>
    </row>
    <row r="175" spans="1:26" hidden="1" outlineLevel="1">
      <c r="A175" s="9"/>
      <c r="B175" s="280" t="str">
        <f>Asset13</f>
        <v>Substation assets - long life (60)</v>
      </c>
      <c r="C175" s="9"/>
      <c r="D175" s="9"/>
      <c r="E175" s="35"/>
      <c r="F175" s="35"/>
      <c r="G175" s="264"/>
      <c r="H175" s="268"/>
      <c r="I175" s="268"/>
      <c r="J175" s="273"/>
      <c r="K175" s="268"/>
      <c r="L175" s="114"/>
      <c r="M175" s="9"/>
      <c r="N175" s="9"/>
      <c r="O175" s="9"/>
      <c r="P175" s="9"/>
      <c r="Q175" s="9"/>
      <c r="R175" s="9"/>
      <c r="S175" s="261"/>
      <c r="T175" s="261"/>
      <c r="U175" s="261"/>
      <c r="V175" s="261"/>
      <c r="W175" s="261"/>
      <c r="X175" s="261"/>
      <c r="Y175" s="261"/>
      <c r="Z175" s="261"/>
    </row>
    <row r="176" spans="1:26" ht="12.75" hidden="1" customHeight="1" outlineLevel="1">
      <c r="A176" s="9"/>
      <c r="B176" s="9"/>
      <c r="C176" s="396" t="s">
        <v>26</v>
      </c>
      <c r="D176" s="397"/>
      <c r="E176" s="338">
        <f ca="1">(A13value-'Actual RAB roll forward'!G642)-SUM('Actual RAB roll forward'!H232:OFFSET('Actual RAB roll forward'!H232,0,Input!$W$7-1))</f>
        <v>0</v>
      </c>
      <c r="F176" s="268" t="str">
        <f>IF(A13remlife="N/A","n/a",A13remlife-Input!$W$7)</f>
        <v>n/a</v>
      </c>
      <c r="G176" s="264"/>
      <c r="H176" s="306" t="s">
        <v>65</v>
      </c>
      <c r="I176" s="307"/>
      <c r="J176" s="268">
        <f ca="1">A13taxvalue-SUM('Tax value roll forward'!H228:OFFSET('Tax value roll forward'!H228,0,Input!$W$7-1))</f>
        <v>0</v>
      </c>
      <c r="K176" s="268" t="str">
        <f>IF(A13taxremlife="N/A","n/a",A13taxremlife-Input!$W$7)</f>
        <v>n/a</v>
      </c>
      <c r="L176" s="114"/>
      <c r="M176" s="9"/>
      <c r="N176" s="9"/>
      <c r="O176" s="9"/>
      <c r="P176" s="9"/>
      <c r="Q176" s="9"/>
      <c r="R176" s="9"/>
      <c r="S176" s="261"/>
      <c r="T176" s="261"/>
      <c r="U176" s="261"/>
      <c r="V176" s="261"/>
      <c r="W176" s="261"/>
      <c r="X176" s="261"/>
      <c r="Y176" s="261"/>
      <c r="Z176" s="261"/>
    </row>
    <row r="177" spans="1:26" hidden="1" outlineLevel="1">
      <c r="A177" s="9"/>
      <c r="B177" s="9"/>
      <c r="C177" s="393" t="s">
        <v>81</v>
      </c>
      <c r="D177" s="91">
        <v>1</v>
      </c>
      <c r="E177" s="268">
        <f ca="1">OFFSET('Actual RAB roll forward'!H$56,0,D177-1)-SUM('Actual RAB roll forward'!H234:OFFSET('Actual RAB roll forward'!H234,0,Input!$W$7-1))</f>
        <v>2.2747705972512611</v>
      </c>
      <c r="F177" s="268">
        <f ca="1">IF(A13stdlife="N/A","n/a",IF(E177=0,0,A13stdlife+D177-Input!$W$7))</f>
        <v>56</v>
      </c>
      <c r="G177" s="264"/>
      <c r="H177" s="393" t="s">
        <v>81</v>
      </c>
      <c r="I177" s="91">
        <v>1</v>
      </c>
      <c r="J177" s="268">
        <f ca="1">OFFSET('Tax value roll forward'!H$52,0,I177-1)-SUM('Tax value roll forward'!H230:OFFSET('Tax value roll forward'!H230,0,Input!$W$7-1))</f>
        <v>2.2178846666666665</v>
      </c>
      <c r="K177" s="268">
        <f ca="1">IF(A13taxstdlife="N/A","n/a",IF(J177=0,0,A13taxstdlife+I177-Input!$W$7))</f>
        <v>56</v>
      </c>
      <c r="L177" s="114"/>
      <c r="M177" s="9"/>
      <c r="N177" s="9"/>
      <c r="O177" s="9"/>
      <c r="P177" s="9"/>
      <c r="Q177" s="9"/>
      <c r="R177" s="9"/>
      <c r="S177" s="261"/>
      <c r="T177" s="261"/>
      <c r="U177" s="261"/>
      <c r="V177" s="261"/>
      <c r="W177" s="261"/>
      <c r="X177" s="261"/>
      <c r="Y177" s="261"/>
      <c r="Z177" s="261"/>
    </row>
    <row r="178" spans="1:26" hidden="1" outlineLevel="1">
      <c r="A178" s="9"/>
      <c r="B178" s="9"/>
      <c r="C178" s="394"/>
      <c r="D178" s="91">
        <v>2</v>
      </c>
      <c r="E178" s="268">
        <f ca="1">OFFSET('Actual RAB roll forward'!H$56,0,D178-1)-SUM('Actual RAB roll forward'!H235:OFFSET('Actual RAB roll forward'!H235,0,Input!$W$7-1))</f>
        <v>20.793011389808424</v>
      </c>
      <c r="F178" s="268">
        <f ca="1">IF(A13stdlife="N/A","n/a",IF(E178=0,0,A13stdlife+D178-Input!$W$7))</f>
        <v>57</v>
      </c>
      <c r="G178" s="264"/>
      <c r="H178" s="394"/>
      <c r="I178" s="91">
        <v>2</v>
      </c>
      <c r="J178" s="268">
        <f ca="1">OFFSET('Tax value roll forward'!H$52,0,I178-1)-SUM('Tax value roll forward'!H231:OFFSET('Tax value roll forward'!H231,0,Input!$W$7-1))</f>
        <v>20.813549999999999</v>
      </c>
      <c r="K178" s="268">
        <f ca="1">IF(A13taxstdlife="N/A","n/a",IF(J178=0,0,A13taxstdlife+I178-Input!$W$7))</f>
        <v>57</v>
      </c>
      <c r="L178" s="114"/>
      <c r="M178" s="9"/>
      <c r="N178" s="9"/>
      <c r="O178" s="9"/>
      <c r="P178" s="9"/>
      <c r="Q178" s="9"/>
      <c r="R178" s="9"/>
      <c r="S178" s="261"/>
      <c r="T178" s="261"/>
      <c r="U178" s="261"/>
      <c r="V178" s="261"/>
      <c r="W178" s="261"/>
      <c r="X178" s="261"/>
      <c r="Y178" s="261"/>
      <c r="Z178" s="261"/>
    </row>
    <row r="179" spans="1:26" hidden="1" outlineLevel="1">
      <c r="A179" s="9"/>
      <c r="B179" s="9"/>
      <c r="C179" s="394"/>
      <c r="D179" s="91">
        <v>3</v>
      </c>
      <c r="E179" s="268">
        <f ca="1">OFFSET('Actual RAB roll forward'!H$56,0,D179-1)-SUM('Actual RAB roll forward'!H236:OFFSET('Actual RAB roll forward'!H236,0,Input!$W$7-1))</f>
        <v>10.090882443665143</v>
      </c>
      <c r="F179" s="268">
        <f ca="1">IF(A13stdlife="N/A","n/a",IF(E179=0,0,A13stdlife+D179-Input!$W$7))</f>
        <v>58</v>
      </c>
      <c r="G179" s="264"/>
      <c r="H179" s="394"/>
      <c r="I179" s="91">
        <v>3</v>
      </c>
      <c r="J179" s="268">
        <f ca="1">OFFSET('Tax value roll forward'!H$52,0,I179-1)-SUM('Tax value roll forward'!H232:OFFSET('Tax value roll forward'!H232,0,Input!$W$7-1))</f>
        <v>10.527000000000001</v>
      </c>
      <c r="K179" s="268">
        <f ca="1">IF(A13taxstdlife="N/A","n/a",IF(J179=0,0,A13taxstdlife+I179-Input!$W$7))</f>
        <v>58</v>
      </c>
      <c r="L179" s="114"/>
      <c r="M179" s="9"/>
      <c r="N179" s="9"/>
      <c r="O179" s="9"/>
      <c r="P179" s="9"/>
      <c r="Q179" s="9"/>
      <c r="R179" s="9"/>
      <c r="S179" s="261"/>
      <c r="T179" s="261"/>
      <c r="U179" s="261"/>
      <c r="V179" s="261"/>
      <c r="W179" s="261"/>
      <c r="X179" s="261"/>
      <c r="Y179" s="261"/>
      <c r="Z179" s="261"/>
    </row>
    <row r="180" spans="1:26" hidden="1" outlineLevel="1">
      <c r="A180" s="9"/>
      <c r="B180" s="9"/>
      <c r="C180" s="394"/>
      <c r="D180" s="91">
        <v>4</v>
      </c>
      <c r="E180" s="268">
        <f ca="1">OFFSET('Actual RAB roll forward'!H$56,0,D180-1)-SUM('Actual RAB roll forward'!H237:OFFSET('Actual RAB roll forward'!H237,0,Input!$W$7-1))</f>
        <v>7.4416834528023053</v>
      </c>
      <c r="F180" s="268">
        <f ca="1">IF(A13stdlife="N/A","n/a",IF(E180=0,0,A13stdlife+D180-Input!$W$7))</f>
        <v>59</v>
      </c>
      <c r="G180" s="264"/>
      <c r="H180" s="394"/>
      <c r="I180" s="91">
        <v>4</v>
      </c>
      <c r="J180" s="268">
        <f ca="1">OFFSET('Tax value roll forward'!H$52,0,I180-1)-SUM('Tax value roll forward'!H233:OFFSET('Tax value roll forward'!H233,0,Input!$W$7-1))</f>
        <v>7.8509333333333338</v>
      </c>
      <c r="K180" s="268">
        <f ca="1">IF(A13taxstdlife="N/A","n/a",IF(J180=0,0,A13taxstdlife+I180-Input!$W$7))</f>
        <v>59</v>
      </c>
      <c r="L180" s="114"/>
      <c r="M180" s="9"/>
      <c r="N180" s="9"/>
      <c r="O180" s="9"/>
      <c r="P180" s="9"/>
      <c r="Q180" s="9"/>
      <c r="R180" s="9"/>
      <c r="S180" s="261"/>
      <c r="T180" s="261"/>
      <c r="U180" s="261"/>
      <c r="V180" s="261"/>
      <c r="W180" s="261"/>
      <c r="X180" s="261"/>
      <c r="Y180" s="261"/>
      <c r="Z180" s="261"/>
    </row>
    <row r="181" spans="1:26" hidden="1" outlineLevel="1">
      <c r="A181" s="9"/>
      <c r="B181" s="9"/>
      <c r="C181" s="394"/>
      <c r="D181" s="91">
        <v>5</v>
      </c>
      <c r="E181" s="268">
        <f ca="1">OFFSET('Actual RAB roll forward'!H$56,0,D181-1)-SUM('Actual RAB roll forward'!H238:OFFSET('Actual RAB roll forward'!H238,0,Input!$W$7-1))</f>
        <v>9.1098929887953091</v>
      </c>
      <c r="F181" s="268">
        <f ca="1">IF(A13stdlife="N/A","n/a",IF(E181=0,0,A13stdlife+D181-Input!$W$7))</f>
        <v>60</v>
      </c>
      <c r="G181" s="264"/>
      <c r="H181" s="394"/>
      <c r="I181" s="91">
        <v>5</v>
      </c>
      <c r="J181" s="268">
        <f ca="1">OFFSET('Tax value roll forward'!H$52,0,I181-1)-SUM('Tax value roll forward'!H234:OFFSET('Tax value roll forward'!H234,0,Input!$W$7-1))</f>
        <v>9.8515177112453429</v>
      </c>
      <c r="K181" s="268">
        <f ca="1">IF(A13taxstdlife="N/A","n/a",IF(J181=0,0,A13taxstdlife+I181-Input!$W$7))</f>
        <v>60</v>
      </c>
      <c r="L181" s="114"/>
      <c r="M181" s="9"/>
      <c r="N181" s="9"/>
      <c r="O181" s="9"/>
      <c r="P181" s="9"/>
      <c r="Q181" s="9"/>
      <c r="R181" s="9"/>
      <c r="S181" s="261"/>
      <c r="T181" s="261"/>
      <c r="U181" s="261"/>
      <c r="V181" s="261"/>
      <c r="W181" s="261"/>
      <c r="X181" s="261"/>
      <c r="Y181" s="261"/>
      <c r="Z181" s="261"/>
    </row>
    <row r="182" spans="1:26" hidden="1" outlineLevel="1">
      <c r="A182" s="9"/>
      <c r="B182" s="9"/>
      <c r="C182" s="394"/>
      <c r="D182" s="91">
        <v>6</v>
      </c>
      <c r="E182" s="268">
        <f ca="1">OFFSET('Actual RAB roll forward'!H$56,0,D182-1)-SUM('Actual RAB roll forward'!H239:OFFSET('Actual RAB roll forward'!H239,0,Input!$W$7-1))</f>
        <v>0</v>
      </c>
      <c r="F182" s="268">
        <f ca="1">IF(A13stdlife="N/A","n/a",IF(E182=0,0,A13stdlife+D182-Input!$W$7))</f>
        <v>0</v>
      </c>
      <c r="G182" s="264"/>
      <c r="H182" s="394"/>
      <c r="I182" s="91">
        <v>6</v>
      </c>
      <c r="J182" s="268">
        <f ca="1">OFFSET('Tax value roll forward'!H$52,0,I182-1)-SUM('Tax value roll forward'!H235:OFFSET('Tax value roll forward'!H235,0,Input!$W$7-1))</f>
        <v>0</v>
      </c>
      <c r="K182" s="268">
        <f ca="1">IF(A13taxstdlife="N/A","n/a",IF(J182=0,0,A13taxstdlife+I182-Input!$W$7))</f>
        <v>0</v>
      </c>
      <c r="L182" s="114"/>
      <c r="M182" s="9"/>
      <c r="N182" s="9"/>
      <c r="O182" s="9"/>
      <c r="P182" s="9"/>
      <c r="Q182" s="9"/>
      <c r="R182" s="9"/>
      <c r="S182" s="261"/>
      <c r="T182" s="261"/>
      <c r="U182" s="261"/>
      <c r="V182" s="261"/>
      <c r="W182" s="261"/>
      <c r="X182" s="261"/>
      <c r="Y182" s="261"/>
      <c r="Z182" s="261"/>
    </row>
    <row r="183" spans="1:26" hidden="1" outlineLevel="1">
      <c r="A183" s="9"/>
      <c r="B183" s="9"/>
      <c r="C183" s="394"/>
      <c r="D183" s="91">
        <v>7</v>
      </c>
      <c r="E183" s="268">
        <f ca="1">OFFSET('Actual RAB roll forward'!H$56,0,D183-1)-SUM('Actual RAB roll forward'!H240:OFFSET('Actual RAB roll forward'!H240,0,Input!$W$7-1))</f>
        <v>0</v>
      </c>
      <c r="F183" s="268">
        <f ca="1">IF(A13stdlife="N/A","n/a",IF(E183=0,0,A13stdlife+D183-Input!$W$7))</f>
        <v>0</v>
      </c>
      <c r="G183" s="264"/>
      <c r="H183" s="394"/>
      <c r="I183" s="91">
        <v>7</v>
      </c>
      <c r="J183" s="268">
        <f ca="1">OFFSET('Tax value roll forward'!H$52,0,I183-1)-SUM('Tax value roll forward'!H236:OFFSET('Tax value roll forward'!H236,0,Input!$W$7-1))</f>
        <v>0</v>
      </c>
      <c r="K183" s="268">
        <f ca="1">IF(A13taxstdlife="N/A","n/a",IF(J183=0,0,A13taxstdlife+I183-Input!$W$7))</f>
        <v>0</v>
      </c>
      <c r="L183" s="114"/>
      <c r="M183" s="9"/>
      <c r="N183" s="9"/>
      <c r="O183" s="9"/>
      <c r="P183" s="9"/>
      <c r="Q183" s="9"/>
      <c r="R183" s="9"/>
      <c r="S183" s="261"/>
      <c r="T183" s="261"/>
      <c r="U183" s="261"/>
      <c r="V183" s="261"/>
      <c r="W183" s="261"/>
      <c r="X183" s="261"/>
      <c r="Y183" s="261"/>
      <c r="Z183" s="261"/>
    </row>
    <row r="184" spans="1:26" hidden="1" outlineLevel="1">
      <c r="A184" s="9"/>
      <c r="B184" s="9"/>
      <c r="C184" s="394"/>
      <c r="D184" s="91">
        <v>8</v>
      </c>
      <c r="E184" s="268">
        <f ca="1">OFFSET('Actual RAB roll forward'!H$56,0,D184-1)-SUM('Actual RAB roll forward'!H241:OFFSET('Actual RAB roll forward'!H241,0,Input!$W$7-1))</f>
        <v>0</v>
      </c>
      <c r="F184" s="268">
        <f ca="1">IF(A13stdlife="N/A","n/a",IF(E184=0,0,A13stdlife+D184-Input!$W$7))</f>
        <v>0</v>
      </c>
      <c r="G184" s="264"/>
      <c r="H184" s="394"/>
      <c r="I184" s="91">
        <v>8</v>
      </c>
      <c r="J184" s="268">
        <f ca="1">OFFSET('Tax value roll forward'!H$52,0,I184-1)-SUM('Tax value roll forward'!H237:OFFSET('Tax value roll forward'!H237,0,Input!$W$7-1))</f>
        <v>0</v>
      </c>
      <c r="K184" s="268">
        <f ca="1">IF(A13taxstdlife="N/A","n/a",IF(J184=0,0,A13taxstdlife+I184-Input!$W$7))</f>
        <v>0</v>
      </c>
      <c r="L184" s="114"/>
      <c r="M184" s="9"/>
      <c r="N184" s="9"/>
      <c r="O184" s="9"/>
      <c r="P184" s="9"/>
      <c r="Q184" s="9"/>
      <c r="R184" s="9"/>
      <c r="S184" s="261"/>
      <c r="T184" s="261"/>
      <c r="U184" s="261"/>
      <c r="V184" s="261"/>
      <c r="W184" s="261"/>
      <c r="X184" s="261"/>
      <c r="Y184" s="261"/>
      <c r="Z184" s="261"/>
    </row>
    <row r="185" spans="1:26" hidden="1" outlineLevel="1">
      <c r="A185" s="9"/>
      <c r="B185" s="9"/>
      <c r="C185" s="394"/>
      <c r="D185" s="91">
        <v>9</v>
      </c>
      <c r="E185" s="268">
        <f ca="1">OFFSET('Actual RAB roll forward'!H$56,0,D185-1)-SUM('Actual RAB roll forward'!H242:OFFSET('Actual RAB roll forward'!H242,0,Input!$W$7-1))</f>
        <v>0</v>
      </c>
      <c r="F185" s="268">
        <f ca="1">IF(A13stdlife="N/A","n/a",IF(E185=0,0,A13stdlife+D185-Input!$W$7))</f>
        <v>0</v>
      </c>
      <c r="G185" s="264"/>
      <c r="H185" s="394"/>
      <c r="I185" s="91">
        <v>9</v>
      </c>
      <c r="J185" s="268">
        <f ca="1">OFFSET('Tax value roll forward'!H$52,0,I185-1)-SUM('Tax value roll forward'!H238:OFFSET('Tax value roll forward'!H238,0,Input!$W$7-1))</f>
        <v>0</v>
      </c>
      <c r="K185" s="268">
        <f ca="1">IF(A13taxstdlife="N/A","n/a",IF(J185=0,0,A13taxstdlife+I185-Input!$W$7))</f>
        <v>0</v>
      </c>
      <c r="L185" s="114"/>
      <c r="M185" s="9"/>
      <c r="N185" s="9"/>
      <c r="O185" s="9"/>
      <c r="P185" s="9"/>
      <c r="Q185" s="9"/>
      <c r="R185" s="9"/>
      <c r="S185" s="261"/>
      <c r="T185" s="261"/>
      <c r="U185" s="261"/>
      <c r="V185" s="261"/>
      <c r="W185" s="261"/>
      <c r="X185" s="261"/>
      <c r="Y185" s="261"/>
      <c r="Z185" s="261"/>
    </row>
    <row r="186" spans="1:26" hidden="1" outlineLevel="1">
      <c r="A186" s="9"/>
      <c r="B186" s="9"/>
      <c r="C186" s="395"/>
      <c r="D186" s="92">
        <v>10</v>
      </c>
      <c r="E186" s="268">
        <f ca="1">OFFSET('Actual RAB roll forward'!H$56,0,D186-1)-SUM('Actual RAB roll forward'!H243:OFFSET('Actual RAB roll forward'!H243,0,Input!$W$7-1))</f>
        <v>0</v>
      </c>
      <c r="F186" s="268">
        <f ca="1">IF(A13stdlife="N/A","n/a",IF(E186=0,0,A13stdlife+D186-Input!$W$7))</f>
        <v>0</v>
      </c>
      <c r="G186" s="264"/>
      <c r="H186" s="395"/>
      <c r="I186" s="92">
        <v>10</v>
      </c>
      <c r="J186" s="268">
        <f ca="1">OFFSET('Tax value roll forward'!H$52,0,I186-1)-SUM('Tax value roll forward'!H239:OFFSET('Tax value roll forward'!H239,0,Input!$W$7-1))</f>
        <v>0</v>
      </c>
      <c r="K186" s="268">
        <f ca="1">IF(A13taxstdlife="N/A","n/a",IF(J186=0,0,A13taxstdlife+I186-Input!$W$7))</f>
        <v>0</v>
      </c>
      <c r="L186" s="114"/>
      <c r="M186" s="9"/>
      <c r="N186" s="9"/>
      <c r="O186" s="9"/>
      <c r="P186" s="9"/>
      <c r="Q186" s="9"/>
      <c r="R186" s="9"/>
      <c r="S186" s="261"/>
      <c r="T186" s="261"/>
      <c r="U186" s="261"/>
      <c r="V186" s="261"/>
      <c r="W186" s="261"/>
      <c r="X186" s="261"/>
      <c r="Y186" s="261"/>
      <c r="Z186" s="261"/>
    </row>
    <row r="187" spans="1:26" collapsed="1">
      <c r="A187" s="9"/>
      <c r="B187" s="9"/>
      <c r="C187" s="282" t="str">
        <f>Asset13</f>
        <v>Substation assets - long life (60)</v>
      </c>
      <c r="D187" s="9"/>
      <c r="E187" s="268">
        <f ca="1">SUM(E176:E186)</f>
        <v>49.710240872322444</v>
      </c>
      <c r="F187" s="268">
        <f ca="1">IF(E187=0,0,SUMPRODUCT(E176:E186,F176:F186)/E187)</f>
        <v>58.006415516008083</v>
      </c>
      <c r="G187" s="264"/>
      <c r="H187" s="43"/>
      <c r="I187" s="268"/>
      <c r="J187" s="268">
        <f ca="1">SUM(J176:J186)</f>
        <v>51.260885711245344</v>
      </c>
      <c r="K187" s="268">
        <f ca="1">IF(J187=0,0,SUMPRODUCT(J176:J186,K176:K186)/J187)</f>
        <v>58.044959219695748</v>
      </c>
      <c r="L187" s="114"/>
      <c r="M187" s="9"/>
      <c r="N187" s="9"/>
      <c r="O187" s="9"/>
      <c r="P187" s="9"/>
      <c r="Q187" s="9"/>
      <c r="R187" s="9"/>
      <c r="S187" s="261"/>
      <c r="T187" s="261"/>
      <c r="U187" s="261"/>
      <c r="V187" s="261"/>
      <c r="W187" s="261"/>
      <c r="X187" s="261"/>
      <c r="Y187" s="261"/>
      <c r="Z187" s="261"/>
    </row>
    <row r="188" spans="1:26" hidden="1" outlineLevel="1">
      <c r="A188" s="9"/>
      <c r="B188" s="9"/>
      <c r="C188" s="282"/>
      <c r="D188" s="9"/>
      <c r="E188" s="268"/>
      <c r="F188" s="268"/>
      <c r="G188" s="264"/>
      <c r="H188" s="268"/>
      <c r="I188" s="268"/>
      <c r="J188" s="273"/>
      <c r="K188" s="268"/>
      <c r="L188" s="114"/>
      <c r="M188" s="9"/>
      <c r="N188" s="9"/>
      <c r="O188" s="9"/>
      <c r="P188" s="9"/>
      <c r="Q188" s="9"/>
      <c r="R188" s="9"/>
      <c r="S188" s="261"/>
      <c r="T188" s="261"/>
      <c r="U188" s="261"/>
      <c r="V188" s="261"/>
      <c r="W188" s="261"/>
      <c r="X188" s="261"/>
      <c r="Y188" s="261"/>
      <c r="Z188" s="261"/>
    </row>
    <row r="189" spans="1:26" hidden="1" outlineLevel="1">
      <c r="A189" s="9"/>
      <c r="B189" s="280" t="str">
        <f>Asset14</f>
        <v>Substation assets - medium life (45)</v>
      </c>
      <c r="C189" s="9"/>
      <c r="D189" s="9"/>
      <c r="E189" s="35"/>
      <c r="F189" s="35"/>
      <c r="G189" s="264"/>
      <c r="H189" s="268"/>
      <c r="I189" s="268"/>
      <c r="J189" s="273"/>
      <c r="K189" s="268"/>
      <c r="L189" s="114"/>
      <c r="M189" s="9"/>
      <c r="N189" s="9"/>
      <c r="O189" s="9"/>
      <c r="P189" s="9"/>
      <c r="Q189" s="9"/>
      <c r="R189" s="9"/>
      <c r="S189" s="261"/>
      <c r="T189" s="261"/>
      <c r="U189" s="261"/>
      <c r="V189" s="261"/>
      <c r="W189" s="261"/>
      <c r="X189" s="261"/>
      <c r="Y189" s="261"/>
      <c r="Z189" s="261"/>
    </row>
    <row r="190" spans="1:26" ht="12.75" hidden="1" customHeight="1" outlineLevel="1">
      <c r="A190" s="9"/>
      <c r="B190" s="9"/>
      <c r="C190" s="396" t="s">
        <v>26</v>
      </c>
      <c r="D190" s="397"/>
      <c r="E190" s="338">
        <f ca="1">(A14value-'Actual RAB roll forward'!G643)-SUM('Actual RAB roll forward'!H245:OFFSET('Actual RAB roll forward'!H245,0,Input!$W$7-1))</f>
        <v>0</v>
      </c>
      <c r="F190" s="268" t="str">
        <f>IF(A14remlife="N/A","n/a",A14remlife-Input!$W$7)</f>
        <v>n/a</v>
      </c>
      <c r="G190" s="264"/>
      <c r="H190" s="306" t="s">
        <v>65</v>
      </c>
      <c r="I190" s="307"/>
      <c r="J190" s="268">
        <f ca="1">A14taxvalue-SUM('Tax value roll forward'!H241:OFFSET('Tax value roll forward'!H241,0,Input!$W$7-1))</f>
        <v>0</v>
      </c>
      <c r="K190" s="268" t="str">
        <f>IF(A14taxremlife="N/A","n/a",A14taxremlife-Input!$W$7)</f>
        <v>n/a</v>
      </c>
      <c r="L190" s="114"/>
      <c r="M190" s="9"/>
      <c r="N190" s="9"/>
      <c r="O190" s="9"/>
      <c r="P190" s="9"/>
      <c r="Q190" s="9"/>
      <c r="R190" s="9"/>
      <c r="S190" s="261"/>
      <c r="T190" s="261"/>
      <c r="U190" s="261"/>
      <c r="V190" s="261"/>
      <c r="W190" s="261"/>
      <c r="X190" s="261"/>
      <c r="Y190" s="261"/>
      <c r="Z190" s="261"/>
    </row>
    <row r="191" spans="1:26" hidden="1" outlineLevel="1">
      <c r="A191" s="9"/>
      <c r="B191" s="9"/>
      <c r="C191" s="393" t="s">
        <v>81</v>
      </c>
      <c r="D191" s="91">
        <v>1</v>
      </c>
      <c r="E191" s="268">
        <f ca="1">OFFSET('Actual RAB roll forward'!H$57,0,D191-1)-SUM('Actual RAB roll forward'!H247:OFFSET('Actual RAB roll forward'!H247,0,Input!$W$7-1))</f>
        <v>10.468602355003357</v>
      </c>
      <c r="F191" s="268">
        <f ca="1">IF(A14stdlife="N/A","n/a",IF(E191=0,0,A14stdlife+D191-Input!$W$7))</f>
        <v>41</v>
      </c>
      <c r="G191" s="264"/>
      <c r="H191" s="393" t="s">
        <v>81</v>
      </c>
      <c r="I191" s="91">
        <v>1</v>
      </c>
      <c r="J191" s="268">
        <f ca="1">OFFSET('Tax value roll forward'!H$53,0,I191-1)-SUM('Tax value roll forward'!H243:OFFSET('Tax value roll forward'!H243,0,Input!$W$7-1))</f>
        <v>10.206810600000001</v>
      </c>
      <c r="K191" s="268">
        <f ca="1">IF(A14taxstdlife="N/A","n/a",IF(J191=0,0,A14taxstdlife+I191-Input!$W$7))</f>
        <v>41</v>
      </c>
      <c r="L191" s="114"/>
      <c r="M191" s="9"/>
      <c r="N191" s="9"/>
      <c r="O191" s="9"/>
      <c r="P191" s="9"/>
      <c r="Q191" s="9"/>
      <c r="R191" s="9"/>
      <c r="S191" s="261"/>
      <c r="T191" s="261"/>
      <c r="U191" s="261"/>
      <c r="V191" s="261"/>
      <c r="W191" s="261"/>
      <c r="X191" s="261"/>
      <c r="Y191" s="261"/>
      <c r="Z191" s="261"/>
    </row>
    <row r="192" spans="1:26" hidden="1" outlineLevel="1">
      <c r="A192" s="9"/>
      <c r="B192" s="9"/>
      <c r="C192" s="394"/>
      <c r="D192" s="91">
        <v>2</v>
      </c>
      <c r="E192" s="268">
        <f ca="1">OFFSET('Actual RAB roll forward'!H$57,0,D192-1)-SUM('Actual RAB roll forward'!H248:OFFSET('Actual RAB roll forward'!H248,0,Input!$W$7-1))</f>
        <v>49.790818369189871</v>
      </c>
      <c r="F192" s="268">
        <f ca="1">IF(A14stdlife="N/A","n/a",IF(E192=0,0,A14stdlife+D192-Input!$W$7))</f>
        <v>42</v>
      </c>
      <c r="G192" s="264"/>
      <c r="H192" s="394"/>
      <c r="I192" s="91">
        <v>2</v>
      </c>
      <c r="J192" s="268">
        <f ca="1">OFFSET('Tax value roll forward'!H$53,0,I192-1)-SUM('Tax value roll forward'!H244:OFFSET('Tax value roll forward'!H244,0,Input!$W$7-1))</f>
        <v>49.839999999999996</v>
      </c>
      <c r="K192" s="268">
        <f ca="1">IF(A14taxstdlife="N/A","n/a",IF(J192=0,0,A14taxstdlife+I192-Input!$W$7))</f>
        <v>42</v>
      </c>
      <c r="L192" s="114"/>
      <c r="M192" s="9"/>
      <c r="N192" s="9"/>
      <c r="O192" s="9"/>
      <c r="P192" s="9"/>
      <c r="Q192" s="9"/>
      <c r="R192" s="9"/>
      <c r="S192" s="261"/>
      <c r="T192" s="261"/>
      <c r="U192" s="261"/>
      <c r="V192" s="261"/>
      <c r="W192" s="261"/>
      <c r="X192" s="261"/>
      <c r="Y192" s="261"/>
      <c r="Z192" s="261"/>
    </row>
    <row r="193" spans="1:26" hidden="1" outlineLevel="1">
      <c r="A193" s="9"/>
      <c r="B193" s="9"/>
      <c r="C193" s="394"/>
      <c r="D193" s="91">
        <v>3</v>
      </c>
      <c r="E193" s="268">
        <f ca="1">OFFSET('Actual RAB roll forward'!H$57,0,D193-1)-SUM('Actual RAB roll forward'!H249:OFFSET('Actual RAB roll forward'!H249,0,Input!$W$7-1))</f>
        <v>42.516502721397906</v>
      </c>
      <c r="F193" s="268">
        <f ca="1">IF(A14stdlife="N/A","n/a",IF(E193=0,0,A14stdlife+D193-Input!$W$7))</f>
        <v>43</v>
      </c>
      <c r="G193" s="264"/>
      <c r="H193" s="394"/>
      <c r="I193" s="91">
        <v>3</v>
      </c>
      <c r="J193" s="268">
        <f ca="1">OFFSET('Tax value roll forward'!H$53,0,I193-1)-SUM('Tax value roll forward'!H245:OFFSET('Tax value roll forward'!H245,0,Input!$W$7-1))</f>
        <v>44.354022222222227</v>
      </c>
      <c r="K193" s="268">
        <f ca="1">IF(A14taxstdlife="N/A","n/a",IF(J193=0,0,A14taxstdlife+I193-Input!$W$7))</f>
        <v>43</v>
      </c>
      <c r="L193" s="114"/>
      <c r="M193" s="9"/>
      <c r="N193" s="9"/>
      <c r="O193" s="9"/>
      <c r="P193" s="9"/>
      <c r="Q193" s="9"/>
      <c r="R193" s="9"/>
      <c r="S193" s="261"/>
      <c r="T193" s="261"/>
      <c r="U193" s="261"/>
      <c r="V193" s="261"/>
      <c r="W193" s="261"/>
      <c r="X193" s="261"/>
      <c r="Y193" s="261"/>
      <c r="Z193" s="261"/>
    </row>
    <row r="194" spans="1:26" hidden="1" outlineLevel="1">
      <c r="A194" s="9"/>
      <c r="B194" s="9"/>
      <c r="C194" s="394"/>
      <c r="D194" s="91">
        <v>4</v>
      </c>
      <c r="E194" s="268">
        <f ca="1">OFFSET('Actual RAB roll forward'!H$57,0,D194-1)-SUM('Actual RAB roll forward'!H250:OFFSET('Actual RAB roll forward'!H250,0,Input!$W$7-1))</f>
        <v>34.667276531285992</v>
      </c>
      <c r="F194" s="268">
        <f ca="1">IF(A14stdlife="N/A","n/a",IF(E194=0,0,A14stdlife+D194-Input!$W$7))</f>
        <v>44</v>
      </c>
      <c r="G194" s="264"/>
      <c r="H194" s="394"/>
      <c r="I194" s="91">
        <v>4</v>
      </c>
      <c r="J194" s="268">
        <f ca="1">OFFSET('Tax value roll forward'!H$53,0,I194-1)-SUM('Tax value roll forward'!H246:OFFSET('Tax value roll forward'!H246,0,Input!$W$7-1))</f>
        <v>36.573777777777778</v>
      </c>
      <c r="K194" s="268">
        <f ca="1">IF(A14taxstdlife="N/A","n/a",IF(J194=0,0,A14taxstdlife+I194-Input!$W$7))</f>
        <v>44</v>
      </c>
      <c r="L194" s="114"/>
      <c r="M194" s="9"/>
      <c r="N194" s="9"/>
      <c r="O194" s="9"/>
      <c r="P194" s="9"/>
      <c r="Q194" s="9"/>
      <c r="R194" s="9"/>
      <c r="S194" s="261"/>
      <c r="T194" s="261"/>
      <c r="U194" s="261"/>
      <c r="V194" s="261"/>
      <c r="W194" s="261"/>
      <c r="X194" s="261"/>
      <c r="Y194" s="261"/>
      <c r="Z194" s="261"/>
    </row>
    <row r="195" spans="1:26" hidden="1" outlineLevel="1">
      <c r="A195" s="9"/>
      <c r="B195" s="9"/>
      <c r="C195" s="394"/>
      <c r="D195" s="91">
        <v>5</v>
      </c>
      <c r="E195" s="268">
        <f ca="1">OFFSET('Actual RAB roll forward'!H$57,0,D195-1)-SUM('Actual RAB roll forward'!H251:OFFSET('Actual RAB roll forward'!H251,0,Input!$W$7-1))</f>
        <v>27.70459018001581</v>
      </c>
      <c r="F195" s="268">
        <f ca="1">IF(A14stdlife="N/A","n/a",IF(E195=0,0,A14stdlife+D195-Input!$W$7))</f>
        <v>45</v>
      </c>
      <c r="G195" s="264"/>
      <c r="H195" s="394"/>
      <c r="I195" s="91">
        <v>5</v>
      </c>
      <c r="J195" s="268">
        <f ca="1">OFFSET('Tax value roll forward'!H$53,0,I195-1)-SUM('Tax value roll forward'!H247:OFFSET('Tax value roll forward'!H247,0,Input!$W$7-1))</f>
        <v>29.959985389171088</v>
      </c>
      <c r="K195" s="268">
        <f ca="1">IF(A14taxstdlife="N/A","n/a",IF(J195=0,0,A14taxstdlife+I195-Input!$W$7))</f>
        <v>45</v>
      </c>
      <c r="L195" s="114"/>
      <c r="M195" s="9"/>
      <c r="N195" s="9"/>
      <c r="O195" s="9"/>
      <c r="P195" s="9"/>
      <c r="Q195" s="9"/>
      <c r="R195" s="9"/>
      <c r="S195" s="261"/>
      <c r="T195" s="261"/>
      <c r="U195" s="261"/>
      <c r="V195" s="261"/>
      <c r="W195" s="261"/>
      <c r="X195" s="261"/>
      <c r="Y195" s="261"/>
      <c r="Z195" s="261"/>
    </row>
    <row r="196" spans="1:26" hidden="1" outlineLevel="1">
      <c r="A196" s="9"/>
      <c r="B196" s="9"/>
      <c r="C196" s="394"/>
      <c r="D196" s="91">
        <v>6</v>
      </c>
      <c r="E196" s="268">
        <f ca="1">OFFSET('Actual RAB roll forward'!H$57,0,D196-1)-SUM('Actual RAB roll forward'!H252:OFFSET('Actual RAB roll forward'!H252,0,Input!$W$7-1))</f>
        <v>0</v>
      </c>
      <c r="F196" s="268">
        <f ca="1">IF(A14stdlife="N/A","n/a",IF(E196=0,0,A14stdlife+D196-Input!$W$7))</f>
        <v>0</v>
      </c>
      <c r="G196" s="264"/>
      <c r="H196" s="394"/>
      <c r="I196" s="91">
        <v>6</v>
      </c>
      <c r="J196" s="268">
        <f ca="1">OFFSET('Tax value roll forward'!H$53,0,I196-1)-SUM('Tax value roll forward'!H248:OFFSET('Tax value roll forward'!H248,0,Input!$W$7-1))</f>
        <v>0</v>
      </c>
      <c r="K196" s="268">
        <f ca="1">IF(A14taxstdlife="N/A","n/a",IF(J196=0,0,A14taxstdlife+I196-Input!$W$7))</f>
        <v>0</v>
      </c>
      <c r="L196" s="114"/>
      <c r="M196" s="9"/>
      <c r="N196" s="9"/>
      <c r="O196" s="9"/>
      <c r="P196" s="9"/>
      <c r="Q196" s="9"/>
      <c r="R196" s="9"/>
      <c r="S196" s="261"/>
      <c r="T196" s="261"/>
      <c r="U196" s="261"/>
      <c r="V196" s="261"/>
      <c r="W196" s="261"/>
      <c r="X196" s="261"/>
      <c r="Y196" s="261"/>
      <c r="Z196" s="261"/>
    </row>
    <row r="197" spans="1:26" hidden="1" outlineLevel="1">
      <c r="A197" s="9"/>
      <c r="B197" s="9"/>
      <c r="C197" s="394"/>
      <c r="D197" s="91">
        <v>7</v>
      </c>
      <c r="E197" s="268">
        <f ca="1">OFFSET('Actual RAB roll forward'!H$57,0,D197-1)-SUM('Actual RAB roll forward'!H253:OFFSET('Actual RAB roll forward'!H253,0,Input!$W$7-1))</f>
        <v>0</v>
      </c>
      <c r="F197" s="268">
        <f ca="1">IF(A14stdlife="N/A","n/a",IF(E197=0,0,A14stdlife+D197-Input!$W$7))</f>
        <v>0</v>
      </c>
      <c r="G197" s="264"/>
      <c r="H197" s="394"/>
      <c r="I197" s="91">
        <v>7</v>
      </c>
      <c r="J197" s="268">
        <f ca="1">OFFSET('Tax value roll forward'!H$53,0,I197-1)-SUM('Tax value roll forward'!H249:OFFSET('Tax value roll forward'!H249,0,Input!$W$7-1))</f>
        <v>0</v>
      </c>
      <c r="K197" s="268">
        <f ca="1">IF(A14taxstdlife="N/A","n/a",IF(J197=0,0,A14taxstdlife+I197-Input!$W$7))</f>
        <v>0</v>
      </c>
      <c r="L197" s="114"/>
      <c r="M197" s="9"/>
      <c r="N197" s="9"/>
      <c r="O197" s="9"/>
      <c r="P197" s="9"/>
      <c r="Q197" s="9"/>
      <c r="R197" s="9"/>
      <c r="S197" s="261"/>
      <c r="T197" s="261"/>
      <c r="U197" s="261"/>
      <c r="V197" s="261"/>
      <c r="W197" s="261"/>
      <c r="X197" s="261"/>
      <c r="Y197" s="261"/>
      <c r="Z197" s="261"/>
    </row>
    <row r="198" spans="1:26" hidden="1" outlineLevel="1">
      <c r="A198" s="9"/>
      <c r="B198" s="9"/>
      <c r="C198" s="394"/>
      <c r="D198" s="91">
        <v>8</v>
      </c>
      <c r="E198" s="268">
        <f ca="1">OFFSET('Actual RAB roll forward'!H$57,0,D198-1)-SUM('Actual RAB roll forward'!H254:OFFSET('Actual RAB roll forward'!H254,0,Input!$W$7-1))</f>
        <v>0</v>
      </c>
      <c r="F198" s="268">
        <f ca="1">IF(A14stdlife="N/A","n/a",IF(E198=0,0,A14stdlife+D198-Input!$W$7))</f>
        <v>0</v>
      </c>
      <c r="G198" s="264"/>
      <c r="H198" s="394"/>
      <c r="I198" s="91">
        <v>8</v>
      </c>
      <c r="J198" s="268">
        <f ca="1">OFFSET('Tax value roll forward'!H$53,0,I198-1)-SUM('Tax value roll forward'!H250:OFFSET('Tax value roll forward'!H250,0,Input!$W$7-1))</f>
        <v>0</v>
      </c>
      <c r="K198" s="268">
        <f ca="1">IF(A14taxstdlife="N/A","n/a",IF(J198=0,0,A14taxstdlife+I198-Input!$W$7))</f>
        <v>0</v>
      </c>
      <c r="L198" s="114"/>
      <c r="M198" s="9"/>
      <c r="N198" s="9"/>
      <c r="O198" s="9"/>
      <c r="P198" s="9"/>
      <c r="Q198" s="9"/>
      <c r="R198" s="9"/>
      <c r="S198" s="261"/>
      <c r="T198" s="261"/>
      <c r="U198" s="261"/>
      <c r="V198" s="261"/>
      <c r="W198" s="261"/>
      <c r="X198" s="261"/>
      <c r="Y198" s="261"/>
      <c r="Z198" s="261"/>
    </row>
    <row r="199" spans="1:26" hidden="1" outlineLevel="1">
      <c r="A199" s="9"/>
      <c r="B199" s="9"/>
      <c r="C199" s="394"/>
      <c r="D199" s="91">
        <v>9</v>
      </c>
      <c r="E199" s="268">
        <f ca="1">OFFSET('Actual RAB roll forward'!H$57,0,D199-1)-SUM('Actual RAB roll forward'!H255:OFFSET('Actual RAB roll forward'!H255,0,Input!$W$7-1))</f>
        <v>0</v>
      </c>
      <c r="F199" s="268">
        <f ca="1">IF(A14stdlife="N/A","n/a",IF(E199=0,0,A14stdlife+D199-Input!$W$7))</f>
        <v>0</v>
      </c>
      <c r="G199" s="264"/>
      <c r="H199" s="394"/>
      <c r="I199" s="91">
        <v>9</v>
      </c>
      <c r="J199" s="268">
        <f ca="1">OFFSET('Tax value roll forward'!H$53,0,I199-1)-SUM('Tax value roll forward'!H251:OFFSET('Tax value roll forward'!H251,0,Input!$W$7-1))</f>
        <v>0</v>
      </c>
      <c r="K199" s="268">
        <f ca="1">IF(A14taxstdlife="N/A","n/a",IF(J199=0,0,A14taxstdlife+I199-Input!$W$7))</f>
        <v>0</v>
      </c>
      <c r="L199" s="114"/>
      <c r="M199" s="9"/>
      <c r="N199" s="9"/>
      <c r="O199" s="9"/>
      <c r="P199" s="9"/>
      <c r="Q199" s="9"/>
      <c r="R199" s="9"/>
      <c r="S199" s="261"/>
      <c r="T199" s="261"/>
      <c r="U199" s="261"/>
      <c r="V199" s="261"/>
      <c r="W199" s="261"/>
      <c r="X199" s="261"/>
      <c r="Y199" s="261"/>
      <c r="Z199" s="261"/>
    </row>
    <row r="200" spans="1:26" hidden="1" outlineLevel="1">
      <c r="A200" s="9"/>
      <c r="B200" s="9"/>
      <c r="C200" s="395"/>
      <c r="D200" s="92">
        <v>10</v>
      </c>
      <c r="E200" s="268">
        <f ca="1">OFFSET('Actual RAB roll forward'!H$57,0,D200-1)-SUM('Actual RAB roll forward'!H256:OFFSET('Actual RAB roll forward'!H256,0,Input!$W$7-1))</f>
        <v>0</v>
      </c>
      <c r="F200" s="268">
        <f ca="1">IF(A14stdlife="N/A","n/a",IF(E200=0,0,A14stdlife+D200-Input!$W$7))</f>
        <v>0</v>
      </c>
      <c r="G200" s="264"/>
      <c r="H200" s="395"/>
      <c r="I200" s="92">
        <v>10</v>
      </c>
      <c r="J200" s="268">
        <f ca="1">OFFSET('Tax value roll forward'!H$53,0,I200-1)-SUM('Tax value roll forward'!H252:OFFSET('Tax value roll forward'!H252,0,Input!$W$7-1))</f>
        <v>0</v>
      </c>
      <c r="K200" s="268">
        <f ca="1">IF(A14taxstdlife="N/A","n/a",IF(J200=0,0,A14taxstdlife+I200-Input!$W$7))</f>
        <v>0</v>
      </c>
      <c r="L200" s="114"/>
      <c r="M200" s="9"/>
      <c r="N200" s="9"/>
      <c r="O200" s="9"/>
      <c r="P200" s="9"/>
      <c r="Q200" s="9"/>
      <c r="R200" s="9"/>
      <c r="S200" s="261"/>
      <c r="T200" s="261"/>
      <c r="U200" s="261"/>
      <c r="V200" s="261"/>
      <c r="W200" s="261"/>
      <c r="X200" s="261"/>
      <c r="Y200" s="261"/>
      <c r="Z200" s="261"/>
    </row>
    <row r="201" spans="1:26" collapsed="1">
      <c r="A201" s="9"/>
      <c r="B201" s="9"/>
      <c r="C201" s="282" t="str">
        <f>Asset14</f>
        <v>Substation assets - medium life (45)</v>
      </c>
      <c r="D201" s="9"/>
      <c r="E201" s="268">
        <f ca="1">SUM(E190:E200)</f>
        <v>165.14779015689291</v>
      </c>
      <c r="F201" s="268">
        <f ca="1">IF(E201=0,0,SUMPRODUCT(E190:E200,F190:F200)/E201)</f>
        <v>43.117158296782179</v>
      </c>
      <c r="G201" s="264"/>
      <c r="H201" s="43"/>
      <c r="I201" s="268"/>
      <c r="J201" s="268">
        <f ca="1">SUM(J190:J200)</f>
        <v>170.9345959891711</v>
      </c>
      <c r="K201" s="268">
        <f ca="1">IF(J201=0,0,SUMPRODUCT(J190:J200,K190:K200)/J201)</f>
        <v>43.153509751517944</v>
      </c>
      <c r="L201" s="114"/>
      <c r="M201" s="9"/>
      <c r="N201" s="9"/>
      <c r="O201" s="9"/>
      <c r="P201" s="9"/>
      <c r="Q201" s="9"/>
      <c r="R201" s="9"/>
      <c r="S201" s="261"/>
      <c r="T201" s="261"/>
      <c r="U201" s="261"/>
      <c r="V201" s="261"/>
      <c r="W201" s="261"/>
      <c r="X201" s="261"/>
      <c r="Y201" s="261"/>
      <c r="Z201" s="261"/>
    </row>
    <row r="202" spans="1:26" hidden="1" outlineLevel="1">
      <c r="A202" s="9"/>
      <c r="B202" s="9"/>
      <c r="C202" s="282"/>
      <c r="D202" s="9"/>
      <c r="E202" s="268"/>
      <c r="F202" s="268"/>
      <c r="G202" s="264"/>
      <c r="H202" s="268"/>
      <c r="I202" s="268"/>
      <c r="J202" s="273"/>
      <c r="K202" s="268"/>
      <c r="L202" s="114"/>
      <c r="M202" s="9"/>
      <c r="N202" s="9"/>
      <c r="O202" s="9"/>
      <c r="P202" s="9"/>
      <c r="Q202" s="9"/>
      <c r="R202" s="9"/>
      <c r="S202" s="261"/>
      <c r="T202" s="261"/>
      <c r="U202" s="261"/>
      <c r="V202" s="261"/>
      <c r="W202" s="261"/>
      <c r="X202" s="261"/>
      <c r="Y202" s="261"/>
      <c r="Z202" s="261"/>
    </row>
    <row r="203" spans="1:26" hidden="1" outlineLevel="1">
      <c r="A203" s="9"/>
      <c r="B203" s="280" t="str">
        <f>Asset15</f>
        <v>Substation assets - short life (15)</v>
      </c>
      <c r="C203" s="9"/>
      <c r="D203" s="9"/>
      <c r="E203" s="35"/>
      <c r="F203" s="35"/>
      <c r="G203" s="264"/>
      <c r="H203" s="268"/>
      <c r="I203" s="268"/>
      <c r="J203" s="273"/>
      <c r="K203" s="268"/>
      <c r="L203" s="114"/>
      <c r="M203" s="9"/>
      <c r="N203" s="9"/>
      <c r="O203" s="9"/>
      <c r="P203" s="9"/>
      <c r="Q203" s="9"/>
      <c r="R203" s="9"/>
      <c r="S203" s="261"/>
      <c r="T203" s="261"/>
      <c r="U203" s="261"/>
      <c r="V203" s="261"/>
      <c r="W203" s="261"/>
      <c r="X203" s="261"/>
      <c r="Y203" s="261"/>
      <c r="Z203" s="261"/>
    </row>
    <row r="204" spans="1:26" ht="12.75" hidden="1" customHeight="1" outlineLevel="1">
      <c r="A204" s="9"/>
      <c r="B204" s="9"/>
      <c r="C204" s="396" t="s">
        <v>26</v>
      </c>
      <c r="D204" s="397"/>
      <c r="E204" s="338">
        <f ca="1">(A15value-'Actual RAB roll forward'!G644)-SUM('Actual RAB roll forward'!H258:OFFSET('Actual RAB roll forward'!H258,0,Input!$W$7-1))</f>
        <v>0</v>
      </c>
      <c r="F204" s="268" t="str">
        <f>IF(A15remlife="N/A","n/a",A15remlife-Input!$W$7)</f>
        <v>n/a</v>
      </c>
      <c r="G204" s="264"/>
      <c r="H204" s="306" t="s">
        <v>65</v>
      </c>
      <c r="I204" s="307"/>
      <c r="J204" s="268">
        <f ca="1">A15taxvalue-SUM('Tax value roll forward'!H254:OFFSET('Tax value roll forward'!H254,0,Input!$W$7-1))</f>
        <v>0</v>
      </c>
      <c r="K204" s="268" t="str">
        <f>IF(A15taxremlife="N/A","n/a",A15taxremlife-Input!$W$7)</f>
        <v>n/a</v>
      </c>
      <c r="L204" s="114"/>
      <c r="M204" s="9"/>
      <c r="N204" s="9"/>
      <c r="O204" s="9"/>
      <c r="P204" s="9"/>
      <c r="Q204" s="9"/>
      <c r="R204" s="9"/>
      <c r="S204" s="261"/>
      <c r="T204" s="261"/>
      <c r="U204" s="261"/>
      <c r="V204" s="261"/>
      <c r="W204" s="261"/>
      <c r="X204" s="261"/>
      <c r="Y204" s="261"/>
      <c r="Z204" s="261"/>
    </row>
    <row r="205" spans="1:26" hidden="1" outlineLevel="1">
      <c r="A205" s="9"/>
      <c r="B205" s="9"/>
      <c r="C205" s="393" t="s">
        <v>81</v>
      </c>
      <c r="D205" s="91">
        <v>1</v>
      </c>
      <c r="E205" s="268">
        <f ca="1">OFFSET('Actual RAB roll forward'!H$58,0,D205-1)-SUM('Actual RAB roll forward'!H260:OFFSET('Actual RAB roll forward'!H260,0,Input!$W$7-1))</f>
        <v>8.8436903844799737</v>
      </c>
      <c r="F205" s="268">
        <f ca="1">IF(A15stdlife="N/A","n/a",IF(E205=0,0,A15stdlife+D205-Input!$W$7))</f>
        <v>11</v>
      </c>
      <c r="G205" s="264"/>
      <c r="H205" s="393" t="s">
        <v>81</v>
      </c>
      <c r="I205" s="91">
        <v>1</v>
      </c>
      <c r="J205" s="268">
        <f ca="1">OFFSET('Tax value roll forward'!H$54,0,I205-1)-SUM('Tax value roll forward'!H256:OFFSET('Tax value roll forward'!H256,0,Input!$W$7-1))</f>
        <v>8.6225333333333332</v>
      </c>
      <c r="K205" s="268">
        <f ca="1">IF(A15taxstdlife="N/A","n/a",IF(J205=0,0,A15taxstdlife+I205-Input!$W$7))</f>
        <v>11</v>
      </c>
      <c r="L205" s="114"/>
      <c r="M205" s="9"/>
      <c r="N205" s="9"/>
      <c r="O205" s="9"/>
      <c r="P205" s="9"/>
      <c r="Q205" s="9"/>
      <c r="R205" s="9"/>
      <c r="S205" s="261"/>
      <c r="T205" s="261"/>
      <c r="U205" s="261"/>
      <c r="V205" s="261"/>
      <c r="W205" s="261"/>
      <c r="X205" s="261"/>
      <c r="Y205" s="261"/>
      <c r="Z205" s="261"/>
    </row>
    <row r="206" spans="1:26" hidden="1" outlineLevel="1">
      <c r="A206" s="9"/>
      <c r="B206" s="9"/>
      <c r="C206" s="394"/>
      <c r="D206" s="91">
        <v>2</v>
      </c>
      <c r="E206" s="268">
        <f ca="1">OFFSET('Actual RAB roll forward'!H$58,0,D206-1)-SUM('Actual RAB roll forward'!H261:OFFSET('Actual RAB roll forward'!H261,0,Input!$W$7-1))</f>
        <v>1.2275874320236861</v>
      </c>
      <c r="F206" s="268">
        <f ca="1">IF(A15stdlife="N/A","n/a",IF(E206=0,0,A15stdlife+D206-Input!$W$7))</f>
        <v>12</v>
      </c>
      <c r="G206" s="264"/>
      <c r="H206" s="394"/>
      <c r="I206" s="91">
        <v>2</v>
      </c>
      <c r="J206" s="268">
        <f ca="1">OFFSET('Tax value roll forward'!H$54,0,I206-1)-SUM('Tax value roll forward'!H257:OFFSET('Tax value roll forward'!H257,0,Input!$W$7-1))</f>
        <v>1.2288000000000001</v>
      </c>
      <c r="K206" s="268">
        <f ca="1">IF(A15taxstdlife="N/A","n/a",IF(J206=0,0,A15taxstdlife+I206-Input!$W$7))</f>
        <v>12</v>
      </c>
      <c r="L206" s="114"/>
      <c r="M206" s="9"/>
      <c r="N206" s="9"/>
      <c r="O206" s="9"/>
      <c r="P206" s="9"/>
      <c r="Q206" s="9"/>
      <c r="R206" s="9"/>
      <c r="S206" s="261"/>
      <c r="T206" s="261"/>
      <c r="U206" s="261"/>
      <c r="V206" s="261"/>
      <c r="W206" s="261"/>
      <c r="X206" s="261"/>
      <c r="Y206" s="261"/>
      <c r="Z206" s="261"/>
    </row>
    <row r="207" spans="1:26" hidden="1" outlineLevel="1">
      <c r="A207" s="9"/>
      <c r="B207" s="9"/>
      <c r="C207" s="394"/>
      <c r="D207" s="91">
        <v>3</v>
      </c>
      <c r="E207" s="268">
        <f ca="1">OFFSET('Actual RAB roll forward'!H$58,0,D207-1)-SUM('Actual RAB roll forward'!H262:OFFSET('Actual RAB roll forward'!H262,0,Input!$W$7-1))</f>
        <v>0.89556142342245837</v>
      </c>
      <c r="F207" s="268">
        <f ca="1">IF(A15stdlife="N/A","n/a",IF(E207=0,0,A15stdlife+D207-Input!$W$7))</f>
        <v>13</v>
      </c>
      <c r="G207" s="264"/>
      <c r="H207" s="394"/>
      <c r="I207" s="91">
        <v>3</v>
      </c>
      <c r="J207" s="268">
        <f ca="1">OFFSET('Tax value roll forward'!H$54,0,I207-1)-SUM('Tax value roll forward'!H258:OFFSET('Tax value roll forward'!H258,0,Input!$W$7-1))</f>
        <v>0.93426666666666669</v>
      </c>
      <c r="K207" s="268">
        <f ca="1">IF(A15taxstdlife="N/A","n/a",IF(J207=0,0,A15taxstdlife+I207-Input!$W$7))</f>
        <v>13</v>
      </c>
      <c r="L207" s="114"/>
      <c r="M207" s="9"/>
      <c r="N207" s="9"/>
      <c r="O207" s="9"/>
      <c r="P207" s="9"/>
      <c r="Q207" s="9"/>
      <c r="R207" s="9"/>
      <c r="S207" s="261"/>
      <c r="T207" s="261"/>
      <c r="U207" s="261"/>
      <c r="V207" s="261"/>
      <c r="W207" s="261"/>
      <c r="X207" s="261"/>
      <c r="Y207" s="261"/>
      <c r="Z207" s="261"/>
    </row>
    <row r="208" spans="1:26" hidden="1" outlineLevel="1">
      <c r="A208" s="9"/>
      <c r="B208" s="9"/>
      <c r="C208" s="394"/>
      <c r="D208" s="91">
        <v>4</v>
      </c>
      <c r="E208" s="268">
        <f ca="1">OFFSET('Actual RAB roll forward'!H$58,0,D208-1)-SUM('Actual RAB roll forward'!H263:OFFSET('Actual RAB roll forward'!H263,0,Input!$W$7-1))</f>
        <v>3.5794191561133597</v>
      </c>
      <c r="F208" s="268">
        <f ca="1">IF(A15stdlife="N/A","n/a",IF(E208=0,0,A15stdlife+D208-Input!$W$7))</f>
        <v>14</v>
      </c>
      <c r="G208" s="264"/>
      <c r="H208" s="394"/>
      <c r="I208" s="91">
        <v>4</v>
      </c>
      <c r="J208" s="268">
        <f ca="1">OFFSET('Tax value roll forward'!H$54,0,I208-1)-SUM('Tax value roll forward'!H259:OFFSET('Tax value roll forward'!H259,0,Input!$W$7-1))</f>
        <v>3.7762666666666669</v>
      </c>
      <c r="K208" s="268">
        <f ca="1">IF(A15taxstdlife="N/A","n/a",IF(J208=0,0,A15taxstdlife+I208-Input!$W$7))</f>
        <v>14</v>
      </c>
      <c r="L208" s="114"/>
      <c r="M208" s="9"/>
      <c r="N208" s="9"/>
      <c r="O208" s="9"/>
      <c r="P208" s="9"/>
      <c r="Q208" s="9"/>
      <c r="R208" s="9"/>
      <c r="S208" s="261"/>
      <c r="T208" s="261"/>
      <c r="U208" s="261"/>
      <c r="V208" s="261"/>
      <c r="W208" s="261"/>
      <c r="X208" s="261"/>
      <c r="Y208" s="261"/>
      <c r="Z208" s="261"/>
    </row>
    <row r="209" spans="1:26" hidden="1" outlineLevel="1">
      <c r="A209" s="9"/>
      <c r="B209" s="9"/>
      <c r="C209" s="394"/>
      <c r="D209" s="91">
        <v>5</v>
      </c>
      <c r="E209" s="268">
        <f ca="1">OFFSET('Actual RAB roll forward'!H$58,0,D209-1)-SUM('Actual RAB roll forward'!H264:OFFSET('Actual RAB roll forward'!H264,0,Input!$W$7-1))</f>
        <v>4.6339293246252184</v>
      </c>
      <c r="F209" s="268">
        <f ca="1">IF(A15stdlife="N/A","n/a",IF(E209=0,0,A15stdlife+D209-Input!$W$7))</f>
        <v>15</v>
      </c>
      <c r="G209" s="264"/>
      <c r="H209" s="394"/>
      <c r="I209" s="91">
        <v>5</v>
      </c>
      <c r="J209" s="268">
        <f ca="1">OFFSET('Tax value roll forward'!H$54,0,I209-1)-SUM('Tax value roll forward'!H260:OFFSET('Tax value roll forward'!H260,0,Input!$W$7-1))</f>
        <v>5.0111715769167811</v>
      </c>
      <c r="K209" s="268">
        <f ca="1">IF(A15taxstdlife="N/A","n/a",IF(J209=0,0,A15taxstdlife+I209-Input!$W$7))</f>
        <v>15</v>
      </c>
      <c r="L209" s="114"/>
      <c r="M209" s="9"/>
      <c r="N209" s="9"/>
      <c r="O209" s="9"/>
      <c r="P209" s="9"/>
      <c r="Q209" s="9"/>
      <c r="R209" s="9"/>
      <c r="S209" s="261"/>
      <c r="T209" s="261"/>
      <c r="U209" s="261"/>
      <c r="V209" s="261"/>
      <c r="W209" s="261"/>
      <c r="X209" s="261"/>
      <c r="Y209" s="261"/>
      <c r="Z209" s="261"/>
    </row>
    <row r="210" spans="1:26" hidden="1" outlineLevel="1">
      <c r="A210" s="9"/>
      <c r="B210" s="9"/>
      <c r="C210" s="394"/>
      <c r="D210" s="91">
        <v>6</v>
      </c>
      <c r="E210" s="268">
        <f ca="1">OFFSET('Actual RAB roll forward'!H$58,0,D210-1)-SUM('Actual RAB roll forward'!H265:OFFSET('Actual RAB roll forward'!H265,0,Input!$W$7-1))</f>
        <v>0</v>
      </c>
      <c r="F210" s="268">
        <f ca="1">IF(A15stdlife="N/A","n/a",IF(E210=0,0,A15stdlife+D210-Input!$W$7))</f>
        <v>0</v>
      </c>
      <c r="G210" s="264"/>
      <c r="H210" s="394"/>
      <c r="I210" s="91">
        <v>6</v>
      </c>
      <c r="J210" s="268">
        <f ca="1">OFFSET('Tax value roll forward'!H$54,0,I210-1)-SUM('Tax value roll forward'!H261:OFFSET('Tax value roll forward'!H261,0,Input!$W$7-1))</f>
        <v>0</v>
      </c>
      <c r="K210" s="268">
        <f ca="1">IF(A15taxstdlife="N/A","n/a",IF(J210=0,0,A15taxstdlife+I210-Input!$W$7))</f>
        <v>0</v>
      </c>
      <c r="L210" s="114"/>
      <c r="M210" s="9"/>
      <c r="N210" s="9"/>
      <c r="O210" s="9"/>
      <c r="P210" s="9"/>
      <c r="Q210" s="9"/>
      <c r="R210" s="9"/>
      <c r="S210" s="261"/>
      <c r="T210" s="261"/>
      <c r="U210" s="261"/>
      <c r="V210" s="261"/>
      <c r="W210" s="261"/>
      <c r="X210" s="261"/>
      <c r="Y210" s="261"/>
      <c r="Z210" s="261"/>
    </row>
    <row r="211" spans="1:26" hidden="1" outlineLevel="1">
      <c r="A211" s="9"/>
      <c r="B211" s="9"/>
      <c r="C211" s="394"/>
      <c r="D211" s="91">
        <v>7</v>
      </c>
      <c r="E211" s="268">
        <f ca="1">OFFSET('Actual RAB roll forward'!H$58,0,D211-1)-SUM('Actual RAB roll forward'!H266:OFFSET('Actual RAB roll forward'!H266,0,Input!$W$7-1))</f>
        <v>0</v>
      </c>
      <c r="F211" s="268">
        <f ca="1">IF(A15stdlife="N/A","n/a",IF(E211=0,0,A15stdlife+D211-Input!$W$7))</f>
        <v>0</v>
      </c>
      <c r="G211" s="264"/>
      <c r="H211" s="394"/>
      <c r="I211" s="91">
        <v>7</v>
      </c>
      <c r="J211" s="268">
        <f ca="1">OFFSET('Tax value roll forward'!H$54,0,I211-1)-SUM('Tax value roll forward'!H262:OFFSET('Tax value roll forward'!H262,0,Input!$W$7-1))</f>
        <v>0</v>
      </c>
      <c r="K211" s="268">
        <f ca="1">IF(A15taxstdlife="N/A","n/a",IF(J211=0,0,A15taxstdlife+I211-Input!$W$7))</f>
        <v>0</v>
      </c>
      <c r="L211" s="114"/>
      <c r="M211" s="9"/>
      <c r="N211" s="9"/>
      <c r="O211" s="9"/>
      <c r="P211" s="9"/>
      <c r="Q211" s="9"/>
      <c r="R211" s="9"/>
      <c r="S211" s="261"/>
      <c r="T211" s="261"/>
      <c r="U211" s="261"/>
      <c r="V211" s="261"/>
      <c r="W211" s="261"/>
      <c r="X211" s="261"/>
      <c r="Y211" s="261"/>
      <c r="Z211" s="261"/>
    </row>
    <row r="212" spans="1:26" hidden="1" outlineLevel="1">
      <c r="A212" s="9"/>
      <c r="B212" s="9"/>
      <c r="C212" s="394"/>
      <c r="D212" s="91">
        <v>8</v>
      </c>
      <c r="E212" s="268">
        <f ca="1">OFFSET('Actual RAB roll forward'!H$58,0,D212-1)-SUM('Actual RAB roll forward'!H267:OFFSET('Actual RAB roll forward'!H267,0,Input!$W$7-1))</f>
        <v>0</v>
      </c>
      <c r="F212" s="268">
        <f ca="1">IF(A15stdlife="N/A","n/a",IF(E212=0,0,A15stdlife+D212-Input!$W$7))</f>
        <v>0</v>
      </c>
      <c r="G212" s="264"/>
      <c r="H212" s="394"/>
      <c r="I212" s="91">
        <v>8</v>
      </c>
      <c r="J212" s="268">
        <f ca="1">OFFSET('Tax value roll forward'!H$54,0,I212-1)-SUM('Tax value roll forward'!H263:OFFSET('Tax value roll forward'!H263,0,Input!$W$7-1))</f>
        <v>0</v>
      </c>
      <c r="K212" s="268">
        <f ca="1">IF(A15taxstdlife="N/A","n/a",IF(J212=0,0,A15taxstdlife+I212-Input!$W$7))</f>
        <v>0</v>
      </c>
      <c r="L212" s="114"/>
      <c r="M212" s="9"/>
      <c r="N212" s="9"/>
      <c r="O212" s="9"/>
      <c r="P212" s="9"/>
      <c r="Q212" s="9"/>
      <c r="R212" s="9"/>
      <c r="S212" s="261"/>
      <c r="T212" s="261"/>
      <c r="U212" s="261"/>
      <c r="V212" s="261"/>
      <c r="W212" s="261"/>
      <c r="X212" s="261"/>
      <c r="Y212" s="261"/>
      <c r="Z212" s="261"/>
    </row>
    <row r="213" spans="1:26" hidden="1" outlineLevel="1">
      <c r="A213" s="9"/>
      <c r="B213" s="9"/>
      <c r="C213" s="394"/>
      <c r="D213" s="91">
        <v>9</v>
      </c>
      <c r="E213" s="268">
        <f ca="1">OFFSET('Actual RAB roll forward'!H$58,0,D213-1)-SUM('Actual RAB roll forward'!H268:OFFSET('Actual RAB roll forward'!H268,0,Input!$W$7-1))</f>
        <v>0</v>
      </c>
      <c r="F213" s="268">
        <f ca="1">IF(A15stdlife="N/A","n/a",IF(E213=0,0,A15stdlife+D213-Input!$W$7))</f>
        <v>0</v>
      </c>
      <c r="G213" s="264"/>
      <c r="H213" s="394"/>
      <c r="I213" s="91">
        <v>9</v>
      </c>
      <c r="J213" s="268">
        <f ca="1">OFFSET('Tax value roll forward'!H$54,0,I213-1)-SUM('Tax value roll forward'!H264:OFFSET('Tax value roll forward'!H264,0,Input!$W$7-1))</f>
        <v>0</v>
      </c>
      <c r="K213" s="268">
        <f ca="1">IF(A15taxstdlife="N/A","n/a",IF(J213=0,0,A15taxstdlife+I213-Input!$W$7))</f>
        <v>0</v>
      </c>
      <c r="L213" s="114"/>
      <c r="M213" s="9"/>
      <c r="N213" s="9"/>
      <c r="O213" s="9"/>
      <c r="P213" s="9"/>
      <c r="Q213" s="9"/>
      <c r="R213" s="9"/>
      <c r="S213" s="261"/>
      <c r="T213" s="261"/>
      <c r="U213" s="261"/>
      <c r="V213" s="261"/>
      <c r="W213" s="261"/>
      <c r="X213" s="261"/>
      <c r="Y213" s="261"/>
      <c r="Z213" s="261"/>
    </row>
    <row r="214" spans="1:26" hidden="1" outlineLevel="1">
      <c r="A214" s="9"/>
      <c r="B214" s="9"/>
      <c r="C214" s="395"/>
      <c r="D214" s="92">
        <v>10</v>
      </c>
      <c r="E214" s="268">
        <f ca="1">OFFSET('Actual RAB roll forward'!H$58,0,D214-1)-SUM('Actual RAB roll forward'!H269:OFFSET('Actual RAB roll forward'!H269,0,Input!$W$7-1))</f>
        <v>0</v>
      </c>
      <c r="F214" s="268">
        <f ca="1">IF(A15stdlife="N/A","n/a",IF(E214=0,0,A15stdlife+D214-Input!$W$7))</f>
        <v>0</v>
      </c>
      <c r="G214" s="264"/>
      <c r="H214" s="395"/>
      <c r="I214" s="92">
        <v>10</v>
      </c>
      <c r="J214" s="268">
        <f ca="1">OFFSET('Tax value roll forward'!H$54,0,I214-1)-SUM('Tax value roll forward'!H265:OFFSET('Tax value roll forward'!H265,0,Input!$W$7-1))</f>
        <v>0</v>
      </c>
      <c r="K214" s="268">
        <f ca="1">IF(A15taxstdlife="N/A","n/a",IF(J214=0,0,A15taxstdlife+I214-Input!$W$7))</f>
        <v>0</v>
      </c>
      <c r="L214" s="114"/>
      <c r="M214" s="9"/>
      <c r="N214" s="9"/>
      <c r="O214" s="9"/>
      <c r="P214" s="9"/>
      <c r="Q214" s="9"/>
      <c r="R214" s="9"/>
      <c r="S214" s="261"/>
      <c r="T214" s="261"/>
      <c r="U214" s="261"/>
      <c r="V214" s="261"/>
      <c r="W214" s="261"/>
      <c r="X214" s="261"/>
      <c r="Y214" s="261"/>
      <c r="Z214" s="261"/>
    </row>
    <row r="215" spans="1:26" collapsed="1">
      <c r="A215" s="9"/>
      <c r="B215" s="9"/>
      <c r="C215" s="282" t="str">
        <f>Asset15</f>
        <v>Substation assets - short life (15)</v>
      </c>
      <c r="D215" s="9"/>
      <c r="E215" s="268">
        <f ca="1">SUM(E204:E214)</f>
        <v>19.180187720664698</v>
      </c>
      <c r="F215" s="268">
        <f ca="1">IF(E215=0,0,SUMPRODUCT(E204:E214,F204:F214)/E215)</f>
        <v>12.683648018257792</v>
      </c>
      <c r="G215" s="264"/>
      <c r="H215" s="43"/>
      <c r="I215" s="268"/>
      <c r="J215" s="268">
        <f ca="1">SUM(J204:J214)</f>
        <v>19.573038243583447</v>
      </c>
      <c r="K215" s="268">
        <f ca="1">IF(J215=0,0,SUMPRODUCT(J204:J214,K204:K214)/J215)</f>
        <v>12.761137908791492</v>
      </c>
      <c r="L215" s="114"/>
      <c r="M215" s="9"/>
      <c r="N215" s="9"/>
      <c r="O215" s="9"/>
      <c r="P215" s="9"/>
      <c r="Q215" s="9"/>
      <c r="R215" s="9"/>
      <c r="S215" s="261"/>
      <c r="T215" s="261"/>
      <c r="U215" s="261"/>
      <c r="V215" s="261"/>
      <c r="W215" s="261"/>
      <c r="X215" s="261"/>
      <c r="Y215" s="261"/>
      <c r="Z215" s="261"/>
    </row>
    <row r="216" spans="1:26" hidden="1" outlineLevel="1">
      <c r="A216" s="9"/>
      <c r="B216" s="9"/>
      <c r="C216" s="282"/>
      <c r="D216" s="9"/>
      <c r="E216" s="268"/>
      <c r="F216" s="268"/>
      <c r="G216" s="264"/>
      <c r="H216" s="268"/>
      <c r="I216" s="268"/>
      <c r="J216" s="273"/>
      <c r="K216" s="268"/>
      <c r="L216" s="114"/>
      <c r="M216" s="9"/>
      <c r="N216" s="9"/>
      <c r="O216" s="9"/>
      <c r="P216" s="9"/>
      <c r="Q216" s="9"/>
      <c r="R216" s="9"/>
      <c r="S216" s="261"/>
      <c r="T216" s="261"/>
      <c r="U216" s="261"/>
      <c r="V216" s="261"/>
      <c r="W216" s="261"/>
      <c r="X216" s="261"/>
      <c r="Y216" s="261"/>
      <c r="Z216" s="261"/>
    </row>
    <row r="217" spans="1:26" hidden="1" outlineLevel="1">
      <c r="A217" s="9"/>
      <c r="B217" s="280" t="str">
        <f>Asset16</f>
        <v>Protection and control - short life (15)</v>
      </c>
      <c r="C217" s="9"/>
      <c r="D217" s="9"/>
      <c r="E217" s="35"/>
      <c r="F217" s="35"/>
      <c r="G217" s="264"/>
      <c r="H217" s="268"/>
      <c r="I217" s="268"/>
      <c r="J217" s="273"/>
      <c r="K217" s="268"/>
      <c r="L217" s="114"/>
      <c r="M217" s="9"/>
      <c r="N217" s="9"/>
      <c r="O217" s="9"/>
      <c r="P217" s="9"/>
      <c r="Q217" s="9"/>
      <c r="R217" s="9"/>
      <c r="S217" s="261"/>
      <c r="T217" s="261"/>
      <c r="U217" s="261"/>
      <c r="V217" s="261"/>
      <c r="W217" s="261"/>
      <c r="X217" s="261"/>
      <c r="Y217" s="261"/>
      <c r="Z217" s="261"/>
    </row>
    <row r="218" spans="1:26" ht="12.75" hidden="1" customHeight="1" outlineLevel="1">
      <c r="A218" s="9"/>
      <c r="B218" s="35"/>
      <c r="C218" s="396" t="s">
        <v>26</v>
      </c>
      <c r="D218" s="397"/>
      <c r="E218" s="338">
        <f ca="1">(A16value-'Actual RAB roll forward'!G645)-SUM('Actual RAB roll forward'!H271:OFFSET('Actual RAB roll forward'!H271,0,Input!$W$7-1))</f>
        <v>0</v>
      </c>
      <c r="F218" s="268" t="str">
        <f>IF(A16remlife="N/A","n/a",A16remlife-Input!$W$7)</f>
        <v>n/a</v>
      </c>
      <c r="G218" s="264"/>
      <c r="H218" s="306" t="s">
        <v>65</v>
      </c>
      <c r="I218" s="307"/>
      <c r="J218" s="268">
        <f ca="1">A16taxvalue-SUM('Tax value roll forward'!H267:OFFSET('Tax value roll forward'!H267,0,Input!$W$7-1))</f>
        <v>0</v>
      </c>
      <c r="K218" s="268" t="str">
        <f>IF(A16taxremlife="N/A","n/a",A16taxremlife-Input!$W$7)</f>
        <v>n/a</v>
      </c>
      <c r="L218" s="114"/>
      <c r="M218" s="9"/>
      <c r="N218" s="9"/>
      <c r="O218" s="9"/>
      <c r="P218" s="9"/>
      <c r="Q218" s="9"/>
      <c r="R218" s="9"/>
      <c r="S218" s="261"/>
      <c r="T218" s="261"/>
      <c r="U218" s="261"/>
      <c r="V218" s="261"/>
      <c r="W218" s="261"/>
      <c r="X218" s="261"/>
      <c r="Y218" s="261"/>
      <c r="Z218" s="261"/>
    </row>
    <row r="219" spans="1:26" hidden="1" outlineLevel="1">
      <c r="A219" s="9"/>
      <c r="B219" s="9"/>
      <c r="C219" s="393" t="s">
        <v>81</v>
      </c>
      <c r="D219" s="91">
        <v>1</v>
      </c>
      <c r="E219" s="268">
        <f ca="1">OFFSET('Actual RAB roll forward'!H$59,0,D219-1)-SUM('Actual RAB roll forward'!H273:OFFSET('Actual RAB roll forward'!H273,0,Input!$W$7-1))</f>
        <v>7.8805765492031998</v>
      </c>
      <c r="F219" s="268">
        <f ca="1">IF(A16stdlife="N/A","n/a",IF(E219=0,0,A16stdlife+D219-Input!$W$7))</f>
        <v>11</v>
      </c>
      <c r="G219" s="264"/>
      <c r="H219" s="393" t="s">
        <v>81</v>
      </c>
      <c r="I219" s="91">
        <v>1</v>
      </c>
      <c r="J219" s="268">
        <f ca="1">OFFSET('Tax value roll forward'!H$55,0,I219-1)-SUM('Tax value roll forward'!H269:OFFSET('Tax value roll forward'!H269,0,Input!$W$7-1))</f>
        <v>7.6835044000000003</v>
      </c>
      <c r="K219" s="268">
        <f ca="1">IF(A16taxstdlife="N/A","n/a",IF(J219=0,0,A16taxstdlife+I219-Input!$W$7))</f>
        <v>11</v>
      </c>
      <c r="L219" s="114"/>
      <c r="M219" s="9"/>
      <c r="N219" s="9"/>
      <c r="O219" s="9"/>
      <c r="P219" s="9"/>
      <c r="Q219" s="9"/>
      <c r="R219" s="9"/>
      <c r="S219" s="261"/>
      <c r="T219" s="261"/>
      <c r="U219" s="261"/>
      <c r="V219" s="261"/>
      <c r="W219" s="261"/>
      <c r="X219" s="261"/>
      <c r="Y219" s="261"/>
      <c r="Z219" s="261"/>
    </row>
    <row r="220" spans="1:26" hidden="1" outlineLevel="1">
      <c r="A220" s="9"/>
      <c r="B220" s="9"/>
      <c r="C220" s="394"/>
      <c r="D220" s="91">
        <v>2</v>
      </c>
      <c r="E220" s="268">
        <f ca="1">OFFSET('Actual RAB roll forward'!H$59,0,D220-1)-SUM('Actual RAB roll forward'!H274:OFFSET('Actual RAB roll forward'!H274,0,Input!$W$7-1))</f>
        <v>10.85168108855313</v>
      </c>
      <c r="F220" s="268">
        <f ca="1">IF(A16stdlife="N/A","n/a",IF(E220=0,0,A16stdlife+D220-Input!$W$7))</f>
        <v>12</v>
      </c>
      <c r="G220" s="264"/>
      <c r="H220" s="394"/>
      <c r="I220" s="91">
        <v>2</v>
      </c>
      <c r="J220" s="268">
        <f ca="1">OFFSET('Tax value roll forward'!H$55,0,I220-1)-SUM('Tax value roll forward'!H270:OFFSET('Tax value roll forward'!H270,0,Input!$W$7-1))</f>
        <v>10.862399999999999</v>
      </c>
      <c r="K220" s="268">
        <f ca="1">IF(A16taxstdlife="N/A","n/a",IF(J220=0,0,A16taxstdlife+I220-Input!$W$7))</f>
        <v>12</v>
      </c>
      <c r="L220" s="114"/>
      <c r="M220" s="9"/>
      <c r="N220" s="9"/>
      <c r="O220" s="9"/>
      <c r="P220" s="9"/>
      <c r="Q220" s="9"/>
      <c r="R220" s="9"/>
      <c r="S220" s="261"/>
      <c r="T220" s="261"/>
      <c r="U220" s="261"/>
      <c r="V220" s="261"/>
      <c r="W220" s="261"/>
      <c r="X220" s="261"/>
      <c r="Y220" s="261"/>
      <c r="Z220" s="261"/>
    </row>
    <row r="221" spans="1:26" hidden="1" outlineLevel="1">
      <c r="A221" s="9"/>
      <c r="B221" s="9"/>
      <c r="C221" s="394"/>
      <c r="D221" s="91">
        <v>3</v>
      </c>
      <c r="E221" s="268">
        <f ca="1">OFFSET('Actual RAB roll forward'!H$59,0,D221-1)-SUM('Actual RAB roll forward'!H275:OFFSET('Actual RAB roll forward'!H275,0,Input!$W$7-1))</f>
        <v>16.35354974032569</v>
      </c>
      <c r="F221" s="268">
        <f ca="1">IF(A16stdlife="N/A","n/a",IF(E221=0,0,A16stdlife+D221-Input!$W$7))</f>
        <v>13</v>
      </c>
      <c r="G221" s="264"/>
      <c r="H221" s="394"/>
      <c r="I221" s="91">
        <v>3</v>
      </c>
      <c r="J221" s="268">
        <f ca="1">OFFSET('Tax value roll forward'!H$55,0,I221-1)-SUM('Tax value roll forward'!H271:OFFSET('Tax value roll forward'!H271,0,Input!$W$7-1))</f>
        <v>17.060333333333332</v>
      </c>
      <c r="K221" s="268">
        <f ca="1">IF(A16taxstdlife="N/A","n/a",IF(J221=0,0,A16taxstdlife+I221-Input!$W$7))</f>
        <v>13</v>
      </c>
      <c r="L221" s="114"/>
      <c r="M221" s="9"/>
      <c r="N221" s="9"/>
      <c r="O221" s="9"/>
      <c r="P221" s="9"/>
      <c r="Q221" s="9"/>
      <c r="R221" s="9"/>
      <c r="S221" s="261"/>
      <c r="T221" s="261"/>
      <c r="U221" s="261"/>
      <c r="V221" s="261"/>
      <c r="W221" s="261"/>
      <c r="X221" s="261"/>
      <c r="Y221" s="261"/>
      <c r="Z221" s="261"/>
    </row>
    <row r="222" spans="1:26" hidden="1" outlineLevel="1">
      <c r="A222" s="9"/>
      <c r="B222" s="9"/>
      <c r="C222" s="394"/>
      <c r="D222" s="91">
        <v>4</v>
      </c>
      <c r="E222" s="268">
        <f ca="1">OFFSET('Actual RAB roll forward'!H$59,0,D222-1)-SUM('Actual RAB roll forward'!H276:OFFSET('Actual RAB roll forward'!H276,0,Input!$W$7-1))</f>
        <v>16.015379382876954</v>
      </c>
      <c r="F222" s="268">
        <f ca="1">IF(A16stdlife="N/A","n/a",IF(E222=0,0,A16stdlife+D222-Input!$W$7))</f>
        <v>14</v>
      </c>
      <c r="G222" s="264"/>
      <c r="H222" s="394"/>
      <c r="I222" s="91">
        <v>4</v>
      </c>
      <c r="J222" s="268">
        <f ca="1">OFFSET('Tax value roll forward'!H$55,0,I222-1)-SUM('Tax value roll forward'!H272:OFFSET('Tax value roll forward'!H272,0,Input!$W$7-1))</f>
        <v>16.896133333333335</v>
      </c>
      <c r="K222" s="268">
        <f ca="1">IF(A16taxstdlife="N/A","n/a",IF(J222=0,0,A16taxstdlife+I222-Input!$W$7))</f>
        <v>14</v>
      </c>
      <c r="L222" s="114"/>
      <c r="M222" s="9"/>
      <c r="N222" s="9"/>
      <c r="O222" s="9"/>
      <c r="P222" s="9"/>
      <c r="Q222" s="9"/>
      <c r="R222" s="9"/>
      <c r="S222" s="261"/>
      <c r="T222" s="261"/>
      <c r="U222" s="261"/>
      <c r="V222" s="261"/>
      <c r="W222" s="261"/>
      <c r="X222" s="261"/>
      <c r="Y222" s="261"/>
      <c r="Z222" s="261"/>
    </row>
    <row r="223" spans="1:26" hidden="1" outlineLevel="1">
      <c r="A223" s="9"/>
      <c r="B223" s="9"/>
      <c r="C223" s="394"/>
      <c r="D223" s="91">
        <v>5</v>
      </c>
      <c r="E223" s="268">
        <f ca="1">OFFSET('Actual RAB roll forward'!H$59,0,D223-1)-SUM('Actual RAB roll forward'!H277:OFFSET('Actual RAB roll forward'!H277,0,Input!$W$7-1))</f>
        <v>18.52208726979211</v>
      </c>
      <c r="F223" s="268">
        <f ca="1">IF(A16stdlife="N/A","n/a",IF(E223=0,0,A16stdlife+D223-Input!$W$7))</f>
        <v>15</v>
      </c>
      <c r="G223" s="264"/>
      <c r="H223" s="394"/>
      <c r="I223" s="91">
        <v>5</v>
      </c>
      <c r="J223" s="268">
        <f ca="1">OFFSET('Tax value roll forward'!H$55,0,I223-1)-SUM('Tax value roll forward'!H273:OFFSET('Tax value roll forward'!H273,0,Input!$W$7-1))</f>
        <v>20.029946675775253</v>
      </c>
      <c r="K223" s="268">
        <f ca="1">IF(A16taxstdlife="N/A","n/a",IF(J223=0,0,A16taxstdlife+I223-Input!$W$7))</f>
        <v>15</v>
      </c>
      <c r="L223" s="114"/>
      <c r="M223" s="9"/>
      <c r="N223" s="9"/>
      <c r="O223" s="9"/>
      <c r="P223" s="9"/>
      <c r="Q223" s="9"/>
      <c r="R223" s="9"/>
      <c r="S223" s="261"/>
      <c r="T223" s="261"/>
      <c r="U223" s="261"/>
      <c r="V223" s="261"/>
      <c r="W223" s="261"/>
      <c r="X223" s="261"/>
      <c r="Y223" s="261"/>
      <c r="Z223" s="261"/>
    </row>
    <row r="224" spans="1:26" hidden="1" outlineLevel="1">
      <c r="A224" s="9"/>
      <c r="B224" s="9"/>
      <c r="C224" s="394"/>
      <c r="D224" s="91">
        <v>6</v>
      </c>
      <c r="E224" s="268">
        <f ca="1">OFFSET('Actual RAB roll forward'!H$59,0,D224-1)-SUM('Actual RAB roll forward'!H278:OFFSET('Actual RAB roll forward'!H278,0,Input!$W$7-1))</f>
        <v>0</v>
      </c>
      <c r="F224" s="268">
        <f ca="1">IF(A16stdlife="N/A","n/a",IF(E224=0,0,A16stdlife+D224-Input!$W$7))</f>
        <v>0</v>
      </c>
      <c r="G224" s="264"/>
      <c r="H224" s="394"/>
      <c r="I224" s="91">
        <v>6</v>
      </c>
      <c r="J224" s="268">
        <f ca="1">OFFSET('Tax value roll forward'!H$55,0,I224-1)-SUM('Tax value roll forward'!H274:OFFSET('Tax value roll forward'!H274,0,Input!$W$7-1))</f>
        <v>0</v>
      </c>
      <c r="K224" s="268">
        <f ca="1">IF(A16taxstdlife="N/A","n/a",IF(J224=0,0,A16taxstdlife+I224-Input!$W$7))</f>
        <v>0</v>
      </c>
      <c r="L224" s="114"/>
      <c r="M224" s="9"/>
      <c r="N224" s="9"/>
      <c r="O224" s="9"/>
      <c r="P224" s="9"/>
      <c r="Q224" s="9"/>
      <c r="R224" s="9"/>
      <c r="S224" s="261"/>
      <c r="T224" s="261"/>
      <c r="U224" s="261"/>
      <c r="V224" s="261"/>
      <c r="W224" s="261"/>
      <c r="X224" s="261"/>
      <c r="Y224" s="261"/>
      <c r="Z224" s="261"/>
    </row>
    <row r="225" spans="1:26" hidden="1" outlineLevel="1">
      <c r="A225" s="9"/>
      <c r="B225" s="9"/>
      <c r="C225" s="394"/>
      <c r="D225" s="91">
        <v>7</v>
      </c>
      <c r="E225" s="268">
        <f ca="1">OFFSET('Actual RAB roll forward'!H$59,0,D225-1)-SUM('Actual RAB roll forward'!H279:OFFSET('Actual RAB roll forward'!H279,0,Input!$W$7-1))</f>
        <v>0</v>
      </c>
      <c r="F225" s="268">
        <f ca="1">IF(A16stdlife="N/A","n/a",IF(E225=0,0,A16stdlife+D225-Input!$W$7))</f>
        <v>0</v>
      </c>
      <c r="G225" s="264"/>
      <c r="H225" s="394"/>
      <c r="I225" s="91">
        <v>7</v>
      </c>
      <c r="J225" s="268">
        <f ca="1">OFFSET('Tax value roll forward'!H$55,0,I225-1)-SUM('Tax value roll forward'!H275:OFFSET('Tax value roll forward'!H275,0,Input!$W$7-1))</f>
        <v>0</v>
      </c>
      <c r="K225" s="268">
        <f ca="1">IF(A16taxstdlife="N/A","n/a",IF(J225=0,0,A16taxstdlife+I225-Input!$W$7))</f>
        <v>0</v>
      </c>
      <c r="L225" s="114"/>
      <c r="M225" s="9"/>
      <c r="N225" s="9"/>
      <c r="O225" s="9"/>
      <c r="P225" s="9"/>
      <c r="Q225" s="9"/>
      <c r="R225" s="9"/>
      <c r="S225" s="261"/>
      <c r="T225" s="261"/>
      <c r="U225" s="261"/>
      <c r="V225" s="261"/>
      <c r="W225" s="261"/>
      <c r="X225" s="261"/>
      <c r="Y225" s="261"/>
      <c r="Z225" s="261"/>
    </row>
    <row r="226" spans="1:26" hidden="1" outlineLevel="1">
      <c r="A226" s="9"/>
      <c r="B226" s="9"/>
      <c r="C226" s="394"/>
      <c r="D226" s="91">
        <v>8</v>
      </c>
      <c r="E226" s="268">
        <f ca="1">OFFSET('Actual RAB roll forward'!H$59,0,D226-1)-SUM('Actual RAB roll forward'!H280:OFFSET('Actual RAB roll forward'!H280,0,Input!$W$7-1))</f>
        <v>0</v>
      </c>
      <c r="F226" s="268">
        <f ca="1">IF(A16stdlife="N/A","n/a",IF(E226=0,0,A16stdlife+D226-Input!$W$7))</f>
        <v>0</v>
      </c>
      <c r="G226" s="264"/>
      <c r="H226" s="394"/>
      <c r="I226" s="91">
        <v>8</v>
      </c>
      <c r="J226" s="268">
        <f ca="1">OFFSET('Tax value roll forward'!H$55,0,I226-1)-SUM('Tax value roll forward'!H276:OFFSET('Tax value roll forward'!H276,0,Input!$W$7-1))</f>
        <v>0</v>
      </c>
      <c r="K226" s="268">
        <f ca="1">IF(A16taxstdlife="N/A","n/a",IF(J226=0,0,A16taxstdlife+I226-Input!$W$7))</f>
        <v>0</v>
      </c>
      <c r="L226" s="114"/>
      <c r="M226" s="9"/>
      <c r="N226" s="9"/>
      <c r="O226" s="9"/>
      <c r="P226" s="9"/>
      <c r="Q226" s="9"/>
      <c r="R226" s="9"/>
      <c r="S226" s="261"/>
      <c r="T226" s="261"/>
      <c r="U226" s="261"/>
      <c r="V226" s="261"/>
      <c r="W226" s="261"/>
      <c r="X226" s="261"/>
      <c r="Y226" s="261"/>
      <c r="Z226" s="261"/>
    </row>
    <row r="227" spans="1:26" hidden="1" outlineLevel="1">
      <c r="A227" s="9"/>
      <c r="B227" s="9"/>
      <c r="C227" s="394"/>
      <c r="D227" s="91">
        <v>9</v>
      </c>
      <c r="E227" s="268">
        <f ca="1">OFFSET('Actual RAB roll forward'!H$59,0,D227-1)-SUM('Actual RAB roll forward'!H281:OFFSET('Actual RAB roll forward'!H281,0,Input!$W$7-1))</f>
        <v>0</v>
      </c>
      <c r="F227" s="268">
        <f ca="1">IF(A16stdlife="N/A","n/a",IF(E227=0,0,A16stdlife+D227-Input!$W$7))</f>
        <v>0</v>
      </c>
      <c r="G227" s="264"/>
      <c r="H227" s="394"/>
      <c r="I227" s="91">
        <v>9</v>
      </c>
      <c r="J227" s="268">
        <f ca="1">OFFSET('Tax value roll forward'!H$55,0,I227-1)-SUM('Tax value roll forward'!H277:OFFSET('Tax value roll forward'!H277,0,Input!$W$7-1))</f>
        <v>0</v>
      </c>
      <c r="K227" s="268">
        <f ca="1">IF(A16taxstdlife="N/A","n/a",IF(J227=0,0,A16taxstdlife+I227-Input!$W$7))</f>
        <v>0</v>
      </c>
      <c r="L227" s="114"/>
      <c r="M227" s="9"/>
      <c r="N227" s="9"/>
      <c r="O227" s="9"/>
      <c r="P227" s="9"/>
      <c r="Q227" s="9"/>
      <c r="R227" s="9"/>
      <c r="S227" s="261"/>
      <c r="T227" s="261"/>
      <c r="U227" s="261"/>
      <c r="V227" s="261"/>
      <c r="W227" s="261"/>
      <c r="X227" s="261"/>
      <c r="Y227" s="261"/>
      <c r="Z227" s="261"/>
    </row>
    <row r="228" spans="1:26" hidden="1" outlineLevel="1">
      <c r="A228" s="9"/>
      <c r="B228" s="9"/>
      <c r="C228" s="395"/>
      <c r="D228" s="92">
        <v>10</v>
      </c>
      <c r="E228" s="268">
        <f ca="1">OFFSET('Actual RAB roll forward'!H$59,0,D228-1)-SUM('Actual RAB roll forward'!H282:OFFSET('Actual RAB roll forward'!H282,0,Input!$W$7-1))</f>
        <v>0</v>
      </c>
      <c r="F228" s="268">
        <f ca="1">IF(A16stdlife="N/A","n/a",IF(E228=0,0,A16stdlife+D228-Input!$W$7))</f>
        <v>0</v>
      </c>
      <c r="G228" s="264"/>
      <c r="H228" s="395"/>
      <c r="I228" s="92">
        <v>10</v>
      </c>
      <c r="J228" s="268">
        <f ca="1">OFFSET('Tax value roll forward'!H$55,0,I228-1)-SUM('Tax value roll forward'!H278:OFFSET('Tax value roll forward'!H278,0,Input!$W$7-1))</f>
        <v>0</v>
      </c>
      <c r="K228" s="268">
        <f ca="1">IF(A16taxstdlife="N/A","n/a",IF(J228=0,0,A16taxstdlife+I228-Input!$W$7))</f>
        <v>0</v>
      </c>
      <c r="L228" s="114"/>
      <c r="M228" s="9"/>
      <c r="N228" s="9"/>
      <c r="O228" s="9"/>
      <c r="P228" s="9"/>
      <c r="Q228" s="9"/>
      <c r="R228" s="9"/>
      <c r="S228" s="261"/>
      <c r="T228" s="261"/>
      <c r="U228" s="261"/>
      <c r="V228" s="261"/>
      <c r="W228" s="261"/>
      <c r="X228" s="261"/>
      <c r="Y228" s="261"/>
      <c r="Z228" s="261"/>
    </row>
    <row r="229" spans="1:26" collapsed="1">
      <c r="A229" s="9"/>
      <c r="B229" s="9"/>
      <c r="C229" s="282" t="str">
        <f>Asset16</f>
        <v>Protection and control - short life (15)</v>
      </c>
      <c r="D229" s="9"/>
      <c r="E229" s="268">
        <f ca="1">SUM(E218:E228)</f>
        <v>69.623274030751091</v>
      </c>
      <c r="F229" s="268">
        <f ca="1">IF(E229=0,0,SUMPRODUCT(E218:E228,F218:F228)/E229)</f>
        <v>13.379854583164542</v>
      </c>
      <c r="G229" s="264"/>
      <c r="H229" s="43"/>
      <c r="I229" s="268"/>
      <c r="J229" s="268">
        <f ca="1">SUM(J218:J228)</f>
        <v>72.532317742441919</v>
      </c>
      <c r="K229" s="268">
        <f ca="1">IF(J229=0,0,SUMPRODUCT(J218:J228,K218:K228)/J229)</f>
        <v>13.423626582484133</v>
      </c>
      <c r="L229" s="114"/>
      <c r="M229" s="9"/>
      <c r="N229" s="9"/>
      <c r="O229" s="9"/>
      <c r="P229" s="9"/>
      <c r="Q229" s="9"/>
      <c r="R229" s="9"/>
      <c r="S229" s="261"/>
      <c r="T229" s="261"/>
      <c r="U229" s="261"/>
      <c r="V229" s="261"/>
      <c r="W229" s="261"/>
      <c r="X229" s="261"/>
      <c r="Y229" s="261"/>
      <c r="Z229" s="261"/>
    </row>
    <row r="230" spans="1:26" hidden="1" outlineLevel="1">
      <c r="A230" s="9"/>
      <c r="B230" s="9"/>
      <c r="C230" s="282"/>
      <c r="D230" s="9"/>
      <c r="E230" s="268"/>
      <c r="F230" s="268"/>
      <c r="G230" s="264"/>
      <c r="H230" s="268"/>
      <c r="I230" s="268"/>
      <c r="J230" s="273"/>
      <c r="K230" s="268"/>
      <c r="L230" s="114"/>
      <c r="M230" s="9"/>
      <c r="N230" s="9"/>
      <c r="O230" s="9"/>
      <c r="P230" s="9"/>
      <c r="Q230" s="9"/>
      <c r="R230" s="9"/>
      <c r="S230" s="261"/>
      <c r="T230" s="261"/>
      <c r="U230" s="261"/>
      <c r="V230" s="261"/>
      <c r="W230" s="261"/>
      <c r="X230" s="261"/>
      <c r="Y230" s="261"/>
      <c r="Z230" s="261"/>
    </row>
    <row r="231" spans="1:26" hidden="1" outlineLevel="1">
      <c r="A231" s="9"/>
      <c r="B231" s="280" t="str">
        <f>Asset17</f>
        <v>Protection and control - short life (4)</v>
      </c>
      <c r="C231" s="9"/>
      <c r="D231" s="9"/>
      <c r="E231" s="35"/>
      <c r="F231" s="35"/>
      <c r="G231" s="264"/>
      <c r="H231" s="268"/>
      <c r="I231" s="268"/>
      <c r="J231" s="273"/>
      <c r="K231" s="268"/>
      <c r="L231" s="114"/>
      <c r="M231" s="9"/>
      <c r="N231" s="9"/>
      <c r="O231" s="9"/>
      <c r="P231" s="9"/>
      <c r="Q231" s="9"/>
      <c r="R231" s="9"/>
      <c r="S231" s="261"/>
      <c r="T231" s="261"/>
      <c r="U231" s="261"/>
      <c r="V231" s="261"/>
      <c r="W231" s="261"/>
      <c r="X231" s="261"/>
      <c r="Y231" s="261"/>
      <c r="Z231" s="261"/>
    </row>
    <row r="232" spans="1:26" ht="12.75" hidden="1" customHeight="1" outlineLevel="1">
      <c r="A232" s="9"/>
      <c r="B232" s="9"/>
      <c r="C232" s="396" t="s">
        <v>26</v>
      </c>
      <c r="D232" s="397"/>
      <c r="E232" s="338">
        <f ca="1">(A17value-'Actual RAB roll forward'!G646)-SUM('Actual RAB roll forward'!H284:OFFSET('Actual RAB roll forward'!H284,0,Input!$W$7-1))</f>
        <v>0</v>
      </c>
      <c r="F232" s="268" t="str">
        <f>IF(A17remlife="N/A","n/a",A17remlife-Input!$W$7)</f>
        <v>n/a</v>
      </c>
      <c r="G232" s="264"/>
      <c r="H232" s="306" t="s">
        <v>65</v>
      </c>
      <c r="I232" s="307"/>
      <c r="J232" s="268">
        <f ca="1">A17taxvalue-SUM('Tax value roll forward'!H280:OFFSET('Tax value roll forward'!H280,0,Input!$W$7-1))</f>
        <v>0</v>
      </c>
      <c r="K232" s="268" t="str">
        <f>IF(A17taxremlife="N/A","n/a",A17taxremlife-Input!$W$7)</f>
        <v>n/a</v>
      </c>
      <c r="L232" s="114"/>
      <c r="M232" s="9"/>
      <c r="N232" s="9"/>
      <c r="O232" s="9"/>
      <c r="P232" s="9"/>
      <c r="Q232" s="9"/>
      <c r="R232" s="9"/>
      <c r="S232" s="261"/>
      <c r="T232" s="261"/>
      <c r="U232" s="261"/>
      <c r="V232" s="261"/>
      <c r="W232" s="261"/>
      <c r="X232" s="261"/>
      <c r="Y232" s="261"/>
      <c r="Z232" s="261"/>
    </row>
    <row r="233" spans="1:26" hidden="1" outlineLevel="1">
      <c r="A233" s="9"/>
      <c r="B233" s="9"/>
      <c r="C233" s="393" t="s">
        <v>81</v>
      </c>
      <c r="D233" s="91">
        <v>1</v>
      </c>
      <c r="E233" s="268">
        <f ca="1">OFFSET('Actual RAB roll forward'!H$60,0,D233-1)-SUM('Actual RAB roll forward'!H286:OFFSET('Actual RAB roll forward'!H286,0,Input!$W$7-1))</f>
        <v>0</v>
      </c>
      <c r="F233" s="268">
        <f ca="1">IF(A17stdlife="N/A","n/a",IF(E233=0,0,A17stdlife+D233-Input!$W$7))</f>
        <v>0</v>
      </c>
      <c r="G233" s="264"/>
      <c r="H233" s="393" t="s">
        <v>81</v>
      </c>
      <c r="I233" s="91">
        <v>1</v>
      </c>
      <c r="J233" s="268">
        <f ca="1">OFFSET('Tax value roll forward'!H$56,0,I233-1)-SUM('Tax value roll forward'!H282:OFFSET('Tax value roll forward'!H282,0,Input!$W$7-1))</f>
        <v>0</v>
      </c>
      <c r="K233" s="268">
        <f ca="1">IF(A17taxstdlife="N/A","n/a",IF(J233=0,0,A17taxstdlife+I233-Input!$W$7))</f>
        <v>0</v>
      </c>
      <c r="L233" s="114"/>
      <c r="M233" s="9"/>
      <c r="N233" s="9"/>
      <c r="O233" s="9"/>
      <c r="P233" s="9"/>
      <c r="Q233" s="9"/>
      <c r="R233" s="9"/>
      <c r="S233" s="261"/>
      <c r="T233" s="261"/>
      <c r="U233" s="261"/>
      <c r="V233" s="261"/>
      <c r="W233" s="261"/>
      <c r="X233" s="261"/>
      <c r="Y233" s="261"/>
      <c r="Z233" s="261"/>
    </row>
    <row r="234" spans="1:26" hidden="1" outlineLevel="1">
      <c r="A234" s="9"/>
      <c r="B234" s="9"/>
      <c r="C234" s="394"/>
      <c r="D234" s="91">
        <v>2</v>
      </c>
      <c r="E234" s="268">
        <f ca="1">OFFSET('Actual RAB roll forward'!H$60,0,D234-1)-SUM('Actual RAB roll forward'!H287:OFFSET('Actual RAB roll forward'!H287,0,Input!$W$7-1))</f>
        <v>1.8231991076198134E-2</v>
      </c>
      <c r="F234" s="268">
        <f ca="1">IF(A17stdlife="N/A","n/a",IF(E234=0,0,A17stdlife+D234-Input!$W$7))</f>
        <v>1</v>
      </c>
      <c r="G234" s="264"/>
      <c r="H234" s="394"/>
      <c r="I234" s="91">
        <v>2</v>
      </c>
      <c r="J234" s="268">
        <f ca="1">OFFSET('Tax value roll forward'!H$56,0,I234-1)-SUM('Tax value roll forward'!H283:OFFSET('Tax value roll forward'!H283,0,Input!$W$7-1))</f>
        <v>1.8250000000000002E-2</v>
      </c>
      <c r="K234" s="268">
        <f ca="1">IF(A17taxstdlife="N/A","n/a",IF(J234=0,0,A17taxstdlife+I234-Input!$W$7))</f>
        <v>1</v>
      </c>
      <c r="L234" s="114"/>
      <c r="M234" s="9"/>
      <c r="N234" s="9"/>
      <c r="O234" s="9"/>
      <c r="P234" s="9"/>
      <c r="Q234" s="9"/>
      <c r="R234" s="9"/>
      <c r="S234" s="261"/>
      <c r="T234" s="261"/>
      <c r="U234" s="261"/>
      <c r="V234" s="261"/>
      <c r="W234" s="261"/>
      <c r="X234" s="261"/>
      <c r="Y234" s="261"/>
      <c r="Z234" s="261"/>
    </row>
    <row r="235" spans="1:26" hidden="1" outlineLevel="1">
      <c r="A235" s="9"/>
      <c r="B235" s="9"/>
      <c r="C235" s="394"/>
      <c r="D235" s="91">
        <v>3</v>
      </c>
      <c r="E235" s="268">
        <f ca="1">OFFSET('Actual RAB roll forward'!H$60,0,D235-1)-SUM('Actual RAB roll forward'!H288:OFFSET('Actual RAB roll forward'!H288,0,Input!$W$7-1))</f>
        <v>0.60581720379940818</v>
      </c>
      <c r="F235" s="268">
        <f ca="1">IF(A17stdlife="N/A","n/a",IF(E235=0,0,A17stdlife+D235-Input!$W$7))</f>
        <v>2</v>
      </c>
      <c r="G235" s="264"/>
      <c r="H235" s="394"/>
      <c r="I235" s="91">
        <v>3</v>
      </c>
      <c r="J235" s="268">
        <f ca="1">OFFSET('Tax value roll forward'!H$56,0,I235-1)-SUM('Tax value roll forward'!H284:OFFSET('Tax value roll forward'!H284,0,Input!$W$7-1))</f>
        <v>0.63200000000000001</v>
      </c>
      <c r="K235" s="268">
        <f ca="1">IF(A17taxstdlife="N/A","n/a",IF(J235=0,0,A17taxstdlife+I235-Input!$W$7))</f>
        <v>2</v>
      </c>
      <c r="L235" s="114"/>
      <c r="M235" s="9"/>
      <c r="N235" s="9"/>
      <c r="O235" s="9"/>
      <c r="P235" s="9"/>
      <c r="Q235" s="9"/>
      <c r="R235" s="9"/>
      <c r="S235" s="261"/>
      <c r="T235" s="261"/>
      <c r="U235" s="261"/>
      <c r="V235" s="261"/>
      <c r="W235" s="261"/>
      <c r="X235" s="261"/>
      <c r="Y235" s="261"/>
      <c r="Z235" s="261"/>
    </row>
    <row r="236" spans="1:26" hidden="1" outlineLevel="1">
      <c r="A236" s="9"/>
      <c r="B236" s="9"/>
      <c r="C236" s="394"/>
      <c r="D236" s="91">
        <v>4</v>
      </c>
      <c r="E236" s="268">
        <f ca="1">OFFSET('Actual RAB roll forward'!H$60,0,D236-1)-SUM('Actual RAB roll forward'!H289:OFFSET('Actual RAB roll forward'!H289,0,Input!$W$7-1))</f>
        <v>0.21398220671896168</v>
      </c>
      <c r="F236" s="268">
        <f ca="1">IF(A17stdlife="N/A","n/a",IF(E236=0,0,A17stdlife+D236-Input!$W$7))</f>
        <v>3</v>
      </c>
      <c r="G236" s="264"/>
      <c r="H236" s="394"/>
      <c r="I236" s="91">
        <v>4</v>
      </c>
      <c r="J236" s="268">
        <f ca="1">OFFSET('Tax value roll forward'!H$56,0,I236-1)-SUM('Tax value roll forward'!H285:OFFSET('Tax value roll forward'!H285,0,Input!$W$7-1))</f>
        <v>0.22575000000000001</v>
      </c>
      <c r="K236" s="268">
        <f ca="1">IF(A17taxstdlife="N/A","n/a",IF(J236=0,0,A17taxstdlife+I236-Input!$W$7))</f>
        <v>3</v>
      </c>
      <c r="L236" s="114"/>
      <c r="M236" s="9"/>
      <c r="N236" s="9"/>
      <c r="O236" s="9"/>
      <c r="P236" s="9"/>
      <c r="Q236" s="9"/>
      <c r="R236" s="9"/>
      <c r="S236" s="261"/>
      <c r="T236" s="261"/>
      <c r="U236" s="261"/>
      <c r="V236" s="261"/>
      <c r="W236" s="261"/>
      <c r="X236" s="261"/>
      <c r="Y236" s="261"/>
      <c r="Z236" s="261"/>
    </row>
    <row r="237" spans="1:26" hidden="1" outlineLevel="1">
      <c r="A237" s="9"/>
      <c r="B237" s="9"/>
      <c r="C237" s="394"/>
      <c r="D237" s="91">
        <v>5</v>
      </c>
      <c r="E237" s="268">
        <f ca="1">OFFSET('Actual RAB roll forward'!H$60,0,D237-1)-SUM('Actual RAB roll forward'!H290:OFFSET('Actual RAB roll forward'!H290,0,Input!$W$7-1))</f>
        <v>0</v>
      </c>
      <c r="F237" s="268">
        <f ca="1">IF(A17stdlife="N/A","n/a",IF(E237=0,0,A17stdlife+D237-Input!$W$7))</f>
        <v>0</v>
      </c>
      <c r="G237" s="264"/>
      <c r="H237" s="394"/>
      <c r="I237" s="91">
        <v>5</v>
      </c>
      <c r="J237" s="268">
        <f ca="1">OFFSET('Tax value roll forward'!H$56,0,I237-1)-SUM('Tax value roll forward'!H286:OFFSET('Tax value roll forward'!H286,0,Input!$W$7-1))</f>
        <v>0</v>
      </c>
      <c r="K237" s="268">
        <f ca="1">IF(A17taxstdlife="N/A","n/a",IF(J237=0,0,A17taxstdlife+I237-Input!$W$7))</f>
        <v>0</v>
      </c>
      <c r="L237" s="114"/>
      <c r="M237" s="9"/>
      <c r="N237" s="9"/>
      <c r="O237" s="9"/>
      <c r="P237" s="9"/>
      <c r="Q237" s="9"/>
      <c r="R237" s="9"/>
      <c r="S237" s="261"/>
      <c r="T237" s="261"/>
      <c r="U237" s="261"/>
      <c r="V237" s="261"/>
      <c r="W237" s="261"/>
      <c r="X237" s="261"/>
      <c r="Y237" s="261"/>
      <c r="Z237" s="261"/>
    </row>
    <row r="238" spans="1:26" hidden="1" outlineLevel="1">
      <c r="A238" s="9"/>
      <c r="B238" s="9"/>
      <c r="C238" s="394"/>
      <c r="D238" s="91">
        <v>6</v>
      </c>
      <c r="E238" s="268">
        <f ca="1">OFFSET('Actual RAB roll forward'!H$60,0,D238-1)-SUM('Actual RAB roll forward'!H291:OFFSET('Actual RAB roll forward'!H291,0,Input!$W$7-1))</f>
        <v>0</v>
      </c>
      <c r="F238" s="268">
        <f ca="1">IF(A17stdlife="N/A","n/a",IF(E238=0,0,A17stdlife+D238-Input!$W$7))</f>
        <v>0</v>
      </c>
      <c r="G238" s="264"/>
      <c r="H238" s="394"/>
      <c r="I238" s="91">
        <v>6</v>
      </c>
      <c r="J238" s="268">
        <f ca="1">OFFSET('Tax value roll forward'!H$56,0,I238-1)-SUM('Tax value roll forward'!H287:OFFSET('Tax value roll forward'!H287,0,Input!$W$7-1))</f>
        <v>0</v>
      </c>
      <c r="K238" s="268">
        <f ca="1">IF(A17taxstdlife="N/A","n/a",IF(J238=0,0,A17taxstdlife+I238-Input!$W$7))</f>
        <v>0</v>
      </c>
      <c r="L238" s="114"/>
      <c r="M238" s="9"/>
      <c r="N238" s="9"/>
      <c r="O238" s="9"/>
      <c r="P238" s="9"/>
      <c r="Q238" s="9"/>
      <c r="R238" s="9"/>
      <c r="S238" s="261"/>
      <c r="T238" s="261"/>
      <c r="U238" s="261"/>
      <c r="V238" s="261"/>
      <c r="W238" s="261"/>
      <c r="X238" s="261"/>
      <c r="Y238" s="261"/>
      <c r="Z238" s="261"/>
    </row>
    <row r="239" spans="1:26" hidden="1" outlineLevel="1">
      <c r="A239" s="9"/>
      <c r="B239" s="9"/>
      <c r="C239" s="394"/>
      <c r="D239" s="91">
        <v>7</v>
      </c>
      <c r="E239" s="268">
        <f ca="1">OFFSET('Actual RAB roll forward'!H$60,0,D239-1)-SUM('Actual RAB roll forward'!H292:OFFSET('Actual RAB roll forward'!H292,0,Input!$W$7-1))</f>
        <v>0</v>
      </c>
      <c r="F239" s="268">
        <f ca="1">IF(A17stdlife="N/A","n/a",IF(E239=0,0,A17stdlife+D239-Input!$W$7))</f>
        <v>0</v>
      </c>
      <c r="G239" s="264"/>
      <c r="H239" s="394"/>
      <c r="I239" s="91">
        <v>7</v>
      </c>
      <c r="J239" s="268">
        <f ca="1">OFFSET('Tax value roll forward'!H$56,0,I239-1)-SUM('Tax value roll forward'!H288:OFFSET('Tax value roll forward'!H288,0,Input!$W$7-1))</f>
        <v>0</v>
      </c>
      <c r="K239" s="268">
        <f ca="1">IF(A17taxstdlife="N/A","n/a",IF(J239=0,0,A17taxstdlife+I239-Input!$W$7))</f>
        <v>0</v>
      </c>
      <c r="L239" s="114"/>
      <c r="M239" s="9"/>
      <c r="N239" s="9"/>
      <c r="O239" s="9"/>
      <c r="P239" s="9"/>
      <c r="Q239" s="9"/>
      <c r="R239" s="9"/>
      <c r="S239" s="261"/>
      <c r="T239" s="261"/>
      <c r="U239" s="261"/>
      <c r="V239" s="261"/>
      <c r="W239" s="261"/>
      <c r="X239" s="261"/>
      <c r="Y239" s="261"/>
      <c r="Z239" s="261"/>
    </row>
    <row r="240" spans="1:26" hidden="1" outlineLevel="1">
      <c r="A240" s="9"/>
      <c r="B240" s="9"/>
      <c r="C240" s="394"/>
      <c r="D240" s="91">
        <v>8</v>
      </c>
      <c r="E240" s="268">
        <f ca="1">OFFSET('Actual RAB roll forward'!H$60,0,D240-1)-SUM('Actual RAB roll forward'!H293:OFFSET('Actual RAB roll forward'!H293,0,Input!$W$7-1))</f>
        <v>0</v>
      </c>
      <c r="F240" s="268">
        <f ca="1">IF(A17stdlife="N/A","n/a",IF(E240=0,0,A17stdlife+D240-Input!$W$7))</f>
        <v>0</v>
      </c>
      <c r="G240" s="264"/>
      <c r="H240" s="394"/>
      <c r="I240" s="91">
        <v>8</v>
      </c>
      <c r="J240" s="268">
        <f ca="1">OFFSET('Tax value roll forward'!H$56,0,I240-1)-SUM('Tax value roll forward'!H289:OFFSET('Tax value roll forward'!H289,0,Input!$W$7-1))</f>
        <v>0</v>
      </c>
      <c r="K240" s="268">
        <f ca="1">IF(A17taxstdlife="N/A","n/a",IF(J240=0,0,A17taxstdlife+I240-Input!$W$7))</f>
        <v>0</v>
      </c>
      <c r="L240" s="114"/>
      <c r="M240" s="9"/>
      <c r="N240" s="9"/>
      <c r="O240" s="9"/>
      <c r="P240" s="9"/>
      <c r="Q240" s="9"/>
      <c r="R240" s="9"/>
      <c r="S240" s="261"/>
      <c r="T240" s="261"/>
      <c r="U240" s="261"/>
      <c r="V240" s="261"/>
      <c r="W240" s="261"/>
      <c r="X240" s="261"/>
      <c r="Y240" s="261"/>
      <c r="Z240" s="261"/>
    </row>
    <row r="241" spans="1:26" hidden="1" outlineLevel="1">
      <c r="A241" s="9"/>
      <c r="B241" s="9"/>
      <c r="C241" s="394"/>
      <c r="D241" s="91">
        <v>9</v>
      </c>
      <c r="E241" s="268">
        <f ca="1">OFFSET('Actual RAB roll forward'!H$60,0,D241-1)-SUM('Actual RAB roll forward'!H294:OFFSET('Actual RAB roll forward'!H294,0,Input!$W$7-1))</f>
        <v>0</v>
      </c>
      <c r="F241" s="268">
        <f ca="1">IF(A17stdlife="N/A","n/a",IF(E241=0,0,A17stdlife+D241-Input!$W$7))</f>
        <v>0</v>
      </c>
      <c r="G241" s="264"/>
      <c r="H241" s="394"/>
      <c r="I241" s="91">
        <v>9</v>
      </c>
      <c r="J241" s="268">
        <f ca="1">OFFSET('Tax value roll forward'!H$56,0,I241-1)-SUM('Tax value roll forward'!H290:OFFSET('Tax value roll forward'!H290,0,Input!$W$7-1))</f>
        <v>0</v>
      </c>
      <c r="K241" s="268">
        <f ca="1">IF(A17taxstdlife="N/A","n/a",IF(J241=0,0,A17taxstdlife+I241-Input!$W$7))</f>
        <v>0</v>
      </c>
      <c r="L241" s="114"/>
      <c r="M241" s="9"/>
      <c r="N241" s="9"/>
      <c r="O241" s="9"/>
      <c r="P241" s="9"/>
      <c r="Q241" s="9"/>
      <c r="R241" s="9"/>
      <c r="S241" s="261"/>
      <c r="T241" s="261"/>
      <c r="U241" s="261"/>
      <c r="V241" s="261"/>
      <c r="W241" s="261"/>
      <c r="X241" s="261"/>
      <c r="Y241" s="261"/>
      <c r="Z241" s="261"/>
    </row>
    <row r="242" spans="1:26" hidden="1" outlineLevel="1">
      <c r="A242" s="9"/>
      <c r="B242" s="9"/>
      <c r="C242" s="395"/>
      <c r="D242" s="92">
        <v>10</v>
      </c>
      <c r="E242" s="268">
        <f ca="1">OFFSET('Actual RAB roll forward'!H$60,0,D242-1)-SUM('Actual RAB roll forward'!H295:OFFSET('Actual RAB roll forward'!H295,0,Input!$W$7-1))</f>
        <v>0</v>
      </c>
      <c r="F242" s="268">
        <f ca="1">IF(A17stdlife="N/A","n/a",IF(E242=0,0,A17stdlife+D242-Input!$W$7))</f>
        <v>0</v>
      </c>
      <c r="G242" s="264"/>
      <c r="H242" s="395"/>
      <c r="I242" s="92">
        <v>10</v>
      </c>
      <c r="J242" s="268">
        <f ca="1">OFFSET('Tax value roll forward'!H$56,0,I242-1)-SUM('Tax value roll forward'!H291:OFFSET('Tax value roll forward'!H291,0,Input!$W$7-1))</f>
        <v>0</v>
      </c>
      <c r="K242" s="268">
        <f ca="1">IF(A17taxstdlife="N/A","n/a",IF(J242=0,0,A17taxstdlife+I242-Input!$W$7))</f>
        <v>0</v>
      </c>
      <c r="L242" s="114"/>
      <c r="M242" s="9"/>
      <c r="N242" s="9"/>
      <c r="O242" s="9"/>
      <c r="P242" s="9"/>
      <c r="Q242" s="9"/>
      <c r="R242" s="9"/>
      <c r="S242" s="261"/>
      <c r="T242" s="261"/>
      <c r="U242" s="261"/>
      <c r="V242" s="261"/>
      <c r="W242" s="261"/>
      <c r="X242" s="261"/>
      <c r="Y242" s="261"/>
      <c r="Z242" s="261"/>
    </row>
    <row r="243" spans="1:26" collapsed="1">
      <c r="A243" s="9"/>
      <c r="B243" s="9"/>
      <c r="C243" s="282" t="str">
        <f>Asset17</f>
        <v>Protection and control - short life (4)</v>
      </c>
      <c r="D243" s="9"/>
      <c r="E243" s="268">
        <f ca="1">SUM(E232:E242)</f>
        <v>0.83803140159456802</v>
      </c>
      <c r="F243" s="268">
        <f ca="1">IF(E243=0,0,SUMPRODUCT(E232:E242,F232:F242)/E243)</f>
        <v>2.2335833899186821</v>
      </c>
      <c r="G243" s="264"/>
      <c r="H243" s="43"/>
      <c r="I243" s="268"/>
      <c r="J243" s="268">
        <f ca="1">SUM(J232:J242)</f>
        <v>0.876</v>
      </c>
      <c r="K243" s="268">
        <f ca="1">IF(J243=0,0,SUMPRODUCT(J232:J242,K232:K242)/J243)</f>
        <v>2.2368721461187215</v>
      </c>
      <c r="L243" s="114"/>
      <c r="M243" s="9"/>
      <c r="N243" s="9"/>
      <c r="O243" s="9"/>
      <c r="P243" s="9"/>
      <c r="Q243" s="9"/>
      <c r="R243" s="9"/>
      <c r="S243" s="261"/>
      <c r="T243" s="261"/>
      <c r="U243" s="261"/>
      <c r="V243" s="261"/>
      <c r="W243" s="261"/>
      <c r="X243" s="261"/>
      <c r="Y243" s="261"/>
      <c r="Z243" s="261"/>
    </row>
    <row r="244" spans="1:26" hidden="1" outlineLevel="1">
      <c r="A244" s="9"/>
      <c r="B244" s="9"/>
      <c r="C244" s="282"/>
      <c r="D244" s="9"/>
      <c r="E244" s="268"/>
      <c r="F244" s="268"/>
      <c r="G244" s="264"/>
      <c r="H244" s="268"/>
      <c r="I244" s="268"/>
      <c r="J244" s="273"/>
      <c r="K244" s="268"/>
      <c r="L244" s="114"/>
      <c r="M244" s="9"/>
      <c r="N244" s="9"/>
      <c r="O244" s="9"/>
      <c r="P244" s="9"/>
      <c r="Q244" s="9"/>
      <c r="R244" s="9"/>
      <c r="S244" s="261"/>
      <c r="T244" s="261"/>
      <c r="U244" s="261"/>
      <c r="V244" s="261"/>
      <c r="W244" s="261"/>
      <c r="X244" s="261"/>
      <c r="Y244" s="261"/>
      <c r="Z244" s="261"/>
    </row>
    <row r="245" spans="1:26" hidden="1" outlineLevel="1">
      <c r="A245" s="9"/>
      <c r="B245" s="280" t="str">
        <f>Asset18</f>
        <v>Transmission operations - short life (10)</v>
      </c>
      <c r="C245" s="9"/>
      <c r="D245" s="9"/>
      <c r="E245" s="35"/>
      <c r="F245" s="35"/>
      <c r="G245" s="264"/>
      <c r="H245" s="268"/>
      <c r="I245" s="268"/>
      <c r="J245" s="273"/>
      <c r="K245" s="268"/>
      <c r="L245" s="114"/>
      <c r="M245" s="9"/>
      <c r="N245" s="9"/>
      <c r="O245" s="9"/>
      <c r="P245" s="9"/>
      <c r="Q245" s="9"/>
      <c r="R245" s="9"/>
      <c r="S245" s="261"/>
      <c r="T245" s="261"/>
      <c r="U245" s="261"/>
      <c r="V245" s="261"/>
      <c r="W245" s="261"/>
      <c r="X245" s="261"/>
      <c r="Y245" s="261"/>
      <c r="Z245" s="261"/>
    </row>
    <row r="246" spans="1:26" ht="12.75" hidden="1" customHeight="1" outlineLevel="1">
      <c r="A246" s="9"/>
      <c r="B246" s="9"/>
      <c r="C246" s="396" t="s">
        <v>26</v>
      </c>
      <c r="D246" s="397"/>
      <c r="E246" s="338">
        <f ca="1">(A18value-'Actual RAB roll forward'!G647)-SUM('Actual RAB roll forward'!H297:OFFSET('Actual RAB roll forward'!H297,0,Input!$W$7-1))</f>
        <v>0</v>
      </c>
      <c r="F246" s="268" t="str">
        <f>IF(A18remlife="N/A","n/a",A18remlife-Input!$W$7)</f>
        <v>n/a</v>
      </c>
      <c r="G246" s="264"/>
      <c r="H246" s="306" t="s">
        <v>65</v>
      </c>
      <c r="I246" s="307"/>
      <c r="J246" s="268">
        <f ca="1">A18taxvalue-SUM('Tax value roll forward'!H293:OFFSET('Tax value roll forward'!H293,0,Input!$W$7-1))</f>
        <v>0</v>
      </c>
      <c r="K246" s="268" t="str">
        <f>IF(A18taxremlife="N/A","n/a",A18taxremlife-Input!$W$7)</f>
        <v>n/a</v>
      </c>
      <c r="L246" s="114"/>
      <c r="M246" s="9"/>
      <c r="N246" s="9"/>
      <c r="O246" s="9"/>
      <c r="P246" s="9"/>
      <c r="Q246" s="9"/>
      <c r="R246" s="9"/>
      <c r="S246" s="261"/>
      <c r="T246" s="261"/>
      <c r="U246" s="261"/>
      <c r="V246" s="261"/>
      <c r="W246" s="261"/>
      <c r="X246" s="261"/>
      <c r="Y246" s="261"/>
      <c r="Z246" s="261"/>
    </row>
    <row r="247" spans="1:26" hidden="1" outlineLevel="1">
      <c r="A247" s="9"/>
      <c r="B247" s="9"/>
      <c r="C247" s="393" t="s">
        <v>81</v>
      </c>
      <c r="D247" s="91">
        <v>1</v>
      </c>
      <c r="E247" s="268">
        <f ca="1">OFFSET('Actual RAB roll forward'!H$61,0,D247-1)-SUM('Actual RAB roll forward'!H299:OFFSET('Actual RAB roll forward'!H299,0,Input!$W$7-1))</f>
        <v>0.69768401173623695</v>
      </c>
      <c r="F247" s="268">
        <f ca="1">IF(A18stdlife="N/A","n/a",IF(E247=0,0,A18stdlife+D247-Input!$W$7))</f>
        <v>6</v>
      </c>
      <c r="G247" s="264"/>
      <c r="H247" s="393" t="s">
        <v>81</v>
      </c>
      <c r="I247" s="91">
        <v>1</v>
      </c>
      <c r="J247" s="268">
        <f ca="1">OFFSET('Tax value roll forward'!H$57,0,I247-1)-SUM('Tax value roll forward'!H295:OFFSET('Tax value roll forward'!H295,0,Input!$W$7-1))</f>
        <v>0.68023680000000009</v>
      </c>
      <c r="K247" s="268">
        <f ca="1">IF(A18taxstdlife="N/A","n/a",IF(J247=0,0,A18taxstdlife+I247-Input!$W$7))</f>
        <v>6</v>
      </c>
      <c r="L247" s="114"/>
      <c r="M247" s="9"/>
      <c r="N247" s="9"/>
      <c r="O247" s="9"/>
      <c r="P247" s="9"/>
      <c r="Q247" s="9"/>
      <c r="R247" s="9"/>
      <c r="S247" s="261"/>
      <c r="T247" s="261"/>
      <c r="U247" s="261"/>
      <c r="V247" s="261"/>
      <c r="W247" s="261"/>
      <c r="X247" s="261"/>
      <c r="Y247" s="261"/>
      <c r="Z247" s="261"/>
    </row>
    <row r="248" spans="1:26" hidden="1" outlineLevel="1">
      <c r="A248" s="9"/>
      <c r="B248" s="9"/>
      <c r="C248" s="394"/>
      <c r="D248" s="91">
        <v>2</v>
      </c>
      <c r="E248" s="268">
        <f ca="1">OFFSET('Actual RAB roll forward'!H$61,0,D248-1)-SUM('Actual RAB roll forward'!H300:OFFSET('Actual RAB roll forward'!H300,0,Input!$W$7-1))</f>
        <v>1.1119017023456728</v>
      </c>
      <c r="F248" s="268">
        <f ca="1">IF(A18stdlife="N/A","n/a",IF(E248=0,0,A18stdlife+D248-Input!$W$7))</f>
        <v>7</v>
      </c>
      <c r="G248" s="264"/>
      <c r="H248" s="394"/>
      <c r="I248" s="91">
        <v>2</v>
      </c>
      <c r="J248" s="268">
        <f ca="1">OFFSET('Tax value roll forward'!H$57,0,I248-1)-SUM('Tax value roll forward'!H296:OFFSET('Tax value roll forward'!H296,0,Input!$W$7-1))</f>
        <v>1.113</v>
      </c>
      <c r="K248" s="268">
        <f ca="1">IF(A18taxstdlife="N/A","n/a",IF(J248=0,0,A18taxstdlife+I248-Input!$W$7))</f>
        <v>7</v>
      </c>
      <c r="L248" s="114"/>
      <c r="M248" s="9"/>
      <c r="N248" s="9"/>
      <c r="O248" s="9"/>
      <c r="P248" s="9"/>
      <c r="Q248" s="9"/>
      <c r="R248" s="9"/>
      <c r="S248" s="261"/>
      <c r="T248" s="261"/>
      <c r="U248" s="261"/>
      <c r="V248" s="261"/>
      <c r="W248" s="261"/>
      <c r="X248" s="261"/>
      <c r="Y248" s="261"/>
      <c r="Z248" s="261"/>
    </row>
    <row r="249" spans="1:26" hidden="1" outlineLevel="1">
      <c r="A249" s="9"/>
      <c r="B249" s="9"/>
      <c r="C249" s="394"/>
      <c r="D249" s="91">
        <v>3</v>
      </c>
      <c r="E249" s="268">
        <f ca="1">OFFSET('Actual RAB roll forward'!H$61,0,D249-1)-SUM('Actual RAB roll forward'!H301:OFFSET('Actual RAB roll forward'!H301,0,Input!$W$7-1))</f>
        <v>1.9585533398780861</v>
      </c>
      <c r="F249" s="268">
        <f ca="1">IF(A18stdlife="N/A","n/a",IF(E249=0,0,A18stdlife+D249-Input!$W$7))</f>
        <v>8</v>
      </c>
      <c r="G249" s="264"/>
      <c r="H249" s="394"/>
      <c r="I249" s="91">
        <v>3</v>
      </c>
      <c r="J249" s="268">
        <f ca="1">OFFSET('Tax value roll forward'!H$57,0,I249-1)-SUM('Tax value roll forward'!H297:OFFSET('Tax value roll forward'!H297,0,Input!$W$7-1))</f>
        <v>2.0431999999999997</v>
      </c>
      <c r="K249" s="268">
        <f ca="1">IF(A18taxstdlife="N/A","n/a",IF(J249=0,0,A18taxstdlife+I249-Input!$W$7))</f>
        <v>8</v>
      </c>
      <c r="L249" s="114"/>
      <c r="M249" s="9"/>
      <c r="N249" s="9"/>
      <c r="O249" s="9"/>
      <c r="P249" s="9"/>
      <c r="Q249" s="9"/>
      <c r="R249" s="9"/>
      <c r="S249" s="261"/>
      <c r="T249" s="261"/>
      <c r="U249" s="261"/>
      <c r="V249" s="261"/>
      <c r="W249" s="261"/>
      <c r="X249" s="261"/>
      <c r="Y249" s="261"/>
      <c r="Z249" s="261"/>
    </row>
    <row r="250" spans="1:26" hidden="1" outlineLevel="1">
      <c r="A250" s="9"/>
      <c r="B250" s="9"/>
      <c r="C250" s="394"/>
      <c r="D250" s="91">
        <v>4</v>
      </c>
      <c r="E250" s="268">
        <f ca="1">OFFSET('Actual RAB roll forward'!H$61,0,D250-1)-SUM('Actual RAB roll forward'!H302:OFFSET('Actual RAB roll forward'!H302,0,Input!$W$7-1))</f>
        <v>1.5517619961001643</v>
      </c>
      <c r="F250" s="268">
        <f ca="1">IF(A18stdlife="N/A","n/a",IF(E250=0,0,A18stdlife+D250-Input!$W$7))</f>
        <v>9</v>
      </c>
      <c r="G250" s="264"/>
      <c r="H250" s="394"/>
      <c r="I250" s="91">
        <v>4</v>
      </c>
      <c r="J250" s="268">
        <f ca="1">OFFSET('Tax value roll forward'!H$57,0,I250-1)-SUM('Tax value roll forward'!H298:OFFSET('Tax value roll forward'!H298,0,Input!$W$7-1))</f>
        <v>1.6371</v>
      </c>
      <c r="K250" s="268">
        <f ca="1">IF(A18taxstdlife="N/A","n/a",IF(J250=0,0,A18taxstdlife+I250-Input!$W$7))</f>
        <v>9</v>
      </c>
      <c r="L250" s="114"/>
      <c r="M250" s="9"/>
      <c r="N250" s="9"/>
      <c r="O250" s="9"/>
      <c r="P250" s="9"/>
      <c r="Q250" s="9"/>
      <c r="R250" s="9"/>
      <c r="S250" s="261"/>
      <c r="T250" s="261"/>
      <c r="U250" s="261"/>
      <c r="V250" s="261"/>
      <c r="W250" s="261"/>
      <c r="X250" s="261"/>
      <c r="Y250" s="261"/>
      <c r="Z250" s="261"/>
    </row>
    <row r="251" spans="1:26" hidden="1" outlineLevel="1">
      <c r="A251" s="9"/>
      <c r="B251" s="9"/>
      <c r="C251" s="394"/>
      <c r="D251" s="91">
        <v>5</v>
      </c>
      <c r="E251" s="268">
        <f ca="1">OFFSET('Actual RAB roll forward'!H$61,0,D251-1)-SUM('Actual RAB roll forward'!H303:OFFSET('Actual RAB roll forward'!H303,0,Input!$W$7-1))</f>
        <v>1.3865340301462985</v>
      </c>
      <c r="F251" s="268">
        <f ca="1">IF(A18stdlife="N/A","n/a",IF(E251=0,0,A18stdlife+D251-Input!$W$7))</f>
        <v>10</v>
      </c>
      <c r="G251" s="264"/>
      <c r="H251" s="394"/>
      <c r="I251" s="91">
        <v>5</v>
      </c>
      <c r="J251" s="268">
        <f ca="1">OFFSET('Tax value roll forward'!H$57,0,I251-1)-SUM('Tax value roll forward'!H299:OFFSET('Tax value roll forward'!H299,0,Input!$W$7-1))</f>
        <v>1.49940999</v>
      </c>
      <c r="K251" s="268">
        <f ca="1">IF(A18taxstdlife="N/A","n/a",IF(J251=0,0,A18taxstdlife+I251-Input!$W$7))</f>
        <v>10</v>
      </c>
      <c r="L251" s="114"/>
      <c r="M251" s="9"/>
      <c r="N251" s="9"/>
      <c r="O251" s="9"/>
      <c r="P251" s="9"/>
      <c r="Q251" s="9"/>
      <c r="R251" s="9"/>
      <c r="S251" s="261"/>
      <c r="T251" s="261"/>
      <c r="U251" s="261"/>
      <c r="V251" s="261"/>
      <c r="W251" s="261"/>
      <c r="X251" s="261"/>
      <c r="Y251" s="261"/>
      <c r="Z251" s="261"/>
    </row>
    <row r="252" spans="1:26" hidden="1" outlineLevel="1">
      <c r="A252" s="9"/>
      <c r="B252" s="9"/>
      <c r="C252" s="394"/>
      <c r="D252" s="91">
        <v>6</v>
      </c>
      <c r="E252" s="268">
        <f ca="1">OFFSET('Actual RAB roll forward'!H$61,0,D252-1)-SUM('Actual RAB roll forward'!H304:OFFSET('Actual RAB roll forward'!H304,0,Input!$W$7-1))</f>
        <v>0</v>
      </c>
      <c r="F252" s="268">
        <f ca="1">IF(A18stdlife="N/A","n/a",IF(E252=0,0,A18stdlife+D252-Input!$W$7))</f>
        <v>0</v>
      </c>
      <c r="G252" s="264"/>
      <c r="H252" s="394"/>
      <c r="I252" s="91">
        <v>6</v>
      </c>
      <c r="J252" s="268">
        <f ca="1">OFFSET('Tax value roll forward'!H$57,0,I252-1)-SUM('Tax value roll forward'!H300:OFFSET('Tax value roll forward'!H300,0,Input!$W$7-1))</f>
        <v>0</v>
      </c>
      <c r="K252" s="268">
        <f ca="1">IF(A18taxstdlife="N/A","n/a",IF(J252=0,0,A18taxstdlife+I252-Input!$W$7))</f>
        <v>0</v>
      </c>
      <c r="L252" s="114"/>
      <c r="M252" s="9"/>
      <c r="N252" s="9"/>
      <c r="O252" s="9"/>
      <c r="P252" s="9"/>
      <c r="Q252" s="9"/>
      <c r="R252" s="9"/>
      <c r="S252" s="261"/>
      <c r="T252" s="261"/>
      <c r="U252" s="261"/>
      <c r="V252" s="261"/>
      <c r="W252" s="261"/>
      <c r="X252" s="261"/>
      <c r="Y252" s="261"/>
      <c r="Z252" s="261"/>
    </row>
    <row r="253" spans="1:26" hidden="1" outlineLevel="1">
      <c r="A253" s="9"/>
      <c r="B253" s="9"/>
      <c r="C253" s="394"/>
      <c r="D253" s="91">
        <v>7</v>
      </c>
      <c r="E253" s="268">
        <f ca="1">OFFSET('Actual RAB roll forward'!H$61,0,D253-1)-SUM('Actual RAB roll forward'!H305:OFFSET('Actual RAB roll forward'!H305,0,Input!$W$7-1))</f>
        <v>0</v>
      </c>
      <c r="F253" s="268">
        <f ca="1">IF(A18stdlife="N/A","n/a",IF(E253=0,0,A18stdlife+D253-Input!$W$7))</f>
        <v>0</v>
      </c>
      <c r="G253" s="264"/>
      <c r="H253" s="394"/>
      <c r="I253" s="91">
        <v>7</v>
      </c>
      <c r="J253" s="268">
        <f ca="1">OFFSET('Tax value roll forward'!H$57,0,I253-1)-SUM('Tax value roll forward'!H301:OFFSET('Tax value roll forward'!H301,0,Input!$W$7-1))</f>
        <v>0</v>
      </c>
      <c r="K253" s="268">
        <f ca="1">IF(A18taxstdlife="N/A","n/a",IF(J253=0,0,A18taxstdlife+I253-Input!$W$7))</f>
        <v>0</v>
      </c>
      <c r="L253" s="114"/>
      <c r="M253" s="9"/>
      <c r="N253" s="9"/>
      <c r="O253" s="9"/>
      <c r="P253" s="9"/>
      <c r="Q253" s="9"/>
      <c r="R253" s="9"/>
      <c r="S253" s="261"/>
      <c r="T253" s="261"/>
      <c r="U253" s="261"/>
      <c r="V253" s="261"/>
      <c r="W253" s="261"/>
      <c r="X253" s="261"/>
      <c r="Y253" s="261"/>
      <c r="Z253" s="261"/>
    </row>
    <row r="254" spans="1:26" hidden="1" outlineLevel="1">
      <c r="A254" s="9"/>
      <c r="B254" s="9"/>
      <c r="C254" s="394"/>
      <c r="D254" s="91">
        <v>8</v>
      </c>
      <c r="E254" s="268">
        <f ca="1">OFFSET('Actual RAB roll forward'!H$61,0,D254-1)-SUM('Actual RAB roll forward'!H306:OFFSET('Actual RAB roll forward'!H306,0,Input!$W$7-1))</f>
        <v>0</v>
      </c>
      <c r="F254" s="268">
        <f ca="1">IF(A18stdlife="N/A","n/a",IF(E254=0,0,A18stdlife+D254-Input!$W$7))</f>
        <v>0</v>
      </c>
      <c r="G254" s="264"/>
      <c r="H254" s="394"/>
      <c r="I254" s="91">
        <v>8</v>
      </c>
      <c r="J254" s="268">
        <f ca="1">OFFSET('Tax value roll forward'!H$57,0,I254-1)-SUM('Tax value roll forward'!H302:OFFSET('Tax value roll forward'!H302,0,Input!$W$7-1))</f>
        <v>0</v>
      </c>
      <c r="K254" s="268">
        <f ca="1">IF(A18taxstdlife="N/A","n/a",IF(J254=0,0,A18taxstdlife+I254-Input!$W$7))</f>
        <v>0</v>
      </c>
      <c r="L254" s="114"/>
      <c r="M254" s="9"/>
      <c r="N254" s="9"/>
      <c r="O254" s="9"/>
      <c r="P254" s="9"/>
      <c r="Q254" s="9"/>
      <c r="R254" s="9"/>
      <c r="S254" s="261"/>
      <c r="T254" s="261"/>
      <c r="U254" s="261"/>
      <c r="V254" s="261"/>
      <c r="W254" s="261"/>
      <c r="X254" s="261"/>
      <c r="Y254" s="261"/>
      <c r="Z254" s="261"/>
    </row>
    <row r="255" spans="1:26" hidden="1" outlineLevel="1">
      <c r="A255" s="9"/>
      <c r="B255" s="9"/>
      <c r="C255" s="394"/>
      <c r="D255" s="91">
        <v>9</v>
      </c>
      <c r="E255" s="268">
        <f ca="1">OFFSET('Actual RAB roll forward'!H$61,0,D255-1)-SUM('Actual RAB roll forward'!H307:OFFSET('Actual RAB roll forward'!H307,0,Input!$W$7-1))</f>
        <v>0</v>
      </c>
      <c r="F255" s="268">
        <f ca="1">IF(A18stdlife="N/A","n/a",IF(E255=0,0,A18stdlife+D255-Input!$W$7))</f>
        <v>0</v>
      </c>
      <c r="G255" s="264"/>
      <c r="H255" s="394"/>
      <c r="I255" s="91">
        <v>9</v>
      </c>
      <c r="J255" s="268">
        <f ca="1">OFFSET('Tax value roll forward'!H$57,0,I255-1)-SUM('Tax value roll forward'!H303:OFFSET('Tax value roll forward'!H303,0,Input!$W$7-1))</f>
        <v>0</v>
      </c>
      <c r="K255" s="268">
        <f ca="1">IF(A18taxstdlife="N/A","n/a",IF(J255=0,0,A18taxstdlife+I255-Input!$W$7))</f>
        <v>0</v>
      </c>
      <c r="L255" s="114"/>
      <c r="M255" s="9"/>
      <c r="N255" s="9"/>
      <c r="O255" s="9"/>
      <c r="P255" s="9"/>
      <c r="Q255" s="9"/>
      <c r="R255" s="9"/>
      <c r="S255" s="261"/>
      <c r="T255" s="261"/>
      <c r="U255" s="261"/>
      <c r="V255" s="261"/>
      <c r="W255" s="261"/>
      <c r="X255" s="261"/>
      <c r="Y255" s="261"/>
      <c r="Z255" s="261"/>
    </row>
    <row r="256" spans="1:26" hidden="1" outlineLevel="1">
      <c r="A256" s="9"/>
      <c r="B256" s="9"/>
      <c r="C256" s="395"/>
      <c r="D256" s="92">
        <v>10</v>
      </c>
      <c r="E256" s="268">
        <f ca="1">OFFSET('Actual RAB roll forward'!H$61,0,D256-1)-SUM('Actual RAB roll forward'!H308:OFFSET('Actual RAB roll forward'!H308,0,Input!$W$7-1))</f>
        <v>0</v>
      </c>
      <c r="F256" s="268">
        <f ca="1">IF(A18stdlife="N/A","n/a",IF(E256=0,0,A18stdlife+D256-Input!$W$7))</f>
        <v>0</v>
      </c>
      <c r="G256" s="264"/>
      <c r="H256" s="395"/>
      <c r="I256" s="92">
        <v>10</v>
      </c>
      <c r="J256" s="268">
        <f ca="1">OFFSET('Tax value roll forward'!H$57,0,I256-1)-SUM('Tax value roll forward'!H304:OFFSET('Tax value roll forward'!H304,0,Input!$W$7-1))</f>
        <v>0</v>
      </c>
      <c r="K256" s="268">
        <f ca="1">IF(A18taxstdlife="N/A","n/a",IF(J256=0,0,A18taxstdlife+I256-Input!$W$7))</f>
        <v>0</v>
      </c>
      <c r="L256" s="114"/>
      <c r="M256" s="9"/>
      <c r="N256" s="9"/>
      <c r="O256" s="9"/>
      <c r="P256" s="9"/>
      <c r="Q256" s="9"/>
      <c r="R256" s="9"/>
      <c r="S256" s="261"/>
      <c r="T256" s="261"/>
      <c r="U256" s="261"/>
      <c r="V256" s="261"/>
      <c r="W256" s="261"/>
      <c r="X256" s="261"/>
      <c r="Y256" s="261"/>
      <c r="Z256" s="261"/>
    </row>
    <row r="257" spans="1:26" collapsed="1">
      <c r="A257" s="9"/>
      <c r="B257" s="9"/>
      <c r="C257" s="282" t="str">
        <f>Asset18</f>
        <v>Transmission operations - short life (10)</v>
      </c>
      <c r="D257" s="9"/>
      <c r="E257" s="268">
        <f ca="1">SUM(E246:E256)</f>
        <v>6.7064350802064592</v>
      </c>
      <c r="F257" s="268">
        <f ca="1">IF(E257=0,0,SUMPRODUCT(E246:E256,F246:F256)/E257)</f>
        <v>8.2710173600187389</v>
      </c>
      <c r="G257" s="264"/>
      <c r="H257" s="43"/>
      <c r="I257" s="268"/>
      <c r="J257" s="268">
        <f ca="1">SUM(J246:J256)</f>
        <v>6.97294679</v>
      </c>
      <c r="K257" s="268">
        <f ca="1">IF(J257=0,0,SUMPRODUCT(J246:J256,K246:K256)/J257)</f>
        <v>8.3101194437767969</v>
      </c>
      <c r="L257" s="114"/>
      <c r="M257" s="9"/>
      <c r="N257" s="9"/>
      <c r="O257" s="9"/>
      <c r="P257" s="9"/>
      <c r="Q257" s="9"/>
      <c r="R257" s="9"/>
      <c r="S257" s="261"/>
      <c r="T257" s="261"/>
      <c r="U257" s="261"/>
      <c r="V257" s="261"/>
      <c r="W257" s="261"/>
      <c r="X257" s="261"/>
      <c r="Y257" s="261"/>
      <c r="Z257" s="261"/>
    </row>
    <row r="258" spans="1:26" hidden="1" outlineLevel="1">
      <c r="A258" s="9"/>
      <c r="B258" s="9"/>
      <c r="C258" s="282"/>
      <c r="D258" s="9"/>
      <c r="E258" s="268"/>
      <c r="F258" s="268"/>
      <c r="G258" s="264"/>
      <c r="H258" s="268"/>
      <c r="I258" s="268"/>
      <c r="J258" s="273"/>
      <c r="K258" s="268"/>
      <c r="L258" s="114"/>
      <c r="M258" s="9"/>
      <c r="N258" s="9"/>
      <c r="O258" s="9"/>
      <c r="P258" s="9"/>
      <c r="Q258" s="9"/>
      <c r="R258" s="9"/>
      <c r="S258" s="261"/>
      <c r="T258" s="261"/>
      <c r="U258" s="261"/>
      <c r="V258" s="261"/>
      <c r="W258" s="261"/>
      <c r="X258" s="261"/>
      <c r="Y258" s="261"/>
      <c r="Z258" s="261"/>
    </row>
    <row r="259" spans="1:26" hidden="1" outlineLevel="1">
      <c r="A259" s="9"/>
      <c r="B259" s="280" t="str">
        <f>Asset19</f>
        <v>Transmission operations - short life (4)</v>
      </c>
      <c r="C259" s="9"/>
      <c r="D259" s="9"/>
      <c r="E259" s="35"/>
      <c r="F259" s="35"/>
      <c r="G259" s="264"/>
      <c r="H259" s="268"/>
      <c r="I259" s="268"/>
      <c r="J259" s="273"/>
      <c r="K259" s="268"/>
      <c r="L259" s="114"/>
      <c r="M259" s="9"/>
      <c r="N259" s="9"/>
      <c r="O259" s="9"/>
      <c r="P259" s="9"/>
      <c r="Q259" s="9"/>
      <c r="R259" s="9"/>
      <c r="S259" s="261"/>
      <c r="T259" s="261"/>
      <c r="U259" s="261"/>
      <c r="V259" s="261"/>
      <c r="W259" s="261"/>
      <c r="X259" s="261"/>
      <c r="Y259" s="261"/>
      <c r="Z259" s="261"/>
    </row>
    <row r="260" spans="1:26" ht="12.75" hidden="1" customHeight="1" outlineLevel="1">
      <c r="A260" s="9"/>
      <c r="B260" s="9"/>
      <c r="C260" s="396" t="s">
        <v>26</v>
      </c>
      <c r="D260" s="397"/>
      <c r="E260" s="338">
        <f ca="1">(A19value-'Actual RAB roll forward'!G648)-SUM('Actual RAB roll forward'!H310:OFFSET('Actual RAB roll forward'!H310,0,Input!$W$7-1))</f>
        <v>0</v>
      </c>
      <c r="F260" s="268" t="str">
        <f>IF(A19remlife="N/A","n/a",A19remlife-Input!$W$7)</f>
        <v>n/a</v>
      </c>
      <c r="G260" s="264"/>
      <c r="H260" s="306" t="s">
        <v>65</v>
      </c>
      <c r="I260" s="307"/>
      <c r="J260" s="268">
        <f ca="1">A19taxvalue-SUM('Tax value roll forward'!H306:OFFSET('Tax value roll forward'!H306,0,Input!$W$7-1))</f>
        <v>0</v>
      </c>
      <c r="K260" s="268" t="str">
        <f>IF(A19taxremlife="N/A","n/a",A19taxremlife-Input!$W$7)</f>
        <v>n/a</v>
      </c>
      <c r="L260" s="114"/>
      <c r="M260" s="9"/>
      <c r="N260" s="9"/>
      <c r="O260" s="9"/>
      <c r="P260" s="9"/>
      <c r="Q260" s="9"/>
      <c r="R260" s="9"/>
      <c r="S260" s="261"/>
      <c r="T260" s="261"/>
      <c r="U260" s="261"/>
      <c r="V260" s="261"/>
      <c r="W260" s="261"/>
      <c r="X260" s="261"/>
      <c r="Y260" s="261"/>
      <c r="Z260" s="261"/>
    </row>
    <row r="261" spans="1:26" hidden="1" outlineLevel="1">
      <c r="A261" s="9"/>
      <c r="B261" s="9"/>
      <c r="C261" s="393" t="s">
        <v>81</v>
      </c>
      <c r="D261" s="91">
        <v>1</v>
      </c>
      <c r="E261" s="268">
        <f ca="1">OFFSET('Actual RAB roll forward'!H$62,0,D261-1)-SUM('Actual RAB roll forward'!H312:OFFSET('Actual RAB roll forward'!H312,0,Input!$W$7-1))</f>
        <v>0</v>
      </c>
      <c r="F261" s="268">
        <f ca="1">IF(A19stdlife="N/A","n/a",IF(E261=0,0,A19stdlife+D261-Input!$W$7))</f>
        <v>0</v>
      </c>
      <c r="G261" s="264"/>
      <c r="H261" s="393" t="s">
        <v>81</v>
      </c>
      <c r="I261" s="91">
        <v>1</v>
      </c>
      <c r="J261" s="268">
        <f ca="1">OFFSET('Tax value roll forward'!H$58,0,I261-1)-SUM('Tax value roll forward'!H308:OFFSET('Tax value roll forward'!H308,0,Input!$W$7-1))</f>
        <v>0</v>
      </c>
      <c r="K261" s="268">
        <f ca="1">IF(A19taxstdlife="N/A","n/a",IF(J261=0,0,A19taxstdlife+I261-Input!$W$7))</f>
        <v>0</v>
      </c>
      <c r="L261" s="114"/>
      <c r="M261" s="9"/>
      <c r="N261" s="9"/>
      <c r="O261" s="9"/>
      <c r="P261" s="9"/>
      <c r="Q261" s="9"/>
      <c r="R261" s="9"/>
      <c r="S261" s="261"/>
      <c r="T261" s="261"/>
      <c r="U261" s="261"/>
      <c r="V261" s="261"/>
      <c r="W261" s="261"/>
      <c r="X261" s="261"/>
      <c r="Y261" s="261"/>
      <c r="Z261" s="261"/>
    </row>
    <row r="262" spans="1:26" hidden="1" outlineLevel="1">
      <c r="A262" s="9"/>
      <c r="B262" s="9"/>
      <c r="C262" s="394"/>
      <c r="D262" s="91">
        <v>2</v>
      </c>
      <c r="E262" s="268">
        <f ca="1">OFFSET('Actual RAB roll forward'!H$62,0,D262-1)-SUM('Actual RAB roll forward'!H313:OFFSET('Actual RAB roll forward'!H313,0,Input!$W$7-1))</f>
        <v>1.5984211354475079E-2</v>
      </c>
      <c r="F262" s="268">
        <f ca="1">IF(A19stdlife="N/A","n/a",IF(E262=0,0,A19stdlife+D262-Input!$W$7))</f>
        <v>1</v>
      </c>
      <c r="G262" s="264"/>
      <c r="H262" s="394"/>
      <c r="I262" s="91">
        <v>2</v>
      </c>
      <c r="J262" s="268">
        <f ca="1">OFFSET('Tax value roll forward'!H$58,0,I262-1)-SUM('Tax value roll forward'!H309:OFFSET('Tax value roll forward'!H309,0,Input!$W$7-1))</f>
        <v>1.6E-2</v>
      </c>
      <c r="K262" s="268">
        <f ca="1">IF(A19taxstdlife="N/A","n/a",IF(J262=0,0,A19taxstdlife+I262-Input!$W$7))</f>
        <v>1</v>
      </c>
      <c r="L262" s="114"/>
      <c r="M262" s="9"/>
      <c r="N262" s="9"/>
      <c r="O262" s="9"/>
      <c r="P262" s="9"/>
      <c r="Q262" s="9"/>
      <c r="R262" s="9"/>
      <c r="S262" s="261"/>
      <c r="T262" s="261"/>
      <c r="U262" s="261"/>
      <c r="V262" s="261"/>
      <c r="W262" s="261"/>
      <c r="X262" s="261"/>
      <c r="Y262" s="261"/>
      <c r="Z262" s="261"/>
    </row>
    <row r="263" spans="1:26" hidden="1" outlineLevel="1">
      <c r="A263" s="9"/>
      <c r="B263" s="9"/>
      <c r="C263" s="394"/>
      <c r="D263" s="91">
        <v>3</v>
      </c>
      <c r="E263" s="268">
        <f ca="1">OFFSET('Actual RAB roll forward'!H$62,0,D263-1)-SUM('Actual RAB roll forward'!H314:OFFSET('Actual RAB roll forward'!H314,0,Input!$W$7-1))</f>
        <v>0</v>
      </c>
      <c r="F263" s="268">
        <f ca="1">IF(A19stdlife="N/A","n/a",IF(E263=0,0,A19stdlife+D263-Input!$W$7))</f>
        <v>0</v>
      </c>
      <c r="G263" s="264"/>
      <c r="H263" s="394"/>
      <c r="I263" s="91">
        <v>3</v>
      </c>
      <c r="J263" s="268">
        <f ca="1">OFFSET('Tax value roll forward'!H$58,0,I263-1)-SUM('Tax value roll forward'!H310:OFFSET('Tax value roll forward'!H310,0,Input!$W$7-1))</f>
        <v>0</v>
      </c>
      <c r="K263" s="268">
        <f ca="1">IF(A19taxstdlife="N/A","n/a",IF(J263=0,0,A19taxstdlife+I263-Input!$W$7))</f>
        <v>0</v>
      </c>
      <c r="L263" s="114"/>
      <c r="M263" s="9"/>
      <c r="N263" s="9"/>
      <c r="O263" s="9"/>
      <c r="P263" s="9"/>
      <c r="Q263" s="9"/>
      <c r="R263" s="9"/>
      <c r="S263" s="261"/>
      <c r="T263" s="261"/>
      <c r="U263" s="261"/>
      <c r="V263" s="261"/>
      <c r="W263" s="261"/>
      <c r="X263" s="261"/>
      <c r="Y263" s="261"/>
      <c r="Z263" s="261"/>
    </row>
    <row r="264" spans="1:26" hidden="1" outlineLevel="1">
      <c r="A264" s="9"/>
      <c r="B264" s="9"/>
      <c r="C264" s="394"/>
      <c r="D264" s="91">
        <v>4</v>
      </c>
      <c r="E264" s="268">
        <f ca="1">OFFSET('Actual RAB roll forward'!H$62,0,D264-1)-SUM('Actual RAB roll forward'!H315:OFFSET('Actual RAB roll forward'!H315,0,Input!$W$7-1))</f>
        <v>0.11303379026018241</v>
      </c>
      <c r="F264" s="268">
        <f ca="1">IF(A19stdlife="N/A","n/a",IF(E264=0,0,A19stdlife+D264-Input!$W$7))</f>
        <v>3</v>
      </c>
      <c r="G264" s="264"/>
      <c r="H264" s="394"/>
      <c r="I264" s="91">
        <v>4</v>
      </c>
      <c r="J264" s="268">
        <f ca="1">OFFSET('Tax value roll forward'!H$58,0,I264-1)-SUM('Tax value roll forward'!H311:OFFSET('Tax value roll forward'!H311,0,Input!$W$7-1))</f>
        <v>0.11924999999999999</v>
      </c>
      <c r="K264" s="268">
        <f ca="1">IF(A19taxstdlife="N/A","n/a",IF(J264=0,0,A19taxstdlife+I264-Input!$W$7))</f>
        <v>3</v>
      </c>
      <c r="L264" s="114"/>
      <c r="M264" s="9"/>
      <c r="N264" s="9"/>
      <c r="O264" s="9"/>
      <c r="P264" s="9"/>
      <c r="Q264" s="9"/>
      <c r="R264" s="9"/>
      <c r="S264" s="261"/>
      <c r="T264" s="261"/>
      <c r="U264" s="261"/>
      <c r="V264" s="261"/>
      <c r="W264" s="261"/>
      <c r="X264" s="261"/>
      <c r="Y264" s="261"/>
      <c r="Z264" s="261"/>
    </row>
    <row r="265" spans="1:26" hidden="1" outlineLevel="1">
      <c r="A265" s="9"/>
      <c r="B265" s="9"/>
      <c r="C265" s="394"/>
      <c r="D265" s="91">
        <v>5</v>
      </c>
      <c r="E265" s="268">
        <f ca="1">OFFSET('Actual RAB roll forward'!H$62,0,D265-1)-SUM('Actual RAB roll forward'!H316:OFFSET('Actual RAB roll forward'!H316,0,Input!$W$7-1))</f>
        <v>0</v>
      </c>
      <c r="F265" s="268">
        <f ca="1">IF(A19stdlife="N/A","n/a",IF(E265=0,0,A19stdlife+D265-Input!$W$7))</f>
        <v>0</v>
      </c>
      <c r="G265" s="264"/>
      <c r="H265" s="394"/>
      <c r="I265" s="91">
        <v>5</v>
      </c>
      <c r="J265" s="268">
        <f ca="1">OFFSET('Tax value roll forward'!H$58,0,I265-1)-SUM('Tax value roll forward'!H312:OFFSET('Tax value roll forward'!H312,0,Input!$W$7-1))</f>
        <v>0</v>
      </c>
      <c r="K265" s="268">
        <f ca="1">IF(A19taxstdlife="N/A","n/a",IF(J265=0,0,A19taxstdlife+I265-Input!$W$7))</f>
        <v>0</v>
      </c>
      <c r="L265" s="114"/>
      <c r="M265" s="9"/>
      <c r="N265" s="9"/>
      <c r="O265" s="9"/>
      <c r="P265" s="9"/>
      <c r="Q265" s="9"/>
      <c r="R265" s="9"/>
      <c r="S265" s="261"/>
      <c r="T265" s="261"/>
      <c r="U265" s="261"/>
      <c r="V265" s="261"/>
      <c r="W265" s="261"/>
      <c r="X265" s="261"/>
      <c r="Y265" s="261"/>
      <c r="Z265" s="261"/>
    </row>
    <row r="266" spans="1:26" hidden="1" outlineLevel="1">
      <c r="A266" s="9"/>
      <c r="B266" s="9"/>
      <c r="C266" s="394"/>
      <c r="D266" s="91">
        <v>6</v>
      </c>
      <c r="E266" s="268">
        <f ca="1">OFFSET('Actual RAB roll forward'!H$62,0,D266-1)-SUM('Actual RAB roll forward'!H317:OFFSET('Actual RAB roll forward'!H317,0,Input!$W$7-1))</f>
        <v>0</v>
      </c>
      <c r="F266" s="268">
        <f ca="1">IF(A19stdlife="N/A","n/a",IF(E266=0,0,A19stdlife+D266-Input!$W$7))</f>
        <v>0</v>
      </c>
      <c r="G266" s="264"/>
      <c r="H266" s="394"/>
      <c r="I266" s="91">
        <v>6</v>
      </c>
      <c r="J266" s="268">
        <f ca="1">OFFSET('Tax value roll forward'!H$58,0,I266-1)-SUM('Tax value roll forward'!H313:OFFSET('Tax value roll forward'!H313,0,Input!$W$7-1))</f>
        <v>0</v>
      </c>
      <c r="K266" s="268">
        <f ca="1">IF(A19taxstdlife="N/A","n/a",IF(J266=0,0,A19taxstdlife+I266-Input!$W$7))</f>
        <v>0</v>
      </c>
      <c r="L266" s="114"/>
      <c r="M266" s="9"/>
      <c r="N266" s="9"/>
      <c r="O266" s="9"/>
      <c r="P266" s="9"/>
      <c r="Q266" s="9"/>
      <c r="R266" s="9"/>
      <c r="S266" s="261"/>
      <c r="T266" s="261"/>
      <c r="U266" s="261"/>
      <c r="V266" s="261"/>
      <c r="W266" s="261"/>
      <c r="X266" s="261"/>
      <c r="Y266" s="261"/>
      <c r="Z266" s="261"/>
    </row>
    <row r="267" spans="1:26" hidden="1" outlineLevel="1">
      <c r="A267" s="9"/>
      <c r="B267" s="9"/>
      <c r="C267" s="394"/>
      <c r="D267" s="91">
        <v>7</v>
      </c>
      <c r="E267" s="268">
        <f ca="1">OFFSET('Actual RAB roll forward'!H$62,0,D267-1)-SUM('Actual RAB roll forward'!H318:OFFSET('Actual RAB roll forward'!H318,0,Input!$W$7-1))</f>
        <v>0</v>
      </c>
      <c r="F267" s="268">
        <f ca="1">IF(A19stdlife="N/A","n/a",IF(E267=0,0,A19stdlife+D267-Input!$W$7))</f>
        <v>0</v>
      </c>
      <c r="G267" s="264"/>
      <c r="H267" s="394"/>
      <c r="I267" s="91">
        <v>7</v>
      </c>
      <c r="J267" s="268">
        <f ca="1">OFFSET('Tax value roll forward'!H$58,0,I267-1)-SUM('Tax value roll forward'!H314:OFFSET('Tax value roll forward'!H314,0,Input!$W$7-1))</f>
        <v>0</v>
      </c>
      <c r="K267" s="268">
        <f ca="1">IF(A19taxstdlife="N/A","n/a",IF(J267=0,0,A19taxstdlife+I267-Input!$W$7))</f>
        <v>0</v>
      </c>
      <c r="L267" s="114"/>
      <c r="M267" s="9"/>
      <c r="N267" s="9"/>
      <c r="O267" s="9"/>
      <c r="P267" s="9"/>
      <c r="Q267" s="9"/>
      <c r="R267" s="9"/>
      <c r="S267" s="261"/>
      <c r="T267" s="261"/>
      <c r="U267" s="261"/>
      <c r="V267" s="261"/>
      <c r="W267" s="261"/>
      <c r="X267" s="261"/>
      <c r="Y267" s="261"/>
      <c r="Z267" s="261"/>
    </row>
    <row r="268" spans="1:26" hidden="1" outlineLevel="1">
      <c r="A268" s="9"/>
      <c r="B268" s="9"/>
      <c r="C268" s="394"/>
      <c r="D268" s="91">
        <v>8</v>
      </c>
      <c r="E268" s="268">
        <f ca="1">OFFSET('Actual RAB roll forward'!H$62,0,D268-1)-SUM('Actual RAB roll forward'!H319:OFFSET('Actual RAB roll forward'!H319,0,Input!$W$7-1))</f>
        <v>0</v>
      </c>
      <c r="F268" s="268">
        <f ca="1">IF(A19stdlife="N/A","n/a",IF(E268=0,0,A19stdlife+D268-Input!$W$7))</f>
        <v>0</v>
      </c>
      <c r="G268" s="264"/>
      <c r="H268" s="394"/>
      <c r="I268" s="91">
        <v>8</v>
      </c>
      <c r="J268" s="268">
        <f ca="1">OFFSET('Tax value roll forward'!H$58,0,I268-1)-SUM('Tax value roll forward'!H315:OFFSET('Tax value roll forward'!H315,0,Input!$W$7-1))</f>
        <v>0</v>
      </c>
      <c r="K268" s="268">
        <f ca="1">IF(A19taxstdlife="N/A","n/a",IF(J268=0,0,A19taxstdlife+I268-Input!$W$7))</f>
        <v>0</v>
      </c>
      <c r="L268" s="114"/>
      <c r="M268" s="9"/>
      <c r="N268" s="9"/>
      <c r="O268" s="9"/>
      <c r="P268" s="9"/>
      <c r="Q268" s="9"/>
      <c r="R268" s="9"/>
      <c r="S268" s="261"/>
      <c r="T268" s="261"/>
      <c r="U268" s="261"/>
      <c r="V268" s="261"/>
      <c r="W268" s="261"/>
      <c r="X268" s="261"/>
      <c r="Y268" s="261"/>
      <c r="Z268" s="261"/>
    </row>
    <row r="269" spans="1:26" hidden="1" outlineLevel="1">
      <c r="A269" s="9"/>
      <c r="B269" s="9"/>
      <c r="C269" s="394"/>
      <c r="D269" s="91">
        <v>9</v>
      </c>
      <c r="E269" s="268">
        <f ca="1">OFFSET('Actual RAB roll forward'!H$62,0,D269-1)-SUM('Actual RAB roll forward'!H320:OFFSET('Actual RAB roll forward'!H320,0,Input!$W$7-1))</f>
        <v>0</v>
      </c>
      <c r="F269" s="268">
        <f ca="1">IF(A19stdlife="N/A","n/a",IF(E269=0,0,A19stdlife+D269-Input!$W$7))</f>
        <v>0</v>
      </c>
      <c r="G269" s="264"/>
      <c r="H269" s="394"/>
      <c r="I269" s="91">
        <v>9</v>
      </c>
      <c r="J269" s="268">
        <f ca="1">OFFSET('Tax value roll forward'!H$58,0,I269-1)-SUM('Tax value roll forward'!H316:OFFSET('Tax value roll forward'!H316,0,Input!$W$7-1))</f>
        <v>0</v>
      </c>
      <c r="K269" s="268">
        <f ca="1">IF(A19taxstdlife="N/A","n/a",IF(J269=0,0,A19taxstdlife+I269-Input!$W$7))</f>
        <v>0</v>
      </c>
      <c r="L269" s="114"/>
      <c r="M269" s="9"/>
      <c r="N269" s="9"/>
      <c r="O269" s="9"/>
      <c r="P269" s="9"/>
      <c r="Q269" s="9"/>
      <c r="R269" s="9"/>
      <c r="S269" s="261"/>
      <c r="T269" s="261"/>
      <c r="U269" s="261"/>
      <c r="V269" s="261"/>
      <c r="W269" s="261"/>
      <c r="X269" s="261"/>
      <c r="Y269" s="261"/>
      <c r="Z269" s="261"/>
    </row>
    <row r="270" spans="1:26" hidden="1" outlineLevel="1">
      <c r="A270" s="9"/>
      <c r="B270" s="9"/>
      <c r="C270" s="395"/>
      <c r="D270" s="92">
        <v>10</v>
      </c>
      <c r="E270" s="268">
        <f ca="1">OFFSET('Actual RAB roll forward'!H$62,0,D270-1)-SUM('Actual RAB roll forward'!H321:OFFSET('Actual RAB roll forward'!H321,0,Input!$W$7-1))</f>
        <v>0</v>
      </c>
      <c r="F270" s="268">
        <f ca="1">IF(A19stdlife="N/A","n/a",IF(E270=0,0,A19stdlife+D270-Input!$W$7))</f>
        <v>0</v>
      </c>
      <c r="G270" s="264"/>
      <c r="H270" s="395"/>
      <c r="I270" s="92">
        <v>10</v>
      </c>
      <c r="J270" s="268">
        <f ca="1">OFFSET('Tax value roll forward'!H$58,0,I270-1)-SUM('Tax value roll forward'!H317:OFFSET('Tax value roll forward'!H317,0,Input!$W$7-1))</f>
        <v>0</v>
      </c>
      <c r="K270" s="268">
        <f ca="1">IF(A19taxstdlife="N/A","n/a",IF(J270=0,0,A19taxstdlife+I270-Input!$W$7))</f>
        <v>0</v>
      </c>
      <c r="L270" s="114"/>
      <c r="M270" s="9"/>
      <c r="N270" s="9"/>
      <c r="O270" s="9"/>
      <c r="P270" s="9"/>
      <c r="Q270" s="9"/>
      <c r="R270" s="9"/>
      <c r="S270" s="261"/>
      <c r="T270" s="261"/>
      <c r="U270" s="261"/>
      <c r="V270" s="261"/>
      <c r="W270" s="261"/>
      <c r="X270" s="261"/>
      <c r="Y270" s="261"/>
      <c r="Z270" s="261"/>
    </row>
    <row r="271" spans="1:26" collapsed="1">
      <c r="A271" s="9"/>
      <c r="B271" s="9"/>
      <c r="C271" s="282" t="str">
        <f>Asset19</f>
        <v>Transmission operations - short life (4)</v>
      </c>
      <c r="D271" s="9"/>
      <c r="E271" s="268">
        <f ca="1">SUM(E260:E270)</f>
        <v>0.12901800161465748</v>
      </c>
      <c r="F271" s="268">
        <f ca="1">IF(E271=0,0,SUMPRODUCT(E260:E270,F260:F270)/E271)</f>
        <v>2.7522173471231457</v>
      </c>
      <c r="G271" s="264"/>
      <c r="H271" s="43"/>
      <c r="I271" s="268"/>
      <c r="J271" s="268">
        <f ca="1">SUM(J260:J270)</f>
        <v>0.13524999999999998</v>
      </c>
      <c r="K271" s="268">
        <f ca="1">IF(J271=0,0,SUMPRODUCT(J260:J270,K260:K270)/J271)</f>
        <v>2.7634011090573019</v>
      </c>
      <c r="L271" s="114"/>
      <c r="M271" s="9"/>
      <c r="N271" s="9"/>
      <c r="O271" s="9"/>
      <c r="P271" s="9"/>
      <c r="Q271" s="9"/>
      <c r="R271" s="9"/>
      <c r="S271" s="261"/>
      <c r="T271" s="261"/>
      <c r="U271" s="261"/>
      <c r="V271" s="261"/>
      <c r="W271" s="261"/>
      <c r="X271" s="261"/>
      <c r="Y271" s="261"/>
      <c r="Z271" s="261"/>
    </row>
    <row r="272" spans="1:26" hidden="1" outlineLevel="1">
      <c r="A272" s="9"/>
      <c r="B272" s="9"/>
      <c r="C272" s="282"/>
      <c r="D272" s="9"/>
      <c r="E272" s="268"/>
      <c r="F272" s="268"/>
      <c r="G272" s="264"/>
      <c r="H272" s="268"/>
      <c r="I272" s="268"/>
      <c r="J272" s="273"/>
      <c r="K272" s="268"/>
      <c r="L272" s="114"/>
      <c r="M272" s="9"/>
      <c r="N272" s="9"/>
      <c r="O272" s="9"/>
      <c r="P272" s="9"/>
      <c r="Q272" s="9"/>
      <c r="R272" s="9"/>
      <c r="S272" s="261"/>
      <c r="T272" s="261"/>
      <c r="U272" s="261"/>
      <c r="V272" s="261"/>
      <c r="W272" s="261"/>
      <c r="X272" s="261"/>
      <c r="Y272" s="261"/>
      <c r="Z272" s="261"/>
    </row>
    <row r="273" spans="1:26" hidden="1" outlineLevel="1">
      <c r="A273" s="9"/>
      <c r="B273" s="280" t="str">
        <f>Asset20</f>
        <v>Other - medium life (40)</v>
      </c>
      <c r="C273" s="9"/>
      <c r="D273" s="9"/>
      <c r="E273" s="35"/>
      <c r="F273" s="35"/>
      <c r="G273" s="264"/>
      <c r="H273" s="268"/>
      <c r="I273" s="268"/>
      <c r="J273" s="273"/>
      <c r="K273" s="268"/>
      <c r="L273" s="114"/>
      <c r="M273" s="9"/>
      <c r="N273" s="9"/>
      <c r="O273" s="9"/>
      <c r="P273" s="9"/>
      <c r="Q273" s="9"/>
      <c r="R273" s="9"/>
      <c r="S273" s="261"/>
      <c r="T273" s="261"/>
      <c r="U273" s="261"/>
      <c r="V273" s="261"/>
      <c r="W273" s="261"/>
      <c r="X273" s="261"/>
      <c r="Y273" s="261"/>
      <c r="Z273" s="261"/>
    </row>
    <row r="274" spans="1:26" ht="12.75" hidden="1" customHeight="1" outlineLevel="1">
      <c r="A274" s="9"/>
      <c r="B274" s="9"/>
      <c r="C274" s="396" t="s">
        <v>26</v>
      </c>
      <c r="D274" s="397"/>
      <c r="E274" s="338">
        <f ca="1">(A20value-'Actual RAB roll forward'!G649)-SUM('Actual RAB roll forward'!H323:OFFSET('Actual RAB roll forward'!H323,0,Input!$W$7-1))</f>
        <v>0</v>
      </c>
      <c r="F274" s="268" t="str">
        <f>IF(A20remlife="N/A","n/a",A20remlife-Input!$W$7)</f>
        <v>n/a</v>
      </c>
      <c r="G274" s="264"/>
      <c r="H274" s="306" t="s">
        <v>65</v>
      </c>
      <c r="I274" s="307"/>
      <c r="J274" s="268">
        <f ca="1">A20taxvalue-SUM('Tax value roll forward'!H319:OFFSET('Tax value roll forward'!H319,0,Input!$W$7-1))</f>
        <v>0</v>
      </c>
      <c r="K274" s="268" t="str">
        <f>IF(A20taxremlife="N/A","n/a",A20taxremlife-Input!$W$7)</f>
        <v>n/a</v>
      </c>
      <c r="L274" s="114"/>
      <c r="M274" s="9"/>
      <c r="N274" s="9"/>
      <c r="O274" s="9"/>
      <c r="P274" s="9"/>
      <c r="Q274" s="9"/>
      <c r="R274" s="9"/>
      <c r="S274" s="261"/>
      <c r="T274" s="261"/>
      <c r="U274" s="261"/>
      <c r="V274" s="261"/>
      <c r="W274" s="261"/>
      <c r="X274" s="261"/>
      <c r="Y274" s="261"/>
      <c r="Z274" s="261"/>
    </row>
    <row r="275" spans="1:26" hidden="1" outlineLevel="1">
      <c r="A275" s="9"/>
      <c r="B275" s="9"/>
      <c r="C275" s="393" t="s">
        <v>81</v>
      </c>
      <c r="D275" s="91">
        <v>1</v>
      </c>
      <c r="E275" s="268">
        <f ca="1">OFFSET('Actual RAB roll forward'!H$63,0,D275-1)-SUM('Actual RAB roll forward'!H325:OFFSET('Actual RAB roll forward'!H325,0,Input!$W$7-1))</f>
        <v>7.4695798198846308</v>
      </c>
      <c r="F275" s="268">
        <f ca="1">IF(A20stdlife="N/A","n/a",IF(E275=0,0,A20stdlife+D275-Input!$W$7))</f>
        <v>36</v>
      </c>
      <c r="G275" s="264"/>
      <c r="H275" s="393" t="s">
        <v>81</v>
      </c>
      <c r="I275" s="91">
        <v>1</v>
      </c>
      <c r="J275" s="268">
        <f ca="1">OFFSET('Tax value roll forward'!H$59,0,I275-1)-SUM('Tax value roll forward'!H321:OFFSET('Tax value roll forward'!H321,0,Input!$W$7-1))</f>
        <v>7.2827856000000004</v>
      </c>
      <c r="K275" s="268">
        <f ca="1">IF(A20taxstdlife="N/A","n/a",IF(J275=0,0,A20taxstdlife+I275-Input!$W$7))</f>
        <v>36</v>
      </c>
      <c r="L275" s="114"/>
      <c r="M275" s="9"/>
      <c r="N275" s="9"/>
      <c r="O275" s="9"/>
      <c r="P275" s="9"/>
      <c r="Q275" s="9"/>
      <c r="R275" s="9"/>
      <c r="S275" s="261"/>
      <c r="T275" s="261"/>
      <c r="U275" s="261"/>
      <c r="V275" s="261"/>
      <c r="W275" s="261"/>
      <c r="X275" s="261"/>
      <c r="Y275" s="261"/>
      <c r="Z275" s="261"/>
    </row>
    <row r="276" spans="1:26" hidden="1" outlineLevel="1">
      <c r="A276" s="9"/>
      <c r="B276" s="9"/>
      <c r="C276" s="394"/>
      <c r="D276" s="91">
        <v>2</v>
      </c>
      <c r="E276" s="268">
        <f ca="1">OFFSET('Actual RAB roll forward'!H$63,0,D276-1)-SUM('Actual RAB roll forward'!H326:OFFSET('Actual RAB roll forward'!H326,0,Input!$W$7-1))</f>
        <v>13.218143579583165</v>
      </c>
      <c r="F276" s="268">
        <f ca="1">IF(A20stdlife="N/A","n/a",IF(E276=0,0,A20stdlife+D276-Input!$W$7))</f>
        <v>37</v>
      </c>
      <c r="G276" s="264"/>
      <c r="H276" s="394"/>
      <c r="I276" s="91">
        <v>2</v>
      </c>
      <c r="J276" s="268">
        <f ca="1">OFFSET('Tax value roll forward'!H$59,0,I276-1)-SUM('Tax value roll forward'!H322:OFFSET('Tax value roll forward'!H322,0,Input!$W$7-1))</f>
        <v>13.231200000000001</v>
      </c>
      <c r="K276" s="268">
        <f ca="1">IF(A20taxstdlife="N/A","n/a",IF(J276=0,0,A20taxstdlife+I276-Input!$W$7))</f>
        <v>37</v>
      </c>
      <c r="L276" s="114"/>
      <c r="M276" s="9"/>
      <c r="N276" s="9"/>
      <c r="O276" s="9"/>
      <c r="P276" s="9"/>
      <c r="Q276" s="9"/>
      <c r="R276" s="9"/>
      <c r="S276" s="261"/>
      <c r="T276" s="261"/>
      <c r="U276" s="261"/>
      <c r="V276" s="261"/>
      <c r="W276" s="261"/>
      <c r="X276" s="261"/>
      <c r="Y276" s="261"/>
      <c r="Z276" s="261"/>
    </row>
    <row r="277" spans="1:26" hidden="1" outlineLevel="1">
      <c r="A277" s="9"/>
      <c r="B277" s="9"/>
      <c r="C277" s="394"/>
      <c r="D277" s="91">
        <v>3</v>
      </c>
      <c r="E277" s="268">
        <f ca="1">OFFSET('Actual RAB roll forward'!H$63,0,D277-1)-SUM('Actual RAB roll forward'!H327:OFFSET('Actual RAB roll forward'!H327,0,Input!$W$7-1))</f>
        <v>1.487079935307297</v>
      </c>
      <c r="F277" s="268">
        <f ca="1">IF(A20stdlife="N/A","n/a",IF(E277=0,0,A20stdlife+D277-Input!$W$7))</f>
        <v>38</v>
      </c>
      <c r="G277" s="264"/>
      <c r="H277" s="394"/>
      <c r="I277" s="91">
        <v>3</v>
      </c>
      <c r="J277" s="268">
        <f ca="1">OFFSET('Tax value roll forward'!H$59,0,I277-1)-SUM('Tax value roll forward'!H323:OFFSET('Tax value roll forward'!H323,0,Input!$W$7-1))</f>
        <v>1.55135</v>
      </c>
      <c r="K277" s="268">
        <f ca="1">IF(A20taxstdlife="N/A","n/a",IF(J277=0,0,A20taxstdlife+I277-Input!$W$7))</f>
        <v>38</v>
      </c>
      <c r="L277" s="114"/>
      <c r="M277" s="9"/>
      <c r="N277" s="9"/>
      <c r="O277" s="9"/>
      <c r="P277" s="9"/>
      <c r="Q277" s="9"/>
      <c r="R277" s="9"/>
      <c r="S277" s="261"/>
      <c r="T277" s="261"/>
      <c r="U277" s="261"/>
      <c r="V277" s="261"/>
      <c r="W277" s="261"/>
      <c r="X277" s="261"/>
      <c r="Y277" s="261"/>
      <c r="Z277" s="261"/>
    </row>
    <row r="278" spans="1:26" hidden="1" outlineLevel="1">
      <c r="A278" s="9"/>
      <c r="B278" s="9"/>
      <c r="C278" s="394"/>
      <c r="D278" s="91">
        <v>4</v>
      </c>
      <c r="E278" s="268">
        <f ca="1">OFFSET('Actual RAB roll forward'!H$63,0,D278-1)-SUM('Actual RAB roll forward'!H328:OFFSET('Actual RAB roll forward'!H328,0,Input!$W$7-1))</f>
        <v>0.11182525288004209</v>
      </c>
      <c r="F278" s="268">
        <f ca="1">IF(A20stdlife="N/A","n/a",IF(E278=0,0,A20stdlife+D278-Input!$W$7))</f>
        <v>39</v>
      </c>
      <c r="G278" s="264"/>
      <c r="H278" s="394"/>
      <c r="I278" s="91">
        <v>4</v>
      </c>
      <c r="J278" s="268">
        <f ca="1">OFFSET('Tax value roll forward'!H$59,0,I278-1)-SUM('Tax value roll forward'!H324:OFFSET('Tax value roll forward'!H324,0,Input!$W$7-1))</f>
        <v>0.117975</v>
      </c>
      <c r="K278" s="268">
        <f ca="1">IF(A20taxstdlife="N/A","n/a",IF(J278=0,0,A20taxstdlife+I278-Input!$W$7))</f>
        <v>39</v>
      </c>
      <c r="L278" s="114"/>
      <c r="M278" s="9"/>
      <c r="N278" s="9"/>
      <c r="O278" s="9"/>
      <c r="P278" s="9"/>
      <c r="Q278" s="9"/>
      <c r="R278" s="9"/>
      <c r="S278" s="261"/>
      <c r="T278" s="261"/>
      <c r="U278" s="261"/>
      <c r="V278" s="261"/>
      <c r="W278" s="261"/>
      <c r="X278" s="261"/>
      <c r="Y278" s="261"/>
      <c r="Z278" s="261"/>
    </row>
    <row r="279" spans="1:26" hidden="1" outlineLevel="1">
      <c r="A279" s="9"/>
      <c r="B279" s="9"/>
      <c r="C279" s="394"/>
      <c r="D279" s="91">
        <v>5</v>
      </c>
      <c r="E279" s="268">
        <f ca="1">OFFSET('Actual RAB roll forward'!H$63,0,D279-1)-SUM('Actual RAB roll forward'!H329:OFFSET('Actual RAB roll forward'!H329,0,Input!$W$7-1))</f>
        <v>3.2416012281528341</v>
      </c>
      <c r="F279" s="268">
        <f ca="1">IF(A20stdlife="N/A","n/a",IF(E279=0,0,A20stdlife+D279-Input!$W$7))</f>
        <v>40</v>
      </c>
      <c r="G279" s="264"/>
      <c r="H279" s="394"/>
      <c r="I279" s="91">
        <v>5</v>
      </c>
      <c r="J279" s="268">
        <f ca="1">OFFSET('Tax value roll forward'!H$59,0,I279-1)-SUM('Tax value roll forward'!H325:OFFSET('Tax value roll forward'!H325,0,Input!$W$7-1))</f>
        <v>3.5054958330707402</v>
      </c>
      <c r="K279" s="268">
        <f ca="1">IF(A20taxstdlife="N/A","n/a",IF(J279=0,0,A20taxstdlife+I279-Input!$W$7))</f>
        <v>40</v>
      </c>
      <c r="L279" s="114"/>
      <c r="M279" s="9"/>
      <c r="N279" s="9"/>
      <c r="O279" s="9"/>
      <c r="P279" s="9"/>
      <c r="Q279" s="9"/>
      <c r="R279" s="9"/>
      <c r="S279" s="261"/>
      <c r="T279" s="261"/>
      <c r="U279" s="261"/>
      <c r="V279" s="261"/>
      <c r="W279" s="261"/>
      <c r="X279" s="261"/>
      <c r="Y279" s="261"/>
      <c r="Z279" s="261"/>
    </row>
    <row r="280" spans="1:26" hidden="1" outlineLevel="1">
      <c r="A280" s="9"/>
      <c r="B280" s="9"/>
      <c r="C280" s="394"/>
      <c r="D280" s="91">
        <v>6</v>
      </c>
      <c r="E280" s="268">
        <f ca="1">OFFSET('Actual RAB roll forward'!H$63,0,D280-1)-SUM('Actual RAB roll forward'!H330:OFFSET('Actual RAB roll forward'!H330,0,Input!$W$7-1))</f>
        <v>0</v>
      </c>
      <c r="F280" s="268">
        <f ca="1">IF(A20stdlife="N/A","n/a",IF(E280=0,0,A20stdlife+D280-Input!$W$7))</f>
        <v>0</v>
      </c>
      <c r="G280" s="264"/>
      <c r="H280" s="394"/>
      <c r="I280" s="91">
        <v>6</v>
      </c>
      <c r="J280" s="268">
        <f ca="1">OFFSET('Tax value roll forward'!H$59,0,I280-1)-SUM('Tax value roll forward'!H326:OFFSET('Tax value roll forward'!H326,0,Input!$W$7-1))</f>
        <v>0</v>
      </c>
      <c r="K280" s="268">
        <f ca="1">IF(A20taxstdlife="N/A","n/a",IF(J280=0,0,A20taxstdlife+I280-Input!$W$7))</f>
        <v>0</v>
      </c>
      <c r="L280" s="114"/>
      <c r="M280" s="9"/>
      <c r="N280" s="9"/>
      <c r="O280" s="9"/>
      <c r="P280" s="9"/>
      <c r="Q280" s="9"/>
      <c r="R280" s="9"/>
      <c r="S280" s="261"/>
      <c r="T280" s="261"/>
      <c r="U280" s="261"/>
      <c r="V280" s="261"/>
      <c r="W280" s="261"/>
      <c r="X280" s="261"/>
      <c r="Y280" s="261"/>
      <c r="Z280" s="261"/>
    </row>
    <row r="281" spans="1:26" hidden="1" outlineLevel="1">
      <c r="A281" s="9"/>
      <c r="B281" s="9"/>
      <c r="C281" s="394"/>
      <c r="D281" s="91">
        <v>7</v>
      </c>
      <c r="E281" s="268">
        <f ca="1">OFFSET('Actual RAB roll forward'!H$63,0,D281-1)-SUM('Actual RAB roll forward'!H331:OFFSET('Actual RAB roll forward'!H331,0,Input!$W$7-1))</f>
        <v>0</v>
      </c>
      <c r="F281" s="268">
        <f ca="1">IF(A20stdlife="N/A","n/a",IF(E281=0,0,A20stdlife+D281-Input!$W$7))</f>
        <v>0</v>
      </c>
      <c r="G281" s="264"/>
      <c r="H281" s="394"/>
      <c r="I281" s="91">
        <v>7</v>
      </c>
      <c r="J281" s="268">
        <f ca="1">OFFSET('Tax value roll forward'!H$59,0,I281-1)-SUM('Tax value roll forward'!H327:OFFSET('Tax value roll forward'!H327,0,Input!$W$7-1))</f>
        <v>0</v>
      </c>
      <c r="K281" s="268">
        <f ca="1">IF(A20taxstdlife="N/A","n/a",IF(J281=0,0,A20taxstdlife+I281-Input!$W$7))</f>
        <v>0</v>
      </c>
      <c r="L281" s="114"/>
      <c r="M281" s="9"/>
      <c r="N281" s="9"/>
      <c r="O281" s="9"/>
      <c r="P281" s="9"/>
      <c r="Q281" s="9"/>
      <c r="R281" s="9"/>
      <c r="S281" s="261"/>
      <c r="T281" s="261"/>
      <c r="U281" s="261"/>
      <c r="V281" s="261"/>
      <c r="W281" s="261"/>
      <c r="X281" s="261"/>
      <c r="Y281" s="261"/>
      <c r="Z281" s="261"/>
    </row>
    <row r="282" spans="1:26" hidden="1" outlineLevel="1">
      <c r="A282" s="9"/>
      <c r="B282" s="9"/>
      <c r="C282" s="394"/>
      <c r="D282" s="91">
        <v>8</v>
      </c>
      <c r="E282" s="268">
        <f ca="1">OFFSET('Actual RAB roll forward'!H$63,0,D282-1)-SUM('Actual RAB roll forward'!H332:OFFSET('Actual RAB roll forward'!H332,0,Input!$W$7-1))</f>
        <v>0</v>
      </c>
      <c r="F282" s="268">
        <f ca="1">IF(A20stdlife="N/A","n/a",IF(E282=0,0,A20stdlife+D282-Input!$W$7))</f>
        <v>0</v>
      </c>
      <c r="G282" s="264"/>
      <c r="H282" s="394"/>
      <c r="I282" s="91">
        <v>8</v>
      </c>
      <c r="J282" s="268">
        <f ca="1">OFFSET('Tax value roll forward'!H$59,0,I282-1)-SUM('Tax value roll forward'!H328:OFFSET('Tax value roll forward'!H328,0,Input!$W$7-1))</f>
        <v>0</v>
      </c>
      <c r="K282" s="268">
        <f ca="1">IF(A20taxstdlife="N/A","n/a",IF(J282=0,0,A20taxstdlife+I282-Input!$W$7))</f>
        <v>0</v>
      </c>
      <c r="L282" s="114"/>
      <c r="M282" s="9"/>
      <c r="N282" s="9"/>
      <c r="O282" s="9"/>
      <c r="P282" s="9"/>
      <c r="Q282" s="9"/>
      <c r="R282" s="9"/>
      <c r="S282" s="261"/>
      <c r="T282" s="261"/>
      <c r="U282" s="261"/>
      <c r="V282" s="261"/>
      <c r="W282" s="261"/>
      <c r="X282" s="261"/>
      <c r="Y282" s="261"/>
      <c r="Z282" s="261"/>
    </row>
    <row r="283" spans="1:26" hidden="1" outlineLevel="1">
      <c r="A283" s="9"/>
      <c r="B283" s="9"/>
      <c r="C283" s="394"/>
      <c r="D283" s="91">
        <v>9</v>
      </c>
      <c r="E283" s="268">
        <f ca="1">OFFSET('Actual RAB roll forward'!H$63,0,D283-1)-SUM('Actual RAB roll forward'!H333:OFFSET('Actual RAB roll forward'!H333,0,Input!$W$7-1))</f>
        <v>0</v>
      </c>
      <c r="F283" s="268">
        <f ca="1">IF(A20stdlife="N/A","n/a",IF(E283=0,0,A20stdlife+D283-Input!$W$7))</f>
        <v>0</v>
      </c>
      <c r="G283" s="264"/>
      <c r="H283" s="394"/>
      <c r="I283" s="91">
        <v>9</v>
      </c>
      <c r="J283" s="268">
        <f ca="1">OFFSET('Tax value roll forward'!H$59,0,I283-1)-SUM('Tax value roll forward'!H329:OFFSET('Tax value roll forward'!H329,0,Input!$W$7-1))</f>
        <v>0</v>
      </c>
      <c r="K283" s="268">
        <f ca="1">IF(A20taxstdlife="N/A","n/a",IF(J283=0,0,A20taxstdlife+I283-Input!$W$7))</f>
        <v>0</v>
      </c>
      <c r="L283" s="114"/>
      <c r="M283" s="9"/>
      <c r="N283" s="9"/>
      <c r="O283" s="9"/>
      <c r="P283" s="9"/>
      <c r="Q283" s="9"/>
      <c r="R283" s="9"/>
      <c r="S283" s="261"/>
      <c r="T283" s="261"/>
      <c r="U283" s="261"/>
      <c r="V283" s="261"/>
      <c r="W283" s="261"/>
      <c r="X283" s="261"/>
      <c r="Y283" s="261"/>
      <c r="Z283" s="261"/>
    </row>
    <row r="284" spans="1:26" hidden="1" outlineLevel="1">
      <c r="A284" s="9"/>
      <c r="B284" s="9"/>
      <c r="C284" s="395"/>
      <c r="D284" s="92">
        <v>10</v>
      </c>
      <c r="E284" s="268">
        <f ca="1">OFFSET('Actual RAB roll forward'!H$63,0,D284-1)-SUM('Actual RAB roll forward'!H334:OFFSET('Actual RAB roll forward'!H334,0,Input!$W$7-1))</f>
        <v>0</v>
      </c>
      <c r="F284" s="268">
        <f ca="1">IF(A20stdlife="N/A","n/a",IF(E284=0,0,A20stdlife+D284-Input!$W$7))</f>
        <v>0</v>
      </c>
      <c r="G284" s="264"/>
      <c r="H284" s="395"/>
      <c r="I284" s="92">
        <v>10</v>
      </c>
      <c r="J284" s="268">
        <f ca="1">OFFSET('Tax value roll forward'!H$59,0,I284-1)-SUM('Tax value roll forward'!H330:OFFSET('Tax value roll forward'!H330,0,Input!$W$7-1))</f>
        <v>0</v>
      </c>
      <c r="K284" s="268">
        <f ca="1">IF(A20taxstdlife="N/A","n/a",IF(J284=0,0,A20taxstdlife+I284-Input!$W$7))</f>
        <v>0</v>
      </c>
      <c r="L284" s="114"/>
      <c r="M284" s="9"/>
      <c r="N284" s="9"/>
      <c r="O284" s="9"/>
      <c r="P284" s="9"/>
      <c r="Q284" s="9"/>
      <c r="R284" s="9"/>
      <c r="S284" s="261"/>
      <c r="T284" s="261"/>
      <c r="U284" s="261"/>
      <c r="V284" s="261"/>
      <c r="W284" s="261"/>
      <c r="X284" s="261"/>
      <c r="Y284" s="261"/>
      <c r="Z284" s="261"/>
    </row>
    <row r="285" spans="1:26" collapsed="1">
      <c r="A285" s="9"/>
      <c r="C285" s="282" t="str">
        <f>Asset20</f>
        <v>Other - medium life (40)</v>
      </c>
      <c r="D285" s="9"/>
      <c r="E285" s="268">
        <f ca="1">SUM(E274:E284)</f>
        <v>25.528229815807968</v>
      </c>
      <c r="F285" s="268">
        <f ca="1">IF(E285=0,0,SUMPRODUCT(E274:E284,F274:F284)/E285)</f>
        <v>37.155355633126803</v>
      </c>
      <c r="G285" s="264"/>
      <c r="H285" s="43"/>
      <c r="I285" s="268"/>
      <c r="J285" s="268">
        <f ca="1">SUM(J274:J284)</f>
        <v>25.688806433070742</v>
      </c>
      <c r="K285" s="268">
        <f ca="1">IF(J285=0,0,SUMPRODUCT(J274:J284,K274:K284)/J285)</f>
        <v>37.195454853548526</v>
      </c>
      <c r="L285" s="114"/>
      <c r="M285" s="9"/>
      <c r="N285" s="9"/>
      <c r="O285" s="9"/>
      <c r="P285" s="9"/>
      <c r="Q285" s="9"/>
      <c r="R285" s="9"/>
      <c r="S285" s="261"/>
      <c r="T285" s="261"/>
      <c r="U285" s="261"/>
      <c r="V285" s="261"/>
      <c r="W285" s="261"/>
      <c r="X285" s="261"/>
      <c r="Y285" s="261"/>
      <c r="Z285" s="261"/>
    </row>
    <row r="286" spans="1:26" hidden="1" outlineLevel="1">
      <c r="A286" s="9"/>
      <c r="B286" s="280"/>
      <c r="C286" s="9"/>
      <c r="D286" s="9"/>
      <c r="E286" s="35"/>
      <c r="F286" s="35"/>
      <c r="G286" s="264"/>
      <c r="H286" s="268"/>
      <c r="I286" s="268"/>
      <c r="J286" s="273"/>
      <c r="K286" s="268"/>
      <c r="L286" s="114"/>
      <c r="M286" s="9"/>
      <c r="N286" s="9"/>
      <c r="O286" s="9"/>
      <c r="P286" s="9"/>
      <c r="Q286" s="9"/>
      <c r="R286" s="9"/>
      <c r="S286" s="261"/>
      <c r="T286" s="261"/>
      <c r="U286" s="261"/>
      <c r="V286" s="261"/>
      <c r="W286" s="261"/>
      <c r="X286" s="261"/>
      <c r="Y286" s="261"/>
      <c r="Z286" s="261"/>
    </row>
    <row r="287" spans="1:26" hidden="1" outlineLevel="1">
      <c r="A287" s="9"/>
      <c r="B287" s="280" t="str">
        <f>Asset21</f>
        <v>Other - short life (9)</v>
      </c>
      <c r="C287" s="9"/>
      <c r="D287" s="9"/>
      <c r="E287" s="35"/>
      <c r="F287" s="35"/>
      <c r="G287" s="264"/>
      <c r="H287" s="268"/>
      <c r="I287" s="268"/>
      <c r="J287" s="273"/>
      <c r="K287" s="268"/>
      <c r="L287" s="114"/>
      <c r="M287" s="9"/>
      <c r="N287" s="9"/>
      <c r="O287" s="9"/>
      <c r="P287" s="9"/>
      <c r="Q287" s="9"/>
      <c r="R287" s="9"/>
      <c r="S287" s="261"/>
      <c r="T287" s="261"/>
      <c r="U287" s="261"/>
      <c r="V287" s="261"/>
      <c r="W287" s="261"/>
      <c r="X287" s="261"/>
      <c r="Y287" s="261"/>
      <c r="Z287" s="261"/>
    </row>
    <row r="288" spans="1:26" ht="12.75" hidden="1" customHeight="1" outlineLevel="1">
      <c r="A288" s="9"/>
      <c r="B288" s="9"/>
      <c r="C288" s="396" t="s">
        <v>26</v>
      </c>
      <c r="D288" s="397"/>
      <c r="E288" s="338">
        <f ca="1">(A21value-'Actual RAB roll forward'!G650)-SUM('Actual RAB roll forward'!H336:OFFSET('Actual RAB roll forward'!H336,0,Input!$W$7-1))</f>
        <v>0</v>
      </c>
      <c r="F288" s="268" t="str">
        <f>IF(A21remlife="N/A","n/a",A21remlife-Input!$W$7)</f>
        <v>n/a</v>
      </c>
      <c r="G288" s="264"/>
      <c r="H288" s="306" t="s">
        <v>65</v>
      </c>
      <c r="I288" s="307"/>
      <c r="J288" s="268">
        <f ca="1">A21taxvalue-SUM('Tax value roll forward'!H332:OFFSET('Tax value roll forward'!H332,0,Input!$W$7-1))</f>
        <v>0</v>
      </c>
      <c r="K288" s="268" t="str">
        <f>IF(A21taxremlife="N/A","n/a",A21taxremlife-Input!$W$7)</f>
        <v>n/a</v>
      </c>
      <c r="L288" s="114"/>
      <c r="M288" s="9"/>
      <c r="N288" s="9"/>
      <c r="O288" s="9"/>
      <c r="P288" s="9"/>
      <c r="Q288" s="9"/>
      <c r="R288" s="9"/>
      <c r="S288" s="261"/>
      <c r="T288" s="261"/>
      <c r="U288" s="261"/>
      <c r="V288" s="261"/>
      <c r="W288" s="261"/>
      <c r="X288" s="261"/>
      <c r="Y288" s="261"/>
      <c r="Z288" s="261"/>
    </row>
    <row r="289" spans="1:26" hidden="1" outlineLevel="1">
      <c r="A289" s="9"/>
      <c r="B289" s="9"/>
      <c r="C289" s="393" t="s">
        <v>81</v>
      </c>
      <c r="D289" s="91">
        <v>1</v>
      </c>
      <c r="E289" s="268">
        <f ca="1">OFFSET('Actual RAB roll forward'!H$64,0,D289-1)-SUM('Actual RAB roll forward'!H338:OFFSET('Actual RAB roll forward'!H338,0,Input!$W$7-1))</f>
        <v>0.39418586795642591</v>
      </c>
      <c r="F289" s="268">
        <f ca="1">IF(A21stdlife="N/A","n/a",IF(E289=0,0,A21stdlife+D289-Input!$W$7))</f>
        <v>5</v>
      </c>
      <c r="G289" s="264"/>
      <c r="H289" s="393" t="s">
        <v>81</v>
      </c>
      <c r="I289" s="91">
        <v>1</v>
      </c>
      <c r="J289" s="268">
        <f ca="1">OFFSET('Tax value roll forward'!H$60,0,I289-1)-SUM('Tax value roll forward'!H334:OFFSET('Tax value roll forward'!H334,0,Input!$W$7-1))</f>
        <v>0.38432833333333338</v>
      </c>
      <c r="K289" s="268">
        <f ca="1">IF(A21taxstdlife="N/A","n/a",IF(J289=0,0,A21taxstdlife+I289-Input!$W$7))</f>
        <v>5</v>
      </c>
      <c r="L289" s="114"/>
      <c r="M289" s="9"/>
      <c r="N289" s="9"/>
      <c r="O289" s="9"/>
      <c r="P289" s="9"/>
      <c r="Q289" s="9"/>
      <c r="R289" s="9"/>
      <c r="S289" s="261"/>
      <c r="T289" s="261"/>
      <c r="U289" s="261"/>
      <c r="V289" s="261"/>
      <c r="W289" s="261"/>
      <c r="X289" s="261"/>
      <c r="Y289" s="261"/>
      <c r="Z289" s="261"/>
    </row>
    <row r="290" spans="1:26" hidden="1" outlineLevel="1">
      <c r="A290" s="9"/>
      <c r="B290" s="9"/>
      <c r="C290" s="394"/>
      <c r="D290" s="91">
        <v>2</v>
      </c>
      <c r="E290" s="268">
        <f ca="1">OFFSET('Actual RAB roll forward'!H$64,0,D290-1)-SUM('Actual RAB roll forward'!H339:OFFSET('Actual RAB roll forward'!H339,0,Input!$W$7-1))</f>
        <v>0.66600880643646154</v>
      </c>
      <c r="F290" s="268">
        <f ca="1">IF(A21stdlife="N/A","n/a",IF(E290=0,0,A21stdlife+D290-Input!$W$7))</f>
        <v>6</v>
      </c>
      <c r="G290" s="264"/>
      <c r="H290" s="394"/>
      <c r="I290" s="91">
        <v>2</v>
      </c>
      <c r="J290" s="268">
        <f ca="1">OFFSET('Tax value roll forward'!H$60,0,I290-1)-SUM('Tax value roll forward'!H335:OFFSET('Tax value roll forward'!H335,0,Input!$W$7-1))</f>
        <v>0.66666666666666674</v>
      </c>
      <c r="K290" s="268">
        <f ca="1">IF(A21taxstdlife="N/A","n/a",IF(J290=0,0,A21taxstdlife+I290-Input!$W$7))</f>
        <v>6</v>
      </c>
      <c r="L290" s="114"/>
      <c r="M290" s="9"/>
      <c r="N290" s="9"/>
      <c r="O290" s="9"/>
      <c r="P290" s="9"/>
      <c r="Q290" s="9"/>
      <c r="R290" s="9"/>
      <c r="S290" s="261"/>
      <c r="T290" s="261"/>
      <c r="U290" s="261"/>
      <c r="V290" s="261"/>
      <c r="W290" s="261"/>
      <c r="X290" s="261"/>
      <c r="Y290" s="261"/>
      <c r="Z290" s="261"/>
    </row>
    <row r="291" spans="1:26" hidden="1" outlineLevel="1">
      <c r="A291" s="9"/>
      <c r="B291" s="9"/>
      <c r="C291" s="394"/>
      <c r="D291" s="91">
        <v>3</v>
      </c>
      <c r="E291" s="268">
        <f ca="1">OFFSET('Actual RAB roll forward'!H$64,0,D291-1)-SUM('Actual RAB roll forward'!H340:OFFSET('Actual RAB roll forward'!H340,0,Input!$W$7-1))</f>
        <v>0.82905786117696789</v>
      </c>
      <c r="F291" s="268">
        <f ca="1">IF(A21stdlife="N/A","n/a",IF(E291=0,0,A21stdlife+D291-Input!$W$7))</f>
        <v>7</v>
      </c>
      <c r="G291" s="264"/>
      <c r="H291" s="394"/>
      <c r="I291" s="91">
        <v>3</v>
      </c>
      <c r="J291" s="268">
        <f ca="1">OFFSET('Tax value roll forward'!H$60,0,I291-1)-SUM('Tax value roll forward'!H336:OFFSET('Tax value roll forward'!H336,0,Input!$W$7-1))</f>
        <v>0.86488888888888893</v>
      </c>
      <c r="K291" s="268">
        <f ca="1">IF(A21taxstdlife="N/A","n/a",IF(J291=0,0,A21taxstdlife+I291-Input!$W$7))</f>
        <v>7</v>
      </c>
      <c r="L291" s="114"/>
      <c r="M291" s="9"/>
      <c r="N291" s="9"/>
      <c r="O291" s="9"/>
      <c r="P291" s="9"/>
      <c r="Q291" s="9"/>
      <c r="R291" s="9"/>
      <c r="S291" s="261"/>
      <c r="T291" s="261"/>
      <c r="U291" s="261"/>
      <c r="V291" s="261"/>
      <c r="W291" s="261"/>
      <c r="X291" s="261"/>
      <c r="Y291" s="261"/>
      <c r="Z291" s="261"/>
    </row>
    <row r="292" spans="1:26" hidden="1" outlineLevel="1">
      <c r="A292" s="9"/>
      <c r="B292" s="9"/>
      <c r="C292" s="394"/>
      <c r="D292" s="91">
        <v>4</v>
      </c>
      <c r="E292" s="268">
        <f ca="1">OFFSET('Actual RAB roll forward'!H$64,0,D292-1)-SUM('Actual RAB roll forward'!H341:OFFSET('Actual RAB roll forward'!H341,0,Input!$W$7-1))</f>
        <v>0.19462981076246641</v>
      </c>
      <c r="F292" s="268">
        <f ca="1">IF(A21stdlife="N/A","n/a",IF(E292=0,0,A21stdlife+D292-Input!$W$7))</f>
        <v>8</v>
      </c>
      <c r="G292" s="264"/>
      <c r="H292" s="394"/>
      <c r="I292" s="91">
        <v>4</v>
      </c>
      <c r="J292" s="268">
        <f ca="1">OFFSET('Tax value roll forward'!H$60,0,I292-1)-SUM('Tax value roll forward'!H337:OFFSET('Tax value roll forward'!H337,0,Input!$W$7-1))</f>
        <v>0.20533333333333331</v>
      </c>
      <c r="K292" s="268">
        <f ca="1">IF(A21taxstdlife="N/A","n/a",IF(J292=0,0,A21taxstdlife+I292-Input!$W$7))</f>
        <v>8</v>
      </c>
      <c r="L292" s="114"/>
      <c r="M292" s="9"/>
      <c r="N292" s="9"/>
      <c r="O292" s="9"/>
      <c r="P292" s="9"/>
      <c r="Q292" s="9"/>
      <c r="R292" s="9"/>
      <c r="S292" s="261"/>
      <c r="T292" s="261"/>
      <c r="U292" s="261"/>
      <c r="V292" s="261"/>
      <c r="W292" s="261"/>
      <c r="X292" s="261"/>
      <c r="Y292" s="261"/>
      <c r="Z292" s="261"/>
    </row>
    <row r="293" spans="1:26" hidden="1" outlineLevel="1">
      <c r="A293" s="9"/>
      <c r="B293" s="9"/>
      <c r="C293" s="394"/>
      <c r="D293" s="91">
        <v>5</v>
      </c>
      <c r="E293" s="268">
        <f ca="1">OFFSET('Actual RAB roll forward'!H$64,0,D293-1)-SUM('Actual RAB roll forward'!H342:OFFSET('Actual RAB roll forward'!H342,0,Input!$W$7-1))</f>
        <v>0.46613643013827505</v>
      </c>
      <c r="F293" s="268">
        <f ca="1">IF(A21stdlife="N/A","n/a",IF(E293=0,0,A21stdlife+D293-Input!$W$7))</f>
        <v>9</v>
      </c>
      <c r="G293" s="264"/>
      <c r="H293" s="394"/>
      <c r="I293" s="91">
        <v>5</v>
      </c>
      <c r="J293" s="268">
        <f ca="1">OFFSET('Tax value roll forward'!H$60,0,I293-1)-SUM('Tax value roll forward'!H338:OFFSET('Tax value roll forward'!H338,0,Input!$W$7-1))</f>
        <v>0.50408399999999998</v>
      </c>
      <c r="K293" s="268">
        <f ca="1">IF(A21taxstdlife="N/A","n/a",IF(J293=0,0,A21taxstdlife+I293-Input!$W$7))</f>
        <v>9</v>
      </c>
      <c r="L293" s="114"/>
      <c r="M293" s="9"/>
      <c r="N293" s="9"/>
      <c r="O293" s="9"/>
      <c r="P293" s="9"/>
      <c r="Q293" s="9"/>
      <c r="R293" s="9"/>
      <c r="S293" s="261"/>
      <c r="T293" s="261"/>
      <c r="U293" s="261"/>
      <c r="V293" s="261"/>
      <c r="W293" s="261"/>
      <c r="X293" s="261"/>
      <c r="Y293" s="261"/>
      <c r="Z293" s="261"/>
    </row>
    <row r="294" spans="1:26" hidden="1" outlineLevel="1">
      <c r="A294" s="9"/>
      <c r="B294" s="9"/>
      <c r="C294" s="394"/>
      <c r="D294" s="91">
        <v>6</v>
      </c>
      <c r="E294" s="268">
        <f ca="1">OFFSET('Actual RAB roll forward'!H$64,0,D294-1)-SUM('Actual RAB roll forward'!H343:OFFSET('Actual RAB roll forward'!H343,0,Input!$W$7-1))</f>
        <v>0</v>
      </c>
      <c r="F294" s="268">
        <f ca="1">IF(A21stdlife="N/A","n/a",IF(E294=0,0,A21stdlife+D294-Input!$W$7))</f>
        <v>0</v>
      </c>
      <c r="G294" s="264"/>
      <c r="H294" s="394"/>
      <c r="I294" s="91">
        <v>6</v>
      </c>
      <c r="J294" s="268">
        <f ca="1">OFFSET('Tax value roll forward'!H$60,0,I294-1)-SUM('Tax value roll forward'!H339:OFFSET('Tax value roll forward'!H339,0,Input!$W$7-1))</f>
        <v>0</v>
      </c>
      <c r="K294" s="268">
        <f ca="1">IF(A21taxstdlife="N/A","n/a",IF(J294=0,0,A21taxstdlife+I294-Input!$W$7))</f>
        <v>0</v>
      </c>
      <c r="L294" s="114"/>
      <c r="M294" s="9"/>
      <c r="N294" s="9"/>
      <c r="O294" s="9"/>
      <c r="P294" s="9"/>
      <c r="Q294" s="9"/>
      <c r="R294" s="9"/>
      <c r="S294" s="261"/>
      <c r="T294" s="261"/>
      <c r="U294" s="261"/>
      <c r="V294" s="261"/>
      <c r="W294" s="261"/>
      <c r="X294" s="261"/>
      <c r="Y294" s="261"/>
      <c r="Z294" s="261"/>
    </row>
    <row r="295" spans="1:26" hidden="1" outlineLevel="1">
      <c r="A295" s="9"/>
      <c r="B295" s="9"/>
      <c r="C295" s="394"/>
      <c r="D295" s="91">
        <v>7</v>
      </c>
      <c r="E295" s="268">
        <f ca="1">OFFSET('Actual RAB roll forward'!H$64,0,D295-1)-SUM('Actual RAB roll forward'!H344:OFFSET('Actual RAB roll forward'!H344,0,Input!$W$7-1))</f>
        <v>0</v>
      </c>
      <c r="F295" s="268">
        <f ca="1">IF(A21stdlife="N/A","n/a",IF(E295=0,0,A21stdlife+D295-Input!$W$7))</f>
        <v>0</v>
      </c>
      <c r="G295" s="264"/>
      <c r="H295" s="394"/>
      <c r="I295" s="91">
        <v>7</v>
      </c>
      <c r="J295" s="268">
        <f ca="1">OFFSET('Tax value roll forward'!H$60,0,I295-1)-SUM('Tax value roll forward'!H340:OFFSET('Tax value roll forward'!H340,0,Input!$W$7-1))</f>
        <v>0</v>
      </c>
      <c r="K295" s="268">
        <f ca="1">IF(A21taxstdlife="N/A","n/a",IF(J295=0,0,A21taxstdlife+I295-Input!$W$7))</f>
        <v>0</v>
      </c>
      <c r="L295" s="114"/>
      <c r="M295" s="9"/>
      <c r="N295" s="9"/>
      <c r="O295" s="9"/>
      <c r="P295" s="9"/>
      <c r="Q295" s="9"/>
      <c r="R295" s="9"/>
      <c r="S295" s="261"/>
      <c r="T295" s="261"/>
      <c r="U295" s="261"/>
      <c r="V295" s="261"/>
      <c r="W295" s="261"/>
      <c r="X295" s="261"/>
      <c r="Y295" s="261"/>
      <c r="Z295" s="261"/>
    </row>
    <row r="296" spans="1:26" hidden="1" outlineLevel="1">
      <c r="A296" s="9"/>
      <c r="B296" s="9"/>
      <c r="C296" s="394"/>
      <c r="D296" s="91">
        <v>8</v>
      </c>
      <c r="E296" s="268">
        <f ca="1">OFFSET('Actual RAB roll forward'!H$64,0,D296-1)-SUM('Actual RAB roll forward'!H345:OFFSET('Actual RAB roll forward'!H345,0,Input!$W$7-1))</f>
        <v>0</v>
      </c>
      <c r="F296" s="268">
        <f ca="1">IF(A21stdlife="N/A","n/a",IF(E296=0,0,A21stdlife+D296-Input!$W$7))</f>
        <v>0</v>
      </c>
      <c r="G296" s="264"/>
      <c r="H296" s="394"/>
      <c r="I296" s="91">
        <v>8</v>
      </c>
      <c r="J296" s="268">
        <f ca="1">OFFSET('Tax value roll forward'!H$60,0,I296-1)-SUM('Tax value roll forward'!H341:OFFSET('Tax value roll forward'!H341,0,Input!$W$7-1))</f>
        <v>0</v>
      </c>
      <c r="K296" s="268">
        <f ca="1">IF(A21taxstdlife="N/A","n/a",IF(J296=0,0,A21taxstdlife+I296-Input!$W$7))</f>
        <v>0</v>
      </c>
      <c r="L296" s="114"/>
      <c r="M296" s="9"/>
      <c r="N296" s="9"/>
      <c r="O296" s="9"/>
      <c r="P296" s="9"/>
      <c r="Q296" s="9"/>
      <c r="R296" s="9"/>
      <c r="S296" s="261"/>
      <c r="T296" s="261"/>
      <c r="U296" s="261"/>
      <c r="V296" s="261"/>
      <c r="W296" s="261"/>
      <c r="X296" s="261"/>
      <c r="Y296" s="261"/>
      <c r="Z296" s="261"/>
    </row>
    <row r="297" spans="1:26" hidden="1" outlineLevel="1">
      <c r="A297" s="9"/>
      <c r="B297" s="9"/>
      <c r="C297" s="394"/>
      <c r="D297" s="91">
        <v>9</v>
      </c>
      <c r="E297" s="268">
        <f ca="1">OFFSET('Actual RAB roll forward'!H$64,0,D297-1)-SUM('Actual RAB roll forward'!H346:OFFSET('Actual RAB roll forward'!H346,0,Input!$W$7-1))</f>
        <v>0</v>
      </c>
      <c r="F297" s="268">
        <f ca="1">IF(A21stdlife="N/A","n/a",IF(E297=0,0,A21stdlife+D297-Input!$W$7))</f>
        <v>0</v>
      </c>
      <c r="G297" s="264"/>
      <c r="H297" s="394"/>
      <c r="I297" s="91">
        <v>9</v>
      </c>
      <c r="J297" s="268">
        <f ca="1">OFFSET('Tax value roll forward'!H$60,0,I297-1)-SUM('Tax value roll forward'!H342:OFFSET('Tax value roll forward'!H342,0,Input!$W$7-1))</f>
        <v>0</v>
      </c>
      <c r="K297" s="268">
        <f ca="1">IF(A21taxstdlife="N/A","n/a",IF(J297=0,0,A21taxstdlife+I297-Input!$W$7))</f>
        <v>0</v>
      </c>
      <c r="L297" s="114"/>
      <c r="M297" s="9"/>
      <c r="N297" s="9"/>
      <c r="O297" s="9"/>
      <c r="P297" s="9"/>
      <c r="Q297" s="9"/>
      <c r="R297" s="9"/>
      <c r="S297" s="261"/>
      <c r="T297" s="261"/>
      <c r="U297" s="261"/>
      <c r="V297" s="261"/>
      <c r="W297" s="261"/>
      <c r="X297" s="261"/>
      <c r="Y297" s="261"/>
      <c r="Z297" s="261"/>
    </row>
    <row r="298" spans="1:26" hidden="1" outlineLevel="1">
      <c r="A298" s="9"/>
      <c r="B298" s="9"/>
      <c r="C298" s="395"/>
      <c r="D298" s="92">
        <v>10</v>
      </c>
      <c r="E298" s="268">
        <f ca="1">OFFSET('Actual RAB roll forward'!H$64,0,D298-1)-SUM('Actual RAB roll forward'!H347:OFFSET('Actual RAB roll forward'!H347,0,Input!$W$7-1))</f>
        <v>0</v>
      </c>
      <c r="F298" s="268">
        <f ca="1">IF(A21stdlife="N/A","n/a",IF(E298=0,0,A21stdlife+D298-Input!$W$7))</f>
        <v>0</v>
      </c>
      <c r="G298" s="264"/>
      <c r="H298" s="395"/>
      <c r="I298" s="92">
        <v>10</v>
      </c>
      <c r="J298" s="268">
        <f ca="1">OFFSET('Tax value roll forward'!H$60,0,I298-1)-SUM('Tax value roll forward'!H343:OFFSET('Tax value roll forward'!H343,0,Input!$W$7-1))</f>
        <v>0</v>
      </c>
      <c r="K298" s="268">
        <f ca="1">IF(A21taxstdlife="N/A","n/a",IF(J298=0,0,A21taxstdlife+I298-Input!$W$7))</f>
        <v>0</v>
      </c>
      <c r="L298" s="114"/>
      <c r="M298" s="9"/>
      <c r="N298" s="9"/>
      <c r="O298" s="9"/>
      <c r="P298" s="9"/>
      <c r="Q298" s="9"/>
      <c r="R298" s="9"/>
      <c r="S298" s="261"/>
      <c r="T298" s="261"/>
      <c r="U298" s="261"/>
      <c r="V298" s="261"/>
      <c r="W298" s="261"/>
      <c r="X298" s="261"/>
      <c r="Y298" s="261"/>
      <c r="Z298" s="261"/>
    </row>
    <row r="299" spans="1:26" collapsed="1">
      <c r="A299" s="9"/>
      <c r="B299" s="9"/>
      <c r="C299" s="282" t="str">
        <f>Asset21</f>
        <v>Other - short life (9)</v>
      </c>
      <c r="D299" s="9"/>
      <c r="E299" s="268">
        <f ca="1">SUM(E288:E298)</f>
        <v>2.5500187764705964</v>
      </c>
      <c r="F299" s="268">
        <f ca="1">IF(E299=0,0,SUMPRODUCT(E288:E298,F288:F298)/E299)</f>
        <v>6.8715782509791774</v>
      </c>
      <c r="G299" s="264"/>
      <c r="H299" s="43"/>
      <c r="I299" s="268"/>
      <c r="J299" s="268">
        <f ca="1">SUM(J288:J298)</f>
        <v>2.6253012222222223</v>
      </c>
      <c r="K299" s="268">
        <f ca="1">IF(J299=0,0,SUMPRODUCT(J288:J298,K288:K298)/J299)</f>
        <v>6.9155060767418393</v>
      </c>
      <c r="L299" s="114"/>
      <c r="M299" s="9"/>
      <c r="N299" s="9"/>
      <c r="O299" s="9"/>
      <c r="P299" s="9"/>
      <c r="Q299" s="9"/>
      <c r="R299" s="9"/>
      <c r="S299" s="261"/>
      <c r="T299" s="261"/>
      <c r="U299" s="261"/>
      <c r="V299" s="261"/>
      <c r="W299" s="261"/>
      <c r="X299" s="261"/>
      <c r="Y299" s="261"/>
      <c r="Z299" s="261"/>
    </row>
    <row r="300" spans="1:26" hidden="1" outlineLevel="1">
      <c r="A300" s="9"/>
      <c r="B300" s="280"/>
      <c r="C300" s="9"/>
      <c r="D300" s="9"/>
      <c r="E300" s="35"/>
      <c r="F300" s="35"/>
      <c r="G300" s="264"/>
      <c r="H300" s="268"/>
      <c r="I300" s="268"/>
      <c r="J300" s="273"/>
      <c r="K300" s="268"/>
      <c r="L300" s="114"/>
      <c r="M300" s="9"/>
      <c r="N300" s="9"/>
      <c r="O300" s="9"/>
      <c r="P300" s="9"/>
      <c r="Q300" s="9"/>
      <c r="R300" s="9"/>
      <c r="S300" s="261"/>
      <c r="T300" s="261"/>
      <c r="U300" s="261"/>
      <c r="V300" s="261"/>
      <c r="W300" s="261"/>
      <c r="X300" s="261"/>
      <c r="Y300" s="261"/>
      <c r="Z300" s="261"/>
    </row>
    <row r="301" spans="1:26" hidden="1" outlineLevel="1">
      <c r="A301" s="9"/>
      <c r="B301" s="280" t="str">
        <f>Asset22</f>
        <v>Other - short life (4)</v>
      </c>
      <c r="C301" s="9"/>
      <c r="D301" s="9"/>
      <c r="E301" s="35"/>
      <c r="F301" s="35"/>
      <c r="G301" s="264"/>
      <c r="H301" s="268"/>
      <c r="I301" s="268"/>
      <c r="J301" s="273"/>
      <c r="K301" s="268"/>
      <c r="L301" s="114"/>
      <c r="M301" s="9"/>
      <c r="N301" s="9"/>
      <c r="O301" s="9"/>
      <c r="P301" s="9"/>
      <c r="Q301" s="9"/>
      <c r="R301" s="9"/>
      <c r="S301" s="261"/>
      <c r="T301" s="261"/>
      <c r="U301" s="261"/>
      <c r="V301" s="261"/>
      <c r="W301" s="261"/>
      <c r="X301" s="261"/>
      <c r="Y301" s="261"/>
      <c r="Z301" s="261"/>
    </row>
    <row r="302" spans="1:26" ht="12.75" hidden="1" customHeight="1" outlineLevel="1">
      <c r="A302" s="9"/>
      <c r="B302" s="9"/>
      <c r="C302" s="396" t="s">
        <v>26</v>
      </c>
      <c r="D302" s="397"/>
      <c r="E302" s="338">
        <f ca="1">(A22value-'Actual RAB roll forward'!G651)-SUM('Actual RAB roll forward'!H349:OFFSET('Actual RAB roll forward'!H349,0,Input!$W$7-1))</f>
        <v>0</v>
      </c>
      <c r="F302" s="268" t="str">
        <f>IF(A22remlife="N/A","n/a",A22remlife-Input!$W$7)</f>
        <v>n/a</v>
      </c>
      <c r="G302" s="264"/>
      <c r="H302" s="306" t="s">
        <v>65</v>
      </c>
      <c r="I302" s="307"/>
      <c r="J302" s="268">
        <f ca="1">A22taxvalue-SUM('Tax value roll forward'!H345:OFFSET('Tax value roll forward'!H345,0,Input!$W$7-1))</f>
        <v>0</v>
      </c>
      <c r="K302" s="268" t="str">
        <f>IF(A22taxremlife="N/A","n/a",A22taxremlife-Input!$W$7)</f>
        <v>n/a</v>
      </c>
      <c r="L302" s="114"/>
      <c r="M302" s="9"/>
      <c r="N302" s="9"/>
      <c r="O302" s="9"/>
      <c r="P302" s="9"/>
      <c r="Q302" s="9"/>
      <c r="R302" s="9"/>
      <c r="S302" s="261"/>
      <c r="T302" s="261"/>
      <c r="U302" s="261"/>
      <c r="V302" s="261"/>
      <c r="W302" s="261"/>
      <c r="X302" s="261"/>
      <c r="Y302" s="261"/>
      <c r="Z302" s="261"/>
    </row>
    <row r="303" spans="1:26" hidden="1" outlineLevel="1">
      <c r="A303" s="9"/>
      <c r="B303" s="9"/>
      <c r="C303" s="393" t="s">
        <v>81</v>
      </c>
      <c r="D303" s="91">
        <v>1</v>
      </c>
      <c r="E303" s="268">
        <f ca="1">OFFSET('Actual RAB roll forward'!H$65,0,D303-1)-SUM('Actual RAB roll forward'!H351:OFFSET('Actual RAB roll forward'!H351,0,Input!$W$7-1))</f>
        <v>0</v>
      </c>
      <c r="F303" s="268">
        <f ca="1">IF(A22stdlife="N/A","n/a",IF(E303=0,0,A22stdlife+D303-Input!$W$7))</f>
        <v>0</v>
      </c>
      <c r="G303" s="264"/>
      <c r="H303" s="393" t="s">
        <v>81</v>
      </c>
      <c r="I303" s="91">
        <v>1</v>
      </c>
      <c r="J303" s="268">
        <f ca="1">OFFSET('Tax value roll forward'!H$61,0,I303-1)-SUM('Tax value roll forward'!H347:OFFSET('Tax value roll forward'!H347,0,Input!$W$7-1))</f>
        <v>0</v>
      </c>
      <c r="K303" s="268">
        <f ca="1">IF(A22taxstdlife="N/A","n/a",IF(J303=0,0,A22taxstdlife+I303-Input!$W$7))</f>
        <v>0</v>
      </c>
      <c r="L303" s="114"/>
      <c r="M303" s="9"/>
      <c r="N303" s="9"/>
      <c r="O303" s="9"/>
      <c r="P303" s="9"/>
      <c r="Q303" s="9"/>
      <c r="R303" s="9"/>
      <c r="S303" s="261"/>
      <c r="T303" s="261"/>
      <c r="U303" s="261"/>
      <c r="V303" s="261"/>
      <c r="W303" s="261"/>
      <c r="X303" s="261"/>
      <c r="Y303" s="261"/>
      <c r="Z303" s="261"/>
    </row>
    <row r="304" spans="1:26" hidden="1" outlineLevel="1">
      <c r="A304" s="9"/>
      <c r="B304" s="9"/>
      <c r="C304" s="394"/>
      <c r="D304" s="91">
        <v>2</v>
      </c>
      <c r="E304" s="268">
        <f ca="1">OFFSET('Actual RAB roll forward'!H$65,0,D304-1)-SUM('Actual RAB roll forward'!H352:OFFSET('Actual RAB roll forward'!H352,0,Input!$W$7-1))</f>
        <v>0.49750857840803686</v>
      </c>
      <c r="F304" s="268">
        <f ca="1">IF(A22stdlife="N/A","n/a",IF(E304=0,0,A22stdlife+D304-Input!$W$7))</f>
        <v>1</v>
      </c>
      <c r="G304" s="264"/>
      <c r="H304" s="394"/>
      <c r="I304" s="91">
        <v>2</v>
      </c>
      <c r="J304" s="268">
        <f ca="1">OFFSET('Tax value roll forward'!H$61,0,I304-1)-SUM('Tax value roll forward'!H348:OFFSET('Tax value roll forward'!H348,0,Input!$W$7-1))</f>
        <v>0.498</v>
      </c>
      <c r="K304" s="268">
        <f ca="1">IF(A22taxstdlife="N/A","n/a",IF(J304=0,0,A22taxstdlife+I304-Input!$W$7))</f>
        <v>1</v>
      </c>
      <c r="L304" s="114"/>
      <c r="M304" s="9"/>
      <c r="N304" s="9"/>
      <c r="O304" s="9"/>
      <c r="P304" s="9"/>
      <c r="Q304" s="9"/>
      <c r="R304" s="9"/>
      <c r="S304" s="261"/>
      <c r="T304" s="261"/>
      <c r="U304" s="261"/>
      <c r="V304" s="261"/>
      <c r="W304" s="261"/>
      <c r="X304" s="261"/>
      <c r="Y304" s="261"/>
      <c r="Z304" s="261"/>
    </row>
    <row r="305" spans="1:26" hidden="1" outlineLevel="1">
      <c r="A305" s="9"/>
      <c r="B305" s="9"/>
      <c r="C305" s="394"/>
      <c r="D305" s="91">
        <v>3</v>
      </c>
      <c r="E305" s="268">
        <f ca="1">OFFSET('Actual RAB roll forward'!H$65,0,D305-1)-SUM('Actual RAB roll forward'!H353:OFFSET('Actual RAB roll forward'!H353,0,Input!$W$7-1))</f>
        <v>0.88428223181163601</v>
      </c>
      <c r="F305" s="268">
        <f ca="1">IF(A22stdlife="N/A","n/a",IF(E305=0,0,A22stdlife+D305-Input!$W$7))</f>
        <v>2</v>
      </c>
      <c r="G305" s="264"/>
      <c r="H305" s="394"/>
      <c r="I305" s="91">
        <v>3</v>
      </c>
      <c r="J305" s="268">
        <f ca="1">OFFSET('Tax value roll forward'!H$61,0,I305-1)-SUM('Tax value roll forward'!H349:OFFSET('Tax value roll forward'!H349,0,Input!$W$7-1))</f>
        <v>0.92249999999999999</v>
      </c>
      <c r="K305" s="268">
        <f ca="1">IF(A22taxstdlife="N/A","n/a",IF(J305=0,0,A22taxstdlife+I305-Input!$W$7))</f>
        <v>2</v>
      </c>
      <c r="L305" s="114"/>
      <c r="M305" s="9"/>
      <c r="N305" s="9"/>
      <c r="O305" s="9"/>
      <c r="P305" s="9"/>
      <c r="Q305" s="9"/>
      <c r="R305" s="9"/>
      <c r="S305" s="261"/>
      <c r="T305" s="261"/>
      <c r="U305" s="261"/>
      <c r="V305" s="261"/>
      <c r="W305" s="261"/>
      <c r="X305" s="261"/>
      <c r="Y305" s="261"/>
      <c r="Z305" s="261"/>
    </row>
    <row r="306" spans="1:26" hidden="1" outlineLevel="1">
      <c r="A306" s="9"/>
      <c r="B306" s="9"/>
      <c r="C306" s="394"/>
      <c r="D306" s="91">
        <v>4</v>
      </c>
      <c r="E306" s="268">
        <f ca="1">OFFSET('Actual RAB roll forward'!H$65,0,D306-1)-SUM('Actual RAB roll forward'!H354:OFFSET('Actual RAB roll forward'!H354,0,Input!$W$7-1))</f>
        <v>3.7066552353244724</v>
      </c>
      <c r="F306" s="268">
        <f ca="1">IF(A22stdlife="N/A","n/a",IF(E306=0,0,A22stdlife+D306-Input!$W$7))</f>
        <v>3</v>
      </c>
      <c r="G306" s="264"/>
      <c r="H306" s="394"/>
      <c r="I306" s="91">
        <v>4</v>
      </c>
      <c r="J306" s="268">
        <f ca="1">OFFSET('Tax value roll forward'!H$61,0,I306-1)-SUM('Tax value roll forward'!H350:OFFSET('Tax value roll forward'!H350,0,Input!$W$7-1))</f>
        <v>3.9105000000000003</v>
      </c>
      <c r="K306" s="268">
        <f ca="1">IF(A22taxstdlife="N/A","n/a",IF(J306=0,0,A22taxstdlife+I306-Input!$W$7))</f>
        <v>3</v>
      </c>
      <c r="L306" s="114"/>
      <c r="M306" s="9"/>
      <c r="N306" s="9"/>
      <c r="O306" s="9"/>
      <c r="P306" s="9"/>
      <c r="Q306" s="9"/>
      <c r="R306" s="9"/>
      <c r="S306" s="261"/>
      <c r="T306" s="261"/>
      <c r="U306" s="261"/>
      <c r="V306" s="261"/>
      <c r="W306" s="261"/>
      <c r="X306" s="261"/>
      <c r="Y306" s="261"/>
      <c r="Z306" s="261"/>
    </row>
    <row r="307" spans="1:26" hidden="1" outlineLevel="1">
      <c r="A307" s="9"/>
      <c r="B307" s="9"/>
      <c r="C307" s="394"/>
      <c r="D307" s="91">
        <v>5</v>
      </c>
      <c r="E307" s="268">
        <f ca="1">OFFSET('Actual RAB roll forward'!H$65,0,D307-1)-SUM('Actual RAB roll forward'!H355:OFFSET('Actual RAB roll forward'!H355,0,Input!$W$7-1))</f>
        <v>2.2135127237002035</v>
      </c>
      <c r="F307" s="268">
        <f ca="1">IF(A22stdlife="N/A","n/a",IF(E307=0,0,A22stdlife+D307-Input!$W$7))</f>
        <v>4</v>
      </c>
      <c r="G307" s="264"/>
      <c r="H307" s="394"/>
      <c r="I307" s="91">
        <v>5</v>
      </c>
      <c r="J307" s="268">
        <f ca="1">OFFSET('Tax value roll forward'!H$61,0,I307-1)-SUM('Tax value roll forward'!H351:OFFSET('Tax value roll forward'!H351,0,Input!$W$7-1))</f>
        <v>2.3937119600000001</v>
      </c>
      <c r="K307" s="268">
        <f ca="1">IF(A22taxstdlife="N/A","n/a",IF(J307=0,0,A22taxstdlife+I307-Input!$W$7))</f>
        <v>4</v>
      </c>
      <c r="L307" s="114"/>
      <c r="M307" s="9"/>
      <c r="N307" s="9"/>
      <c r="O307" s="9"/>
      <c r="P307" s="9"/>
      <c r="Q307" s="9"/>
      <c r="R307" s="9"/>
      <c r="S307" s="261"/>
      <c r="T307" s="261"/>
      <c r="U307" s="261"/>
      <c r="V307" s="261"/>
      <c r="W307" s="261"/>
      <c r="X307" s="261"/>
      <c r="Y307" s="261"/>
      <c r="Z307" s="261"/>
    </row>
    <row r="308" spans="1:26" hidden="1" outlineLevel="1">
      <c r="A308" s="9"/>
      <c r="B308" s="9"/>
      <c r="C308" s="394"/>
      <c r="D308" s="91">
        <v>6</v>
      </c>
      <c r="E308" s="268">
        <f ca="1">OFFSET('Actual RAB roll forward'!H$65,0,D308-1)-SUM('Actual RAB roll forward'!H356:OFFSET('Actual RAB roll forward'!H356,0,Input!$W$7-1))</f>
        <v>0</v>
      </c>
      <c r="F308" s="268">
        <f ca="1">IF(A22stdlife="N/A","n/a",IF(E308=0,0,A22stdlife+D308-Input!$W$7))</f>
        <v>0</v>
      </c>
      <c r="G308" s="264"/>
      <c r="H308" s="394"/>
      <c r="I308" s="91">
        <v>6</v>
      </c>
      <c r="J308" s="268">
        <f ca="1">OFFSET('Tax value roll forward'!H$61,0,I308-1)-SUM('Tax value roll forward'!H352:OFFSET('Tax value roll forward'!H352,0,Input!$W$7-1))</f>
        <v>0</v>
      </c>
      <c r="K308" s="268">
        <f ca="1">IF(A22taxstdlife="N/A","n/a",IF(J308=0,0,A22taxstdlife+I308-Input!$W$7))</f>
        <v>0</v>
      </c>
      <c r="L308" s="114"/>
      <c r="M308" s="9"/>
      <c r="N308" s="9"/>
      <c r="O308" s="9"/>
      <c r="P308" s="9"/>
      <c r="Q308" s="9"/>
      <c r="R308" s="9"/>
      <c r="S308" s="261"/>
      <c r="T308" s="261"/>
      <c r="U308" s="261"/>
      <c r="V308" s="261"/>
      <c r="W308" s="261"/>
      <c r="X308" s="261"/>
      <c r="Y308" s="261"/>
      <c r="Z308" s="261"/>
    </row>
    <row r="309" spans="1:26" hidden="1" outlineLevel="1">
      <c r="A309" s="9"/>
      <c r="B309" s="9"/>
      <c r="C309" s="394"/>
      <c r="D309" s="91">
        <v>7</v>
      </c>
      <c r="E309" s="268">
        <f ca="1">OFFSET('Actual RAB roll forward'!H$65,0,D309-1)-SUM('Actual RAB roll forward'!H357:OFFSET('Actual RAB roll forward'!H357,0,Input!$W$7-1))</f>
        <v>0</v>
      </c>
      <c r="F309" s="268">
        <f ca="1">IF(A22stdlife="N/A","n/a",IF(E309=0,0,A22stdlife+D309-Input!$W$7))</f>
        <v>0</v>
      </c>
      <c r="G309" s="264"/>
      <c r="H309" s="394"/>
      <c r="I309" s="91">
        <v>7</v>
      </c>
      <c r="J309" s="268">
        <f ca="1">OFFSET('Tax value roll forward'!H$61,0,I309-1)-SUM('Tax value roll forward'!H353:OFFSET('Tax value roll forward'!H353,0,Input!$W$7-1))</f>
        <v>0</v>
      </c>
      <c r="K309" s="268">
        <f ca="1">IF(A22taxstdlife="N/A","n/a",IF(J309=0,0,A22taxstdlife+I309-Input!$W$7))</f>
        <v>0</v>
      </c>
      <c r="L309" s="114"/>
      <c r="M309" s="9"/>
      <c r="N309" s="9"/>
      <c r="O309" s="9"/>
      <c r="P309" s="9"/>
      <c r="Q309" s="9"/>
      <c r="R309" s="9"/>
      <c r="S309" s="261"/>
      <c r="T309" s="261"/>
      <c r="U309" s="261"/>
      <c r="V309" s="261"/>
      <c r="W309" s="261"/>
      <c r="X309" s="261"/>
      <c r="Y309" s="261"/>
      <c r="Z309" s="261"/>
    </row>
    <row r="310" spans="1:26" hidden="1" outlineLevel="1">
      <c r="A310" s="9"/>
      <c r="B310" s="9"/>
      <c r="C310" s="394"/>
      <c r="D310" s="91">
        <v>8</v>
      </c>
      <c r="E310" s="268">
        <f ca="1">OFFSET('Actual RAB roll forward'!H$65,0,D310-1)-SUM('Actual RAB roll forward'!H358:OFFSET('Actual RAB roll forward'!H358,0,Input!$W$7-1))</f>
        <v>0</v>
      </c>
      <c r="F310" s="268">
        <f ca="1">IF(A22stdlife="N/A","n/a",IF(E310=0,0,A22stdlife+D310-Input!$W$7))</f>
        <v>0</v>
      </c>
      <c r="G310" s="264"/>
      <c r="H310" s="394"/>
      <c r="I310" s="91">
        <v>8</v>
      </c>
      <c r="J310" s="268">
        <f ca="1">OFFSET('Tax value roll forward'!H$61,0,I310-1)-SUM('Tax value roll forward'!H354:OFFSET('Tax value roll forward'!H354,0,Input!$W$7-1))</f>
        <v>0</v>
      </c>
      <c r="K310" s="268">
        <f ca="1">IF(A22taxstdlife="N/A","n/a",IF(J310=0,0,A22taxstdlife+I310-Input!$W$7))</f>
        <v>0</v>
      </c>
      <c r="L310" s="114"/>
      <c r="M310" s="9"/>
      <c r="N310" s="9"/>
      <c r="O310" s="9"/>
      <c r="P310" s="9"/>
      <c r="Q310" s="9"/>
      <c r="R310" s="9"/>
      <c r="S310" s="261"/>
      <c r="T310" s="261"/>
      <c r="U310" s="261"/>
      <c r="V310" s="261"/>
      <c r="W310" s="261"/>
      <c r="X310" s="261"/>
      <c r="Y310" s="261"/>
      <c r="Z310" s="261"/>
    </row>
    <row r="311" spans="1:26" hidden="1" outlineLevel="1">
      <c r="A311" s="9"/>
      <c r="B311" s="9"/>
      <c r="C311" s="394"/>
      <c r="D311" s="91">
        <v>9</v>
      </c>
      <c r="E311" s="268">
        <f ca="1">OFFSET('Actual RAB roll forward'!H$65,0,D311-1)-SUM('Actual RAB roll forward'!H359:OFFSET('Actual RAB roll forward'!H359,0,Input!$W$7-1))</f>
        <v>0</v>
      </c>
      <c r="F311" s="268">
        <f ca="1">IF(A22stdlife="N/A","n/a",IF(E311=0,0,A22stdlife+D311-Input!$W$7))</f>
        <v>0</v>
      </c>
      <c r="G311" s="264"/>
      <c r="H311" s="394"/>
      <c r="I311" s="91">
        <v>9</v>
      </c>
      <c r="J311" s="268">
        <f ca="1">OFFSET('Tax value roll forward'!H$61,0,I311-1)-SUM('Tax value roll forward'!H355:OFFSET('Tax value roll forward'!H355,0,Input!$W$7-1))</f>
        <v>0</v>
      </c>
      <c r="K311" s="268">
        <f ca="1">IF(A22taxstdlife="N/A","n/a",IF(J311=0,0,A22taxstdlife+I311-Input!$W$7))</f>
        <v>0</v>
      </c>
      <c r="L311" s="114"/>
      <c r="M311" s="9"/>
      <c r="N311" s="9"/>
      <c r="O311" s="9"/>
      <c r="P311" s="9"/>
      <c r="Q311" s="9"/>
      <c r="R311" s="9"/>
      <c r="S311" s="261"/>
      <c r="T311" s="261"/>
      <c r="U311" s="261"/>
      <c r="V311" s="261"/>
      <c r="W311" s="261"/>
      <c r="X311" s="261"/>
      <c r="Y311" s="261"/>
      <c r="Z311" s="261"/>
    </row>
    <row r="312" spans="1:26" hidden="1" outlineLevel="1">
      <c r="A312" s="9"/>
      <c r="B312" s="9"/>
      <c r="C312" s="395"/>
      <c r="D312" s="92">
        <v>10</v>
      </c>
      <c r="E312" s="268">
        <f ca="1">OFFSET('Actual RAB roll forward'!H$65,0,D312-1)-SUM('Actual RAB roll forward'!H360:OFFSET('Actual RAB roll forward'!H360,0,Input!$W$7-1))</f>
        <v>0</v>
      </c>
      <c r="F312" s="268">
        <f ca="1">IF(A22stdlife="N/A","n/a",IF(E312=0,0,A22stdlife+D312-Input!$W$7))</f>
        <v>0</v>
      </c>
      <c r="G312" s="264"/>
      <c r="H312" s="395"/>
      <c r="I312" s="92">
        <v>10</v>
      </c>
      <c r="J312" s="268">
        <f ca="1">OFFSET('Tax value roll forward'!H$61,0,I312-1)-SUM('Tax value roll forward'!H356:OFFSET('Tax value roll forward'!H356,0,Input!$W$7-1))</f>
        <v>0</v>
      </c>
      <c r="K312" s="268">
        <f ca="1">IF(A22taxstdlife="N/A","n/a",IF(J312=0,0,A22taxstdlife+I312-Input!$W$7))</f>
        <v>0</v>
      </c>
      <c r="L312" s="114"/>
      <c r="M312" s="9"/>
      <c r="N312" s="9"/>
      <c r="O312" s="9"/>
      <c r="P312" s="9"/>
      <c r="Q312" s="9"/>
      <c r="R312" s="9"/>
      <c r="S312" s="261"/>
      <c r="T312" s="261"/>
      <c r="U312" s="261"/>
      <c r="V312" s="261"/>
      <c r="W312" s="261"/>
      <c r="X312" s="261"/>
      <c r="Y312" s="261"/>
      <c r="Z312" s="261"/>
    </row>
    <row r="313" spans="1:26" collapsed="1">
      <c r="A313" s="9"/>
      <c r="B313" s="9"/>
      <c r="C313" s="282" t="str">
        <f>Asset22</f>
        <v>Other - short life (4)</v>
      </c>
      <c r="D313" s="9"/>
      <c r="E313" s="268">
        <f ca="1">SUM(E302:E312)</f>
        <v>7.3019587692443491</v>
      </c>
      <c r="F313" s="268">
        <f ca="1">IF(E313=0,0,SUMPRODUCT(E302:E312,F302:F312)/E313)</f>
        <v>3.0457703673266674</v>
      </c>
      <c r="G313" s="264"/>
      <c r="H313" s="43"/>
      <c r="I313" s="268"/>
      <c r="J313" s="268">
        <f ca="1">SUM(J302:J312)</f>
        <v>7.7247119600000005</v>
      </c>
      <c r="K313" s="268">
        <f ca="1">IF(J313=0,0,SUMPRODUCT(J302:J312,K302:K312)/J313)</f>
        <v>3.0615184051471092</v>
      </c>
      <c r="L313" s="114"/>
      <c r="M313" s="9"/>
      <c r="N313" s="9"/>
      <c r="O313" s="9"/>
      <c r="P313" s="9"/>
      <c r="Q313" s="9"/>
      <c r="R313" s="9"/>
      <c r="S313" s="261"/>
      <c r="T313" s="261"/>
      <c r="U313" s="261"/>
      <c r="V313" s="261"/>
      <c r="W313" s="261"/>
      <c r="X313" s="261"/>
      <c r="Y313" s="261"/>
      <c r="Z313" s="261"/>
    </row>
    <row r="314" spans="1:26" hidden="1" outlineLevel="1">
      <c r="A314" s="9"/>
      <c r="B314" s="280"/>
      <c r="C314" s="9"/>
      <c r="D314" s="9"/>
      <c r="E314" s="35"/>
      <c r="F314" s="35"/>
      <c r="G314" s="264"/>
      <c r="H314" s="268"/>
      <c r="I314" s="268"/>
      <c r="J314" s="273"/>
      <c r="K314" s="268"/>
      <c r="L314" s="114"/>
      <c r="M314" s="9"/>
      <c r="N314" s="9"/>
      <c r="O314" s="9"/>
      <c r="P314" s="9"/>
      <c r="Q314" s="9"/>
      <c r="R314" s="9"/>
      <c r="S314" s="261"/>
      <c r="T314" s="261"/>
      <c r="U314" s="261"/>
      <c r="V314" s="261"/>
      <c r="W314" s="261"/>
      <c r="X314" s="261"/>
      <c r="Y314" s="261"/>
      <c r="Z314" s="261"/>
    </row>
    <row r="315" spans="1:26" hidden="1" outlineLevel="1">
      <c r="A315" s="9"/>
      <c r="B315" s="280" t="str">
        <f>Asset23</f>
        <v>Land and Easements</v>
      </c>
      <c r="C315" s="9"/>
      <c r="D315" s="9"/>
      <c r="E315" s="35"/>
      <c r="F315" s="35"/>
      <c r="G315" s="264"/>
      <c r="H315" s="268"/>
      <c r="I315" s="268"/>
      <c r="J315" s="273"/>
      <c r="K315" s="268"/>
      <c r="L315" s="114"/>
      <c r="M315" s="9"/>
      <c r="N315" s="9"/>
      <c r="O315" s="9"/>
      <c r="P315" s="9"/>
      <c r="Q315" s="9"/>
      <c r="R315" s="9"/>
      <c r="S315" s="261"/>
      <c r="T315" s="261"/>
      <c r="U315" s="261"/>
      <c r="V315" s="261"/>
      <c r="W315" s="261"/>
      <c r="X315" s="261"/>
      <c r="Y315" s="261"/>
      <c r="Z315" s="261"/>
    </row>
    <row r="316" spans="1:26" ht="12.75" hidden="1" customHeight="1" outlineLevel="1">
      <c r="A316" s="9"/>
      <c r="B316" s="9"/>
      <c r="C316" s="396" t="s">
        <v>26</v>
      </c>
      <c r="D316" s="397"/>
      <c r="E316" s="338">
        <f ca="1">(A23value-'Actual RAB roll forward'!G652)-SUM('Actual RAB roll forward'!H362:OFFSET('Actual RAB roll forward'!H362,0,Input!$W$7-1))</f>
        <v>0</v>
      </c>
      <c r="F316" s="268" t="str">
        <f>IF(A23remlife="N/A","n/a",A23remlife-Input!$W$7)</f>
        <v>n/a</v>
      </c>
      <c r="G316" s="264"/>
      <c r="H316" s="306" t="s">
        <v>65</v>
      </c>
      <c r="I316" s="307"/>
      <c r="J316" s="268">
        <f ca="1">A23taxvalue-SUM('Tax value roll forward'!H358:OFFSET('Tax value roll forward'!H358,0,Input!$W$7-1))</f>
        <v>0</v>
      </c>
      <c r="K316" s="268" t="str">
        <f>IF(A23taxremlife="N/A","n/a",A23taxremlife-Input!$W$7)</f>
        <v>n/a</v>
      </c>
      <c r="L316" s="114"/>
      <c r="M316" s="9"/>
      <c r="N316" s="9"/>
      <c r="O316" s="9"/>
      <c r="P316" s="9"/>
      <c r="Q316" s="9"/>
      <c r="R316" s="9"/>
      <c r="S316" s="261"/>
      <c r="T316" s="261"/>
      <c r="U316" s="261"/>
      <c r="V316" s="261"/>
      <c r="W316" s="261"/>
      <c r="X316" s="261"/>
      <c r="Y316" s="261"/>
      <c r="Z316" s="261"/>
    </row>
    <row r="317" spans="1:26" hidden="1" outlineLevel="1">
      <c r="A317" s="9"/>
      <c r="B317" s="9"/>
      <c r="C317" s="393" t="s">
        <v>81</v>
      </c>
      <c r="D317" s="91">
        <v>1</v>
      </c>
      <c r="E317" s="268">
        <f ca="1">OFFSET('Actual RAB roll forward'!H$66,0,D317-1)-SUM('Actual RAB roll forward'!H364:OFFSET('Actual RAB roll forward'!H364,0,Input!$W$7-1))</f>
        <v>0</v>
      </c>
      <c r="F317" s="268" t="str">
        <f>IF(A23stdlife="N/A","n/a",IF(E317=0,0,A23stdlife+D317-Input!$W$7))</f>
        <v>n/a</v>
      </c>
      <c r="G317" s="264"/>
      <c r="H317" s="393" t="s">
        <v>81</v>
      </c>
      <c r="I317" s="91">
        <v>1</v>
      </c>
      <c r="J317" s="268">
        <f ca="1">OFFSET('Tax value roll forward'!H$62,0,I317-1)-SUM('Tax value roll forward'!H360:OFFSET('Tax value roll forward'!H360,0,Input!$W$7-1))</f>
        <v>0</v>
      </c>
      <c r="K317" s="268" t="str">
        <f>IF(A23taxstdlife="N/A","n/a",IF(J317=0,0,A23taxstdlife+I317-Input!$W$7))</f>
        <v>n/a</v>
      </c>
      <c r="L317" s="114"/>
      <c r="M317" s="9"/>
      <c r="N317" s="9"/>
      <c r="O317" s="9"/>
      <c r="P317" s="9"/>
      <c r="Q317" s="9"/>
      <c r="R317" s="9"/>
      <c r="S317" s="261"/>
      <c r="T317" s="261"/>
      <c r="U317" s="261"/>
      <c r="V317" s="261"/>
      <c r="W317" s="261"/>
      <c r="X317" s="261"/>
      <c r="Y317" s="261"/>
      <c r="Z317" s="261"/>
    </row>
    <row r="318" spans="1:26" hidden="1" outlineLevel="1">
      <c r="A318" s="9"/>
      <c r="B318" s="9"/>
      <c r="C318" s="394"/>
      <c r="D318" s="91">
        <v>2</v>
      </c>
      <c r="E318" s="268">
        <f ca="1">OFFSET('Actual RAB roll forward'!H$66,0,D318-1)-SUM('Actual RAB roll forward'!H365:OFFSET('Actual RAB roll forward'!H365,0,Input!$W$7-1))</f>
        <v>1.6533668619785158</v>
      </c>
      <c r="F318" s="268" t="str">
        <f>IF(A23stdlife="N/A","n/a",IF(E318=0,0,A23stdlife+D318-Input!$W$7))</f>
        <v>n/a</v>
      </c>
      <c r="G318" s="264"/>
      <c r="H318" s="394"/>
      <c r="I318" s="91">
        <v>2</v>
      </c>
      <c r="J318" s="268">
        <f ca="1">OFFSET('Tax value roll forward'!H$62,0,I318-1)-SUM('Tax value roll forward'!H361:OFFSET('Tax value roll forward'!H361,0,Input!$W$7-1))</f>
        <v>1.655</v>
      </c>
      <c r="K318" s="268" t="str">
        <f>IF(A23taxstdlife="N/A","n/a",IF(J318=0,0,A23taxstdlife+I318-Input!$W$7))</f>
        <v>n/a</v>
      </c>
      <c r="L318" s="114"/>
      <c r="M318" s="9"/>
      <c r="N318" s="9"/>
      <c r="O318" s="9"/>
      <c r="P318" s="9"/>
      <c r="Q318" s="9"/>
      <c r="R318" s="9"/>
      <c r="S318" s="261"/>
      <c r="T318" s="261"/>
      <c r="U318" s="261"/>
      <c r="V318" s="261"/>
      <c r="W318" s="261"/>
      <c r="X318" s="261"/>
      <c r="Y318" s="261"/>
      <c r="Z318" s="261"/>
    </row>
    <row r="319" spans="1:26" hidden="1" outlineLevel="1">
      <c r="A319" s="9"/>
      <c r="B319" s="9"/>
      <c r="C319" s="394"/>
      <c r="D319" s="91">
        <v>3</v>
      </c>
      <c r="E319" s="268">
        <f ca="1">OFFSET('Actual RAB roll forward'!H$66,0,D319-1)-SUM('Actual RAB roll forward'!H366:OFFSET('Actual RAB roll forward'!H366,0,Input!$W$7-1))</f>
        <v>0.44286004454956734</v>
      </c>
      <c r="F319" s="268" t="str">
        <f>IF(A23stdlife="N/A","n/a",IF(E319=0,0,A23stdlife+D319-Input!$W$7))</f>
        <v>n/a</v>
      </c>
      <c r="G319" s="264"/>
      <c r="H319" s="394"/>
      <c r="I319" s="91">
        <v>3</v>
      </c>
      <c r="J319" s="268">
        <f ca="1">OFFSET('Tax value roll forward'!H$62,0,I319-1)-SUM('Tax value roll forward'!H362:OFFSET('Tax value roll forward'!H362,0,Input!$W$7-1))</f>
        <v>0.46200000000000002</v>
      </c>
      <c r="K319" s="268" t="str">
        <f>IF(A23taxstdlife="N/A","n/a",IF(J319=0,0,A23taxstdlife+I319-Input!$W$7))</f>
        <v>n/a</v>
      </c>
      <c r="L319" s="114"/>
      <c r="M319" s="9"/>
      <c r="N319" s="9"/>
      <c r="O319" s="9"/>
      <c r="P319" s="9"/>
      <c r="Q319" s="9"/>
      <c r="R319" s="9"/>
      <c r="S319" s="261"/>
      <c r="T319" s="261"/>
      <c r="U319" s="261"/>
      <c r="V319" s="261"/>
      <c r="W319" s="261"/>
      <c r="X319" s="261"/>
      <c r="Y319" s="261"/>
      <c r="Z319" s="261"/>
    </row>
    <row r="320" spans="1:26" hidden="1" outlineLevel="1">
      <c r="A320" s="9"/>
      <c r="B320" s="9"/>
      <c r="C320" s="394"/>
      <c r="D320" s="91">
        <v>4</v>
      </c>
      <c r="E320" s="268">
        <f ca="1">OFFSET('Actual RAB roll forward'!H$66,0,D320-1)-SUM('Actual RAB roll forward'!H367:OFFSET('Actual RAB roll forward'!H367,0,Input!$W$7-1))</f>
        <v>1.2255990843305313</v>
      </c>
      <c r="F320" s="268" t="str">
        <f>IF(A23stdlife="N/A","n/a",IF(E320=0,0,A23stdlife+D320-Input!$W$7))</f>
        <v>n/a</v>
      </c>
      <c r="G320" s="264"/>
      <c r="H320" s="394"/>
      <c r="I320" s="91">
        <v>4</v>
      </c>
      <c r="J320" s="268">
        <f ca="1">OFFSET('Tax value roll forward'!H$62,0,I320-1)-SUM('Tax value roll forward'!H363:OFFSET('Tax value roll forward'!H363,0,Input!$W$7-1))</f>
        <v>1.2929999999999999</v>
      </c>
      <c r="K320" s="268" t="str">
        <f>IF(A23taxstdlife="N/A","n/a",IF(J320=0,0,A23taxstdlife+I320-Input!$W$7))</f>
        <v>n/a</v>
      </c>
      <c r="L320" s="114"/>
      <c r="M320" s="9"/>
      <c r="N320" s="9"/>
      <c r="O320" s="9"/>
      <c r="P320" s="9"/>
      <c r="Q320" s="9"/>
      <c r="R320" s="9"/>
      <c r="S320" s="261"/>
      <c r="T320" s="261"/>
      <c r="U320" s="261"/>
      <c r="V320" s="261"/>
      <c r="W320" s="261"/>
      <c r="X320" s="261"/>
      <c r="Y320" s="261"/>
      <c r="Z320" s="261"/>
    </row>
    <row r="321" spans="1:26" hidden="1" outlineLevel="1">
      <c r="A321" s="9"/>
      <c r="B321" s="9"/>
      <c r="C321" s="394"/>
      <c r="D321" s="91">
        <v>5</v>
      </c>
      <c r="E321" s="268">
        <f ca="1">OFFSET('Actual RAB roll forward'!H$66,0,D321-1)-SUM('Actual RAB roll forward'!H368:OFFSET('Actual RAB roll forward'!H368,0,Input!$W$7-1))</f>
        <v>0.93315444396739311</v>
      </c>
      <c r="F321" s="268" t="str">
        <f>IF(A23stdlife="N/A","n/a",IF(E321=0,0,A23stdlife+D321-Input!$W$7))</f>
        <v>n/a</v>
      </c>
      <c r="G321" s="264"/>
      <c r="H321" s="394"/>
      <c r="I321" s="91">
        <v>5</v>
      </c>
      <c r="J321" s="268">
        <f ca="1">OFFSET('Tax value roll forward'!H$62,0,I321-1)-SUM('Tax value roll forward'!H364:OFFSET('Tax value roll forward'!H364,0,Input!$W$7-1))</f>
        <v>1.0091213522901934</v>
      </c>
      <c r="K321" s="268" t="str">
        <f>IF(A23taxstdlife="N/A","n/a",IF(J321=0,0,A23taxstdlife+I321-Input!$W$7))</f>
        <v>n/a</v>
      </c>
      <c r="L321" s="114"/>
      <c r="M321" s="9"/>
      <c r="N321" s="9"/>
      <c r="O321" s="9"/>
      <c r="P321" s="9"/>
      <c r="Q321" s="9"/>
      <c r="R321" s="9"/>
      <c r="S321" s="261"/>
      <c r="T321" s="261"/>
      <c r="U321" s="261"/>
      <c r="V321" s="261"/>
      <c r="W321" s="261"/>
      <c r="X321" s="261"/>
      <c r="Y321" s="261"/>
      <c r="Z321" s="261"/>
    </row>
    <row r="322" spans="1:26" hidden="1" outlineLevel="1">
      <c r="A322" s="9"/>
      <c r="B322" s="9"/>
      <c r="C322" s="394"/>
      <c r="D322" s="91">
        <v>6</v>
      </c>
      <c r="E322" s="268">
        <f ca="1">OFFSET('Actual RAB roll forward'!H$66,0,D322-1)-SUM('Actual RAB roll forward'!H369:OFFSET('Actual RAB roll forward'!H369,0,Input!$W$7-1))</f>
        <v>0</v>
      </c>
      <c r="F322" s="268" t="str">
        <f>IF(A23stdlife="N/A","n/a",IF(E322=0,0,A23stdlife+D322-Input!$W$7))</f>
        <v>n/a</v>
      </c>
      <c r="G322" s="264"/>
      <c r="H322" s="394"/>
      <c r="I322" s="91">
        <v>6</v>
      </c>
      <c r="J322" s="268">
        <f ca="1">OFFSET('Tax value roll forward'!H$62,0,I322-1)-SUM('Tax value roll forward'!H365:OFFSET('Tax value roll forward'!H365,0,Input!$W$7-1))</f>
        <v>0</v>
      </c>
      <c r="K322" s="268" t="str">
        <f>IF(A23taxstdlife="N/A","n/a",IF(J322=0,0,A23taxstdlife+I322-Input!$W$7))</f>
        <v>n/a</v>
      </c>
      <c r="L322" s="114"/>
      <c r="M322" s="9"/>
      <c r="N322" s="9"/>
      <c r="O322" s="9"/>
      <c r="P322" s="9"/>
      <c r="Q322" s="9"/>
      <c r="R322" s="9"/>
      <c r="S322" s="261"/>
      <c r="T322" s="261"/>
      <c r="U322" s="261"/>
      <c r="V322" s="261"/>
      <c r="W322" s="261"/>
      <c r="X322" s="261"/>
      <c r="Y322" s="261"/>
      <c r="Z322" s="261"/>
    </row>
    <row r="323" spans="1:26" hidden="1" outlineLevel="1">
      <c r="A323" s="9"/>
      <c r="B323" s="9"/>
      <c r="C323" s="394"/>
      <c r="D323" s="91">
        <v>7</v>
      </c>
      <c r="E323" s="268">
        <f ca="1">OFFSET('Actual RAB roll forward'!H$66,0,D323-1)-SUM('Actual RAB roll forward'!H370:OFFSET('Actual RAB roll forward'!H370,0,Input!$W$7-1))</f>
        <v>0</v>
      </c>
      <c r="F323" s="268" t="str">
        <f>IF(A23stdlife="N/A","n/a",IF(E323=0,0,A23stdlife+D323-Input!$W$7))</f>
        <v>n/a</v>
      </c>
      <c r="G323" s="264"/>
      <c r="H323" s="394"/>
      <c r="I323" s="91">
        <v>7</v>
      </c>
      <c r="J323" s="268">
        <f ca="1">OFFSET('Tax value roll forward'!H$62,0,I323-1)-SUM('Tax value roll forward'!H366:OFFSET('Tax value roll forward'!H366,0,Input!$W$7-1))</f>
        <v>0</v>
      </c>
      <c r="K323" s="268" t="str">
        <f>IF(A23taxstdlife="N/A","n/a",IF(J323=0,0,A23taxstdlife+I323-Input!$W$7))</f>
        <v>n/a</v>
      </c>
      <c r="L323" s="114"/>
      <c r="M323" s="9"/>
      <c r="N323" s="9"/>
      <c r="O323" s="9"/>
      <c r="P323" s="9"/>
      <c r="Q323" s="9"/>
      <c r="R323" s="9"/>
      <c r="S323" s="261"/>
      <c r="T323" s="261"/>
      <c r="U323" s="261"/>
      <c r="V323" s="261"/>
      <c r="W323" s="261"/>
      <c r="X323" s="261"/>
      <c r="Y323" s="261"/>
      <c r="Z323" s="261"/>
    </row>
    <row r="324" spans="1:26" hidden="1" outlineLevel="1">
      <c r="A324" s="9"/>
      <c r="B324" s="9"/>
      <c r="C324" s="394"/>
      <c r="D324" s="91">
        <v>8</v>
      </c>
      <c r="E324" s="268">
        <f ca="1">OFFSET('Actual RAB roll forward'!H$66,0,D324-1)-SUM('Actual RAB roll forward'!H371:OFFSET('Actual RAB roll forward'!H371,0,Input!$W$7-1))</f>
        <v>0</v>
      </c>
      <c r="F324" s="268" t="str">
        <f>IF(A23stdlife="N/A","n/a",IF(E324=0,0,A23stdlife+D324-Input!$W$7))</f>
        <v>n/a</v>
      </c>
      <c r="G324" s="264"/>
      <c r="H324" s="394"/>
      <c r="I324" s="91">
        <v>8</v>
      </c>
      <c r="J324" s="268">
        <f ca="1">OFFSET('Tax value roll forward'!H$62,0,I324-1)-SUM('Tax value roll forward'!H367:OFFSET('Tax value roll forward'!H367,0,Input!$W$7-1))</f>
        <v>0</v>
      </c>
      <c r="K324" s="268" t="str">
        <f>IF(A23taxstdlife="N/A","n/a",IF(J324=0,0,A23taxstdlife+I324-Input!$W$7))</f>
        <v>n/a</v>
      </c>
      <c r="L324" s="114"/>
      <c r="M324" s="9"/>
      <c r="N324" s="9"/>
      <c r="O324" s="9"/>
      <c r="P324" s="9"/>
      <c r="Q324" s="9"/>
      <c r="R324" s="9"/>
      <c r="S324" s="261"/>
      <c r="T324" s="261"/>
      <c r="U324" s="261"/>
      <c r="V324" s="261"/>
      <c r="W324" s="261"/>
      <c r="X324" s="261"/>
      <c r="Y324" s="261"/>
      <c r="Z324" s="261"/>
    </row>
    <row r="325" spans="1:26" hidden="1" outlineLevel="1">
      <c r="A325" s="9"/>
      <c r="B325" s="9"/>
      <c r="C325" s="394"/>
      <c r="D325" s="91">
        <v>9</v>
      </c>
      <c r="E325" s="268">
        <f ca="1">OFFSET('Actual RAB roll forward'!H$66,0,D325-1)-SUM('Actual RAB roll forward'!H372:OFFSET('Actual RAB roll forward'!H372,0,Input!$W$7-1))</f>
        <v>0</v>
      </c>
      <c r="F325" s="268" t="str">
        <f>IF(A23stdlife="N/A","n/a",IF(E325=0,0,A23stdlife+D325-Input!$W$7))</f>
        <v>n/a</v>
      </c>
      <c r="G325" s="264"/>
      <c r="H325" s="394"/>
      <c r="I325" s="91">
        <v>9</v>
      </c>
      <c r="J325" s="268">
        <f ca="1">OFFSET('Tax value roll forward'!H$62,0,I325-1)-SUM('Tax value roll forward'!H368:OFFSET('Tax value roll forward'!H368,0,Input!$W$7-1))</f>
        <v>0</v>
      </c>
      <c r="K325" s="268" t="str">
        <f>IF(A23taxstdlife="N/A","n/a",IF(J325=0,0,A23taxstdlife+I325-Input!$W$7))</f>
        <v>n/a</v>
      </c>
      <c r="L325" s="114"/>
      <c r="M325" s="9"/>
      <c r="N325" s="9"/>
      <c r="O325" s="9"/>
      <c r="P325" s="9"/>
      <c r="Q325" s="9"/>
      <c r="R325" s="9"/>
      <c r="S325" s="261"/>
      <c r="T325" s="261"/>
      <c r="U325" s="261"/>
      <c r="V325" s="261"/>
      <c r="W325" s="261"/>
      <c r="X325" s="261"/>
      <c r="Y325" s="261"/>
      <c r="Z325" s="261"/>
    </row>
    <row r="326" spans="1:26" hidden="1" outlineLevel="1">
      <c r="A326" s="9"/>
      <c r="B326" s="9"/>
      <c r="C326" s="395"/>
      <c r="D326" s="92">
        <v>10</v>
      </c>
      <c r="E326" s="268">
        <f ca="1">OFFSET('Actual RAB roll forward'!H$66,0,D326-1)-SUM('Actual RAB roll forward'!H373:OFFSET('Actual RAB roll forward'!H373,0,Input!$W$7-1))</f>
        <v>0</v>
      </c>
      <c r="F326" s="268" t="str">
        <f>IF(A23stdlife="N/A","n/a",IF(E326=0,0,A23stdlife+D326-Input!$W$7))</f>
        <v>n/a</v>
      </c>
      <c r="G326" s="264"/>
      <c r="H326" s="395"/>
      <c r="I326" s="92">
        <v>10</v>
      </c>
      <c r="J326" s="268">
        <f ca="1">OFFSET('Tax value roll forward'!H$62,0,I326-1)-SUM('Tax value roll forward'!H369:OFFSET('Tax value roll forward'!H369,0,Input!$W$7-1))</f>
        <v>0</v>
      </c>
      <c r="K326" s="268" t="str">
        <f>IF(A23taxstdlife="N/A","n/a",IF(J326=0,0,A23taxstdlife+I326-Input!$W$7))</f>
        <v>n/a</v>
      </c>
      <c r="L326" s="114"/>
      <c r="M326" s="9"/>
      <c r="N326" s="9"/>
      <c r="O326" s="9"/>
      <c r="P326" s="9"/>
      <c r="Q326" s="9"/>
      <c r="R326" s="9"/>
      <c r="S326" s="261"/>
      <c r="T326" s="261"/>
      <c r="U326" s="261"/>
      <c r="V326" s="261"/>
      <c r="W326" s="261"/>
      <c r="X326" s="261"/>
      <c r="Y326" s="261"/>
      <c r="Z326" s="261"/>
    </row>
    <row r="327" spans="1:26" collapsed="1">
      <c r="A327" s="9"/>
      <c r="B327" s="9"/>
      <c r="C327" s="282" t="str">
        <f>Asset23</f>
        <v>Land and Easements</v>
      </c>
      <c r="D327" s="9"/>
      <c r="E327" s="268">
        <f ca="1">SUM(E316:E326)</f>
        <v>4.2549804348260079</v>
      </c>
      <c r="F327" s="268">
        <f ca="1">IF(E327=0,0,SUMPRODUCT(E316:E326,F316:F326)/E327)</f>
        <v>0</v>
      </c>
      <c r="G327" s="264"/>
      <c r="H327" s="43"/>
      <c r="I327" s="268"/>
      <c r="J327" s="268">
        <f ca="1">SUM(J316:J326)</f>
        <v>4.419121352290194</v>
      </c>
      <c r="K327" s="268">
        <f ca="1">IF(J327=0,0,SUMPRODUCT(J316:J326,K316:K326)/J327)</f>
        <v>0</v>
      </c>
      <c r="L327" s="114"/>
      <c r="M327" s="9"/>
      <c r="N327" s="9"/>
      <c r="O327" s="9"/>
      <c r="P327" s="9"/>
      <c r="Q327" s="9"/>
      <c r="R327" s="9"/>
      <c r="S327" s="261"/>
      <c r="T327" s="261"/>
      <c r="U327" s="261"/>
      <c r="V327" s="261"/>
      <c r="W327" s="261"/>
      <c r="X327" s="261"/>
      <c r="Y327" s="261"/>
      <c r="Z327" s="261"/>
    </row>
    <row r="328" spans="1:26" hidden="1" outlineLevel="1">
      <c r="A328" s="9"/>
      <c r="B328" s="280"/>
      <c r="C328" s="9"/>
      <c r="D328" s="9"/>
      <c r="E328" s="35"/>
      <c r="F328" s="35"/>
      <c r="G328" s="264"/>
      <c r="H328" s="268"/>
      <c r="I328" s="268"/>
      <c r="J328" s="273"/>
      <c r="K328" s="268"/>
      <c r="L328" s="114"/>
      <c r="M328" s="9"/>
      <c r="N328" s="9"/>
      <c r="O328" s="9"/>
      <c r="P328" s="9"/>
      <c r="Q328" s="9"/>
      <c r="R328" s="9"/>
      <c r="S328" s="261"/>
      <c r="T328" s="261"/>
      <c r="U328" s="261"/>
      <c r="V328" s="261"/>
      <c r="W328" s="261"/>
      <c r="X328" s="261"/>
      <c r="Y328" s="261"/>
      <c r="Z328" s="261"/>
    </row>
    <row r="329" spans="1:26" hidden="1" outlineLevel="1">
      <c r="A329" s="9"/>
      <c r="B329" s="280" t="str">
        <f>Asset24</f>
        <v>Equity Raising</v>
      </c>
      <c r="C329" s="9"/>
      <c r="D329" s="9"/>
      <c r="E329" s="35"/>
      <c r="F329" s="35"/>
      <c r="G329" s="264"/>
      <c r="H329" s="268"/>
      <c r="I329" s="268"/>
      <c r="J329" s="273"/>
      <c r="K329" s="268"/>
      <c r="L329" s="114"/>
      <c r="M329" s="9"/>
      <c r="N329" s="9"/>
      <c r="O329" s="9"/>
      <c r="P329" s="9"/>
      <c r="Q329" s="9"/>
      <c r="R329" s="9"/>
      <c r="S329" s="261"/>
      <c r="T329" s="261"/>
      <c r="U329" s="261"/>
      <c r="V329" s="261"/>
      <c r="W329" s="261"/>
      <c r="X329" s="261"/>
      <c r="Y329" s="261"/>
      <c r="Z329" s="261"/>
    </row>
    <row r="330" spans="1:26" ht="12.75" hidden="1" customHeight="1" outlineLevel="1">
      <c r="A330" s="9"/>
      <c r="B330" s="9"/>
      <c r="C330" s="396" t="s">
        <v>26</v>
      </c>
      <c r="D330" s="397"/>
      <c r="E330" s="338">
        <f ca="1">(A24value-'Actual RAB roll forward'!G653)-SUM('Actual RAB roll forward'!H375:OFFSET('Actual RAB roll forward'!H375,0,Input!$W$7-1))</f>
        <v>0</v>
      </c>
      <c r="F330" s="268" t="str">
        <f>IF(A24remlife="N/A","n/a",A24remlife-Input!$W$7)</f>
        <v>n/a</v>
      </c>
      <c r="G330" s="264"/>
      <c r="H330" s="306" t="s">
        <v>65</v>
      </c>
      <c r="I330" s="307"/>
      <c r="J330" s="268">
        <f ca="1">A24taxvalue-SUM('Tax value roll forward'!H371:OFFSET('Tax value roll forward'!H371,0,Input!$W$7-1))</f>
        <v>0</v>
      </c>
      <c r="K330" s="268" t="str">
        <f>IF(A24taxremlife="N/A","n/a",A24taxremlife-Input!$W$7)</f>
        <v>n/a</v>
      </c>
      <c r="L330" s="114"/>
      <c r="M330" s="9"/>
      <c r="N330" s="9"/>
      <c r="O330" s="9"/>
      <c r="P330" s="9"/>
      <c r="Q330" s="9"/>
      <c r="R330" s="9"/>
      <c r="S330" s="261"/>
      <c r="T330" s="261"/>
      <c r="U330" s="261"/>
      <c r="V330" s="261"/>
      <c r="W330" s="261"/>
      <c r="X330" s="261"/>
      <c r="Y330" s="261"/>
      <c r="Z330" s="261"/>
    </row>
    <row r="331" spans="1:26" hidden="1" outlineLevel="1">
      <c r="A331" s="9"/>
      <c r="B331" s="9"/>
      <c r="C331" s="393" t="s">
        <v>81</v>
      </c>
      <c r="D331" s="91">
        <v>1</v>
      </c>
      <c r="E331" s="268">
        <f ca="1">OFFSET('Actual RAB roll forward'!H$67,0,D331-1)-SUM('Actual RAB roll forward'!H377:OFFSET('Actual RAB roll forward'!H377,0,Input!$W$7-1))</f>
        <v>0.39249532800767389</v>
      </c>
      <c r="F331" s="268">
        <f ca="1">IF(A24stdlife="N/A","n/a",IF(E331=0,0,A24stdlife+D331-Input!$W$7))</f>
        <v>37.695808343233246</v>
      </c>
      <c r="G331" s="264"/>
      <c r="H331" s="393" t="s">
        <v>81</v>
      </c>
      <c r="I331" s="91">
        <v>1</v>
      </c>
      <c r="J331" s="268">
        <f ca="1">OFFSET('Tax value roll forward'!H$63,0,I331-1)-SUM('Tax value roll forward'!H373:OFFSET('Tax value roll forward'!H373,0,Input!$W$7-1))</f>
        <v>0.42328724402768747</v>
      </c>
      <c r="K331" s="268" t="str">
        <f>IF(A24taxstdlife="N/A","n/a",IF(J331=0,0,A24taxstdlife+I331-Input!$W$7))</f>
        <v>n/a</v>
      </c>
      <c r="L331" s="114"/>
      <c r="M331" s="9"/>
      <c r="N331" s="9"/>
      <c r="O331" s="9"/>
      <c r="P331" s="9"/>
      <c r="Q331" s="9"/>
      <c r="R331" s="9"/>
      <c r="S331" s="261"/>
      <c r="T331" s="261"/>
      <c r="U331" s="261"/>
      <c r="V331" s="261"/>
      <c r="W331" s="261"/>
      <c r="X331" s="261"/>
      <c r="Y331" s="261"/>
      <c r="Z331" s="261"/>
    </row>
    <row r="332" spans="1:26" hidden="1" outlineLevel="1">
      <c r="A332" s="9"/>
      <c r="B332" s="9"/>
      <c r="C332" s="394"/>
      <c r="D332" s="91">
        <v>2</v>
      </c>
      <c r="E332" s="268">
        <f ca="1">OFFSET('Actual RAB roll forward'!H$67,0,D332-1)-SUM('Actual RAB roll forward'!H378:OFFSET('Actual RAB roll forward'!H378,0,Input!$W$7-1))</f>
        <v>0</v>
      </c>
      <c r="F332" s="268">
        <f ca="1">IF(A24stdlife="N/A","n/a",IF(E332=0,0,A24stdlife+D332-Input!$W$7))</f>
        <v>0</v>
      </c>
      <c r="G332" s="264"/>
      <c r="H332" s="394"/>
      <c r="I332" s="91">
        <v>2</v>
      </c>
      <c r="J332" s="268">
        <f ca="1">OFFSET('Tax value roll forward'!H$63,0,I332-1)-SUM('Tax value roll forward'!H374:OFFSET('Tax value roll forward'!H374,0,Input!$W$7-1))</f>
        <v>0</v>
      </c>
      <c r="K332" s="268" t="str">
        <f>IF(A24taxstdlife="N/A","n/a",IF(J332=0,0,A24taxstdlife+I332-Input!$W$7))</f>
        <v>n/a</v>
      </c>
      <c r="L332" s="114"/>
      <c r="M332" s="9"/>
      <c r="N332" s="9"/>
      <c r="O332" s="9"/>
      <c r="P332" s="9"/>
      <c r="Q332" s="9"/>
      <c r="R332" s="9"/>
      <c r="S332" s="261"/>
      <c r="T332" s="261"/>
      <c r="U332" s="261"/>
      <c r="V332" s="261"/>
      <c r="W332" s="261"/>
      <c r="X332" s="261"/>
      <c r="Y332" s="261"/>
      <c r="Z332" s="261"/>
    </row>
    <row r="333" spans="1:26" hidden="1" outlineLevel="1">
      <c r="A333" s="9"/>
      <c r="B333" s="9"/>
      <c r="C333" s="394"/>
      <c r="D333" s="91">
        <v>3</v>
      </c>
      <c r="E333" s="268">
        <f ca="1">OFFSET('Actual RAB roll forward'!H$67,0,D333-1)-SUM('Actual RAB roll forward'!H379:OFFSET('Actual RAB roll forward'!H379,0,Input!$W$7-1))</f>
        <v>0</v>
      </c>
      <c r="F333" s="268">
        <f ca="1">IF(A24stdlife="N/A","n/a",IF(E333=0,0,A24stdlife+D333-Input!$W$7))</f>
        <v>0</v>
      </c>
      <c r="G333" s="264"/>
      <c r="H333" s="394"/>
      <c r="I333" s="91">
        <v>3</v>
      </c>
      <c r="J333" s="268">
        <f ca="1">OFFSET('Tax value roll forward'!H$63,0,I333-1)-SUM('Tax value roll forward'!H375:OFFSET('Tax value roll forward'!H375,0,Input!$W$7-1))</f>
        <v>0</v>
      </c>
      <c r="K333" s="268" t="str">
        <f>IF(A24taxstdlife="N/A","n/a",IF(J333=0,0,A24taxstdlife+I333-Input!$W$7))</f>
        <v>n/a</v>
      </c>
      <c r="L333" s="114"/>
      <c r="M333" s="9"/>
      <c r="N333" s="9"/>
      <c r="O333" s="9"/>
      <c r="P333" s="9"/>
      <c r="Q333" s="9"/>
      <c r="R333" s="9"/>
      <c r="S333" s="261"/>
      <c r="T333" s="261"/>
      <c r="U333" s="261"/>
      <c r="V333" s="261"/>
      <c r="W333" s="261"/>
      <c r="X333" s="261"/>
      <c r="Y333" s="261"/>
      <c r="Z333" s="261"/>
    </row>
    <row r="334" spans="1:26" hidden="1" outlineLevel="1">
      <c r="A334" s="9"/>
      <c r="B334" s="9"/>
      <c r="C334" s="394"/>
      <c r="D334" s="91">
        <v>4</v>
      </c>
      <c r="E334" s="268">
        <f ca="1">OFFSET('Actual RAB roll forward'!H$67,0,D334-1)-SUM('Actual RAB roll forward'!H380:OFFSET('Actual RAB roll forward'!H380,0,Input!$W$7-1))</f>
        <v>0</v>
      </c>
      <c r="F334" s="268">
        <f ca="1">IF(A24stdlife="N/A","n/a",IF(E334=0,0,A24stdlife+D334-Input!$W$7))</f>
        <v>0</v>
      </c>
      <c r="G334" s="264"/>
      <c r="H334" s="394"/>
      <c r="I334" s="91">
        <v>4</v>
      </c>
      <c r="J334" s="268">
        <f ca="1">OFFSET('Tax value roll forward'!H$63,0,I334-1)-SUM('Tax value roll forward'!H376:OFFSET('Tax value roll forward'!H376,0,Input!$W$7-1))</f>
        <v>0</v>
      </c>
      <c r="K334" s="268" t="str">
        <f>IF(A24taxstdlife="N/A","n/a",IF(J334=0,0,A24taxstdlife+I334-Input!$W$7))</f>
        <v>n/a</v>
      </c>
      <c r="L334" s="114"/>
      <c r="M334" s="9"/>
      <c r="N334" s="9"/>
      <c r="O334" s="9"/>
      <c r="P334" s="9"/>
      <c r="Q334" s="9"/>
      <c r="R334" s="9"/>
      <c r="S334" s="261"/>
      <c r="T334" s="261"/>
      <c r="U334" s="261"/>
      <c r="V334" s="261"/>
      <c r="W334" s="261"/>
      <c r="X334" s="261"/>
      <c r="Y334" s="261"/>
      <c r="Z334" s="261"/>
    </row>
    <row r="335" spans="1:26" hidden="1" outlineLevel="1">
      <c r="A335" s="9"/>
      <c r="B335" s="9"/>
      <c r="C335" s="394"/>
      <c r="D335" s="91">
        <v>5</v>
      </c>
      <c r="E335" s="268">
        <f ca="1">OFFSET('Actual RAB roll forward'!H$67,0,D335-1)-SUM('Actual RAB roll forward'!H381:OFFSET('Actual RAB roll forward'!H381,0,Input!$W$7-1))</f>
        <v>0</v>
      </c>
      <c r="F335" s="268">
        <f ca="1">IF(A24stdlife="N/A","n/a",IF(E335=0,0,A24stdlife+D335-Input!$W$7))</f>
        <v>0</v>
      </c>
      <c r="G335" s="264"/>
      <c r="H335" s="394"/>
      <c r="I335" s="91">
        <v>5</v>
      </c>
      <c r="J335" s="268">
        <f ca="1">OFFSET('Tax value roll forward'!H$63,0,I335-1)-SUM('Tax value roll forward'!H377:OFFSET('Tax value roll forward'!H377,0,Input!$W$7-1))</f>
        <v>0</v>
      </c>
      <c r="K335" s="268" t="str">
        <f>IF(A24taxstdlife="N/A","n/a",IF(J335=0,0,A24taxstdlife+I335-Input!$W$7))</f>
        <v>n/a</v>
      </c>
      <c r="L335" s="114"/>
      <c r="M335" s="9"/>
      <c r="N335" s="9"/>
      <c r="O335" s="9"/>
      <c r="P335" s="9"/>
      <c r="Q335" s="9"/>
      <c r="R335" s="9"/>
      <c r="S335" s="261"/>
      <c r="T335" s="261"/>
      <c r="U335" s="261"/>
      <c r="V335" s="261"/>
      <c r="W335" s="261"/>
      <c r="X335" s="261"/>
      <c r="Y335" s="261"/>
      <c r="Z335" s="261"/>
    </row>
    <row r="336" spans="1:26" hidden="1" outlineLevel="1">
      <c r="A336" s="9"/>
      <c r="B336" s="9"/>
      <c r="C336" s="394"/>
      <c r="D336" s="91">
        <v>6</v>
      </c>
      <c r="E336" s="268">
        <f ca="1">OFFSET('Actual RAB roll forward'!H$67,0,D336-1)-SUM('Actual RAB roll forward'!H382:OFFSET('Actual RAB roll forward'!H382,0,Input!$W$7-1))</f>
        <v>0</v>
      </c>
      <c r="F336" s="268">
        <f ca="1">IF(A24stdlife="N/A","n/a",IF(E336=0,0,A24stdlife+D336-Input!$W$7))</f>
        <v>0</v>
      </c>
      <c r="G336" s="264"/>
      <c r="H336" s="394"/>
      <c r="I336" s="91">
        <v>6</v>
      </c>
      <c r="J336" s="268">
        <f ca="1">OFFSET('Tax value roll forward'!H$63,0,I336-1)-SUM('Tax value roll forward'!H378:OFFSET('Tax value roll forward'!H378,0,Input!$W$7-1))</f>
        <v>0</v>
      </c>
      <c r="K336" s="268" t="str">
        <f>IF(A24taxstdlife="N/A","n/a",IF(J336=0,0,A24taxstdlife+I336-Input!$W$7))</f>
        <v>n/a</v>
      </c>
      <c r="L336" s="114"/>
      <c r="M336" s="9"/>
      <c r="N336" s="9"/>
      <c r="O336" s="9"/>
      <c r="P336" s="9"/>
      <c r="Q336" s="9"/>
      <c r="R336" s="9"/>
      <c r="S336" s="261"/>
      <c r="T336" s="261"/>
      <c r="U336" s="261"/>
      <c r="V336" s="261"/>
      <c r="W336" s="261"/>
      <c r="X336" s="261"/>
      <c r="Y336" s="261"/>
      <c r="Z336" s="261"/>
    </row>
    <row r="337" spans="1:26" hidden="1" outlineLevel="1">
      <c r="A337" s="9"/>
      <c r="B337" s="9"/>
      <c r="C337" s="394"/>
      <c r="D337" s="91">
        <v>7</v>
      </c>
      <c r="E337" s="268">
        <f ca="1">OFFSET('Actual RAB roll forward'!H$67,0,D337-1)-SUM('Actual RAB roll forward'!H383:OFFSET('Actual RAB roll forward'!H383,0,Input!$W$7-1))</f>
        <v>0</v>
      </c>
      <c r="F337" s="268">
        <f ca="1">IF(A24stdlife="N/A","n/a",IF(E337=0,0,A24stdlife+D337-Input!$W$7))</f>
        <v>0</v>
      </c>
      <c r="G337" s="264"/>
      <c r="H337" s="394"/>
      <c r="I337" s="91">
        <v>7</v>
      </c>
      <c r="J337" s="268">
        <f ca="1">OFFSET('Tax value roll forward'!H$63,0,I337-1)-SUM('Tax value roll forward'!H379:OFFSET('Tax value roll forward'!H379,0,Input!$W$7-1))</f>
        <v>0</v>
      </c>
      <c r="K337" s="268" t="str">
        <f>IF(A24taxstdlife="N/A","n/a",IF(J337=0,0,A24taxstdlife+I337-Input!$W$7))</f>
        <v>n/a</v>
      </c>
      <c r="L337" s="114"/>
      <c r="M337" s="9"/>
      <c r="N337" s="9"/>
      <c r="O337" s="9"/>
      <c r="P337" s="9"/>
      <c r="Q337" s="9"/>
      <c r="R337" s="9"/>
      <c r="S337" s="261"/>
      <c r="T337" s="261"/>
      <c r="U337" s="261"/>
      <c r="V337" s="261"/>
      <c r="W337" s="261"/>
      <c r="X337" s="261"/>
      <c r="Y337" s="261"/>
      <c r="Z337" s="261"/>
    </row>
    <row r="338" spans="1:26" hidden="1" outlineLevel="1">
      <c r="A338" s="9"/>
      <c r="B338" s="9"/>
      <c r="C338" s="394"/>
      <c r="D338" s="91">
        <v>8</v>
      </c>
      <c r="E338" s="268">
        <f ca="1">OFFSET('Actual RAB roll forward'!H$67,0,D338-1)-SUM('Actual RAB roll forward'!H384:OFFSET('Actual RAB roll forward'!H384,0,Input!$W$7-1))</f>
        <v>0</v>
      </c>
      <c r="F338" s="268">
        <f ca="1">IF(A24stdlife="N/A","n/a",IF(E338=0,0,A24stdlife+D338-Input!$W$7))</f>
        <v>0</v>
      </c>
      <c r="G338" s="264"/>
      <c r="H338" s="394"/>
      <c r="I338" s="91">
        <v>8</v>
      </c>
      <c r="J338" s="268">
        <f ca="1">OFFSET('Tax value roll forward'!H$63,0,I338-1)-SUM('Tax value roll forward'!H380:OFFSET('Tax value roll forward'!H380,0,Input!$W$7-1))</f>
        <v>0</v>
      </c>
      <c r="K338" s="268" t="str">
        <f>IF(A24taxstdlife="N/A","n/a",IF(J338=0,0,A24taxstdlife+I338-Input!$W$7))</f>
        <v>n/a</v>
      </c>
      <c r="L338" s="114"/>
      <c r="M338" s="9"/>
      <c r="N338" s="9"/>
      <c r="O338" s="9"/>
      <c r="P338" s="9"/>
      <c r="Q338" s="9"/>
      <c r="R338" s="9"/>
      <c r="S338" s="261"/>
      <c r="T338" s="261"/>
      <c r="U338" s="261"/>
      <c r="V338" s="261"/>
      <c r="W338" s="261"/>
      <c r="X338" s="261"/>
      <c r="Y338" s="261"/>
      <c r="Z338" s="261"/>
    </row>
    <row r="339" spans="1:26" hidden="1" outlineLevel="1">
      <c r="A339" s="9"/>
      <c r="B339" s="9"/>
      <c r="C339" s="394"/>
      <c r="D339" s="91">
        <v>9</v>
      </c>
      <c r="E339" s="268">
        <f ca="1">OFFSET('Actual RAB roll forward'!H$67,0,D339-1)-SUM('Actual RAB roll forward'!H385:OFFSET('Actual RAB roll forward'!H385,0,Input!$W$7-1))</f>
        <v>0</v>
      </c>
      <c r="F339" s="268">
        <f ca="1">IF(A24stdlife="N/A","n/a",IF(E339=0,0,A24stdlife+D339-Input!$W$7))</f>
        <v>0</v>
      </c>
      <c r="G339" s="264"/>
      <c r="H339" s="394"/>
      <c r="I339" s="91">
        <v>9</v>
      </c>
      <c r="J339" s="268">
        <f ca="1">OFFSET('Tax value roll forward'!H$63,0,I339-1)-SUM('Tax value roll forward'!H381:OFFSET('Tax value roll forward'!H381,0,Input!$W$7-1))</f>
        <v>0</v>
      </c>
      <c r="K339" s="268" t="str">
        <f>IF(A24taxstdlife="N/A","n/a",IF(J339=0,0,A24taxstdlife+I339-Input!$W$7))</f>
        <v>n/a</v>
      </c>
      <c r="L339" s="114"/>
      <c r="M339" s="9"/>
      <c r="N339" s="9"/>
      <c r="O339" s="9"/>
      <c r="P339" s="9"/>
      <c r="Q339" s="9"/>
      <c r="R339" s="9"/>
      <c r="S339" s="261"/>
      <c r="T339" s="261"/>
      <c r="U339" s="261"/>
      <c r="V339" s="261"/>
      <c r="W339" s="261"/>
      <c r="X339" s="261"/>
      <c r="Y339" s="261"/>
      <c r="Z339" s="261"/>
    </row>
    <row r="340" spans="1:26" hidden="1" outlineLevel="1">
      <c r="A340" s="9"/>
      <c r="B340" s="9"/>
      <c r="C340" s="395"/>
      <c r="D340" s="92">
        <v>10</v>
      </c>
      <c r="E340" s="268">
        <f ca="1">OFFSET('Actual RAB roll forward'!H$67,0,D340-1)-SUM('Actual RAB roll forward'!H386:OFFSET('Actual RAB roll forward'!H386,0,Input!$W$7-1))</f>
        <v>0</v>
      </c>
      <c r="F340" s="268">
        <f ca="1">IF(A24stdlife="N/A","n/a",IF(E340=0,0,A24stdlife+D340-Input!$W$7))</f>
        <v>0</v>
      </c>
      <c r="G340" s="264"/>
      <c r="H340" s="395"/>
      <c r="I340" s="92">
        <v>10</v>
      </c>
      <c r="J340" s="268">
        <f ca="1">OFFSET('Tax value roll forward'!H$63,0,I340-1)-SUM('Tax value roll forward'!H382:OFFSET('Tax value roll forward'!H382,0,Input!$W$7-1))</f>
        <v>0</v>
      </c>
      <c r="K340" s="268" t="str">
        <f>IF(A24taxstdlife="N/A","n/a",IF(J340=0,0,A24taxstdlife+I340-Input!$W$7))</f>
        <v>n/a</v>
      </c>
      <c r="L340" s="114"/>
      <c r="M340" s="9"/>
      <c r="N340" s="9"/>
      <c r="O340" s="9"/>
      <c r="P340" s="9"/>
      <c r="Q340" s="9"/>
      <c r="R340" s="9"/>
      <c r="S340" s="261"/>
      <c r="T340" s="261"/>
      <c r="U340" s="261"/>
      <c r="V340" s="261"/>
      <c r="W340" s="261"/>
      <c r="X340" s="261"/>
      <c r="Y340" s="261"/>
      <c r="Z340" s="261"/>
    </row>
    <row r="341" spans="1:26" collapsed="1">
      <c r="A341" s="9"/>
      <c r="B341" s="9"/>
      <c r="C341" s="282" t="str">
        <f>Asset24</f>
        <v>Equity Raising</v>
      </c>
      <c r="D341" s="9"/>
      <c r="E341" s="268">
        <f ca="1">SUM(E330:E340)</f>
        <v>0.39249532800767389</v>
      </c>
      <c r="F341" s="268">
        <f ca="1">IF(E341=0,0,SUMPRODUCT(E330:E340,F330:F340)/E341)</f>
        <v>37.695808343233246</v>
      </c>
      <c r="G341" s="264"/>
      <c r="H341" s="43"/>
      <c r="I341" s="268"/>
      <c r="J341" s="268">
        <f ca="1">SUM(J330:J340)</f>
        <v>0.42328724402768747</v>
      </c>
      <c r="K341" s="268">
        <f ca="1">IF(J341=0,0,SUMPRODUCT(J330:J340,K330:K340)/J341)</f>
        <v>0</v>
      </c>
      <c r="L341" s="114"/>
      <c r="M341" s="9"/>
      <c r="N341" s="9"/>
      <c r="O341" s="9"/>
      <c r="P341" s="9"/>
      <c r="Q341" s="9"/>
      <c r="R341" s="9"/>
      <c r="S341" s="261"/>
      <c r="T341" s="261"/>
      <c r="U341" s="261"/>
      <c r="V341" s="261"/>
      <c r="W341" s="261"/>
      <c r="X341" s="261"/>
      <c r="Y341" s="261"/>
      <c r="Z341" s="261"/>
    </row>
    <row r="342" spans="1:26" hidden="1" outlineLevel="1">
      <c r="A342" s="9"/>
      <c r="B342" s="280"/>
      <c r="C342" s="9"/>
      <c r="D342" s="9"/>
      <c r="E342" s="35"/>
      <c r="F342" s="35"/>
      <c r="G342" s="264"/>
      <c r="H342" s="268"/>
      <c r="I342" s="268"/>
      <c r="J342" s="273"/>
      <c r="K342" s="268"/>
      <c r="L342" s="114"/>
      <c r="M342" s="9"/>
      <c r="N342" s="9"/>
      <c r="O342" s="9"/>
      <c r="P342" s="9"/>
      <c r="Q342" s="9"/>
      <c r="R342" s="9"/>
      <c r="S342" s="261"/>
      <c r="T342" s="261"/>
      <c r="U342" s="261"/>
      <c r="V342" s="261"/>
      <c r="W342" s="261"/>
      <c r="X342" s="261"/>
      <c r="Y342" s="261"/>
      <c r="Z342" s="261"/>
    </row>
    <row r="343" spans="1:26" hidden="1" outlineLevel="1">
      <c r="A343" s="9"/>
      <c r="B343" s="280">
        <f>Asset25</f>
        <v>0</v>
      </c>
      <c r="C343" s="9"/>
      <c r="D343" s="9"/>
      <c r="E343" s="35"/>
      <c r="F343" s="35"/>
      <c r="G343" s="264"/>
      <c r="H343" s="268"/>
      <c r="I343" s="268"/>
      <c r="J343" s="273"/>
      <c r="K343" s="268"/>
      <c r="L343" s="114"/>
      <c r="M343" s="9"/>
      <c r="N343" s="9"/>
      <c r="O343" s="9"/>
      <c r="P343" s="9"/>
      <c r="Q343" s="9"/>
      <c r="R343" s="9"/>
      <c r="S343" s="261"/>
      <c r="T343" s="261"/>
      <c r="U343" s="261"/>
      <c r="V343" s="261"/>
      <c r="W343" s="261"/>
      <c r="X343" s="261"/>
      <c r="Y343" s="261"/>
      <c r="Z343" s="261"/>
    </row>
    <row r="344" spans="1:26" ht="12.75" hidden="1" customHeight="1" outlineLevel="1">
      <c r="A344" s="9"/>
      <c r="B344" s="9"/>
      <c r="C344" s="396" t="s">
        <v>26</v>
      </c>
      <c r="D344" s="397"/>
      <c r="E344" s="338">
        <f ca="1">(A25value-'Actual RAB roll forward'!G654)-SUM('Actual RAB roll forward'!H388:OFFSET('Actual RAB roll forward'!H388,0,Input!$W$7-1))</f>
        <v>0</v>
      </c>
      <c r="F344" s="268" t="str">
        <f>IF(A25remlife="N/A","n/a",A25remlife-Input!$W$7)</f>
        <v>n/a</v>
      </c>
      <c r="G344" s="264"/>
      <c r="H344" s="306" t="s">
        <v>65</v>
      </c>
      <c r="I344" s="307"/>
      <c r="J344" s="268">
        <f ca="1">A25taxvalue-SUM('Tax value roll forward'!H384:OFFSET('Tax value roll forward'!H384,0,Input!$W$7-1))</f>
        <v>0</v>
      </c>
      <c r="K344" s="268" t="str">
        <f>IF(A25taxremlife="N/A","n/a",A25taxremlife-Input!$W$7)</f>
        <v>n/a</v>
      </c>
      <c r="L344" s="114"/>
      <c r="M344" s="9"/>
      <c r="N344" s="9"/>
      <c r="O344" s="9"/>
      <c r="P344" s="9"/>
      <c r="Q344" s="9"/>
      <c r="R344" s="9"/>
      <c r="S344" s="261"/>
      <c r="T344" s="261"/>
      <c r="U344" s="261"/>
      <c r="V344" s="261"/>
      <c r="W344" s="261"/>
      <c r="X344" s="261"/>
      <c r="Y344" s="261"/>
      <c r="Z344" s="261"/>
    </row>
    <row r="345" spans="1:26" hidden="1" outlineLevel="1">
      <c r="A345" s="9"/>
      <c r="B345" s="9"/>
      <c r="C345" s="393" t="s">
        <v>81</v>
      </c>
      <c r="D345" s="91">
        <v>1</v>
      </c>
      <c r="E345" s="268">
        <f ca="1">OFFSET('Actual RAB roll forward'!H$68,0,D345-1)-SUM('Actual RAB roll forward'!H390:OFFSET('Actual RAB roll forward'!H390,0,Input!$W$7-1))</f>
        <v>0</v>
      </c>
      <c r="F345" s="268" t="str">
        <f>IF(A25stdlife="N/A","n/a",IF(E345=0,0,A25stdlife+D345-Input!$W$7))</f>
        <v>n/a</v>
      </c>
      <c r="G345" s="264"/>
      <c r="H345" s="393" t="s">
        <v>81</v>
      </c>
      <c r="I345" s="91">
        <v>1</v>
      </c>
      <c r="J345" s="268">
        <f ca="1">OFFSET('Tax value roll forward'!H$64,0,I345-1)-SUM('Tax value roll forward'!H386:OFFSET('Tax value roll forward'!H386,0,Input!$W$7-1))</f>
        <v>0</v>
      </c>
      <c r="K345" s="268" t="str">
        <f>IF(A25taxstdlife="N/A","n/a",IF(J345=0,0,A25taxstdlife+I345-Input!$W$7))</f>
        <v>n/a</v>
      </c>
      <c r="L345" s="114"/>
      <c r="M345" s="9"/>
      <c r="N345" s="9"/>
      <c r="O345" s="9"/>
      <c r="P345" s="9"/>
      <c r="Q345" s="9"/>
      <c r="R345" s="9"/>
      <c r="S345" s="261"/>
      <c r="T345" s="261"/>
      <c r="U345" s="261"/>
      <c r="V345" s="261"/>
      <c r="W345" s="261"/>
      <c r="X345" s="261"/>
      <c r="Y345" s="261"/>
      <c r="Z345" s="261"/>
    </row>
    <row r="346" spans="1:26" hidden="1" outlineLevel="1">
      <c r="A346" s="9"/>
      <c r="B346" s="9"/>
      <c r="C346" s="394"/>
      <c r="D346" s="91">
        <v>2</v>
      </c>
      <c r="E346" s="268">
        <f ca="1">OFFSET('Actual RAB roll forward'!H$68,0,D346-1)-SUM('Actual RAB roll forward'!H391:OFFSET('Actual RAB roll forward'!H391,0,Input!$W$7-1))</f>
        <v>0</v>
      </c>
      <c r="F346" s="268" t="str">
        <f>IF(A25stdlife="N/A","n/a",IF(E346=0,0,A25stdlife+D346-Input!$W$7))</f>
        <v>n/a</v>
      </c>
      <c r="G346" s="264"/>
      <c r="H346" s="394"/>
      <c r="I346" s="91">
        <v>2</v>
      </c>
      <c r="J346" s="268">
        <f ca="1">OFFSET('Tax value roll forward'!H$64,0,I346-1)-SUM('Tax value roll forward'!H387:OFFSET('Tax value roll forward'!H387,0,Input!$W$7-1))</f>
        <v>0</v>
      </c>
      <c r="K346" s="268" t="str">
        <f>IF(A25taxstdlife="N/A","n/a",IF(J346=0,0,A25taxstdlife+I346-Input!$W$7))</f>
        <v>n/a</v>
      </c>
      <c r="L346" s="114"/>
      <c r="M346" s="9"/>
      <c r="N346" s="9"/>
      <c r="O346" s="9"/>
      <c r="P346" s="9"/>
      <c r="Q346" s="9"/>
      <c r="R346" s="9"/>
      <c r="S346" s="261"/>
      <c r="T346" s="261"/>
      <c r="U346" s="261"/>
      <c r="V346" s="261"/>
      <c r="W346" s="261"/>
      <c r="X346" s="261"/>
      <c r="Y346" s="261"/>
      <c r="Z346" s="261"/>
    </row>
    <row r="347" spans="1:26" hidden="1" outlineLevel="1">
      <c r="A347" s="9"/>
      <c r="B347" s="9"/>
      <c r="C347" s="394"/>
      <c r="D347" s="91">
        <v>3</v>
      </c>
      <c r="E347" s="268">
        <f ca="1">OFFSET('Actual RAB roll forward'!H$68,0,D347-1)-SUM('Actual RAB roll forward'!H392:OFFSET('Actual RAB roll forward'!H392,0,Input!$W$7-1))</f>
        <v>0</v>
      </c>
      <c r="F347" s="268" t="str">
        <f>IF(A25stdlife="N/A","n/a",IF(E347=0,0,A25stdlife+D347-Input!$W$7))</f>
        <v>n/a</v>
      </c>
      <c r="G347" s="264"/>
      <c r="H347" s="394"/>
      <c r="I347" s="91">
        <v>3</v>
      </c>
      <c r="J347" s="268">
        <f ca="1">OFFSET('Tax value roll forward'!H$64,0,I347-1)-SUM('Tax value roll forward'!H388:OFFSET('Tax value roll forward'!H388,0,Input!$W$7-1))</f>
        <v>0</v>
      </c>
      <c r="K347" s="268" t="str">
        <f>IF(A25taxstdlife="N/A","n/a",IF(J347=0,0,A25taxstdlife+I347-Input!$W$7))</f>
        <v>n/a</v>
      </c>
      <c r="L347" s="114"/>
      <c r="M347" s="9"/>
      <c r="N347" s="9"/>
      <c r="O347" s="9"/>
      <c r="P347" s="9"/>
      <c r="Q347" s="9"/>
      <c r="R347" s="9"/>
      <c r="S347" s="261"/>
      <c r="T347" s="261"/>
      <c r="U347" s="261"/>
      <c r="V347" s="261"/>
      <c r="W347" s="261"/>
      <c r="X347" s="261"/>
      <c r="Y347" s="261"/>
      <c r="Z347" s="261"/>
    </row>
    <row r="348" spans="1:26" hidden="1" outlineLevel="1">
      <c r="A348" s="9"/>
      <c r="B348" s="9"/>
      <c r="C348" s="394"/>
      <c r="D348" s="91">
        <v>4</v>
      </c>
      <c r="E348" s="268">
        <f ca="1">OFFSET('Actual RAB roll forward'!H$68,0,D348-1)-SUM('Actual RAB roll forward'!H393:OFFSET('Actual RAB roll forward'!H393,0,Input!$W$7-1))</f>
        <v>0</v>
      </c>
      <c r="F348" s="268" t="str">
        <f>IF(A25stdlife="N/A","n/a",IF(E348=0,0,A25stdlife+D348-Input!$W$7))</f>
        <v>n/a</v>
      </c>
      <c r="G348" s="264"/>
      <c r="H348" s="394"/>
      <c r="I348" s="91">
        <v>4</v>
      </c>
      <c r="J348" s="268">
        <f ca="1">OFFSET('Tax value roll forward'!H$64,0,I348-1)-SUM('Tax value roll forward'!H389:OFFSET('Tax value roll forward'!H389,0,Input!$W$7-1))</f>
        <v>0</v>
      </c>
      <c r="K348" s="268" t="str">
        <f>IF(A25taxstdlife="N/A","n/a",IF(J348=0,0,A25taxstdlife+I348-Input!$W$7))</f>
        <v>n/a</v>
      </c>
      <c r="L348" s="114"/>
      <c r="M348" s="9"/>
      <c r="N348" s="9"/>
      <c r="O348" s="9"/>
      <c r="P348" s="9"/>
      <c r="Q348" s="9"/>
      <c r="R348" s="9"/>
      <c r="S348" s="261"/>
      <c r="T348" s="261"/>
      <c r="U348" s="261"/>
      <c r="V348" s="261"/>
      <c r="W348" s="261"/>
      <c r="X348" s="261"/>
      <c r="Y348" s="261"/>
      <c r="Z348" s="261"/>
    </row>
    <row r="349" spans="1:26" hidden="1" outlineLevel="1">
      <c r="A349" s="9"/>
      <c r="B349" s="9"/>
      <c r="C349" s="394"/>
      <c r="D349" s="91">
        <v>5</v>
      </c>
      <c r="E349" s="268">
        <f ca="1">OFFSET('Actual RAB roll forward'!H$68,0,D349-1)-SUM('Actual RAB roll forward'!H394:OFFSET('Actual RAB roll forward'!H394,0,Input!$W$7-1))</f>
        <v>0</v>
      </c>
      <c r="F349" s="268" t="str">
        <f>IF(A25stdlife="N/A","n/a",IF(E349=0,0,A25stdlife+D349-Input!$W$7))</f>
        <v>n/a</v>
      </c>
      <c r="G349" s="264"/>
      <c r="H349" s="394"/>
      <c r="I349" s="91">
        <v>5</v>
      </c>
      <c r="J349" s="268">
        <f ca="1">OFFSET('Tax value roll forward'!H$64,0,I349-1)-SUM('Tax value roll forward'!H390:OFFSET('Tax value roll forward'!H390,0,Input!$W$7-1))</f>
        <v>0</v>
      </c>
      <c r="K349" s="268" t="str">
        <f>IF(A25taxstdlife="N/A","n/a",IF(J349=0,0,A25taxstdlife+I349-Input!$W$7))</f>
        <v>n/a</v>
      </c>
      <c r="L349" s="114"/>
      <c r="M349" s="9"/>
      <c r="N349" s="9"/>
      <c r="O349" s="9"/>
      <c r="P349" s="9"/>
      <c r="Q349" s="9"/>
      <c r="R349" s="9"/>
      <c r="S349" s="261"/>
      <c r="T349" s="261"/>
      <c r="U349" s="261"/>
      <c r="V349" s="261"/>
      <c r="W349" s="261"/>
      <c r="X349" s="261"/>
      <c r="Y349" s="261"/>
      <c r="Z349" s="261"/>
    </row>
    <row r="350" spans="1:26" hidden="1" outlineLevel="1">
      <c r="A350" s="9"/>
      <c r="B350" s="9"/>
      <c r="C350" s="394"/>
      <c r="D350" s="91">
        <v>6</v>
      </c>
      <c r="E350" s="268">
        <f ca="1">OFFSET('Actual RAB roll forward'!H$68,0,D350-1)-SUM('Actual RAB roll forward'!H395:OFFSET('Actual RAB roll forward'!H395,0,Input!$W$7-1))</f>
        <v>0</v>
      </c>
      <c r="F350" s="268" t="str">
        <f>IF(A25stdlife="N/A","n/a",IF(E350=0,0,A25stdlife+D350-Input!$W$7))</f>
        <v>n/a</v>
      </c>
      <c r="G350" s="264"/>
      <c r="H350" s="394"/>
      <c r="I350" s="91">
        <v>6</v>
      </c>
      <c r="J350" s="268">
        <f ca="1">OFFSET('Tax value roll forward'!H$64,0,I350-1)-SUM('Tax value roll forward'!H391:OFFSET('Tax value roll forward'!H391,0,Input!$W$7-1))</f>
        <v>0</v>
      </c>
      <c r="K350" s="268" t="str">
        <f>IF(A25taxstdlife="N/A","n/a",IF(J350=0,0,A25taxstdlife+I350-Input!$W$7))</f>
        <v>n/a</v>
      </c>
      <c r="L350" s="114"/>
      <c r="M350" s="9"/>
      <c r="N350" s="9"/>
      <c r="O350" s="9"/>
      <c r="P350" s="9"/>
      <c r="Q350" s="9"/>
      <c r="R350" s="9"/>
      <c r="S350" s="261"/>
      <c r="T350" s="261"/>
      <c r="U350" s="261"/>
      <c r="V350" s="261"/>
      <c r="W350" s="261"/>
      <c r="X350" s="261"/>
      <c r="Y350" s="261"/>
      <c r="Z350" s="261"/>
    </row>
    <row r="351" spans="1:26" hidden="1" outlineLevel="1">
      <c r="A351" s="9"/>
      <c r="B351" s="9"/>
      <c r="C351" s="394"/>
      <c r="D351" s="91">
        <v>7</v>
      </c>
      <c r="E351" s="268">
        <f ca="1">OFFSET('Actual RAB roll forward'!H$68,0,D351-1)-SUM('Actual RAB roll forward'!H396:OFFSET('Actual RAB roll forward'!H396,0,Input!$W$7-1))</f>
        <v>0</v>
      </c>
      <c r="F351" s="268" t="str">
        <f>IF(A25stdlife="N/A","n/a",IF(E351=0,0,A25stdlife+D351-Input!$W$7))</f>
        <v>n/a</v>
      </c>
      <c r="G351" s="264"/>
      <c r="H351" s="394"/>
      <c r="I351" s="91">
        <v>7</v>
      </c>
      <c r="J351" s="268">
        <f ca="1">OFFSET('Tax value roll forward'!H$64,0,I351-1)-SUM('Tax value roll forward'!H392:OFFSET('Tax value roll forward'!H392,0,Input!$W$7-1))</f>
        <v>0</v>
      </c>
      <c r="K351" s="268" t="str">
        <f>IF(A25taxstdlife="N/A","n/a",IF(J351=0,0,A25taxstdlife+I351-Input!$W$7))</f>
        <v>n/a</v>
      </c>
      <c r="L351" s="114"/>
      <c r="M351" s="9"/>
      <c r="N351" s="9"/>
      <c r="O351" s="9"/>
      <c r="P351" s="9"/>
      <c r="Q351" s="9"/>
      <c r="R351" s="9"/>
      <c r="S351" s="261"/>
      <c r="T351" s="261"/>
      <c r="U351" s="261"/>
      <c r="V351" s="261"/>
      <c r="W351" s="261"/>
      <c r="X351" s="261"/>
      <c r="Y351" s="261"/>
      <c r="Z351" s="261"/>
    </row>
    <row r="352" spans="1:26" hidden="1" outlineLevel="1">
      <c r="A352" s="9"/>
      <c r="B352" s="9"/>
      <c r="C352" s="394"/>
      <c r="D352" s="91">
        <v>8</v>
      </c>
      <c r="E352" s="268">
        <f ca="1">OFFSET('Actual RAB roll forward'!H$68,0,D352-1)-SUM('Actual RAB roll forward'!H397:OFFSET('Actual RAB roll forward'!H397,0,Input!$W$7-1))</f>
        <v>0</v>
      </c>
      <c r="F352" s="268" t="str">
        <f>IF(A25stdlife="N/A","n/a",IF(E352=0,0,A25stdlife+D352-Input!$W$7))</f>
        <v>n/a</v>
      </c>
      <c r="G352" s="264"/>
      <c r="H352" s="394"/>
      <c r="I352" s="91">
        <v>8</v>
      </c>
      <c r="J352" s="268">
        <f ca="1">OFFSET('Tax value roll forward'!H$64,0,I352-1)-SUM('Tax value roll forward'!H393:OFFSET('Tax value roll forward'!H393,0,Input!$W$7-1))</f>
        <v>0</v>
      </c>
      <c r="K352" s="268" t="str">
        <f>IF(A25taxstdlife="N/A","n/a",IF(J352=0,0,A25taxstdlife+I352-Input!$W$7))</f>
        <v>n/a</v>
      </c>
      <c r="L352" s="114"/>
      <c r="M352" s="9"/>
      <c r="N352" s="9"/>
      <c r="O352" s="9"/>
      <c r="P352" s="9"/>
      <c r="Q352" s="9"/>
      <c r="R352" s="9"/>
      <c r="S352" s="261"/>
      <c r="T352" s="261"/>
      <c r="U352" s="261"/>
      <c r="V352" s="261"/>
      <c r="W352" s="261"/>
      <c r="X352" s="261"/>
      <c r="Y352" s="261"/>
      <c r="Z352" s="261"/>
    </row>
    <row r="353" spans="1:26" hidden="1" outlineLevel="1">
      <c r="A353" s="9"/>
      <c r="B353" s="9"/>
      <c r="C353" s="394"/>
      <c r="D353" s="91">
        <v>9</v>
      </c>
      <c r="E353" s="268">
        <f ca="1">OFFSET('Actual RAB roll forward'!H$68,0,D353-1)-SUM('Actual RAB roll forward'!H398:OFFSET('Actual RAB roll forward'!H398,0,Input!$W$7-1))</f>
        <v>0</v>
      </c>
      <c r="F353" s="268" t="str">
        <f>IF(A25stdlife="N/A","n/a",IF(E353=0,0,A25stdlife+D353-Input!$W$7))</f>
        <v>n/a</v>
      </c>
      <c r="G353" s="264"/>
      <c r="H353" s="394"/>
      <c r="I353" s="91">
        <v>9</v>
      </c>
      <c r="J353" s="268">
        <f ca="1">OFFSET('Tax value roll forward'!H$64,0,I353-1)-SUM('Tax value roll forward'!H394:OFFSET('Tax value roll forward'!H394,0,Input!$W$7-1))</f>
        <v>0</v>
      </c>
      <c r="K353" s="268" t="str">
        <f>IF(A25taxstdlife="N/A","n/a",IF(J353=0,0,A25taxstdlife+I353-Input!$W$7))</f>
        <v>n/a</v>
      </c>
      <c r="L353" s="114"/>
      <c r="M353" s="9"/>
      <c r="N353" s="9"/>
      <c r="O353" s="9"/>
      <c r="P353" s="9"/>
      <c r="Q353" s="9"/>
      <c r="R353" s="9"/>
      <c r="S353" s="261"/>
      <c r="T353" s="261"/>
      <c r="U353" s="261"/>
      <c r="V353" s="261"/>
      <c r="W353" s="261"/>
      <c r="X353" s="261"/>
      <c r="Y353" s="261"/>
      <c r="Z353" s="261"/>
    </row>
    <row r="354" spans="1:26" hidden="1" outlineLevel="1">
      <c r="A354" s="9"/>
      <c r="B354" s="9"/>
      <c r="C354" s="395"/>
      <c r="D354" s="92">
        <v>10</v>
      </c>
      <c r="E354" s="268">
        <f ca="1">OFFSET('Actual RAB roll forward'!H$68,0,D354-1)-SUM('Actual RAB roll forward'!H399:OFFSET('Actual RAB roll forward'!H399,0,Input!$W$7-1))</f>
        <v>0</v>
      </c>
      <c r="F354" s="268" t="str">
        <f>IF(A25stdlife="N/A","n/a",IF(E354=0,0,A25stdlife+D354-Input!$W$7))</f>
        <v>n/a</v>
      </c>
      <c r="G354" s="264"/>
      <c r="H354" s="395"/>
      <c r="I354" s="92">
        <v>10</v>
      </c>
      <c r="J354" s="268">
        <f ca="1">OFFSET('Tax value roll forward'!H$64,0,I354-1)-SUM('Tax value roll forward'!H395:OFFSET('Tax value roll forward'!H395,0,Input!$W$7-1))</f>
        <v>0</v>
      </c>
      <c r="K354" s="268" t="str">
        <f>IF(A25taxstdlife="N/A","n/a",IF(J354=0,0,A25taxstdlife+I354-Input!$W$7))</f>
        <v>n/a</v>
      </c>
      <c r="L354" s="114"/>
      <c r="M354" s="9"/>
      <c r="N354" s="9"/>
      <c r="O354" s="9"/>
      <c r="P354" s="9"/>
      <c r="Q354" s="9"/>
      <c r="R354" s="9"/>
      <c r="S354" s="261"/>
      <c r="T354" s="261"/>
      <c r="U354" s="261"/>
      <c r="V354" s="261"/>
      <c r="W354" s="261"/>
      <c r="X354" s="261"/>
      <c r="Y354" s="261"/>
      <c r="Z354" s="261"/>
    </row>
    <row r="355" spans="1:26" collapsed="1">
      <c r="A355" s="9"/>
      <c r="B355" s="9"/>
      <c r="C355" s="282">
        <f>Asset25</f>
        <v>0</v>
      </c>
      <c r="D355" s="9"/>
      <c r="E355" s="268">
        <f ca="1">SUM(E344:E354)</f>
        <v>0</v>
      </c>
      <c r="F355" s="268">
        <f ca="1">IF(E355=0,0,SUMPRODUCT(E344:E354,F344:F354)/E355)</f>
        <v>0</v>
      </c>
      <c r="G355" s="264"/>
      <c r="H355" s="43"/>
      <c r="I355" s="268"/>
      <c r="J355" s="268">
        <f ca="1">SUM(J344:J354)</f>
        <v>0</v>
      </c>
      <c r="K355" s="268">
        <f ca="1">IF(J355=0,0,SUMPRODUCT(J344:J354,K344:K354)/J355)</f>
        <v>0</v>
      </c>
      <c r="L355" s="114"/>
      <c r="M355" s="9"/>
      <c r="N355" s="9"/>
      <c r="O355" s="9"/>
      <c r="P355" s="9"/>
      <c r="Q355" s="9"/>
      <c r="R355" s="9"/>
      <c r="S355" s="261"/>
      <c r="T355" s="261"/>
      <c r="U355" s="261"/>
      <c r="V355" s="261"/>
      <c r="W355" s="261"/>
      <c r="X355" s="261"/>
      <c r="Y355" s="261"/>
      <c r="Z355" s="261"/>
    </row>
    <row r="356" spans="1:26" hidden="1" outlineLevel="1">
      <c r="A356" s="9"/>
      <c r="B356" s="280"/>
      <c r="C356" s="9"/>
      <c r="D356" s="9"/>
      <c r="E356" s="35"/>
      <c r="F356" s="35"/>
      <c r="G356" s="264"/>
      <c r="H356" s="268"/>
      <c r="I356" s="268"/>
      <c r="J356" s="273"/>
      <c r="K356" s="268"/>
      <c r="L356" s="114"/>
      <c r="M356" s="9"/>
      <c r="N356" s="9"/>
      <c r="O356" s="9"/>
      <c r="P356" s="9"/>
      <c r="Q356" s="9"/>
      <c r="R356" s="9"/>
      <c r="S356" s="261"/>
      <c r="T356" s="261"/>
      <c r="U356" s="261"/>
      <c r="V356" s="261"/>
      <c r="W356" s="261"/>
      <c r="X356" s="261"/>
      <c r="Y356" s="261"/>
      <c r="Z356" s="261"/>
    </row>
    <row r="357" spans="1:26" hidden="1" outlineLevel="1">
      <c r="A357" s="9"/>
      <c r="B357" s="280">
        <f>Asset26</f>
        <v>0</v>
      </c>
      <c r="C357" s="9"/>
      <c r="D357" s="9"/>
      <c r="E357" s="35"/>
      <c r="F357" s="35"/>
      <c r="G357" s="264"/>
      <c r="H357" s="268"/>
      <c r="I357" s="268"/>
      <c r="J357" s="273"/>
      <c r="K357" s="268"/>
      <c r="L357" s="114"/>
      <c r="M357" s="9"/>
      <c r="N357" s="9"/>
      <c r="O357" s="9"/>
      <c r="P357" s="9"/>
      <c r="Q357" s="9"/>
      <c r="R357" s="9"/>
      <c r="S357" s="261"/>
      <c r="T357" s="261"/>
      <c r="U357" s="261"/>
      <c r="V357" s="261"/>
      <c r="W357" s="261"/>
      <c r="X357" s="261"/>
      <c r="Y357" s="261"/>
      <c r="Z357" s="261"/>
    </row>
    <row r="358" spans="1:26" ht="12.75" hidden="1" customHeight="1" outlineLevel="1">
      <c r="A358" s="9"/>
      <c r="B358" s="9"/>
      <c r="C358" s="396" t="s">
        <v>26</v>
      </c>
      <c r="D358" s="397"/>
      <c r="E358" s="338">
        <f ca="1">(A26value-'Actual RAB roll forward'!G655)-SUM('Actual RAB roll forward'!H401:OFFSET('Actual RAB roll forward'!H401,0,Input!$W$7-1))</f>
        <v>0</v>
      </c>
      <c r="F358" s="268" t="str">
        <f>IF(A26remlife="N/A","n/a",A26remlife-Input!$W$7)</f>
        <v>n/a</v>
      </c>
      <c r="G358" s="264"/>
      <c r="H358" s="306" t="s">
        <v>65</v>
      </c>
      <c r="I358" s="307"/>
      <c r="J358" s="268">
        <f ca="1">A26taxvalue-SUM('Tax value roll forward'!H397:OFFSET('Tax value roll forward'!H397,0,Input!$W$7-1))</f>
        <v>0</v>
      </c>
      <c r="K358" s="268" t="str">
        <f>IF(A26taxremlife="N/A","n/a",A26taxremlife-Input!$W$7)</f>
        <v>n/a</v>
      </c>
      <c r="L358" s="114"/>
      <c r="M358" s="9"/>
      <c r="N358" s="9"/>
      <c r="O358" s="9"/>
      <c r="P358" s="9"/>
      <c r="Q358" s="9"/>
      <c r="R358" s="9"/>
      <c r="S358" s="261"/>
      <c r="T358" s="261"/>
      <c r="U358" s="261"/>
      <c r="V358" s="261"/>
      <c r="W358" s="261"/>
      <c r="X358" s="261"/>
      <c r="Y358" s="261"/>
      <c r="Z358" s="261"/>
    </row>
    <row r="359" spans="1:26" hidden="1" outlineLevel="1">
      <c r="A359" s="9"/>
      <c r="B359" s="9"/>
      <c r="C359" s="393" t="s">
        <v>81</v>
      </c>
      <c r="D359" s="91">
        <v>1</v>
      </c>
      <c r="E359" s="268">
        <f ca="1">OFFSET('Actual RAB roll forward'!H$69,0,D359-1)-SUM('Actual RAB roll forward'!H403:OFFSET('Actual RAB roll forward'!H403,0,Input!$W$7-1))</f>
        <v>0</v>
      </c>
      <c r="F359" s="268" t="str">
        <f>IF(A26stdlife="N/A","n/a",IF(E359=0,0,A26stdlife+D359-Input!$W$7))</f>
        <v>n/a</v>
      </c>
      <c r="G359" s="264"/>
      <c r="H359" s="393" t="s">
        <v>81</v>
      </c>
      <c r="I359" s="91">
        <v>1</v>
      </c>
      <c r="J359" s="268">
        <f ca="1">OFFSET('Tax value roll forward'!H$65,0,I359-1)-SUM('Tax value roll forward'!H399:OFFSET('Tax value roll forward'!H399,0,Input!$W$7-1))</f>
        <v>0</v>
      </c>
      <c r="K359" s="268" t="str">
        <f>IF(A26taxstdlife="N/A","n/a",IF(J359=0,0,A26taxstdlife+I359-Input!$W$7))</f>
        <v>n/a</v>
      </c>
      <c r="L359" s="114"/>
      <c r="M359" s="9"/>
      <c r="N359" s="9"/>
      <c r="O359" s="9"/>
      <c r="P359" s="9"/>
      <c r="Q359" s="9"/>
      <c r="R359" s="9"/>
      <c r="S359" s="261"/>
      <c r="T359" s="261"/>
      <c r="U359" s="261"/>
      <c r="V359" s="261"/>
      <c r="W359" s="261"/>
      <c r="X359" s="261"/>
      <c r="Y359" s="261"/>
      <c r="Z359" s="261"/>
    </row>
    <row r="360" spans="1:26" hidden="1" outlineLevel="1">
      <c r="A360" s="9"/>
      <c r="B360" s="9"/>
      <c r="C360" s="394"/>
      <c r="D360" s="91">
        <v>2</v>
      </c>
      <c r="E360" s="268">
        <f ca="1">OFFSET('Actual RAB roll forward'!H$69,0,D360-1)-SUM('Actual RAB roll forward'!H404:OFFSET('Actual RAB roll forward'!H404,0,Input!$W$7-1))</f>
        <v>0</v>
      </c>
      <c r="F360" s="268" t="str">
        <f>IF(A26stdlife="N/A","n/a",IF(E360=0,0,A26stdlife+D360-Input!$W$7))</f>
        <v>n/a</v>
      </c>
      <c r="G360" s="264"/>
      <c r="H360" s="394"/>
      <c r="I360" s="91">
        <v>2</v>
      </c>
      <c r="J360" s="268">
        <f ca="1">OFFSET('Tax value roll forward'!H$65,0,I360-1)-SUM('Tax value roll forward'!H400:OFFSET('Tax value roll forward'!H400,0,Input!$W$7-1))</f>
        <v>0</v>
      </c>
      <c r="K360" s="268" t="str">
        <f>IF(A26taxstdlife="N/A","n/a",IF(J360=0,0,A26taxstdlife+I360-Input!$W$7))</f>
        <v>n/a</v>
      </c>
      <c r="L360" s="114"/>
      <c r="M360" s="9"/>
      <c r="N360" s="9"/>
      <c r="O360" s="9"/>
      <c r="P360" s="9"/>
      <c r="Q360" s="9"/>
      <c r="R360" s="9"/>
      <c r="S360" s="261"/>
      <c r="T360" s="261"/>
      <c r="U360" s="261"/>
      <c r="V360" s="261"/>
      <c r="W360" s="261"/>
      <c r="X360" s="261"/>
      <c r="Y360" s="261"/>
      <c r="Z360" s="261"/>
    </row>
    <row r="361" spans="1:26" hidden="1" outlineLevel="1">
      <c r="A361" s="9"/>
      <c r="B361" s="9"/>
      <c r="C361" s="394"/>
      <c r="D361" s="91">
        <v>3</v>
      </c>
      <c r="E361" s="268">
        <f ca="1">OFFSET('Actual RAB roll forward'!H$69,0,D361-1)-SUM('Actual RAB roll forward'!H405:OFFSET('Actual RAB roll forward'!H405,0,Input!$W$7-1))</f>
        <v>0</v>
      </c>
      <c r="F361" s="268" t="str">
        <f>IF(A26stdlife="N/A","n/a",IF(E361=0,0,A26stdlife+D361-Input!$W$7))</f>
        <v>n/a</v>
      </c>
      <c r="G361" s="264"/>
      <c r="H361" s="394"/>
      <c r="I361" s="91">
        <v>3</v>
      </c>
      <c r="J361" s="268">
        <f ca="1">OFFSET('Tax value roll forward'!H$65,0,I361-1)-SUM('Tax value roll forward'!H401:OFFSET('Tax value roll forward'!H401,0,Input!$W$7-1))</f>
        <v>0</v>
      </c>
      <c r="K361" s="268" t="str">
        <f>IF(A26taxstdlife="N/A","n/a",IF(J361=0,0,A26taxstdlife+I361-Input!$W$7))</f>
        <v>n/a</v>
      </c>
      <c r="L361" s="114"/>
      <c r="M361" s="9"/>
      <c r="N361" s="9"/>
      <c r="O361" s="9"/>
      <c r="P361" s="9"/>
      <c r="Q361" s="9"/>
      <c r="R361" s="9"/>
      <c r="S361" s="261"/>
      <c r="T361" s="261"/>
      <c r="U361" s="261"/>
      <c r="V361" s="261"/>
      <c r="W361" s="261"/>
      <c r="X361" s="261"/>
      <c r="Y361" s="261"/>
      <c r="Z361" s="261"/>
    </row>
    <row r="362" spans="1:26" hidden="1" outlineLevel="1">
      <c r="A362" s="9"/>
      <c r="B362" s="9"/>
      <c r="C362" s="394"/>
      <c r="D362" s="91">
        <v>4</v>
      </c>
      <c r="E362" s="268">
        <f ca="1">OFFSET('Actual RAB roll forward'!H$69,0,D362-1)-SUM('Actual RAB roll forward'!H406:OFFSET('Actual RAB roll forward'!H406,0,Input!$W$7-1))</f>
        <v>0</v>
      </c>
      <c r="F362" s="268" t="str">
        <f>IF(A26stdlife="N/A","n/a",IF(E362=0,0,A26stdlife+D362-Input!$W$7))</f>
        <v>n/a</v>
      </c>
      <c r="G362" s="264"/>
      <c r="H362" s="394"/>
      <c r="I362" s="91">
        <v>4</v>
      </c>
      <c r="J362" s="268">
        <f ca="1">OFFSET('Tax value roll forward'!H$65,0,I362-1)-SUM('Tax value roll forward'!H402:OFFSET('Tax value roll forward'!H402,0,Input!$W$7-1))</f>
        <v>0</v>
      </c>
      <c r="K362" s="268" t="str">
        <f>IF(A26taxstdlife="N/A","n/a",IF(J362=0,0,A26taxstdlife+I362-Input!$W$7))</f>
        <v>n/a</v>
      </c>
      <c r="L362" s="114"/>
      <c r="M362" s="9"/>
      <c r="N362" s="9"/>
      <c r="O362" s="9"/>
      <c r="P362" s="9"/>
      <c r="Q362" s="9"/>
      <c r="R362" s="9"/>
      <c r="S362" s="261"/>
      <c r="T362" s="261"/>
      <c r="U362" s="261"/>
      <c r="V362" s="261"/>
      <c r="W362" s="261"/>
      <c r="X362" s="261"/>
      <c r="Y362" s="261"/>
      <c r="Z362" s="261"/>
    </row>
    <row r="363" spans="1:26" hidden="1" outlineLevel="1">
      <c r="A363" s="9"/>
      <c r="B363" s="9"/>
      <c r="C363" s="394"/>
      <c r="D363" s="91">
        <v>5</v>
      </c>
      <c r="E363" s="268">
        <f ca="1">OFFSET('Actual RAB roll forward'!H$69,0,D363-1)-SUM('Actual RAB roll forward'!H407:OFFSET('Actual RAB roll forward'!H407,0,Input!$W$7-1))</f>
        <v>0</v>
      </c>
      <c r="F363" s="268" t="str">
        <f>IF(A26stdlife="N/A","n/a",IF(E363=0,0,A26stdlife+D363-Input!$W$7))</f>
        <v>n/a</v>
      </c>
      <c r="G363" s="264"/>
      <c r="H363" s="394"/>
      <c r="I363" s="91">
        <v>5</v>
      </c>
      <c r="J363" s="268">
        <f ca="1">OFFSET('Tax value roll forward'!H$65,0,I363-1)-SUM('Tax value roll forward'!H403:OFFSET('Tax value roll forward'!H403,0,Input!$W$7-1))</f>
        <v>0</v>
      </c>
      <c r="K363" s="268" t="str">
        <f>IF(A26taxstdlife="N/A","n/a",IF(J363=0,0,A26taxstdlife+I363-Input!$W$7))</f>
        <v>n/a</v>
      </c>
      <c r="L363" s="114"/>
      <c r="M363" s="9"/>
      <c r="N363" s="9"/>
      <c r="O363" s="9"/>
      <c r="P363" s="9"/>
      <c r="Q363" s="9"/>
      <c r="R363" s="9"/>
      <c r="S363" s="261"/>
      <c r="T363" s="261"/>
      <c r="U363" s="261"/>
      <c r="V363" s="261"/>
      <c r="W363" s="261"/>
      <c r="X363" s="261"/>
      <c r="Y363" s="261"/>
      <c r="Z363" s="261"/>
    </row>
    <row r="364" spans="1:26" hidden="1" outlineLevel="1">
      <c r="A364" s="9"/>
      <c r="B364" s="9"/>
      <c r="C364" s="394"/>
      <c r="D364" s="91">
        <v>6</v>
      </c>
      <c r="E364" s="268">
        <f ca="1">OFFSET('Actual RAB roll forward'!H$69,0,D364-1)-SUM('Actual RAB roll forward'!H408:OFFSET('Actual RAB roll forward'!H408,0,Input!$W$7-1))</f>
        <v>0</v>
      </c>
      <c r="F364" s="268" t="str">
        <f>IF(A26stdlife="N/A","n/a",IF(E364=0,0,A26stdlife+D364-Input!$W$7))</f>
        <v>n/a</v>
      </c>
      <c r="G364" s="264"/>
      <c r="H364" s="394"/>
      <c r="I364" s="91">
        <v>6</v>
      </c>
      <c r="J364" s="268">
        <f ca="1">OFFSET('Tax value roll forward'!H$65,0,I364-1)-SUM('Tax value roll forward'!H404:OFFSET('Tax value roll forward'!H404,0,Input!$W$7-1))</f>
        <v>0</v>
      </c>
      <c r="K364" s="268" t="str">
        <f>IF(A26taxstdlife="N/A","n/a",IF(J364=0,0,A26taxstdlife+I364-Input!$W$7))</f>
        <v>n/a</v>
      </c>
      <c r="L364" s="114"/>
      <c r="M364" s="9"/>
      <c r="N364" s="9"/>
      <c r="O364" s="9"/>
      <c r="P364" s="9"/>
      <c r="Q364" s="9"/>
      <c r="R364" s="9"/>
      <c r="S364" s="261"/>
      <c r="T364" s="261"/>
      <c r="U364" s="261"/>
      <c r="V364" s="261"/>
      <c r="W364" s="261"/>
      <c r="X364" s="261"/>
      <c r="Y364" s="261"/>
      <c r="Z364" s="261"/>
    </row>
    <row r="365" spans="1:26" hidden="1" outlineLevel="1">
      <c r="A365" s="9"/>
      <c r="B365" s="9"/>
      <c r="C365" s="394"/>
      <c r="D365" s="91">
        <v>7</v>
      </c>
      <c r="E365" s="268">
        <f ca="1">OFFSET('Actual RAB roll forward'!H$69,0,D365-1)-SUM('Actual RAB roll forward'!H409:OFFSET('Actual RAB roll forward'!H409,0,Input!$W$7-1))</f>
        <v>0</v>
      </c>
      <c r="F365" s="268" t="str">
        <f>IF(A26stdlife="N/A","n/a",IF(E365=0,0,A26stdlife+D365-Input!$W$7))</f>
        <v>n/a</v>
      </c>
      <c r="G365" s="264"/>
      <c r="H365" s="394"/>
      <c r="I365" s="91">
        <v>7</v>
      </c>
      <c r="J365" s="268">
        <f ca="1">OFFSET('Tax value roll forward'!H$65,0,I365-1)-SUM('Tax value roll forward'!H405:OFFSET('Tax value roll forward'!H405,0,Input!$W$7-1))</f>
        <v>0</v>
      </c>
      <c r="K365" s="268" t="str">
        <f>IF(A26taxstdlife="N/A","n/a",IF(J365=0,0,A26taxstdlife+I365-Input!$W$7))</f>
        <v>n/a</v>
      </c>
      <c r="L365" s="114"/>
      <c r="M365" s="9"/>
      <c r="N365" s="9"/>
      <c r="O365" s="9"/>
      <c r="P365" s="9"/>
      <c r="Q365" s="9"/>
      <c r="R365" s="9"/>
      <c r="S365" s="261"/>
      <c r="T365" s="261"/>
      <c r="U365" s="261"/>
      <c r="V365" s="261"/>
      <c r="W365" s="261"/>
      <c r="X365" s="261"/>
      <c r="Y365" s="261"/>
      <c r="Z365" s="261"/>
    </row>
    <row r="366" spans="1:26" hidden="1" outlineLevel="1">
      <c r="A366" s="9"/>
      <c r="B366" s="9"/>
      <c r="C366" s="394"/>
      <c r="D366" s="91">
        <v>8</v>
      </c>
      <c r="E366" s="268">
        <f ca="1">OFFSET('Actual RAB roll forward'!H$69,0,D366-1)-SUM('Actual RAB roll forward'!H410:OFFSET('Actual RAB roll forward'!H410,0,Input!$W$7-1))</f>
        <v>0</v>
      </c>
      <c r="F366" s="268" t="str">
        <f>IF(A26stdlife="N/A","n/a",IF(E366=0,0,A26stdlife+D366-Input!$W$7))</f>
        <v>n/a</v>
      </c>
      <c r="G366" s="264"/>
      <c r="H366" s="394"/>
      <c r="I366" s="91">
        <v>8</v>
      </c>
      <c r="J366" s="268">
        <f ca="1">OFFSET('Tax value roll forward'!H$65,0,I366-1)-SUM('Tax value roll forward'!H406:OFFSET('Tax value roll forward'!H406,0,Input!$W$7-1))</f>
        <v>0</v>
      </c>
      <c r="K366" s="268" t="str">
        <f>IF(A26taxstdlife="N/A","n/a",IF(J366=0,0,A26taxstdlife+I366-Input!$W$7))</f>
        <v>n/a</v>
      </c>
      <c r="L366" s="114"/>
      <c r="M366" s="9"/>
      <c r="N366" s="9"/>
      <c r="O366" s="9"/>
      <c r="P366" s="9"/>
      <c r="Q366" s="9"/>
      <c r="R366" s="9"/>
      <c r="S366" s="261"/>
      <c r="T366" s="261"/>
      <c r="U366" s="261"/>
      <c r="V366" s="261"/>
      <c r="W366" s="261"/>
      <c r="X366" s="261"/>
      <c r="Y366" s="261"/>
      <c r="Z366" s="261"/>
    </row>
    <row r="367" spans="1:26" hidden="1" outlineLevel="1">
      <c r="A367" s="9"/>
      <c r="B367" s="9"/>
      <c r="C367" s="394"/>
      <c r="D367" s="91">
        <v>9</v>
      </c>
      <c r="E367" s="268">
        <f ca="1">OFFSET('Actual RAB roll forward'!H$69,0,D367-1)-SUM('Actual RAB roll forward'!H411:OFFSET('Actual RAB roll forward'!H411,0,Input!$W$7-1))</f>
        <v>0</v>
      </c>
      <c r="F367" s="268" t="str">
        <f>IF(A26stdlife="N/A","n/a",IF(E367=0,0,A26stdlife+D367-Input!$W$7))</f>
        <v>n/a</v>
      </c>
      <c r="G367" s="264"/>
      <c r="H367" s="394"/>
      <c r="I367" s="91">
        <v>9</v>
      </c>
      <c r="J367" s="268">
        <f ca="1">OFFSET('Tax value roll forward'!H$65,0,I367-1)-SUM('Tax value roll forward'!H407:OFFSET('Tax value roll forward'!H407,0,Input!$W$7-1))</f>
        <v>0</v>
      </c>
      <c r="K367" s="268" t="str">
        <f>IF(A26taxstdlife="N/A","n/a",IF(J367=0,0,A26taxstdlife+I367-Input!$W$7))</f>
        <v>n/a</v>
      </c>
      <c r="L367" s="114"/>
      <c r="M367" s="9"/>
      <c r="N367" s="9"/>
      <c r="O367" s="9"/>
      <c r="P367" s="9"/>
      <c r="Q367" s="9"/>
      <c r="R367" s="9"/>
      <c r="S367" s="261"/>
      <c r="T367" s="261"/>
      <c r="U367" s="261"/>
      <c r="V367" s="261"/>
      <c r="W367" s="261"/>
      <c r="X367" s="261"/>
      <c r="Y367" s="261"/>
      <c r="Z367" s="261"/>
    </row>
    <row r="368" spans="1:26" hidden="1" outlineLevel="1">
      <c r="A368" s="9"/>
      <c r="B368" s="9"/>
      <c r="C368" s="395"/>
      <c r="D368" s="92">
        <v>10</v>
      </c>
      <c r="E368" s="268">
        <f ca="1">OFFSET('Actual RAB roll forward'!H$69,0,D368-1)-SUM('Actual RAB roll forward'!H412:OFFSET('Actual RAB roll forward'!H412,0,Input!$W$7-1))</f>
        <v>0</v>
      </c>
      <c r="F368" s="268" t="str">
        <f>IF(A26stdlife="N/A","n/a",IF(E368=0,0,A26stdlife+D368-Input!$W$7))</f>
        <v>n/a</v>
      </c>
      <c r="G368" s="264"/>
      <c r="H368" s="395"/>
      <c r="I368" s="92">
        <v>10</v>
      </c>
      <c r="J368" s="268">
        <f ca="1">OFFSET('Tax value roll forward'!H$65,0,I368-1)-SUM('Tax value roll forward'!H408:OFFSET('Tax value roll forward'!H408,0,Input!$W$7-1))</f>
        <v>0</v>
      </c>
      <c r="K368" s="268" t="str">
        <f>IF(A26taxstdlife="N/A","n/a",IF(J368=0,0,A26taxstdlife+I368-Input!$W$7))</f>
        <v>n/a</v>
      </c>
      <c r="L368" s="114"/>
      <c r="M368" s="9"/>
      <c r="N368" s="9"/>
      <c r="O368" s="9"/>
      <c r="P368" s="9"/>
      <c r="Q368" s="9"/>
      <c r="R368" s="9"/>
      <c r="S368" s="261"/>
      <c r="T368" s="261"/>
      <c r="U368" s="261"/>
      <c r="V368" s="261"/>
      <c r="W368" s="261"/>
      <c r="X368" s="261"/>
      <c r="Y368" s="261"/>
      <c r="Z368" s="261"/>
    </row>
    <row r="369" spans="1:26" collapsed="1">
      <c r="A369" s="9"/>
      <c r="B369" s="9"/>
      <c r="C369" s="282">
        <f>Asset26</f>
        <v>0</v>
      </c>
      <c r="D369" s="9"/>
      <c r="E369" s="268">
        <f ca="1">SUM(E358:E368)</f>
        <v>0</v>
      </c>
      <c r="F369" s="268">
        <f ca="1">IF(E369=0,0,SUMPRODUCT(E358:E368,F358:F368)/E369)</f>
        <v>0</v>
      </c>
      <c r="G369" s="264"/>
      <c r="H369" s="43"/>
      <c r="I369" s="268"/>
      <c r="J369" s="268">
        <f ca="1">SUM(J358:J368)</f>
        <v>0</v>
      </c>
      <c r="K369" s="268">
        <f ca="1">IF(J369=0,0,SUMPRODUCT(J358:J368,K358:K368)/J369)</f>
        <v>0</v>
      </c>
      <c r="L369" s="114"/>
      <c r="M369" s="9"/>
      <c r="N369" s="9"/>
      <c r="O369" s="9"/>
      <c r="P369" s="9"/>
      <c r="Q369" s="9"/>
      <c r="R369" s="9"/>
      <c r="S369" s="261"/>
      <c r="T369" s="261"/>
      <c r="U369" s="261"/>
      <c r="V369" s="261"/>
      <c r="W369" s="261"/>
      <c r="X369" s="261"/>
      <c r="Y369" s="261"/>
      <c r="Z369" s="261"/>
    </row>
    <row r="370" spans="1:26" hidden="1" outlineLevel="1">
      <c r="A370" s="9"/>
      <c r="B370" s="280"/>
      <c r="C370" s="9"/>
      <c r="D370" s="9"/>
      <c r="E370" s="35"/>
      <c r="F370" s="35"/>
      <c r="G370" s="264"/>
      <c r="H370" s="268"/>
      <c r="I370" s="268"/>
      <c r="J370" s="273"/>
      <c r="K370" s="268"/>
      <c r="L370" s="114"/>
      <c r="M370" s="9"/>
      <c r="N370" s="9"/>
      <c r="O370" s="9"/>
      <c r="P370" s="9"/>
      <c r="Q370" s="9"/>
      <c r="R370" s="9"/>
      <c r="S370" s="261"/>
      <c r="T370" s="261"/>
      <c r="U370" s="261"/>
      <c r="V370" s="261"/>
      <c r="W370" s="261"/>
      <c r="X370" s="261"/>
      <c r="Y370" s="261"/>
      <c r="Z370" s="261"/>
    </row>
    <row r="371" spans="1:26" hidden="1" outlineLevel="1">
      <c r="A371" s="9"/>
      <c r="B371" s="280">
        <f>Asset27</f>
        <v>0</v>
      </c>
      <c r="C371" s="9"/>
      <c r="D371" s="9"/>
      <c r="E371" s="35"/>
      <c r="F371" s="35"/>
      <c r="G371" s="264"/>
      <c r="H371" s="268"/>
      <c r="I371" s="268"/>
      <c r="J371" s="273"/>
      <c r="K371" s="268"/>
      <c r="L371" s="114"/>
      <c r="M371" s="9"/>
      <c r="N371" s="9"/>
      <c r="O371" s="9"/>
      <c r="P371" s="9"/>
      <c r="Q371" s="9"/>
      <c r="R371" s="9"/>
      <c r="S371" s="261"/>
      <c r="T371" s="261"/>
      <c r="U371" s="261"/>
      <c r="V371" s="261"/>
      <c r="W371" s="261"/>
      <c r="X371" s="261"/>
      <c r="Y371" s="261"/>
      <c r="Z371" s="261"/>
    </row>
    <row r="372" spans="1:26" ht="12.75" hidden="1" customHeight="1" outlineLevel="1">
      <c r="A372" s="9"/>
      <c r="B372" s="9"/>
      <c r="C372" s="396" t="s">
        <v>26</v>
      </c>
      <c r="D372" s="397"/>
      <c r="E372" s="268">
        <f ca="1">(A27value-'Actual RAB roll forward'!G656)-SUM('Actual RAB roll forward'!H414:OFFSET('Actual RAB roll forward'!H414,0,Input!$W$7-1))</f>
        <v>0</v>
      </c>
      <c r="F372" s="268" t="str">
        <f>IF(A27remlife="N/A","n/a",A27remlife-Input!$W$7)</f>
        <v>n/a</v>
      </c>
      <c r="G372" s="264"/>
      <c r="H372" s="306" t="s">
        <v>65</v>
      </c>
      <c r="I372" s="307"/>
      <c r="J372" s="268">
        <f ca="1">A27taxvalue-SUM('Tax value roll forward'!H410:OFFSET('Tax value roll forward'!H410,0,Input!$W$7-1))</f>
        <v>0</v>
      </c>
      <c r="K372" s="268" t="str">
        <f>IF(A27taxremlife="N/A","n/a",A27taxremlife-Input!$W$7)</f>
        <v>n/a</v>
      </c>
      <c r="L372" s="114"/>
      <c r="M372" s="9"/>
      <c r="N372" s="9"/>
      <c r="O372" s="9"/>
      <c r="P372" s="9"/>
      <c r="Q372" s="9"/>
      <c r="R372" s="9"/>
      <c r="S372" s="261"/>
      <c r="T372" s="261"/>
      <c r="U372" s="261"/>
      <c r="V372" s="261"/>
      <c r="W372" s="261"/>
      <c r="X372" s="261"/>
      <c r="Y372" s="261"/>
      <c r="Z372" s="261"/>
    </row>
    <row r="373" spans="1:26" hidden="1" outlineLevel="1">
      <c r="A373" s="9"/>
      <c r="B373" s="9"/>
      <c r="C373" s="393" t="s">
        <v>81</v>
      </c>
      <c r="D373" s="91">
        <v>1</v>
      </c>
      <c r="E373" s="338">
        <f ca="1">OFFSET('Actual RAB roll forward'!H$70,0,D373-1)-SUM('Actual RAB roll forward'!H416:OFFSET('Actual RAB roll forward'!H416,0,Input!$W$7-1))</f>
        <v>0</v>
      </c>
      <c r="F373" s="268" t="str">
        <f>IF(A27stdlife="N/A","n/a",IF(E373=0,0,A27stdlife+D373-Input!$W$7))</f>
        <v>n/a</v>
      </c>
      <c r="G373" s="264"/>
      <c r="H373" s="393" t="s">
        <v>81</v>
      </c>
      <c r="I373" s="91">
        <v>1</v>
      </c>
      <c r="J373" s="268">
        <f ca="1">OFFSET('Tax value roll forward'!H$66,0,I373-1)-SUM('Tax value roll forward'!H412:OFFSET('Tax value roll forward'!H412,0,Input!$W$7-1))</f>
        <v>0</v>
      </c>
      <c r="K373" s="268" t="str">
        <f>IF(A27taxstdlife="N/A","n/a",IF(J373=0,0,A27taxstdlife+I373-Input!$W$7))</f>
        <v>n/a</v>
      </c>
      <c r="L373" s="114"/>
      <c r="M373" s="9"/>
      <c r="N373" s="9"/>
      <c r="O373" s="9"/>
      <c r="P373" s="9"/>
      <c r="Q373" s="9"/>
      <c r="R373" s="9"/>
      <c r="S373" s="261"/>
      <c r="T373" s="261"/>
      <c r="U373" s="261"/>
      <c r="V373" s="261"/>
      <c r="W373" s="261"/>
      <c r="X373" s="261"/>
      <c r="Y373" s="261"/>
      <c r="Z373" s="261"/>
    </row>
    <row r="374" spans="1:26" hidden="1" outlineLevel="1">
      <c r="A374" s="9"/>
      <c r="B374" s="9"/>
      <c r="C374" s="394"/>
      <c r="D374" s="91">
        <v>2</v>
      </c>
      <c r="E374" s="268">
        <f ca="1">OFFSET('Actual RAB roll forward'!H$70,0,D374-1)-SUM('Actual RAB roll forward'!H417:OFFSET('Actual RAB roll forward'!H417,0,Input!$W$7-1))</f>
        <v>0</v>
      </c>
      <c r="F374" s="268" t="str">
        <f>IF(A27stdlife="N/A","n/a",IF(E374=0,0,A27stdlife+D374-Input!$W$7))</f>
        <v>n/a</v>
      </c>
      <c r="G374" s="264"/>
      <c r="H374" s="394"/>
      <c r="I374" s="91">
        <v>2</v>
      </c>
      <c r="J374" s="268">
        <f ca="1">OFFSET('Tax value roll forward'!H$66,0,I374-1)-SUM('Tax value roll forward'!H413:OFFSET('Tax value roll forward'!H413,0,Input!$W$7-1))</f>
        <v>0</v>
      </c>
      <c r="K374" s="268" t="str">
        <f>IF(A27taxstdlife="N/A","n/a",IF(J374=0,0,A27taxstdlife+I374-Input!$W$7))</f>
        <v>n/a</v>
      </c>
      <c r="L374" s="114"/>
      <c r="M374" s="9"/>
      <c r="N374" s="9"/>
      <c r="O374" s="9"/>
      <c r="P374" s="9"/>
      <c r="Q374" s="9"/>
      <c r="R374" s="9"/>
      <c r="S374" s="261"/>
      <c r="T374" s="261"/>
      <c r="U374" s="261"/>
      <c r="V374" s="261"/>
      <c r="W374" s="261"/>
      <c r="X374" s="261"/>
      <c r="Y374" s="261"/>
      <c r="Z374" s="261"/>
    </row>
    <row r="375" spans="1:26" hidden="1" outlineLevel="1">
      <c r="A375" s="9"/>
      <c r="B375" s="9"/>
      <c r="C375" s="394"/>
      <c r="D375" s="91">
        <v>3</v>
      </c>
      <c r="E375" s="268">
        <f ca="1">OFFSET('Actual RAB roll forward'!H$70,0,D375-1)-SUM('Actual RAB roll forward'!H418:OFFSET('Actual RAB roll forward'!H418,0,Input!$W$7-1))</f>
        <v>0</v>
      </c>
      <c r="F375" s="268" t="str">
        <f>IF(A27stdlife="N/A","n/a",IF(E375=0,0,A27stdlife+D375-Input!$W$7))</f>
        <v>n/a</v>
      </c>
      <c r="G375" s="264"/>
      <c r="H375" s="394"/>
      <c r="I375" s="91">
        <v>3</v>
      </c>
      <c r="J375" s="268">
        <f ca="1">OFFSET('Tax value roll forward'!H$66,0,I375-1)-SUM('Tax value roll forward'!H414:OFFSET('Tax value roll forward'!H414,0,Input!$W$7-1))</f>
        <v>0</v>
      </c>
      <c r="K375" s="268" t="str">
        <f>IF(A27taxstdlife="N/A","n/a",IF(J375=0,0,A27taxstdlife+I375-Input!$W$7))</f>
        <v>n/a</v>
      </c>
      <c r="L375" s="114"/>
      <c r="M375" s="9"/>
      <c r="N375" s="9"/>
      <c r="O375" s="9"/>
      <c r="P375" s="9"/>
      <c r="Q375" s="9"/>
      <c r="R375" s="9"/>
      <c r="S375" s="261"/>
      <c r="T375" s="261"/>
      <c r="U375" s="261"/>
      <c r="V375" s="261"/>
      <c r="W375" s="261"/>
      <c r="X375" s="261"/>
      <c r="Y375" s="261"/>
      <c r="Z375" s="261"/>
    </row>
    <row r="376" spans="1:26" hidden="1" outlineLevel="1">
      <c r="A376" s="9"/>
      <c r="B376" s="9"/>
      <c r="C376" s="394"/>
      <c r="D376" s="91">
        <v>4</v>
      </c>
      <c r="E376" s="268">
        <f ca="1">OFFSET('Actual RAB roll forward'!H$70,0,D376-1)-SUM('Actual RAB roll forward'!H419:OFFSET('Actual RAB roll forward'!H419,0,Input!$W$7-1))</f>
        <v>0</v>
      </c>
      <c r="F376" s="268" t="str">
        <f>IF(A27stdlife="N/A","n/a",IF(E376=0,0,A27stdlife+D376-Input!$W$7))</f>
        <v>n/a</v>
      </c>
      <c r="G376" s="264"/>
      <c r="H376" s="394"/>
      <c r="I376" s="91">
        <v>4</v>
      </c>
      <c r="J376" s="268">
        <f ca="1">OFFSET('Tax value roll forward'!H$66,0,I376-1)-SUM('Tax value roll forward'!H415:OFFSET('Tax value roll forward'!H415,0,Input!$W$7-1))</f>
        <v>0</v>
      </c>
      <c r="K376" s="268" t="str">
        <f>IF(A27taxstdlife="N/A","n/a",IF(J376=0,0,A27taxstdlife+I376-Input!$W$7))</f>
        <v>n/a</v>
      </c>
      <c r="L376" s="114"/>
      <c r="M376" s="9"/>
      <c r="N376" s="9"/>
      <c r="O376" s="9"/>
      <c r="P376" s="9"/>
      <c r="Q376" s="9"/>
      <c r="R376" s="9"/>
      <c r="S376" s="261"/>
      <c r="T376" s="261"/>
      <c r="U376" s="261"/>
      <c r="V376" s="261"/>
      <c r="W376" s="261"/>
      <c r="X376" s="261"/>
      <c r="Y376" s="261"/>
      <c r="Z376" s="261"/>
    </row>
    <row r="377" spans="1:26" hidden="1" outlineLevel="1">
      <c r="A377" s="9"/>
      <c r="B377" s="9"/>
      <c r="C377" s="394"/>
      <c r="D377" s="91">
        <v>5</v>
      </c>
      <c r="E377" s="268">
        <f ca="1">OFFSET('Actual RAB roll forward'!H$70,0,D377-1)-SUM('Actual RAB roll forward'!H420:OFFSET('Actual RAB roll forward'!H420,0,Input!$W$7-1))</f>
        <v>0</v>
      </c>
      <c r="F377" s="268" t="str">
        <f>IF(A27stdlife="N/A","n/a",IF(E377=0,0,A27stdlife+D377-Input!$W$7))</f>
        <v>n/a</v>
      </c>
      <c r="G377" s="264"/>
      <c r="H377" s="394"/>
      <c r="I377" s="91">
        <v>5</v>
      </c>
      <c r="J377" s="268">
        <f ca="1">OFFSET('Tax value roll forward'!H$66,0,I377-1)-SUM('Tax value roll forward'!H416:OFFSET('Tax value roll forward'!H416,0,Input!$W$7-1))</f>
        <v>0</v>
      </c>
      <c r="K377" s="268" t="str">
        <f>IF(A27taxstdlife="N/A","n/a",IF(J377=0,0,A27taxstdlife+I377-Input!$W$7))</f>
        <v>n/a</v>
      </c>
      <c r="L377" s="114"/>
      <c r="M377" s="9"/>
      <c r="N377" s="9"/>
      <c r="O377" s="9"/>
      <c r="P377" s="9"/>
      <c r="Q377" s="9"/>
      <c r="R377" s="9"/>
      <c r="S377" s="261"/>
      <c r="T377" s="261"/>
      <c r="U377" s="261"/>
      <c r="V377" s="261"/>
      <c r="W377" s="261"/>
      <c r="X377" s="261"/>
      <c r="Y377" s="261"/>
      <c r="Z377" s="261"/>
    </row>
    <row r="378" spans="1:26" hidden="1" outlineLevel="1">
      <c r="A378" s="9"/>
      <c r="B378" s="9"/>
      <c r="C378" s="394"/>
      <c r="D378" s="91">
        <v>6</v>
      </c>
      <c r="E378" s="268">
        <f ca="1">OFFSET('Actual RAB roll forward'!H$70,0,D378-1)-SUM('Actual RAB roll forward'!H421:OFFSET('Actual RAB roll forward'!H421,0,Input!$W$7-1))</f>
        <v>0</v>
      </c>
      <c r="F378" s="268" t="str">
        <f>IF(A27stdlife="N/A","n/a",IF(E378=0,0,A27stdlife+D378-Input!$W$7))</f>
        <v>n/a</v>
      </c>
      <c r="G378" s="264"/>
      <c r="H378" s="394"/>
      <c r="I378" s="91">
        <v>6</v>
      </c>
      <c r="J378" s="268">
        <f ca="1">OFFSET('Tax value roll forward'!H$66,0,I378-1)-SUM('Tax value roll forward'!H417:OFFSET('Tax value roll forward'!H417,0,Input!$W$7-1))</f>
        <v>0</v>
      </c>
      <c r="K378" s="268" t="str">
        <f>IF(A27taxstdlife="N/A","n/a",IF(J378=0,0,A27taxstdlife+I378-Input!$W$7))</f>
        <v>n/a</v>
      </c>
      <c r="L378" s="114"/>
      <c r="M378" s="9"/>
      <c r="N378" s="9"/>
      <c r="O378" s="9"/>
      <c r="P378" s="9"/>
      <c r="Q378" s="9"/>
      <c r="R378" s="9"/>
      <c r="S378" s="261"/>
      <c r="T378" s="261"/>
      <c r="U378" s="261"/>
      <c r="V378" s="261"/>
      <c r="W378" s="261"/>
      <c r="X378" s="261"/>
      <c r="Y378" s="261"/>
      <c r="Z378" s="261"/>
    </row>
    <row r="379" spans="1:26" hidden="1" outlineLevel="1">
      <c r="A379" s="9"/>
      <c r="B379" s="9"/>
      <c r="C379" s="394"/>
      <c r="D379" s="91">
        <v>7</v>
      </c>
      <c r="E379" s="268">
        <f ca="1">OFFSET('Actual RAB roll forward'!H$70,0,D379-1)-SUM('Actual RAB roll forward'!H422:OFFSET('Actual RAB roll forward'!H422,0,Input!$W$7-1))</f>
        <v>0</v>
      </c>
      <c r="F379" s="268" t="str">
        <f>IF(A27stdlife="N/A","n/a",IF(E379=0,0,A27stdlife+D379-Input!$W$7))</f>
        <v>n/a</v>
      </c>
      <c r="G379" s="264"/>
      <c r="H379" s="394"/>
      <c r="I379" s="91">
        <v>7</v>
      </c>
      <c r="J379" s="268">
        <f ca="1">OFFSET('Tax value roll forward'!H$66,0,I379-1)-SUM('Tax value roll forward'!H418:OFFSET('Tax value roll forward'!H418,0,Input!$W$7-1))</f>
        <v>0</v>
      </c>
      <c r="K379" s="268" t="str">
        <f>IF(A27taxstdlife="N/A","n/a",IF(J379=0,0,A27taxstdlife+I379-Input!$W$7))</f>
        <v>n/a</v>
      </c>
      <c r="L379" s="114"/>
      <c r="M379" s="9"/>
      <c r="N379" s="9"/>
      <c r="O379" s="9"/>
      <c r="P379" s="9"/>
      <c r="Q379" s="9"/>
      <c r="R379" s="9"/>
      <c r="S379" s="261"/>
      <c r="T379" s="261"/>
      <c r="U379" s="261"/>
      <c r="V379" s="261"/>
      <c r="W379" s="261"/>
      <c r="X379" s="261"/>
      <c r="Y379" s="261"/>
      <c r="Z379" s="261"/>
    </row>
    <row r="380" spans="1:26" hidden="1" outlineLevel="1">
      <c r="A380" s="9"/>
      <c r="B380" s="9"/>
      <c r="C380" s="394"/>
      <c r="D380" s="91">
        <v>8</v>
      </c>
      <c r="E380" s="268">
        <f ca="1">OFFSET('Actual RAB roll forward'!H$70,0,D380-1)-SUM('Actual RAB roll forward'!H423:OFFSET('Actual RAB roll forward'!H423,0,Input!$W$7-1))</f>
        <v>0</v>
      </c>
      <c r="F380" s="268" t="str">
        <f>IF(A27stdlife="N/A","n/a",IF(E380=0,0,A27stdlife+D380-Input!$W$7))</f>
        <v>n/a</v>
      </c>
      <c r="G380" s="264"/>
      <c r="H380" s="394"/>
      <c r="I380" s="91">
        <v>8</v>
      </c>
      <c r="J380" s="268">
        <f ca="1">OFFSET('Tax value roll forward'!H$66,0,I380-1)-SUM('Tax value roll forward'!H419:OFFSET('Tax value roll forward'!H419,0,Input!$W$7-1))</f>
        <v>0</v>
      </c>
      <c r="K380" s="268" t="str">
        <f>IF(A27taxstdlife="N/A","n/a",IF(J380=0,0,A27taxstdlife+I380-Input!$W$7))</f>
        <v>n/a</v>
      </c>
      <c r="L380" s="114"/>
      <c r="M380" s="9"/>
      <c r="N380" s="9"/>
      <c r="O380" s="9"/>
      <c r="P380" s="9"/>
      <c r="Q380" s="9"/>
      <c r="R380" s="9"/>
      <c r="S380" s="261"/>
      <c r="T380" s="261"/>
      <c r="U380" s="261"/>
      <c r="V380" s="261"/>
      <c r="W380" s="261"/>
      <c r="X380" s="261"/>
      <c r="Y380" s="261"/>
      <c r="Z380" s="261"/>
    </row>
    <row r="381" spans="1:26" hidden="1" outlineLevel="1">
      <c r="A381" s="9"/>
      <c r="B381" s="9"/>
      <c r="C381" s="394"/>
      <c r="D381" s="91">
        <v>9</v>
      </c>
      <c r="E381" s="268">
        <f ca="1">OFFSET('Actual RAB roll forward'!H$70,0,D381-1)-SUM('Actual RAB roll forward'!H424:OFFSET('Actual RAB roll forward'!H424,0,Input!$W$7-1))</f>
        <v>0</v>
      </c>
      <c r="F381" s="268" t="str">
        <f>IF(A27stdlife="N/A","n/a",IF(E381=0,0,A27stdlife+D381-Input!$W$7))</f>
        <v>n/a</v>
      </c>
      <c r="G381" s="264"/>
      <c r="H381" s="394"/>
      <c r="I381" s="91">
        <v>9</v>
      </c>
      <c r="J381" s="268">
        <f ca="1">OFFSET('Tax value roll forward'!H$66,0,I381-1)-SUM('Tax value roll forward'!H420:OFFSET('Tax value roll forward'!H420,0,Input!$W$7-1))</f>
        <v>0</v>
      </c>
      <c r="K381" s="268" t="str">
        <f>IF(A27taxstdlife="N/A","n/a",IF(J381=0,0,A27taxstdlife+I381-Input!$W$7))</f>
        <v>n/a</v>
      </c>
      <c r="L381" s="114"/>
      <c r="M381" s="9"/>
      <c r="N381" s="9"/>
      <c r="O381" s="9"/>
      <c r="P381" s="9"/>
      <c r="Q381" s="9"/>
      <c r="R381" s="9"/>
      <c r="S381" s="261"/>
      <c r="T381" s="261"/>
      <c r="U381" s="261"/>
      <c r="V381" s="261"/>
      <c r="W381" s="261"/>
      <c r="X381" s="261"/>
      <c r="Y381" s="261"/>
      <c r="Z381" s="261"/>
    </row>
    <row r="382" spans="1:26" hidden="1" outlineLevel="1">
      <c r="A382" s="9"/>
      <c r="B382" s="9"/>
      <c r="C382" s="395"/>
      <c r="D382" s="92">
        <v>10</v>
      </c>
      <c r="E382" s="268">
        <f ca="1">OFFSET('Actual RAB roll forward'!H$70,0,D382-1)-SUM('Actual RAB roll forward'!H425:OFFSET('Actual RAB roll forward'!H425,0,Input!$W$7-1))</f>
        <v>0</v>
      </c>
      <c r="F382" s="268" t="str">
        <f>IF(A27stdlife="N/A","n/a",IF(E382=0,0,A27stdlife+D382-Input!$W$7))</f>
        <v>n/a</v>
      </c>
      <c r="G382" s="264"/>
      <c r="H382" s="395"/>
      <c r="I382" s="92">
        <v>10</v>
      </c>
      <c r="J382" s="268">
        <f ca="1">OFFSET('Tax value roll forward'!H$66,0,I382-1)-SUM('Tax value roll forward'!H421:OFFSET('Tax value roll forward'!H421,0,Input!$W$7-1))</f>
        <v>0</v>
      </c>
      <c r="K382" s="268" t="str">
        <f>IF(A27taxstdlife="N/A","n/a",IF(J382=0,0,A27taxstdlife+I382-Input!$W$7))</f>
        <v>n/a</v>
      </c>
      <c r="L382" s="114"/>
      <c r="M382" s="9"/>
      <c r="N382" s="9"/>
      <c r="O382" s="9"/>
      <c r="P382" s="9"/>
      <c r="Q382" s="9"/>
      <c r="R382" s="9"/>
      <c r="S382" s="261"/>
      <c r="T382" s="261"/>
      <c r="U382" s="261"/>
      <c r="V382" s="261"/>
      <c r="W382" s="261"/>
      <c r="X382" s="261"/>
      <c r="Y382" s="261"/>
      <c r="Z382" s="261"/>
    </row>
    <row r="383" spans="1:26" collapsed="1">
      <c r="A383" s="9"/>
      <c r="B383" s="9"/>
      <c r="C383" s="282">
        <f>Asset27</f>
        <v>0</v>
      </c>
      <c r="D383" s="9"/>
      <c r="E383" s="268">
        <f ca="1">SUM(E372:E382)</f>
        <v>0</v>
      </c>
      <c r="F383" s="268">
        <f ca="1">IF(E383=0,0,SUMPRODUCT(E372:E382,F372:F382)/E383)</f>
        <v>0</v>
      </c>
      <c r="G383" s="264"/>
      <c r="H383" s="43"/>
      <c r="I383" s="268"/>
      <c r="J383" s="268">
        <f ca="1">SUM(J372:J382)</f>
        <v>0</v>
      </c>
      <c r="K383" s="268">
        <f ca="1">IF(J383=0,0,SUMPRODUCT(J372:J382,K372:K382)/J383)</f>
        <v>0</v>
      </c>
      <c r="L383" s="114"/>
      <c r="M383" s="9"/>
      <c r="N383" s="9"/>
      <c r="O383" s="9"/>
      <c r="P383" s="9"/>
      <c r="Q383" s="9"/>
      <c r="R383" s="9"/>
      <c r="S383" s="261"/>
      <c r="T383" s="261"/>
      <c r="U383" s="261"/>
      <c r="V383" s="261"/>
      <c r="W383" s="261"/>
      <c r="X383" s="261"/>
      <c r="Y383" s="261"/>
      <c r="Z383" s="261"/>
    </row>
    <row r="384" spans="1:26" hidden="1" outlineLevel="1">
      <c r="A384" s="9"/>
      <c r="B384" s="280"/>
      <c r="C384" s="9"/>
      <c r="D384" s="9"/>
      <c r="E384" s="35"/>
      <c r="F384" s="35"/>
      <c r="G384" s="264"/>
      <c r="H384" s="268"/>
      <c r="I384" s="268"/>
      <c r="J384" s="273"/>
      <c r="K384" s="268"/>
      <c r="L384" s="114"/>
      <c r="M384" s="9"/>
      <c r="N384" s="9"/>
      <c r="O384" s="9"/>
      <c r="P384" s="9"/>
      <c r="Q384" s="9"/>
      <c r="R384" s="9"/>
      <c r="S384" s="261"/>
      <c r="T384" s="261"/>
      <c r="U384" s="261"/>
      <c r="V384" s="261"/>
      <c r="W384" s="261"/>
      <c r="X384" s="261"/>
      <c r="Y384" s="261"/>
      <c r="Z384" s="261"/>
    </row>
    <row r="385" spans="1:26" hidden="1" outlineLevel="1">
      <c r="A385" s="9"/>
      <c r="B385" s="280">
        <f>Asset28</f>
        <v>0</v>
      </c>
      <c r="C385" s="9"/>
      <c r="D385" s="9"/>
      <c r="E385" s="35"/>
      <c r="F385" s="35"/>
      <c r="G385" s="264"/>
      <c r="H385" s="268"/>
      <c r="I385" s="268"/>
      <c r="J385" s="273"/>
      <c r="K385" s="268"/>
      <c r="L385" s="114"/>
      <c r="M385" s="9"/>
      <c r="N385" s="9"/>
      <c r="O385" s="9"/>
      <c r="P385" s="9"/>
      <c r="Q385" s="9"/>
      <c r="R385" s="9"/>
      <c r="S385" s="261"/>
      <c r="T385" s="261"/>
      <c r="U385" s="261"/>
      <c r="V385" s="261"/>
      <c r="W385" s="261"/>
      <c r="X385" s="261"/>
      <c r="Y385" s="261"/>
      <c r="Z385" s="261"/>
    </row>
    <row r="386" spans="1:26" ht="12.75" hidden="1" customHeight="1" outlineLevel="1">
      <c r="A386" s="9"/>
      <c r="B386" s="9"/>
      <c r="C386" s="396" t="s">
        <v>26</v>
      </c>
      <c r="D386" s="397"/>
      <c r="E386" s="338">
        <f ca="1">(A28value-'Actual RAB roll forward'!G657)-SUM('Actual RAB roll forward'!H427:OFFSET('Actual RAB roll forward'!H427,0,Input!$W$7-1))</f>
        <v>0</v>
      </c>
      <c r="F386" s="268" t="str">
        <f>IF(A28remlife="N/A","n/a",A28remlife-Input!$W$7)</f>
        <v>n/a</v>
      </c>
      <c r="G386" s="264"/>
      <c r="H386" s="306" t="s">
        <v>65</v>
      </c>
      <c r="I386" s="307"/>
      <c r="J386" s="268">
        <f ca="1">A28taxvalue-SUM('Tax value roll forward'!H423:OFFSET('Tax value roll forward'!H423,0,Input!$W$7-1))</f>
        <v>0</v>
      </c>
      <c r="K386" s="268" t="str">
        <f>IF(A28taxremlife="N/A","n/a",A28taxremlife-Input!$W$7)</f>
        <v>n/a</v>
      </c>
      <c r="L386" s="114"/>
      <c r="M386" s="9"/>
      <c r="N386" s="9"/>
      <c r="O386" s="9"/>
      <c r="P386" s="9"/>
      <c r="Q386" s="9"/>
      <c r="R386" s="9"/>
      <c r="S386" s="261"/>
      <c r="T386" s="261"/>
      <c r="U386" s="261"/>
      <c r="V386" s="261"/>
      <c r="W386" s="261"/>
      <c r="X386" s="261"/>
      <c r="Y386" s="261"/>
      <c r="Z386" s="261"/>
    </row>
    <row r="387" spans="1:26" hidden="1" outlineLevel="1">
      <c r="A387" s="9"/>
      <c r="B387" s="9"/>
      <c r="C387" s="393" t="s">
        <v>81</v>
      </c>
      <c r="D387" s="91">
        <v>1</v>
      </c>
      <c r="E387" s="268">
        <f ca="1">OFFSET('Actual RAB roll forward'!H$71,0,D387-1)-SUM('Actual RAB roll forward'!H429:OFFSET('Actual RAB roll forward'!H429,0,Input!$W$7-1))</f>
        <v>0</v>
      </c>
      <c r="F387" s="268" t="str">
        <f>IF(A28stdlife="N/A","n/a",IF(E387=0,0,A28stdlife+D387-Input!$W$7))</f>
        <v>n/a</v>
      </c>
      <c r="G387" s="264"/>
      <c r="H387" s="393" t="s">
        <v>81</v>
      </c>
      <c r="I387" s="91">
        <v>1</v>
      </c>
      <c r="J387" s="268">
        <f ca="1">OFFSET('Tax value roll forward'!H$67,0,I387-1)-SUM('Tax value roll forward'!H425:OFFSET('Tax value roll forward'!H425,0,Input!$W$7-1))</f>
        <v>0</v>
      </c>
      <c r="K387" s="268" t="str">
        <f>IF(A28taxstdlife="N/A","n/a",IF(J387=0,0,A28taxstdlife+I387-Input!$W$7))</f>
        <v>n/a</v>
      </c>
      <c r="L387" s="114"/>
      <c r="M387" s="9"/>
      <c r="N387" s="9"/>
      <c r="O387" s="9"/>
      <c r="P387" s="9"/>
      <c r="Q387" s="9"/>
      <c r="R387" s="9"/>
      <c r="S387" s="261"/>
      <c r="T387" s="261"/>
      <c r="U387" s="261"/>
      <c r="V387" s="261"/>
      <c r="W387" s="261"/>
      <c r="X387" s="261"/>
      <c r="Y387" s="261"/>
      <c r="Z387" s="261"/>
    </row>
    <row r="388" spans="1:26" hidden="1" outlineLevel="1">
      <c r="A388" s="9"/>
      <c r="B388" s="9"/>
      <c r="C388" s="394"/>
      <c r="D388" s="91">
        <v>2</v>
      </c>
      <c r="E388" s="268">
        <f ca="1">OFFSET('Actual RAB roll forward'!H$71,0,D388-1)-SUM('Actual RAB roll forward'!H430:OFFSET('Actual RAB roll forward'!H430,0,Input!$W$7-1))</f>
        <v>0</v>
      </c>
      <c r="F388" s="268" t="str">
        <f>IF(A28stdlife="N/A","n/a",IF(E388=0,0,A28stdlife+D388-Input!$W$7))</f>
        <v>n/a</v>
      </c>
      <c r="G388" s="264"/>
      <c r="H388" s="394"/>
      <c r="I388" s="91">
        <v>2</v>
      </c>
      <c r="J388" s="268">
        <f ca="1">OFFSET('Tax value roll forward'!H$67,0,I388-1)-SUM('Tax value roll forward'!H426:OFFSET('Tax value roll forward'!H426,0,Input!$W$7-1))</f>
        <v>0</v>
      </c>
      <c r="K388" s="268" t="str">
        <f>IF(A28taxstdlife="N/A","n/a",IF(J388=0,0,A28taxstdlife+I388-Input!$W$7))</f>
        <v>n/a</v>
      </c>
      <c r="L388" s="114"/>
      <c r="M388" s="9"/>
      <c r="N388" s="9"/>
      <c r="O388" s="9"/>
      <c r="P388" s="9"/>
      <c r="Q388" s="9"/>
      <c r="R388" s="9"/>
      <c r="S388" s="261"/>
      <c r="T388" s="261"/>
      <c r="U388" s="261"/>
      <c r="V388" s="261"/>
      <c r="W388" s="261"/>
      <c r="X388" s="261"/>
      <c r="Y388" s="261"/>
      <c r="Z388" s="261"/>
    </row>
    <row r="389" spans="1:26" hidden="1" outlineLevel="1">
      <c r="A389" s="9"/>
      <c r="B389" s="9"/>
      <c r="C389" s="394"/>
      <c r="D389" s="91">
        <v>3</v>
      </c>
      <c r="E389" s="268">
        <f ca="1">OFFSET('Actual RAB roll forward'!H$71,0,D389-1)-SUM('Actual RAB roll forward'!H431:OFFSET('Actual RAB roll forward'!H431,0,Input!$W$7-1))</f>
        <v>0</v>
      </c>
      <c r="F389" s="268" t="str">
        <f>IF(A28stdlife="N/A","n/a",IF(E389=0,0,A28stdlife+D389-Input!$W$7))</f>
        <v>n/a</v>
      </c>
      <c r="G389" s="264"/>
      <c r="H389" s="394"/>
      <c r="I389" s="91">
        <v>3</v>
      </c>
      <c r="J389" s="268">
        <f ca="1">OFFSET('Tax value roll forward'!H$67,0,I389-1)-SUM('Tax value roll forward'!H427:OFFSET('Tax value roll forward'!H427,0,Input!$W$7-1))</f>
        <v>0</v>
      </c>
      <c r="K389" s="268" t="str">
        <f>IF(A28taxstdlife="N/A","n/a",IF(J389=0,0,A28taxstdlife+I389-Input!$W$7))</f>
        <v>n/a</v>
      </c>
      <c r="L389" s="114"/>
      <c r="M389" s="9"/>
      <c r="N389" s="9"/>
      <c r="O389" s="9"/>
      <c r="P389" s="9"/>
      <c r="Q389" s="9"/>
      <c r="R389" s="9"/>
      <c r="S389" s="261"/>
      <c r="T389" s="261"/>
      <c r="U389" s="261"/>
      <c r="V389" s="261"/>
      <c r="W389" s="261"/>
      <c r="X389" s="261"/>
      <c r="Y389" s="261"/>
      <c r="Z389" s="261"/>
    </row>
    <row r="390" spans="1:26" hidden="1" outlineLevel="1">
      <c r="A390" s="9"/>
      <c r="B390" s="9"/>
      <c r="C390" s="394"/>
      <c r="D390" s="91">
        <v>4</v>
      </c>
      <c r="E390" s="268">
        <f ca="1">OFFSET('Actual RAB roll forward'!H$71,0,D390-1)-SUM('Actual RAB roll forward'!H432:OFFSET('Actual RAB roll forward'!H432,0,Input!$W$7-1))</f>
        <v>0</v>
      </c>
      <c r="F390" s="268" t="str">
        <f>IF(A28stdlife="N/A","n/a",IF(E390=0,0,A28stdlife+D390-Input!$W$7))</f>
        <v>n/a</v>
      </c>
      <c r="G390" s="264"/>
      <c r="H390" s="394"/>
      <c r="I390" s="91">
        <v>4</v>
      </c>
      <c r="J390" s="268">
        <f ca="1">OFFSET('Tax value roll forward'!H$67,0,I390-1)-SUM('Tax value roll forward'!H428:OFFSET('Tax value roll forward'!H428,0,Input!$W$7-1))</f>
        <v>0</v>
      </c>
      <c r="K390" s="268" t="str">
        <f>IF(A28taxstdlife="N/A","n/a",IF(J390=0,0,A28taxstdlife+I390-Input!$W$7))</f>
        <v>n/a</v>
      </c>
      <c r="L390" s="114"/>
      <c r="M390" s="9"/>
      <c r="N390" s="9"/>
      <c r="O390" s="9"/>
      <c r="P390" s="9"/>
      <c r="Q390" s="9"/>
      <c r="R390" s="9"/>
      <c r="S390" s="261"/>
      <c r="T390" s="261"/>
      <c r="U390" s="261"/>
      <c r="V390" s="261"/>
      <c r="W390" s="261"/>
      <c r="X390" s="261"/>
      <c r="Y390" s="261"/>
      <c r="Z390" s="261"/>
    </row>
    <row r="391" spans="1:26" hidden="1" outlineLevel="1">
      <c r="A391" s="9"/>
      <c r="B391" s="9"/>
      <c r="C391" s="394"/>
      <c r="D391" s="91">
        <v>5</v>
      </c>
      <c r="E391" s="268">
        <f ca="1">OFFSET('Actual RAB roll forward'!H$71,0,D391-1)-SUM('Actual RAB roll forward'!H433:OFFSET('Actual RAB roll forward'!H433,0,Input!$W$7-1))</f>
        <v>0</v>
      </c>
      <c r="F391" s="268" t="str">
        <f>IF(A28stdlife="N/A","n/a",IF(E391=0,0,A28stdlife+D391-Input!$W$7))</f>
        <v>n/a</v>
      </c>
      <c r="G391" s="264"/>
      <c r="H391" s="394"/>
      <c r="I391" s="91">
        <v>5</v>
      </c>
      <c r="J391" s="268">
        <f ca="1">OFFSET('Tax value roll forward'!H$67,0,I391-1)-SUM('Tax value roll forward'!H429:OFFSET('Tax value roll forward'!H429,0,Input!$W$7-1))</f>
        <v>0</v>
      </c>
      <c r="K391" s="268" t="str">
        <f>IF(A28taxstdlife="N/A","n/a",IF(J391=0,0,A28taxstdlife+I391-Input!$W$7))</f>
        <v>n/a</v>
      </c>
      <c r="L391" s="114"/>
      <c r="M391" s="9"/>
      <c r="N391" s="9"/>
      <c r="O391" s="9"/>
      <c r="P391" s="9"/>
      <c r="Q391" s="9"/>
      <c r="R391" s="9"/>
      <c r="S391" s="261"/>
      <c r="T391" s="261"/>
      <c r="U391" s="261"/>
      <c r="V391" s="261"/>
      <c r="W391" s="261"/>
      <c r="X391" s="261"/>
      <c r="Y391" s="261"/>
      <c r="Z391" s="261"/>
    </row>
    <row r="392" spans="1:26" hidden="1" outlineLevel="1">
      <c r="A392" s="9"/>
      <c r="B392" s="9"/>
      <c r="C392" s="394"/>
      <c r="D392" s="91">
        <v>6</v>
      </c>
      <c r="E392" s="268">
        <f ca="1">OFFSET('Actual RAB roll forward'!H$71,0,D392-1)-SUM('Actual RAB roll forward'!H434:OFFSET('Actual RAB roll forward'!H434,0,Input!$W$7-1))</f>
        <v>0</v>
      </c>
      <c r="F392" s="268" t="str">
        <f>IF(A28stdlife="N/A","n/a",IF(E392=0,0,A28stdlife+D392-Input!$W$7))</f>
        <v>n/a</v>
      </c>
      <c r="G392" s="264"/>
      <c r="H392" s="394"/>
      <c r="I392" s="91">
        <v>6</v>
      </c>
      <c r="J392" s="268">
        <f ca="1">OFFSET('Tax value roll forward'!H$67,0,I392-1)-SUM('Tax value roll forward'!H430:OFFSET('Tax value roll forward'!H430,0,Input!$W$7-1))</f>
        <v>0</v>
      </c>
      <c r="K392" s="268" t="str">
        <f>IF(A28taxstdlife="N/A","n/a",IF(J392=0,0,A28taxstdlife+I392-Input!$W$7))</f>
        <v>n/a</v>
      </c>
      <c r="L392" s="114"/>
      <c r="M392" s="9"/>
      <c r="N392" s="9"/>
      <c r="O392" s="9"/>
      <c r="P392" s="9"/>
      <c r="Q392" s="9"/>
      <c r="R392" s="9"/>
      <c r="S392" s="261"/>
      <c r="T392" s="261"/>
      <c r="U392" s="261"/>
      <c r="V392" s="261"/>
      <c r="W392" s="261"/>
      <c r="X392" s="261"/>
      <c r="Y392" s="261"/>
      <c r="Z392" s="261"/>
    </row>
    <row r="393" spans="1:26" hidden="1" outlineLevel="1">
      <c r="A393" s="9"/>
      <c r="B393" s="9"/>
      <c r="C393" s="394"/>
      <c r="D393" s="91">
        <v>7</v>
      </c>
      <c r="E393" s="268">
        <f ca="1">OFFSET('Actual RAB roll forward'!H$71,0,D393-1)-SUM('Actual RAB roll forward'!H435:OFFSET('Actual RAB roll forward'!H435,0,Input!$W$7-1))</f>
        <v>0</v>
      </c>
      <c r="F393" s="268" t="str">
        <f>IF(A28stdlife="N/A","n/a",IF(E393=0,0,A28stdlife+D393-Input!$W$7))</f>
        <v>n/a</v>
      </c>
      <c r="G393" s="264"/>
      <c r="H393" s="394"/>
      <c r="I393" s="91">
        <v>7</v>
      </c>
      <c r="J393" s="268">
        <f ca="1">OFFSET('Tax value roll forward'!H$67,0,I393-1)-SUM('Tax value roll forward'!H431:OFFSET('Tax value roll forward'!H431,0,Input!$W$7-1))</f>
        <v>0</v>
      </c>
      <c r="K393" s="268" t="str">
        <f>IF(A28taxstdlife="N/A","n/a",IF(J393=0,0,A28taxstdlife+I393-Input!$W$7))</f>
        <v>n/a</v>
      </c>
      <c r="L393" s="114"/>
      <c r="M393" s="9"/>
      <c r="N393" s="9"/>
      <c r="O393" s="9"/>
      <c r="P393" s="9"/>
      <c r="Q393" s="9"/>
      <c r="R393" s="9"/>
      <c r="S393" s="261"/>
      <c r="T393" s="261"/>
      <c r="U393" s="261"/>
      <c r="V393" s="261"/>
      <c r="W393" s="261"/>
      <c r="X393" s="261"/>
      <c r="Y393" s="261"/>
      <c r="Z393" s="261"/>
    </row>
    <row r="394" spans="1:26" hidden="1" outlineLevel="1">
      <c r="A394" s="9"/>
      <c r="B394" s="9"/>
      <c r="C394" s="394"/>
      <c r="D394" s="91">
        <v>8</v>
      </c>
      <c r="E394" s="268">
        <f ca="1">OFFSET('Actual RAB roll forward'!H$71,0,D394-1)-SUM('Actual RAB roll forward'!H436:OFFSET('Actual RAB roll forward'!H436,0,Input!$W$7-1))</f>
        <v>0</v>
      </c>
      <c r="F394" s="268" t="str">
        <f>IF(A28stdlife="N/A","n/a",IF(E394=0,0,A28stdlife+D394-Input!$W$7))</f>
        <v>n/a</v>
      </c>
      <c r="G394" s="264"/>
      <c r="H394" s="394"/>
      <c r="I394" s="91">
        <v>8</v>
      </c>
      <c r="J394" s="268">
        <f ca="1">OFFSET('Tax value roll forward'!H$67,0,I394-1)-SUM('Tax value roll forward'!H432:OFFSET('Tax value roll forward'!H432,0,Input!$W$7-1))</f>
        <v>0</v>
      </c>
      <c r="K394" s="268" t="str">
        <f>IF(A28taxstdlife="N/A","n/a",IF(J394=0,0,A28taxstdlife+I394-Input!$W$7))</f>
        <v>n/a</v>
      </c>
      <c r="L394" s="114"/>
      <c r="M394" s="9"/>
      <c r="N394" s="9"/>
      <c r="O394" s="9"/>
      <c r="P394" s="9"/>
      <c r="Q394" s="9"/>
      <c r="R394" s="9"/>
      <c r="S394" s="261"/>
      <c r="T394" s="261"/>
      <c r="U394" s="261"/>
      <c r="V394" s="261"/>
      <c r="W394" s="261"/>
      <c r="X394" s="261"/>
      <c r="Y394" s="261"/>
      <c r="Z394" s="261"/>
    </row>
    <row r="395" spans="1:26" hidden="1" outlineLevel="1">
      <c r="A395" s="9"/>
      <c r="B395" s="9"/>
      <c r="C395" s="394"/>
      <c r="D395" s="91">
        <v>9</v>
      </c>
      <c r="E395" s="268">
        <f ca="1">OFFSET('Actual RAB roll forward'!H$71,0,D395-1)-SUM('Actual RAB roll forward'!H437:OFFSET('Actual RAB roll forward'!H437,0,Input!$W$7-1))</f>
        <v>0</v>
      </c>
      <c r="F395" s="268" t="str">
        <f>IF(A28stdlife="N/A","n/a",IF(E395=0,0,A28stdlife+D395-Input!$W$7))</f>
        <v>n/a</v>
      </c>
      <c r="G395" s="264"/>
      <c r="H395" s="394"/>
      <c r="I395" s="91">
        <v>9</v>
      </c>
      <c r="J395" s="268">
        <f ca="1">OFFSET('Tax value roll forward'!H$67,0,I395-1)-SUM('Tax value roll forward'!H433:OFFSET('Tax value roll forward'!H433,0,Input!$W$7-1))</f>
        <v>0</v>
      </c>
      <c r="K395" s="268" t="str">
        <f>IF(A28taxstdlife="N/A","n/a",IF(J395=0,0,A28taxstdlife+I395-Input!$W$7))</f>
        <v>n/a</v>
      </c>
      <c r="L395" s="114"/>
      <c r="M395" s="9"/>
      <c r="N395" s="9"/>
      <c r="O395" s="9"/>
      <c r="P395" s="9"/>
      <c r="Q395" s="9"/>
      <c r="R395" s="9"/>
      <c r="S395" s="261"/>
      <c r="T395" s="261"/>
      <c r="U395" s="261"/>
      <c r="V395" s="261"/>
      <c r="W395" s="261"/>
      <c r="X395" s="261"/>
      <c r="Y395" s="261"/>
      <c r="Z395" s="261"/>
    </row>
    <row r="396" spans="1:26" hidden="1" outlineLevel="1">
      <c r="A396" s="9"/>
      <c r="B396" s="9"/>
      <c r="C396" s="395"/>
      <c r="D396" s="92">
        <v>10</v>
      </c>
      <c r="E396" s="268">
        <f ca="1">OFFSET('Actual RAB roll forward'!H$71,0,D396-1)-SUM('Actual RAB roll forward'!H438:OFFSET('Actual RAB roll forward'!H438,0,Input!$W$7-1))</f>
        <v>0</v>
      </c>
      <c r="F396" s="268" t="str">
        <f>IF(A28stdlife="N/A","n/a",IF(E396=0,0,A28stdlife+D396-Input!$W$7))</f>
        <v>n/a</v>
      </c>
      <c r="G396" s="264"/>
      <c r="H396" s="395"/>
      <c r="I396" s="92">
        <v>10</v>
      </c>
      <c r="J396" s="268">
        <f ca="1">OFFSET('Tax value roll forward'!H$67,0,I396-1)-SUM('Tax value roll forward'!H434:OFFSET('Tax value roll forward'!H434,0,Input!$W$7-1))</f>
        <v>0</v>
      </c>
      <c r="K396" s="268" t="str">
        <f>IF(A28taxstdlife="N/A","n/a",IF(J396=0,0,A28taxstdlife+I396-Input!$W$7))</f>
        <v>n/a</v>
      </c>
      <c r="L396" s="114"/>
      <c r="M396" s="9"/>
      <c r="N396" s="9"/>
      <c r="O396" s="9"/>
      <c r="P396" s="9"/>
      <c r="Q396" s="9"/>
      <c r="R396" s="9"/>
      <c r="S396" s="261"/>
      <c r="T396" s="261"/>
      <c r="U396" s="261"/>
      <c r="V396" s="261"/>
      <c r="W396" s="261"/>
      <c r="X396" s="261"/>
      <c r="Y396" s="261"/>
      <c r="Z396" s="261"/>
    </row>
    <row r="397" spans="1:26" collapsed="1">
      <c r="A397" s="9"/>
      <c r="B397" s="9"/>
      <c r="C397" s="282">
        <f>Asset28</f>
        <v>0</v>
      </c>
      <c r="D397" s="9"/>
      <c r="E397" s="268">
        <f ca="1">SUM(E386:E396)</f>
        <v>0</v>
      </c>
      <c r="F397" s="268">
        <f ca="1">IF(E397=0,0,SUMPRODUCT(E386:E396,F386:F396)/E397)</f>
        <v>0</v>
      </c>
      <c r="G397" s="264"/>
      <c r="H397" s="43"/>
      <c r="I397" s="268"/>
      <c r="J397" s="268">
        <f ca="1">SUM(J386:J396)</f>
        <v>0</v>
      </c>
      <c r="K397" s="268">
        <f ca="1">IF(J397=0,0,SUMPRODUCT(J386:J396,K386:K396)/J397)</f>
        <v>0</v>
      </c>
      <c r="L397" s="114"/>
      <c r="M397" s="9"/>
      <c r="N397" s="9"/>
      <c r="O397" s="9"/>
      <c r="P397" s="9"/>
      <c r="Q397" s="9"/>
      <c r="R397" s="9"/>
      <c r="S397" s="261"/>
      <c r="T397" s="261"/>
      <c r="U397" s="261"/>
      <c r="V397" s="261"/>
      <c r="W397" s="261"/>
      <c r="X397" s="261"/>
      <c r="Y397" s="261"/>
      <c r="Z397" s="261"/>
    </row>
    <row r="398" spans="1:26" hidden="1" outlineLevel="1">
      <c r="A398" s="9"/>
      <c r="B398" s="280"/>
      <c r="C398" s="9"/>
      <c r="D398" s="9"/>
      <c r="E398" s="35"/>
      <c r="F398" s="35"/>
      <c r="G398" s="264"/>
      <c r="H398" s="268"/>
      <c r="I398" s="268"/>
      <c r="J398" s="273"/>
      <c r="K398" s="268"/>
      <c r="L398" s="114"/>
      <c r="M398" s="9"/>
      <c r="N398" s="9"/>
      <c r="O398" s="9"/>
      <c r="P398" s="9"/>
      <c r="Q398" s="9"/>
      <c r="R398" s="9"/>
      <c r="S398" s="261"/>
      <c r="T398" s="261"/>
      <c r="U398" s="261"/>
      <c r="V398" s="261"/>
      <c r="W398" s="261"/>
      <c r="X398" s="261"/>
      <c r="Y398" s="261"/>
      <c r="Z398" s="261"/>
    </row>
    <row r="399" spans="1:26" hidden="1" outlineLevel="1">
      <c r="A399" s="9"/>
      <c r="B399" s="280">
        <f>Asset29</f>
        <v>0</v>
      </c>
      <c r="C399" s="9"/>
      <c r="D399" s="9"/>
      <c r="E399" s="35"/>
      <c r="F399" s="35"/>
      <c r="G399" s="264"/>
      <c r="H399" s="268"/>
      <c r="I399" s="268"/>
      <c r="J399" s="273"/>
      <c r="K399" s="268"/>
      <c r="L399" s="114"/>
      <c r="M399" s="9"/>
      <c r="N399" s="9"/>
      <c r="O399" s="9"/>
      <c r="P399" s="9"/>
      <c r="Q399" s="9"/>
      <c r="R399" s="9"/>
      <c r="S399" s="261"/>
      <c r="T399" s="261"/>
      <c r="U399" s="261"/>
      <c r="V399" s="261"/>
      <c r="W399" s="261"/>
      <c r="X399" s="261"/>
      <c r="Y399" s="261"/>
      <c r="Z399" s="261"/>
    </row>
    <row r="400" spans="1:26" ht="12.75" hidden="1" customHeight="1" outlineLevel="1">
      <c r="A400" s="9"/>
      <c r="B400" s="9"/>
      <c r="C400" s="396" t="s">
        <v>26</v>
      </c>
      <c r="D400" s="397"/>
      <c r="E400" s="338">
        <f ca="1">(A29value-'Actual RAB roll forward'!G658)-SUM('Actual RAB roll forward'!H440:OFFSET('Actual RAB roll forward'!H440,0,Input!$W$7-1))</f>
        <v>0</v>
      </c>
      <c r="F400" s="268" t="str">
        <f>IF(A29remlife="N/A","n/a",A29remlife-Input!$W$7)</f>
        <v>n/a</v>
      </c>
      <c r="G400" s="264"/>
      <c r="H400" s="306" t="s">
        <v>65</v>
      </c>
      <c r="I400" s="307"/>
      <c r="J400" s="268">
        <f ca="1">A29taxvalue-SUM('Tax value roll forward'!H436:OFFSET('Tax value roll forward'!H436,0,Input!$W$7-1))</f>
        <v>0</v>
      </c>
      <c r="K400" s="268" t="str">
        <f>IF(A29taxremlife="N/A","n/a",A29taxremlife-Input!$W$7)</f>
        <v>n/a</v>
      </c>
      <c r="L400" s="114"/>
      <c r="M400" s="9"/>
      <c r="N400" s="9"/>
      <c r="O400" s="9"/>
      <c r="P400" s="9"/>
      <c r="Q400" s="9"/>
      <c r="R400" s="9"/>
      <c r="S400" s="261"/>
      <c r="T400" s="261"/>
      <c r="U400" s="261"/>
      <c r="V400" s="261"/>
      <c r="W400" s="261"/>
      <c r="X400" s="261"/>
      <c r="Y400" s="261"/>
      <c r="Z400" s="261"/>
    </row>
    <row r="401" spans="1:26" hidden="1" outlineLevel="1">
      <c r="A401" s="9"/>
      <c r="B401" s="9"/>
      <c r="C401" s="393" t="s">
        <v>81</v>
      </c>
      <c r="D401" s="91">
        <v>1</v>
      </c>
      <c r="E401" s="268">
        <f ca="1">OFFSET('Actual RAB roll forward'!H$72,0,D401-1)-SUM('Actual RAB roll forward'!H442:OFFSET('Actual RAB roll forward'!H442,0,Input!$W$7-1))</f>
        <v>0</v>
      </c>
      <c r="F401" s="268" t="str">
        <f>IF(A29stdlife="N/A","n/a",IF(E401=0,0,A29stdlife+D401-Input!$W$7))</f>
        <v>n/a</v>
      </c>
      <c r="G401" s="264"/>
      <c r="H401" s="393" t="s">
        <v>81</v>
      </c>
      <c r="I401" s="91">
        <v>1</v>
      </c>
      <c r="J401" s="268">
        <f ca="1">OFFSET('Tax value roll forward'!H$68,0,I401-1)-SUM('Tax value roll forward'!H438:OFFSET('Tax value roll forward'!H438,0,Input!$W$7-1))</f>
        <v>0</v>
      </c>
      <c r="K401" s="268" t="str">
        <f>IF(A29taxstdlife="N/A","n/a",IF(J401=0,0,A29taxstdlife+I401-Input!$W$7))</f>
        <v>n/a</v>
      </c>
      <c r="L401" s="114"/>
      <c r="M401" s="9"/>
      <c r="N401" s="9"/>
      <c r="O401" s="9"/>
      <c r="P401" s="9"/>
      <c r="Q401" s="9"/>
      <c r="R401" s="9"/>
      <c r="S401" s="261"/>
      <c r="T401" s="261"/>
      <c r="U401" s="261"/>
      <c r="V401" s="261"/>
      <c r="W401" s="261"/>
      <c r="X401" s="261"/>
      <c r="Y401" s="261"/>
      <c r="Z401" s="261"/>
    </row>
    <row r="402" spans="1:26" hidden="1" outlineLevel="1">
      <c r="A402" s="9"/>
      <c r="B402" s="9"/>
      <c r="C402" s="394"/>
      <c r="D402" s="91">
        <v>2</v>
      </c>
      <c r="E402" s="268">
        <f ca="1">OFFSET('Actual RAB roll forward'!H$72,0,D402-1)-SUM('Actual RAB roll forward'!H443:OFFSET('Actual RAB roll forward'!H443,0,Input!$W$7-1))</f>
        <v>0</v>
      </c>
      <c r="F402" s="268" t="str">
        <f>IF(A29stdlife="N/A","n/a",IF(E402=0,0,A29stdlife+D402-Input!$W$7))</f>
        <v>n/a</v>
      </c>
      <c r="G402" s="264"/>
      <c r="H402" s="394"/>
      <c r="I402" s="91">
        <v>2</v>
      </c>
      <c r="J402" s="268">
        <f ca="1">OFFSET('Tax value roll forward'!H$68,0,I402-1)-SUM('Tax value roll forward'!H439:OFFSET('Tax value roll forward'!H439,0,Input!$W$7-1))</f>
        <v>0</v>
      </c>
      <c r="K402" s="268" t="str">
        <f>IF(A29taxstdlife="N/A","n/a",IF(J402=0,0,A29taxstdlife+I402-Input!$W$7))</f>
        <v>n/a</v>
      </c>
      <c r="L402" s="114"/>
      <c r="M402" s="9"/>
      <c r="N402" s="9"/>
      <c r="O402" s="9"/>
      <c r="P402" s="9"/>
      <c r="Q402" s="9"/>
      <c r="R402" s="9"/>
      <c r="S402" s="261"/>
      <c r="T402" s="261"/>
      <c r="U402" s="261"/>
      <c r="V402" s="261"/>
      <c r="W402" s="261"/>
      <c r="X402" s="261"/>
      <c r="Y402" s="261"/>
      <c r="Z402" s="261"/>
    </row>
    <row r="403" spans="1:26" hidden="1" outlineLevel="1">
      <c r="A403" s="9"/>
      <c r="B403" s="9"/>
      <c r="C403" s="394"/>
      <c r="D403" s="91">
        <v>3</v>
      </c>
      <c r="E403" s="268">
        <f ca="1">OFFSET('Actual RAB roll forward'!H$72,0,D403-1)-SUM('Actual RAB roll forward'!H444:OFFSET('Actual RAB roll forward'!H444,0,Input!$W$7-1))</f>
        <v>0</v>
      </c>
      <c r="F403" s="268" t="str">
        <f>IF(A29stdlife="N/A","n/a",IF(E403=0,0,A29stdlife+D403-Input!$W$7))</f>
        <v>n/a</v>
      </c>
      <c r="G403" s="264"/>
      <c r="H403" s="394"/>
      <c r="I403" s="91">
        <v>3</v>
      </c>
      <c r="J403" s="268">
        <f ca="1">OFFSET('Tax value roll forward'!H$68,0,I403-1)-SUM('Tax value roll forward'!H440:OFFSET('Tax value roll forward'!H440,0,Input!$W$7-1))</f>
        <v>0</v>
      </c>
      <c r="K403" s="268" t="str">
        <f>IF(A29taxstdlife="N/A","n/a",IF(J403=0,0,A29taxstdlife+I403-Input!$W$7))</f>
        <v>n/a</v>
      </c>
      <c r="L403" s="114"/>
      <c r="M403" s="9"/>
      <c r="N403" s="9"/>
      <c r="O403" s="9"/>
      <c r="P403" s="9"/>
      <c r="Q403" s="9"/>
      <c r="R403" s="9"/>
      <c r="S403" s="261"/>
      <c r="T403" s="261"/>
      <c r="U403" s="261"/>
      <c r="V403" s="261"/>
      <c r="W403" s="261"/>
      <c r="X403" s="261"/>
      <c r="Y403" s="261"/>
      <c r="Z403" s="261"/>
    </row>
    <row r="404" spans="1:26" hidden="1" outlineLevel="1">
      <c r="A404" s="9"/>
      <c r="B404" s="9"/>
      <c r="C404" s="394"/>
      <c r="D404" s="91">
        <v>4</v>
      </c>
      <c r="E404" s="268">
        <f ca="1">OFFSET('Actual RAB roll forward'!H$72,0,D404-1)-SUM('Actual RAB roll forward'!H445:OFFSET('Actual RAB roll forward'!H445,0,Input!$W$7-1))</f>
        <v>0</v>
      </c>
      <c r="F404" s="268" t="str">
        <f>IF(A29stdlife="N/A","n/a",IF(E404=0,0,A29stdlife+D404-Input!$W$7))</f>
        <v>n/a</v>
      </c>
      <c r="G404" s="264"/>
      <c r="H404" s="394"/>
      <c r="I404" s="91">
        <v>4</v>
      </c>
      <c r="J404" s="268">
        <f ca="1">OFFSET('Tax value roll forward'!H$68,0,I404-1)-SUM('Tax value roll forward'!H441:OFFSET('Tax value roll forward'!H441,0,Input!$W$7-1))</f>
        <v>0</v>
      </c>
      <c r="K404" s="268" t="str">
        <f>IF(A29taxstdlife="N/A","n/a",IF(J404=0,0,A29taxstdlife+I404-Input!$W$7))</f>
        <v>n/a</v>
      </c>
      <c r="L404" s="114"/>
      <c r="M404" s="9"/>
      <c r="N404" s="9"/>
      <c r="O404" s="9"/>
      <c r="P404" s="9"/>
      <c r="Q404" s="9"/>
      <c r="R404" s="9"/>
      <c r="S404" s="261"/>
      <c r="T404" s="261"/>
      <c r="U404" s="261"/>
      <c r="V404" s="261"/>
      <c r="W404" s="261"/>
      <c r="X404" s="261"/>
      <c r="Y404" s="261"/>
      <c r="Z404" s="261"/>
    </row>
    <row r="405" spans="1:26" hidden="1" outlineLevel="1">
      <c r="A405" s="9"/>
      <c r="B405" s="9"/>
      <c r="C405" s="394"/>
      <c r="D405" s="91">
        <v>5</v>
      </c>
      <c r="E405" s="268">
        <f ca="1">OFFSET('Actual RAB roll forward'!H$72,0,D405-1)-SUM('Actual RAB roll forward'!H446:OFFSET('Actual RAB roll forward'!H446,0,Input!$W$7-1))</f>
        <v>0</v>
      </c>
      <c r="F405" s="268" t="str">
        <f>IF(A29stdlife="N/A","n/a",IF(E405=0,0,A29stdlife+D405-Input!$W$7))</f>
        <v>n/a</v>
      </c>
      <c r="G405" s="264"/>
      <c r="H405" s="394"/>
      <c r="I405" s="91">
        <v>5</v>
      </c>
      <c r="J405" s="268">
        <f ca="1">OFFSET('Tax value roll forward'!H$68,0,I405-1)-SUM('Tax value roll forward'!H442:OFFSET('Tax value roll forward'!H442,0,Input!$W$7-1))</f>
        <v>0</v>
      </c>
      <c r="K405" s="268" t="str">
        <f>IF(A29taxstdlife="N/A","n/a",IF(J405=0,0,A29taxstdlife+I405-Input!$W$7))</f>
        <v>n/a</v>
      </c>
      <c r="L405" s="114"/>
      <c r="M405" s="9"/>
      <c r="N405" s="9"/>
      <c r="O405" s="9"/>
      <c r="P405" s="9"/>
      <c r="Q405" s="9"/>
      <c r="R405" s="9"/>
      <c r="S405" s="261"/>
      <c r="T405" s="261"/>
      <c r="U405" s="261"/>
      <c r="V405" s="261"/>
      <c r="W405" s="261"/>
      <c r="X405" s="261"/>
      <c r="Y405" s="261"/>
      <c r="Z405" s="261"/>
    </row>
    <row r="406" spans="1:26" hidden="1" outlineLevel="1">
      <c r="A406" s="9"/>
      <c r="B406" s="9"/>
      <c r="C406" s="394"/>
      <c r="D406" s="91">
        <v>6</v>
      </c>
      <c r="E406" s="268">
        <f ca="1">OFFSET('Actual RAB roll forward'!H$72,0,D406-1)-SUM('Actual RAB roll forward'!H447:OFFSET('Actual RAB roll forward'!H447,0,Input!$W$7-1))</f>
        <v>0</v>
      </c>
      <c r="F406" s="268" t="str">
        <f>IF(A29stdlife="N/A","n/a",IF(E406=0,0,A29stdlife+D406-Input!$W$7))</f>
        <v>n/a</v>
      </c>
      <c r="G406" s="264"/>
      <c r="H406" s="394"/>
      <c r="I406" s="91">
        <v>6</v>
      </c>
      <c r="J406" s="268">
        <f ca="1">OFFSET('Tax value roll forward'!H$68,0,I406-1)-SUM('Tax value roll forward'!H443:OFFSET('Tax value roll forward'!H443,0,Input!$W$7-1))</f>
        <v>0</v>
      </c>
      <c r="K406" s="268" t="str">
        <f>IF(A29taxstdlife="N/A","n/a",IF(J406=0,0,A29taxstdlife+I406-Input!$W$7))</f>
        <v>n/a</v>
      </c>
      <c r="L406" s="114"/>
      <c r="M406" s="9"/>
      <c r="N406" s="9"/>
      <c r="O406" s="9"/>
      <c r="P406" s="9"/>
      <c r="Q406" s="9"/>
      <c r="R406" s="9"/>
      <c r="S406" s="261"/>
      <c r="T406" s="261"/>
      <c r="U406" s="261"/>
      <c r="V406" s="261"/>
      <c r="W406" s="261"/>
      <c r="X406" s="261"/>
      <c r="Y406" s="261"/>
      <c r="Z406" s="261"/>
    </row>
    <row r="407" spans="1:26" hidden="1" outlineLevel="1">
      <c r="A407" s="9"/>
      <c r="B407" s="9"/>
      <c r="C407" s="394"/>
      <c r="D407" s="91">
        <v>7</v>
      </c>
      <c r="E407" s="268">
        <f ca="1">OFFSET('Actual RAB roll forward'!H$72,0,D407-1)-SUM('Actual RAB roll forward'!H448:OFFSET('Actual RAB roll forward'!H448,0,Input!$W$7-1))</f>
        <v>0</v>
      </c>
      <c r="F407" s="268" t="str">
        <f>IF(A29stdlife="N/A","n/a",IF(E407=0,0,A29stdlife+D407-Input!$W$7))</f>
        <v>n/a</v>
      </c>
      <c r="G407" s="264"/>
      <c r="H407" s="394"/>
      <c r="I407" s="91">
        <v>7</v>
      </c>
      <c r="J407" s="268">
        <f ca="1">OFFSET('Tax value roll forward'!H$68,0,I407-1)-SUM('Tax value roll forward'!H444:OFFSET('Tax value roll forward'!H444,0,Input!$W$7-1))</f>
        <v>0</v>
      </c>
      <c r="K407" s="268" t="str">
        <f>IF(A29taxstdlife="N/A","n/a",IF(J407=0,0,A29taxstdlife+I407-Input!$W$7))</f>
        <v>n/a</v>
      </c>
      <c r="L407" s="114"/>
      <c r="M407" s="9"/>
      <c r="N407" s="9"/>
      <c r="O407" s="9"/>
      <c r="P407" s="9"/>
      <c r="Q407" s="9"/>
      <c r="R407" s="9"/>
      <c r="S407" s="261"/>
      <c r="T407" s="261"/>
      <c r="U407" s="261"/>
      <c r="V407" s="261"/>
      <c r="W407" s="261"/>
      <c r="X407" s="261"/>
      <c r="Y407" s="261"/>
      <c r="Z407" s="261"/>
    </row>
    <row r="408" spans="1:26" hidden="1" outlineLevel="1">
      <c r="A408" s="9"/>
      <c r="B408" s="9"/>
      <c r="C408" s="394"/>
      <c r="D408" s="91">
        <v>8</v>
      </c>
      <c r="E408" s="268">
        <f ca="1">OFFSET('Actual RAB roll forward'!H$72,0,D408-1)-SUM('Actual RAB roll forward'!H449:OFFSET('Actual RAB roll forward'!H449,0,Input!$W$7-1))</f>
        <v>0</v>
      </c>
      <c r="F408" s="268" t="str">
        <f>IF(A29stdlife="N/A","n/a",IF(E408=0,0,A29stdlife+D408-Input!$W$7))</f>
        <v>n/a</v>
      </c>
      <c r="G408" s="264"/>
      <c r="H408" s="394"/>
      <c r="I408" s="91">
        <v>8</v>
      </c>
      <c r="J408" s="268">
        <f ca="1">OFFSET('Tax value roll forward'!H$68,0,I408-1)-SUM('Tax value roll forward'!H445:OFFSET('Tax value roll forward'!H445,0,Input!$W$7-1))</f>
        <v>0</v>
      </c>
      <c r="K408" s="268" t="str">
        <f>IF(A29taxstdlife="N/A","n/a",IF(J408=0,0,A29taxstdlife+I408-Input!$W$7))</f>
        <v>n/a</v>
      </c>
      <c r="L408" s="114"/>
      <c r="M408" s="9"/>
      <c r="N408" s="9"/>
      <c r="O408" s="9"/>
      <c r="P408" s="9"/>
      <c r="Q408" s="9"/>
      <c r="R408" s="9"/>
      <c r="S408" s="261"/>
      <c r="T408" s="261"/>
      <c r="U408" s="261"/>
      <c r="V408" s="261"/>
      <c r="W408" s="261"/>
      <c r="X408" s="261"/>
      <c r="Y408" s="261"/>
      <c r="Z408" s="261"/>
    </row>
    <row r="409" spans="1:26" hidden="1" outlineLevel="1">
      <c r="A409" s="9"/>
      <c r="B409" s="9"/>
      <c r="C409" s="394"/>
      <c r="D409" s="91">
        <v>9</v>
      </c>
      <c r="E409" s="268">
        <f ca="1">OFFSET('Actual RAB roll forward'!H$72,0,D409-1)-SUM('Actual RAB roll forward'!H450:OFFSET('Actual RAB roll forward'!H450,0,Input!$W$7-1))</f>
        <v>0</v>
      </c>
      <c r="F409" s="268" t="str">
        <f>IF(A29stdlife="N/A","n/a",IF(E409=0,0,A29stdlife+D409-Input!$W$7))</f>
        <v>n/a</v>
      </c>
      <c r="G409" s="264"/>
      <c r="H409" s="394"/>
      <c r="I409" s="91">
        <v>9</v>
      </c>
      <c r="J409" s="268">
        <f ca="1">OFFSET('Tax value roll forward'!H$68,0,I409-1)-SUM('Tax value roll forward'!H446:OFFSET('Tax value roll forward'!H446,0,Input!$W$7-1))</f>
        <v>0</v>
      </c>
      <c r="K409" s="268" t="str">
        <f>IF(A29taxstdlife="N/A","n/a",IF(J409=0,0,A29taxstdlife+I409-Input!$W$7))</f>
        <v>n/a</v>
      </c>
      <c r="L409" s="114"/>
      <c r="M409" s="9"/>
      <c r="N409" s="9"/>
      <c r="O409" s="9"/>
      <c r="P409" s="9"/>
      <c r="Q409" s="9"/>
      <c r="R409" s="9"/>
      <c r="S409" s="261"/>
      <c r="T409" s="261"/>
      <c r="U409" s="261"/>
      <c r="V409" s="261"/>
      <c r="W409" s="261"/>
      <c r="X409" s="261"/>
      <c r="Y409" s="261"/>
      <c r="Z409" s="261"/>
    </row>
    <row r="410" spans="1:26" hidden="1" outlineLevel="1">
      <c r="A410" s="9"/>
      <c r="B410" s="9"/>
      <c r="C410" s="395"/>
      <c r="D410" s="92">
        <v>10</v>
      </c>
      <c r="E410" s="268">
        <f ca="1">OFFSET('Actual RAB roll forward'!H$72,0,D410-1)-SUM('Actual RAB roll forward'!H451:OFFSET('Actual RAB roll forward'!H451,0,Input!$W$7-1))</f>
        <v>0</v>
      </c>
      <c r="F410" s="268" t="str">
        <f>IF(A29stdlife="N/A","n/a",IF(E410=0,0,A29stdlife+D410-Input!$W$7))</f>
        <v>n/a</v>
      </c>
      <c r="G410" s="264"/>
      <c r="H410" s="395"/>
      <c r="I410" s="92">
        <v>10</v>
      </c>
      <c r="J410" s="268">
        <f ca="1">OFFSET('Tax value roll forward'!H$68,0,I410-1)-SUM('Tax value roll forward'!H447:OFFSET('Tax value roll forward'!H447,0,Input!$W$7-1))</f>
        <v>0</v>
      </c>
      <c r="K410" s="268" t="str">
        <f>IF(A29taxstdlife="N/A","n/a",IF(J410=0,0,A29taxstdlife+I410-Input!$W$7))</f>
        <v>n/a</v>
      </c>
      <c r="L410" s="114"/>
      <c r="M410" s="9"/>
      <c r="N410" s="9"/>
      <c r="O410" s="9"/>
      <c r="P410" s="9"/>
      <c r="Q410" s="9"/>
      <c r="R410" s="9"/>
      <c r="S410" s="261"/>
      <c r="T410" s="261"/>
      <c r="U410" s="261"/>
      <c r="V410" s="261"/>
      <c r="W410" s="261"/>
      <c r="X410" s="261"/>
      <c r="Y410" s="261"/>
      <c r="Z410" s="261"/>
    </row>
    <row r="411" spans="1:26" collapsed="1">
      <c r="A411" s="9"/>
      <c r="B411" s="9"/>
      <c r="C411" s="282">
        <f>Asset29</f>
        <v>0</v>
      </c>
      <c r="D411" s="9"/>
      <c r="E411" s="268">
        <f ca="1">SUM(E400:E410)</f>
        <v>0</v>
      </c>
      <c r="F411" s="268">
        <f ca="1">IF(E411=0,0,SUMPRODUCT(E400:E410,F400:F410)/E411)</f>
        <v>0</v>
      </c>
      <c r="G411" s="264"/>
      <c r="H411" s="43"/>
      <c r="I411" s="268"/>
      <c r="J411" s="268">
        <f ca="1">SUM(J400:J410)</f>
        <v>0</v>
      </c>
      <c r="K411" s="268">
        <f ca="1">IF(J411=0,0,SUMPRODUCT(J400:J410,K400:K410)/J411)</f>
        <v>0</v>
      </c>
      <c r="L411" s="114"/>
      <c r="M411" s="9"/>
      <c r="N411" s="9"/>
      <c r="O411" s="9"/>
      <c r="P411" s="9"/>
      <c r="Q411" s="9"/>
      <c r="R411" s="9"/>
      <c r="S411" s="261"/>
      <c r="T411" s="261"/>
      <c r="U411" s="261"/>
      <c r="V411" s="261"/>
      <c r="W411" s="261"/>
      <c r="X411" s="261"/>
      <c r="Y411" s="261"/>
      <c r="Z411" s="261"/>
    </row>
    <row r="412" spans="1:26" hidden="1" outlineLevel="1">
      <c r="A412" s="9"/>
      <c r="B412" s="280"/>
      <c r="C412" s="9"/>
      <c r="D412" s="9"/>
      <c r="E412" s="35"/>
      <c r="F412" s="35"/>
      <c r="G412" s="264"/>
      <c r="H412" s="268"/>
      <c r="I412" s="268"/>
      <c r="J412" s="273"/>
      <c r="K412" s="268"/>
      <c r="L412" s="114"/>
      <c r="M412" s="9"/>
      <c r="N412" s="9"/>
      <c r="O412" s="9"/>
      <c r="P412" s="9"/>
      <c r="Q412" s="9"/>
      <c r="R412" s="9"/>
      <c r="S412" s="261"/>
      <c r="T412" s="261"/>
      <c r="U412" s="261"/>
      <c r="V412" s="261"/>
      <c r="W412" s="261"/>
      <c r="X412" s="261"/>
      <c r="Y412" s="261"/>
      <c r="Z412" s="261"/>
    </row>
    <row r="413" spans="1:26" hidden="1" outlineLevel="1">
      <c r="A413" s="9"/>
      <c r="B413" s="280">
        <f>Asset30</f>
        <v>0</v>
      </c>
      <c r="C413" s="9"/>
      <c r="D413" s="9"/>
      <c r="E413" s="35"/>
      <c r="F413" s="35"/>
      <c r="G413" s="264"/>
      <c r="H413" s="268"/>
      <c r="I413" s="268"/>
      <c r="J413" s="273"/>
      <c r="K413" s="268"/>
      <c r="L413" s="114"/>
      <c r="M413" s="9"/>
      <c r="N413" s="9"/>
      <c r="O413" s="9"/>
      <c r="P413" s="9"/>
      <c r="Q413" s="9"/>
      <c r="R413" s="9"/>
      <c r="S413" s="261"/>
      <c r="T413" s="261"/>
      <c r="U413" s="261"/>
      <c r="V413" s="261"/>
      <c r="W413" s="261"/>
      <c r="X413" s="261"/>
      <c r="Y413" s="261"/>
      <c r="Z413" s="261"/>
    </row>
    <row r="414" spans="1:26" ht="12.75" hidden="1" customHeight="1" outlineLevel="1">
      <c r="A414" s="9"/>
      <c r="B414" s="9"/>
      <c r="C414" s="396" t="s">
        <v>26</v>
      </c>
      <c r="D414" s="397"/>
      <c r="E414" s="338">
        <f ca="1">(A30value-'Actual RAB roll forward'!G659)-SUM('Actual RAB roll forward'!H453:OFFSET('Actual RAB roll forward'!H453,0,Input!$W$7-1))</f>
        <v>0</v>
      </c>
      <c r="F414" s="268" t="str">
        <f>IF(A30remlife="N/A","n/a",A30remlife-Input!$W$7)</f>
        <v>n/a</v>
      </c>
      <c r="G414" s="264"/>
      <c r="H414" s="306" t="s">
        <v>65</v>
      </c>
      <c r="I414" s="307"/>
      <c r="J414" s="268">
        <f ca="1">A30taxvalue-SUM('Tax value roll forward'!H449:OFFSET('Tax value roll forward'!H449,0,Input!$W$7-1))</f>
        <v>0</v>
      </c>
      <c r="K414" s="268" t="str">
        <f>IF(A30taxremlife="N/A","n/a",A30taxremlife-Input!$W$7)</f>
        <v>n/a</v>
      </c>
      <c r="L414" s="114"/>
      <c r="M414" s="9"/>
      <c r="N414" s="9"/>
      <c r="O414" s="9"/>
      <c r="P414" s="9"/>
      <c r="Q414" s="9"/>
      <c r="R414" s="9"/>
      <c r="S414" s="261"/>
      <c r="T414" s="261"/>
      <c r="U414" s="261"/>
      <c r="V414" s="261"/>
      <c r="W414" s="261"/>
      <c r="X414" s="261"/>
      <c r="Y414" s="261"/>
      <c r="Z414" s="261"/>
    </row>
    <row r="415" spans="1:26" hidden="1" outlineLevel="1">
      <c r="A415" s="9"/>
      <c r="B415" s="9"/>
      <c r="C415" s="393" t="s">
        <v>81</v>
      </c>
      <c r="D415" s="91">
        <v>1</v>
      </c>
      <c r="E415" s="268">
        <f ca="1">OFFSET('Actual RAB roll forward'!H$73,0,D415-1)-SUM('Actual RAB roll forward'!H455:OFFSET('Actual RAB roll forward'!H455,0,Input!$W$7-1))</f>
        <v>0</v>
      </c>
      <c r="F415" s="268" t="str">
        <f>IF(A30stdlife="N/A","n/a",IF(E415=0,0,A30stdlife+D415-Input!$W$7))</f>
        <v>n/a</v>
      </c>
      <c r="G415" s="264"/>
      <c r="H415" s="393" t="s">
        <v>81</v>
      </c>
      <c r="I415" s="91">
        <v>1</v>
      </c>
      <c r="J415" s="268">
        <f ca="1">OFFSET('Tax value roll forward'!H$69,0,I415-1)-SUM('Tax value roll forward'!H451:OFFSET('Tax value roll forward'!H451,0,Input!$W$7-1))</f>
        <v>0</v>
      </c>
      <c r="K415" s="268" t="str">
        <f>IF(A30taxstdlife="N/A","n/a",IF(J415=0,0,A30taxstdlife+I415-Input!$W$7))</f>
        <v>n/a</v>
      </c>
      <c r="L415" s="114"/>
      <c r="M415" s="9"/>
      <c r="N415" s="9"/>
      <c r="O415" s="9"/>
      <c r="P415" s="9"/>
      <c r="Q415" s="9"/>
      <c r="R415" s="9"/>
      <c r="S415" s="261"/>
      <c r="T415" s="261"/>
      <c r="U415" s="261"/>
      <c r="V415" s="261"/>
      <c r="W415" s="261"/>
      <c r="X415" s="261"/>
      <c r="Y415" s="261"/>
      <c r="Z415" s="261"/>
    </row>
    <row r="416" spans="1:26" hidden="1" outlineLevel="1">
      <c r="A416" s="9"/>
      <c r="B416" s="9"/>
      <c r="C416" s="394"/>
      <c r="D416" s="91">
        <v>2</v>
      </c>
      <c r="E416" s="268">
        <f ca="1">OFFSET('Actual RAB roll forward'!H$73,0,D416-1)-SUM('Actual RAB roll forward'!H456:OFFSET('Actual RAB roll forward'!H456,0,Input!$W$7-1))</f>
        <v>0</v>
      </c>
      <c r="F416" s="268" t="str">
        <f>IF(A30stdlife="N/A","n/a",IF(E416=0,0,A30stdlife+D416-Input!$W$7))</f>
        <v>n/a</v>
      </c>
      <c r="G416" s="264"/>
      <c r="H416" s="394"/>
      <c r="I416" s="91">
        <v>2</v>
      </c>
      <c r="J416" s="268">
        <f ca="1">OFFSET('Tax value roll forward'!H$69,0,I416-1)-SUM('Tax value roll forward'!H452:OFFSET('Tax value roll forward'!H452,0,Input!$W$7-1))</f>
        <v>0</v>
      </c>
      <c r="K416" s="268" t="str">
        <f>IF(A30taxstdlife="N/A","n/a",IF(J416=0,0,A30taxstdlife+I416-Input!$W$7))</f>
        <v>n/a</v>
      </c>
      <c r="L416" s="114"/>
      <c r="M416" s="9"/>
      <c r="N416" s="9"/>
      <c r="O416" s="9"/>
      <c r="P416" s="9"/>
      <c r="Q416" s="9"/>
      <c r="R416" s="9"/>
      <c r="S416" s="261"/>
      <c r="T416" s="261"/>
      <c r="U416" s="261"/>
      <c r="V416" s="261"/>
      <c r="W416" s="261"/>
      <c r="X416" s="261"/>
      <c r="Y416" s="261"/>
      <c r="Z416" s="261"/>
    </row>
    <row r="417" spans="1:26" hidden="1" outlineLevel="1">
      <c r="A417" s="9"/>
      <c r="B417" s="9"/>
      <c r="C417" s="394"/>
      <c r="D417" s="91">
        <v>3</v>
      </c>
      <c r="E417" s="268">
        <f ca="1">OFFSET('Actual RAB roll forward'!H$73,0,D417-1)-SUM('Actual RAB roll forward'!H457:OFFSET('Actual RAB roll forward'!H457,0,Input!$W$7-1))</f>
        <v>0</v>
      </c>
      <c r="F417" s="268" t="str">
        <f>IF(A30stdlife="N/A","n/a",IF(E417=0,0,A30stdlife+D417-Input!$W$7))</f>
        <v>n/a</v>
      </c>
      <c r="G417" s="264"/>
      <c r="H417" s="394"/>
      <c r="I417" s="91">
        <v>3</v>
      </c>
      <c r="J417" s="268">
        <f ca="1">OFFSET('Tax value roll forward'!H$69,0,I417-1)-SUM('Tax value roll forward'!H453:OFFSET('Tax value roll forward'!H453,0,Input!$W$7-1))</f>
        <v>0</v>
      </c>
      <c r="K417" s="268" t="str">
        <f>IF(A30taxstdlife="N/A","n/a",IF(J417=0,0,A30taxstdlife+I417-Input!$W$7))</f>
        <v>n/a</v>
      </c>
      <c r="L417" s="114"/>
      <c r="M417" s="9"/>
      <c r="N417" s="9"/>
      <c r="O417" s="9"/>
      <c r="P417" s="9"/>
      <c r="Q417" s="9"/>
      <c r="R417" s="9"/>
      <c r="S417" s="261"/>
      <c r="T417" s="261"/>
      <c r="U417" s="261"/>
      <c r="V417" s="261"/>
      <c r="W417" s="261"/>
      <c r="X417" s="261"/>
      <c r="Y417" s="261"/>
      <c r="Z417" s="261"/>
    </row>
    <row r="418" spans="1:26" hidden="1" outlineLevel="1">
      <c r="A418" s="9"/>
      <c r="B418" s="9"/>
      <c r="C418" s="394"/>
      <c r="D418" s="91">
        <v>4</v>
      </c>
      <c r="E418" s="268">
        <f ca="1">OFFSET('Actual RAB roll forward'!H$73,0,D418-1)-SUM('Actual RAB roll forward'!H458:OFFSET('Actual RAB roll forward'!H458,0,Input!$W$7-1))</f>
        <v>0</v>
      </c>
      <c r="F418" s="268" t="str">
        <f>IF(A30stdlife="N/A","n/a",IF(E418=0,0,A30stdlife+D418-Input!$W$7))</f>
        <v>n/a</v>
      </c>
      <c r="G418" s="264"/>
      <c r="H418" s="394"/>
      <c r="I418" s="91">
        <v>4</v>
      </c>
      <c r="J418" s="268">
        <f ca="1">OFFSET('Tax value roll forward'!H$69,0,I418-1)-SUM('Tax value roll forward'!H454:OFFSET('Tax value roll forward'!H454,0,Input!$W$7-1))</f>
        <v>0</v>
      </c>
      <c r="K418" s="268" t="str">
        <f>IF(A30taxstdlife="N/A","n/a",IF(J418=0,0,A30taxstdlife+I418-Input!$W$7))</f>
        <v>n/a</v>
      </c>
      <c r="L418" s="114"/>
      <c r="M418" s="9"/>
      <c r="N418" s="9"/>
      <c r="O418" s="9"/>
      <c r="P418" s="9"/>
      <c r="Q418" s="9"/>
      <c r="R418" s="9"/>
      <c r="S418" s="261"/>
      <c r="T418" s="261"/>
      <c r="U418" s="261"/>
      <c r="V418" s="261"/>
      <c r="W418" s="261"/>
      <c r="X418" s="261"/>
      <c r="Y418" s="261"/>
      <c r="Z418" s="261"/>
    </row>
    <row r="419" spans="1:26" hidden="1" outlineLevel="1">
      <c r="A419" s="9"/>
      <c r="B419" s="9"/>
      <c r="C419" s="394"/>
      <c r="D419" s="91">
        <v>5</v>
      </c>
      <c r="E419" s="268">
        <f ca="1">OFFSET('Actual RAB roll forward'!H$73,0,D419-1)-SUM('Actual RAB roll forward'!H459:OFFSET('Actual RAB roll forward'!H459,0,Input!$W$7-1))</f>
        <v>0</v>
      </c>
      <c r="F419" s="268" t="str">
        <f>IF(A30stdlife="N/A","n/a",IF(E419=0,0,A30stdlife+D419-Input!$W$7))</f>
        <v>n/a</v>
      </c>
      <c r="G419" s="264"/>
      <c r="H419" s="394"/>
      <c r="I419" s="91">
        <v>5</v>
      </c>
      <c r="J419" s="268">
        <f ca="1">OFFSET('Tax value roll forward'!H$69,0,I419-1)-SUM('Tax value roll forward'!H455:OFFSET('Tax value roll forward'!H455,0,Input!$W$7-1))</f>
        <v>0</v>
      </c>
      <c r="K419" s="268" t="str">
        <f>IF(A30taxstdlife="N/A","n/a",IF(J419=0,0,A30taxstdlife+I419-Input!$W$7))</f>
        <v>n/a</v>
      </c>
      <c r="L419" s="114"/>
      <c r="M419" s="9"/>
      <c r="N419" s="9"/>
      <c r="O419" s="9"/>
      <c r="P419" s="9"/>
      <c r="Q419" s="9"/>
      <c r="R419" s="9"/>
      <c r="S419" s="261"/>
      <c r="T419" s="261"/>
      <c r="U419" s="261"/>
      <c r="V419" s="261"/>
      <c r="W419" s="261"/>
      <c r="X419" s="261"/>
      <c r="Y419" s="261"/>
      <c r="Z419" s="261"/>
    </row>
    <row r="420" spans="1:26" hidden="1" outlineLevel="1">
      <c r="A420" s="9"/>
      <c r="B420" s="9"/>
      <c r="C420" s="394"/>
      <c r="D420" s="91">
        <v>6</v>
      </c>
      <c r="E420" s="268">
        <f ca="1">OFFSET('Actual RAB roll forward'!H$73,0,D420-1)-SUM('Actual RAB roll forward'!H460:OFFSET('Actual RAB roll forward'!H460,0,Input!$W$7-1))</f>
        <v>0</v>
      </c>
      <c r="F420" s="268" t="str">
        <f>IF(A30stdlife="N/A","n/a",IF(E420=0,0,A30stdlife+D420-Input!$W$7))</f>
        <v>n/a</v>
      </c>
      <c r="G420" s="264"/>
      <c r="H420" s="394"/>
      <c r="I420" s="91">
        <v>6</v>
      </c>
      <c r="J420" s="268">
        <f ca="1">OFFSET('Tax value roll forward'!H$69,0,I420-1)-SUM('Tax value roll forward'!H456:OFFSET('Tax value roll forward'!H456,0,Input!$W$7-1))</f>
        <v>0</v>
      </c>
      <c r="K420" s="268" t="str">
        <f>IF(A30taxstdlife="N/A","n/a",IF(J420=0,0,A30taxstdlife+I420-Input!$W$7))</f>
        <v>n/a</v>
      </c>
      <c r="L420" s="114"/>
      <c r="M420" s="9"/>
      <c r="N420" s="9"/>
      <c r="O420" s="9"/>
      <c r="P420" s="9"/>
      <c r="Q420" s="9"/>
      <c r="R420" s="9"/>
      <c r="S420" s="261"/>
      <c r="T420" s="261"/>
      <c r="U420" s="261"/>
      <c r="V420" s="261"/>
      <c r="W420" s="261"/>
      <c r="X420" s="261"/>
      <c r="Y420" s="261"/>
      <c r="Z420" s="261"/>
    </row>
    <row r="421" spans="1:26" hidden="1" outlineLevel="1">
      <c r="A421" s="9"/>
      <c r="B421" s="9"/>
      <c r="C421" s="394"/>
      <c r="D421" s="91">
        <v>7</v>
      </c>
      <c r="E421" s="268">
        <f ca="1">OFFSET('Actual RAB roll forward'!H$73,0,D421-1)-SUM('Actual RAB roll forward'!H461:OFFSET('Actual RAB roll forward'!H461,0,Input!$W$7-1))</f>
        <v>0</v>
      </c>
      <c r="F421" s="268" t="str">
        <f>IF(A30stdlife="N/A","n/a",IF(E421=0,0,A30stdlife+D421-Input!$W$7))</f>
        <v>n/a</v>
      </c>
      <c r="G421" s="264"/>
      <c r="H421" s="394"/>
      <c r="I421" s="91">
        <v>7</v>
      </c>
      <c r="J421" s="268">
        <f ca="1">OFFSET('Tax value roll forward'!H$69,0,I421-1)-SUM('Tax value roll forward'!H457:OFFSET('Tax value roll forward'!H457,0,Input!$W$7-1))</f>
        <v>0</v>
      </c>
      <c r="K421" s="268" t="str">
        <f>IF(A30taxstdlife="N/A","n/a",IF(J421=0,0,A30taxstdlife+I421-Input!$W$7))</f>
        <v>n/a</v>
      </c>
      <c r="L421" s="114"/>
      <c r="M421" s="9"/>
      <c r="N421" s="9"/>
      <c r="O421" s="9"/>
      <c r="P421" s="9"/>
      <c r="Q421" s="9"/>
      <c r="R421" s="9"/>
      <c r="S421" s="261"/>
      <c r="T421" s="261"/>
      <c r="U421" s="261"/>
      <c r="V421" s="261"/>
      <c r="W421" s="261"/>
      <c r="X421" s="261"/>
      <c r="Y421" s="261"/>
      <c r="Z421" s="261"/>
    </row>
    <row r="422" spans="1:26" hidden="1" outlineLevel="1">
      <c r="A422" s="9"/>
      <c r="B422" s="9"/>
      <c r="C422" s="394"/>
      <c r="D422" s="91">
        <v>8</v>
      </c>
      <c r="E422" s="268">
        <f ca="1">OFFSET('Actual RAB roll forward'!H$73,0,D422-1)-SUM('Actual RAB roll forward'!H462:OFFSET('Actual RAB roll forward'!H462,0,Input!$W$7-1))</f>
        <v>0</v>
      </c>
      <c r="F422" s="268" t="str">
        <f>IF(A30stdlife="N/A","n/a",IF(E422=0,0,A30stdlife+D422-Input!$W$7))</f>
        <v>n/a</v>
      </c>
      <c r="G422" s="264"/>
      <c r="H422" s="394"/>
      <c r="I422" s="91">
        <v>8</v>
      </c>
      <c r="J422" s="268">
        <f ca="1">OFFSET('Tax value roll forward'!H$69,0,I422-1)-SUM('Tax value roll forward'!H458:OFFSET('Tax value roll forward'!H458,0,Input!$W$7-1))</f>
        <v>0</v>
      </c>
      <c r="K422" s="268" t="str">
        <f>IF(A30taxstdlife="N/A","n/a",IF(J422=0,0,A30taxstdlife+I422-Input!$W$7))</f>
        <v>n/a</v>
      </c>
      <c r="L422" s="114"/>
      <c r="M422" s="9"/>
      <c r="N422" s="9"/>
      <c r="O422" s="9"/>
      <c r="P422" s="9"/>
      <c r="Q422" s="9"/>
      <c r="R422" s="9"/>
      <c r="S422" s="261"/>
      <c r="T422" s="261"/>
      <c r="U422" s="261"/>
      <c r="V422" s="261"/>
      <c r="W422" s="261"/>
      <c r="X422" s="261"/>
      <c r="Y422" s="261"/>
      <c r="Z422" s="261"/>
    </row>
    <row r="423" spans="1:26" hidden="1" outlineLevel="1">
      <c r="A423" s="9"/>
      <c r="B423" s="9"/>
      <c r="C423" s="394"/>
      <c r="D423" s="91">
        <v>9</v>
      </c>
      <c r="E423" s="268">
        <f ca="1">OFFSET('Actual RAB roll forward'!H$73,0,D423-1)-SUM('Actual RAB roll forward'!H463:OFFSET('Actual RAB roll forward'!H463,0,Input!$W$7-1))</f>
        <v>0</v>
      </c>
      <c r="F423" s="268" t="str">
        <f>IF(A30stdlife="N/A","n/a",IF(E423=0,0,A30stdlife+D423-Input!$W$7))</f>
        <v>n/a</v>
      </c>
      <c r="G423" s="264"/>
      <c r="H423" s="394"/>
      <c r="I423" s="91">
        <v>9</v>
      </c>
      <c r="J423" s="268">
        <f ca="1">OFFSET('Tax value roll forward'!H$69,0,I423-1)-SUM('Tax value roll forward'!H459:OFFSET('Tax value roll forward'!H459,0,Input!$W$7-1))</f>
        <v>0</v>
      </c>
      <c r="K423" s="268" t="str">
        <f>IF(A30taxstdlife="N/A","n/a",IF(J423=0,0,A30taxstdlife+I423-Input!$W$7))</f>
        <v>n/a</v>
      </c>
      <c r="L423" s="114"/>
      <c r="M423" s="9"/>
      <c r="N423" s="9"/>
      <c r="O423" s="9"/>
      <c r="P423" s="9"/>
      <c r="Q423" s="9"/>
      <c r="R423" s="9"/>
      <c r="S423" s="261"/>
      <c r="T423" s="261"/>
      <c r="U423" s="261"/>
      <c r="V423" s="261"/>
      <c r="W423" s="261"/>
      <c r="X423" s="261"/>
      <c r="Y423" s="261"/>
      <c r="Z423" s="261"/>
    </row>
    <row r="424" spans="1:26" hidden="1" outlineLevel="1">
      <c r="A424" s="9"/>
      <c r="B424" s="9"/>
      <c r="C424" s="395"/>
      <c r="D424" s="92">
        <v>10</v>
      </c>
      <c r="E424" s="268">
        <f ca="1">OFFSET('Actual RAB roll forward'!H$73,0,D424-1)-SUM('Actual RAB roll forward'!H464:OFFSET('Actual RAB roll forward'!H464,0,Input!$W$7-1))</f>
        <v>0</v>
      </c>
      <c r="F424" s="268" t="str">
        <f>IF(A30stdlife="N/A","n/a",IF(E424=0,0,A30stdlife+D424-Input!$W$7))</f>
        <v>n/a</v>
      </c>
      <c r="G424" s="264"/>
      <c r="H424" s="395"/>
      <c r="I424" s="92">
        <v>10</v>
      </c>
      <c r="J424" s="268">
        <f ca="1">OFFSET('Tax value roll forward'!H$69,0,I424-1)-SUM('Tax value roll forward'!H460:OFFSET('Tax value roll forward'!H460,0,Input!$W$7-1))</f>
        <v>0</v>
      </c>
      <c r="K424" s="268" t="str">
        <f>IF(A30taxstdlife="N/A","n/a",IF(J424=0,0,A30taxstdlife+I424-Input!$W$7))</f>
        <v>n/a</v>
      </c>
      <c r="L424" s="114"/>
      <c r="M424" s="9"/>
      <c r="N424" s="9"/>
      <c r="O424" s="9"/>
      <c r="P424" s="9"/>
      <c r="Q424" s="9"/>
      <c r="R424" s="9"/>
      <c r="S424" s="261"/>
      <c r="T424" s="261"/>
      <c r="U424" s="261"/>
      <c r="V424" s="261"/>
      <c r="W424" s="261"/>
      <c r="X424" s="261"/>
      <c r="Y424" s="261"/>
      <c r="Z424" s="261"/>
    </row>
    <row r="425" spans="1:26" collapsed="1">
      <c r="A425" s="9"/>
      <c r="B425" s="9"/>
      <c r="C425" s="282">
        <f>Asset30</f>
        <v>0</v>
      </c>
      <c r="D425" s="9"/>
      <c r="E425" s="268">
        <f ca="1">SUM(E414:E424)</f>
        <v>0</v>
      </c>
      <c r="F425" s="268">
        <f ca="1">IF(E425=0,0,SUMPRODUCT(E414:E424,F414:F424)/E425)</f>
        <v>0</v>
      </c>
      <c r="G425" s="264"/>
      <c r="H425" s="43"/>
      <c r="J425" s="268">
        <f ca="1">SUM(J414:J424)</f>
        <v>0</v>
      </c>
      <c r="K425" s="268">
        <f ca="1">IF(J425=0,0,SUMPRODUCT(J414:J424,K414:K424)/J425)</f>
        <v>0</v>
      </c>
      <c r="L425" s="114"/>
      <c r="M425" s="9"/>
      <c r="N425" s="9"/>
      <c r="O425" s="9"/>
      <c r="P425" s="9"/>
      <c r="Q425" s="9"/>
      <c r="R425" s="9"/>
      <c r="S425" s="261"/>
      <c r="T425" s="261"/>
      <c r="U425" s="261"/>
      <c r="V425" s="261"/>
      <c r="W425" s="261"/>
      <c r="X425" s="261"/>
      <c r="Y425" s="261"/>
      <c r="Z425" s="261"/>
    </row>
    <row r="426" spans="1:26">
      <c r="A426" s="9"/>
      <c r="B426" s="9"/>
      <c r="C426" s="9"/>
      <c r="D426" s="9"/>
      <c r="E426" s="35"/>
      <c r="F426" s="35"/>
      <c r="G426" s="264"/>
      <c r="H426" s="273"/>
      <c r="I426" s="268"/>
      <c r="J426" s="273"/>
      <c r="K426" s="268"/>
      <c r="L426" s="114"/>
      <c r="M426" s="9"/>
      <c r="N426" s="9"/>
      <c r="O426" s="9"/>
      <c r="P426" s="9"/>
      <c r="Q426" s="9"/>
      <c r="R426" s="9"/>
      <c r="S426" s="261"/>
      <c r="T426" s="261"/>
      <c r="U426" s="261"/>
      <c r="V426" s="261"/>
      <c r="W426" s="261"/>
      <c r="X426" s="261"/>
      <c r="Y426" s="261"/>
      <c r="Z426" s="261"/>
    </row>
    <row r="427" spans="1:26">
      <c r="A427" s="9"/>
      <c r="B427" s="9"/>
      <c r="C427" s="9"/>
      <c r="D427" s="9"/>
      <c r="E427" s="35"/>
      <c r="F427" s="35"/>
      <c r="G427" s="264"/>
      <c r="H427" s="273"/>
      <c r="I427" s="268"/>
      <c r="J427" s="273"/>
      <c r="K427" s="268"/>
      <c r="L427" s="114"/>
      <c r="M427" s="9"/>
      <c r="N427" s="9"/>
      <c r="O427" s="9"/>
      <c r="P427" s="9"/>
      <c r="Q427" s="9"/>
      <c r="R427" s="9"/>
      <c r="S427" s="261"/>
      <c r="T427" s="261"/>
      <c r="U427" s="261"/>
      <c r="V427" s="261"/>
      <c r="W427" s="261"/>
      <c r="X427" s="261"/>
      <c r="Y427" s="261"/>
      <c r="Z427" s="261"/>
    </row>
    <row r="428" spans="1:26">
      <c r="A428" s="9"/>
      <c r="B428" s="9"/>
      <c r="C428" s="9"/>
      <c r="D428" s="9"/>
      <c r="E428" s="35"/>
      <c r="F428" s="35"/>
      <c r="G428" s="264"/>
      <c r="H428" s="273"/>
      <c r="I428" s="268"/>
      <c r="J428" s="273"/>
      <c r="K428" s="268"/>
      <c r="L428" s="114"/>
      <c r="M428" s="9"/>
      <c r="N428" s="9"/>
      <c r="O428" s="9"/>
      <c r="P428" s="9"/>
      <c r="Q428" s="9"/>
      <c r="R428" s="9"/>
      <c r="S428" s="261"/>
      <c r="T428" s="261"/>
      <c r="U428" s="261"/>
      <c r="V428" s="261"/>
      <c r="W428" s="261"/>
      <c r="X428" s="261"/>
      <c r="Y428" s="261"/>
      <c r="Z428" s="261"/>
    </row>
    <row r="429" spans="1:26">
      <c r="A429" s="9"/>
      <c r="B429" s="9"/>
      <c r="C429" s="9"/>
      <c r="D429" s="9"/>
      <c r="E429" s="35"/>
      <c r="F429" s="35"/>
      <c r="G429" s="264"/>
      <c r="H429" s="273"/>
      <c r="I429" s="268"/>
      <c r="J429" s="273"/>
      <c r="K429" s="268"/>
      <c r="L429" s="114"/>
      <c r="M429" s="9"/>
      <c r="N429" s="9"/>
      <c r="O429" s="9"/>
      <c r="P429" s="9"/>
      <c r="Q429" s="9"/>
      <c r="R429" s="9"/>
      <c r="S429" s="261"/>
      <c r="T429" s="261"/>
      <c r="U429" s="261"/>
      <c r="V429" s="261"/>
      <c r="W429" s="261"/>
      <c r="X429" s="261"/>
      <c r="Y429" s="261"/>
      <c r="Z429" s="261"/>
    </row>
    <row r="430" spans="1:26">
      <c r="A430" s="9"/>
      <c r="B430" s="9"/>
      <c r="C430" s="9"/>
      <c r="D430" s="9"/>
      <c r="E430" s="35"/>
      <c r="F430" s="35"/>
      <c r="G430" s="264"/>
      <c r="H430" s="273"/>
      <c r="I430" s="268"/>
      <c r="J430" s="273"/>
      <c r="K430" s="268"/>
      <c r="L430" s="114"/>
      <c r="M430" s="9"/>
      <c r="N430" s="9"/>
      <c r="O430" s="9"/>
      <c r="P430" s="9"/>
      <c r="Q430" s="9"/>
      <c r="R430" s="9"/>
      <c r="S430" s="261"/>
      <c r="T430" s="261"/>
      <c r="U430" s="261"/>
      <c r="V430" s="261"/>
      <c r="W430" s="261"/>
      <c r="X430" s="261"/>
      <c r="Y430" s="261"/>
      <c r="Z430" s="261"/>
    </row>
    <row r="431" spans="1:26">
      <c r="A431" s="9"/>
      <c r="B431" s="9"/>
      <c r="C431" s="9"/>
      <c r="D431" s="9"/>
      <c r="E431" s="35"/>
      <c r="F431" s="35"/>
      <c r="G431" s="264"/>
      <c r="H431" s="273"/>
      <c r="I431" s="268"/>
      <c r="J431" s="273"/>
      <c r="K431" s="268"/>
      <c r="L431" s="114"/>
      <c r="M431" s="9"/>
      <c r="N431" s="9"/>
      <c r="O431" s="9"/>
      <c r="P431" s="9"/>
      <c r="Q431" s="9"/>
      <c r="R431" s="9"/>
      <c r="S431" s="261"/>
      <c r="T431" s="261"/>
      <c r="U431" s="261"/>
      <c r="V431" s="261"/>
      <c r="W431" s="261"/>
      <c r="X431" s="261"/>
      <c r="Y431" s="261"/>
      <c r="Z431" s="261"/>
    </row>
    <row r="432" spans="1:26">
      <c r="A432" s="9"/>
      <c r="B432" s="9"/>
      <c r="C432" s="9"/>
      <c r="D432" s="9"/>
      <c r="E432" s="35"/>
      <c r="F432" s="35"/>
      <c r="G432" s="264"/>
      <c r="H432" s="273"/>
      <c r="I432" s="268"/>
      <c r="J432" s="273"/>
      <c r="K432" s="268"/>
      <c r="L432" s="114"/>
      <c r="M432" s="9"/>
      <c r="N432" s="9"/>
      <c r="O432" s="9"/>
      <c r="P432" s="9"/>
      <c r="Q432" s="9"/>
      <c r="R432" s="9"/>
      <c r="S432" s="261"/>
      <c r="T432" s="261"/>
      <c r="U432" s="261"/>
      <c r="V432" s="261"/>
      <c r="W432" s="261"/>
      <c r="X432" s="261"/>
      <c r="Y432" s="261"/>
      <c r="Z432" s="261"/>
    </row>
    <row r="433" spans="1:26">
      <c r="A433" s="9"/>
      <c r="B433" s="9"/>
      <c r="C433" s="9"/>
      <c r="D433" s="9"/>
      <c r="E433" s="35"/>
      <c r="F433" s="35"/>
      <c r="G433" s="264"/>
      <c r="H433" s="273"/>
      <c r="I433" s="268"/>
      <c r="J433" s="273"/>
      <c r="K433" s="268"/>
      <c r="L433" s="114"/>
      <c r="M433" s="9"/>
      <c r="N433" s="9"/>
      <c r="O433" s="9"/>
      <c r="P433" s="9"/>
      <c r="Q433" s="9"/>
      <c r="R433" s="9"/>
      <c r="S433" s="261"/>
      <c r="T433" s="261"/>
      <c r="U433" s="261"/>
      <c r="V433" s="261"/>
      <c r="W433" s="261"/>
      <c r="X433" s="261"/>
      <c r="Y433" s="261"/>
      <c r="Z433" s="261"/>
    </row>
    <row r="434" spans="1:26">
      <c r="A434" s="9"/>
      <c r="B434" s="9"/>
      <c r="C434" s="9"/>
      <c r="D434" s="9"/>
      <c r="E434" s="35"/>
      <c r="F434" s="35"/>
      <c r="G434" s="264"/>
      <c r="H434" s="273"/>
      <c r="I434" s="268"/>
      <c r="J434" s="273"/>
      <c r="K434" s="268"/>
      <c r="L434" s="114"/>
      <c r="M434" s="9"/>
      <c r="N434" s="9"/>
      <c r="O434" s="9"/>
      <c r="P434" s="9"/>
      <c r="Q434" s="9"/>
      <c r="R434" s="9"/>
      <c r="S434" s="261"/>
      <c r="T434" s="261"/>
      <c r="U434" s="261"/>
      <c r="V434" s="261"/>
      <c r="W434" s="261"/>
      <c r="X434" s="261"/>
      <c r="Y434" s="261"/>
      <c r="Z434" s="261"/>
    </row>
    <row r="435" spans="1:26">
      <c r="A435" s="9"/>
      <c r="B435" s="9"/>
      <c r="C435" s="9"/>
      <c r="D435" s="9"/>
      <c r="E435" s="35"/>
      <c r="F435" s="35"/>
      <c r="G435" s="264"/>
      <c r="H435" s="273"/>
      <c r="I435" s="268"/>
      <c r="J435" s="273"/>
      <c r="K435" s="268"/>
      <c r="L435" s="114"/>
      <c r="M435" s="9"/>
      <c r="N435" s="9"/>
      <c r="O435" s="9"/>
      <c r="P435" s="9"/>
      <c r="Q435" s="9"/>
      <c r="R435" s="9"/>
      <c r="S435" s="261"/>
      <c r="T435" s="261"/>
      <c r="U435" s="261"/>
      <c r="V435" s="261"/>
      <c r="W435" s="261"/>
      <c r="X435" s="261"/>
      <c r="Y435" s="261"/>
      <c r="Z435" s="261"/>
    </row>
    <row r="436" spans="1:26">
      <c r="A436" s="9"/>
      <c r="B436" s="9"/>
      <c r="C436" s="9"/>
      <c r="D436" s="9"/>
      <c r="E436" s="35"/>
      <c r="F436" s="35"/>
      <c r="G436" s="264"/>
      <c r="H436" s="273"/>
      <c r="I436" s="268"/>
      <c r="J436" s="273"/>
      <c r="K436" s="268"/>
      <c r="L436" s="114"/>
      <c r="M436" s="9"/>
      <c r="N436" s="9"/>
      <c r="O436" s="9"/>
      <c r="P436" s="9"/>
      <c r="Q436" s="9"/>
      <c r="R436" s="9"/>
      <c r="S436" s="261"/>
      <c r="T436" s="261"/>
      <c r="U436" s="261"/>
      <c r="V436" s="261"/>
      <c r="W436" s="261"/>
      <c r="X436" s="261"/>
      <c r="Y436" s="261"/>
      <c r="Z436" s="261"/>
    </row>
    <row r="437" spans="1:26">
      <c r="A437" s="9"/>
      <c r="B437" s="9"/>
      <c r="C437" s="9"/>
      <c r="D437" s="9"/>
      <c r="E437" s="35"/>
      <c r="F437" s="35"/>
      <c r="G437" s="264"/>
      <c r="H437" s="273"/>
      <c r="I437" s="268"/>
      <c r="J437" s="273"/>
      <c r="K437" s="268"/>
      <c r="L437" s="114"/>
      <c r="M437" s="9"/>
      <c r="N437" s="9"/>
      <c r="O437" s="9"/>
      <c r="P437" s="9"/>
      <c r="Q437" s="9"/>
      <c r="R437" s="9"/>
      <c r="S437" s="261"/>
      <c r="T437" s="261"/>
      <c r="U437" s="261"/>
      <c r="V437" s="261"/>
      <c r="W437" s="261"/>
      <c r="X437" s="261"/>
      <c r="Y437" s="261"/>
      <c r="Z437" s="261"/>
    </row>
    <row r="438" spans="1:26">
      <c r="A438" s="9"/>
      <c r="B438" s="9"/>
      <c r="C438" s="9"/>
      <c r="D438" s="9"/>
      <c r="E438" s="35"/>
      <c r="F438" s="35"/>
      <c r="G438" s="264"/>
      <c r="H438" s="273"/>
      <c r="I438" s="268"/>
      <c r="J438" s="273"/>
      <c r="K438" s="268"/>
      <c r="L438" s="114"/>
      <c r="M438" s="9"/>
      <c r="N438" s="9"/>
      <c r="O438" s="9"/>
      <c r="P438" s="9"/>
      <c r="Q438" s="9"/>
      <c r="R438" s="9"/>
      <c r="S438" s="261"/>
      <c r="T438" s="261"/>
      <c r="U438" s="261"/>
      <c r="V438" s="261"/>
      <c r="W438" s="261"/>
      <c r="X438" s="261"/>
      <c r="Y438" s="261"/>
      <c r="Z438" s="261"/>
    </row>
    <row r="439" spans="1:26">
      <c r="A439" s="9"/>
      <c r="B439" s="9"/>
      <c r="C439" s="9"/>
      <c r="D439" s="9"/>
      <c r="E439" s="35"/>
      <c r="F439" s="35"/>
      <c r="G439" s="264"/>
      <c r="H439" s="273"/>
      <c r="I439" s="268"/>
      <c r="J439" s="273"/>
      <c r="K439" s="268"/>
      <c r="L439" s="114"/>
      <c r="M439" s="9"/>
      <c r="N439" s="9"/>
      <c r="O439" s="9"/>
      <c r="P439" s="9"/>
      <c r="Q439" s="9"/>
      <c r="R439" s="9"/>
      <c r="S439" s="261"/>
      <c r="T439" s="261"/>
      <c r="U439" s="261"/>
      <c r="V439" s="261"/>
      <c r="W439" s="261"/>
      <c r="X439" s="261"/>
      <c r="Y439" s="261"/>
      <c r="Z439" s="261"/>
    </row>
    <row r="440" spans="1:26">
      <c r="A440" s="9"/>
      <c r="B440" s="9"/>
      <c r="C440" s="9"/>
      <c r="D440" s="9"/>
      <c r="E440" s="35"/>
      <c r="F440" s="35"/>
      <c r="G440" s="264"/>
      <c r="H440" s="273"/>
      <c r="I440" s="268"/>
      <c r="J440" s="273"/>
      <c r="K440" s="268"/>
      <c r="L440" s="114"/>
      <c r="M440" s="9"/>
      <c r="N440" s="9"/>
      <c r="O440" s="9"/>
      <c r="P440" s="9"/>
      <c r="Q440" s="9"/>
      <c r="R440" s="9"/>
      <c r="S440" s="261"/>
      <c r="T440" s="261"/>
      <c r="U440" s="261"/>
      <c r="V440" s="261"/>
      <c r="W440" s="261"/>
      <c r="X440" s="261"/>
      <c r="Y440" s="261"/>
      <c r="Z440" s="261"/>
    </row>
    <row r="441" spans="1:26">
      <c r="A441" s="9"/>
      <c r="B441" s="9"/>
      <c r="C441" s="9"/>
      <c r="D441" s="9"/>
      <c r="E441" s="35"/>
      <c r="F441" s="35"/>
      <c r="G441" s="264"/>
      <c r="H441" s="273"/>
      <c r="I441" s="268"/>
      <c r="J441" s="273"/>
      <c r="K441" s="268"/>
      <c r="L441" s="114"/>
      <c r="M441" s="9"/>
      <c r="N441" s="9"/>
      <c r="O441" s="9"/>
      <c r="P441" s="9"/>
      <c r="Q441" s="9"/>
      <c r="R441" s="9"/>
      <c r="S441" s="261"/>
      <c r="T441" s="261"/>
      <c r="U441" s="261"/>
      <c r="V441" s="261"/>
      <c r="W441" s="261"/>
      <c r="X441" s="261"/>
      <c r="Y441" s="261"/>
      <c r="Z441" s="261"/>
    </row>
    <row r="442" spans="1:26">
      <c r="A442" s="9"/>
      <c r="B442" s="9"/>
      <c r="C442" s="9"/>
      <c r="D442" s="9"/>
      <c r="E442" s="35"/>
      <c r="F442" s="35"/>
      <c r="G442" s="264"/>
      <c r="H442" s="273"/>
      <c r="I442" s="268"/>
      <c r="J442" s="273"/>
      <c r="K442" s="268"/>
      <c r="L442" s="114"/>
      <c r="M442" s="9"/>
      <c r="N442" s="9"/>
      <c r="O442" s="9"/>
      <c r="P442" s="9"/>
      <c r="Q442" s="9"/>
      <c r="R442" s="9"/>
      <c r="S442" s="261"/>
      <c r="T442" s="261"/>
      <c r="U442" s="261"/>
      <c r="V442" s="261"/>
      <c r="W442" s="261"/>
      <c r="X442" s="261"/>
      <c r="Y442" s="261"/>
      <c r="Z442" s="261"/>
    </row>
    <row r="443" spans="1:26">
      <c r="A443" s="9"/>
      <c r="B443" s="9"/>
      <c r="C443" s="9"/>
      <c r="D443" s="9"/>
      <c r="E443" s="35"/>
      <c r="F443" s="35"/>
      <c r="G443" s="264"/>
      <c r="H443" s="273"/>
      <c r="I443" s="268"/>
      <c r="J443" s="273"/>
      <c r="K443" s="268"/>
      <c r="L443" s="114"/>
      <c r="M443" s="9"/>
      <c r="N443" s="9"/>
      <c r="O443" s="9"/>
      <c r="P443" s="9"/>
      <c r="Q443" s="9"/>
      <c r="R443" s="9"/>
      <c r="S443" s="261"/>
      <c r="T443" s="261"/>
      <c r="U443" s="261"/>
      <c r="V443" s="261"/>
      <c r="W443" s="261"/>
      <c r="X443" s="261"/>
      <c r="Y443" s="261"/>
      <c r="Z443" s="261"/>
    </row>
    <row r="444" spans="1:26">
      <c r="A444" s="9"/>
      <c r="B444" s="9"/>
      <c r="C444" s="9"/>
      <c r="D444" s="9"/>
      <c r="E444" s="35"/>
      <c r="F444" s="35"/>
      <c r="G444" s="264"/>
      <c r="H444" s="273"/>
      <c r="I444" s="268"/>
      <c r="J444" s="273"/>
      <c r="K444" s="268"/>
      <c r="L444" s="114"/>
      <c r="M444" s="9"/>
      <c r="N444" s="9"/>
      <c r="O444" s="9"/>
      <c r="P444" s="9"/>
      <c r="Q444" s="9"/>
      <c r="R444" s="9"/>
      <c r="S444" s="261"/>
      <c r="T444" s="261"/>
      <c r="U444" s="261"/>
      <c r="V444" s="261"/>
      <c r="W444" s="261"/>
      <c r="X444" s="261"/>
      <c r="Y444" s="261"/>
      <c r="Z444" s="261"/>
    </row>
    <row r="445" spans="1:26">
      <c r="A445" s="9"/>
      <c r="B445" s="9"/>
      <c r="C445" s="9"/>
      <c r="D445" s="9"/>
      <c r="E445" s="35"/>
      <c r="F445" s="35"/>
      <c r="G445" s="264"/>
      <c r="H445" s="273"/>
      <c r="I445" s="268"/>
      <c r="J445" s="273"/>
      <c r="K445" s="268"/>
      <c r="L445" s="114"/>
      <c r="M445" s="9"/>
      <c r="N445" s="9"/>
      <c r="O445" s="9"/>
      <c r="P445" s="9"/>
      <c r="Q445" s="9"/>
      <c r="R445" s="9"/>
      <c r="S445" s="261"/>
      <c r="T445" s="261"/>
      <c r="U445" s="261"/>
      <c r="V445" s="261"/>
      <c r="W445" s="261"/>
      <c r="X445" s="261"/>
      <c r="Y445" s="261"/>
      <c r="Z445" s="261"/>
    </row>
    <row r="446" spans="1:26">
      <c r="A446" s="9"/>
      <c r="B446" s="9"/>
      <c r="C446" s="9"/>
      <c r="D446" s="9"/>
      <c r="E446" s="35"/>
      <c r="F446" s="35"/>
      <c r="G446" s="264"/>
      <c r="H446" s="273"/>
      <c r="I446" s="268"/>
      <c r="J446" s="273"/>
      <c r="K446" s="268"/>
      <c r="L446" s="114"/>
      <c r="M446" s="9"/>
      <c r="N446" s="9"/>
      <c r="O446" s="9"/>
      <c r="P446" s="9"/>
      <c r="Q446" s="9"/>
      <c r="R446" s="9"/>
      <c r="S446" s="261"/>
      <c r="T446" s="261"/>
      <c r="U446" s="261"/>
      <c r="V446" s="261"/>
      <c r="W446" s="261"/>
      <c r="X446" s="261"/>
      <c r="Y446" s="261"/>
      <c r="Z446" s="261"/>
    </row>
    <row r="447" spans="1:26">
      <c r="A447" s="9"/>
      <c r="B447" s="9"/>
      <c r="C447" s="9"/>
      <c r="D447" s="9"/>
      <c r="E447" s="35"/>
      <c r="F447" s="35"/>
      <c r="G447" s="264"/>
      <c r="H447" s="273"/>
      <c r="I447" s="268"/>
      <c r="J447" s="273"/>
      <c r="K447" s="268"/>
      <c r="L447" s="114"/>
      <c r="M447" s="9"/>
      <c r="N447" s="9"/>
      <c r="O447" s="9"/>
      <c r="P447" s="9"/>
      <c r="Q447" s="9"/>
      <c r="R447" s="9"/>
      <c r="S447" s="261"/>
      <c r="T447" s="261"/>
      <c r="U447" s="261"/>
      <c r="V447" s="261"/>
      <c r="W447" s="261"/>
      <c r="X447" s="261"/>
      <c r="Y447" s="261"/>
      <c r="Z447" s="261"/>
    </row>
    <row r="448" spans="1:26">
      <c r="A448" s="9"/>
      <c r="B448" s="9"/>
      <c r="C448" s="9"/>
      <c r="D448" s="9"/>
      <c r="E448" s="35"/>
      <c r="F448" s="35"/>
      <c r="G448" s="264"/>
      <c r="H448" s="273"/>
      <c r="I448" s="268"/>
      <c r="J448" s="273"/>
      <c r="K448" s="268"/>
      <c r="L448" s="114"/>
      <c r="M448" s="9"/>
      <c r="N448" s="9"/>
      <c r="O448" s="9"/>
      <c r="P448" s="9"/>
      <c r="Q448" s="9"/>
      <c r="R448" s="9"/>
      <c r="S448" s="261"/>
      <c r="T448" s="261"/>
      <c r="U448" s="261"/>
      <c r="V448" s="261"/>
      <c r="W448" s="261"/>
      <c r="X448" s="261"/>
      <c r="Y448" s="261"/>
      <c r="Z448" s="261"/>
    </row>
    <row r="449" spans="1:26">
      <c r="A449" s="9"/>
      <c r="B449" s="9"/>
      <c r="C449" s="9"/>
      <c r="D449" s="9"/>
      <c r="E449" s="35"/>
      <c r="F449" s="35"/>
      <c r="G449" s="264"/>
      <c r="H449" s="273"/>
      <c r="I449" s="268"/>
      <c r="J449" s="273"/>
      <c r="K449" s="268"/>
      <c r="L449" s="114"/>
      <c r="M449" s="9"/>
      <c r="N449" s="9"/>
      <c r="O449" s="9"/>
      <c r="P449" s="9"/>
      <c r="Q449" s="9"/>
      <c r="R449" s="9"/>
      <c r="S449" s="261"/>
      <c r="T449" s="261"/>
      <c r="U449" s="261"/>
      <c r="V449" s="261"/>
      <c r="W449" s="261"/>
      <c r="X449" s="261"/>
      <c r="Y449" s="261"/>
      <c r="Z449" s="261"/>
    </row>
    <row r="450" spans="1:26">
      <c r="A450" s="9"/>
      <c r="B450" s="9"/>
      <c r="C450" s="9"/>
      <c r="D450" s="9"/>
      <c r="E450" s="35"/>
      <c r="F450" s="35"/>
      <c r="G450" s="264"/>
      <c r="H450" s="273"/>
      <c r="I450" s="268"/>
      <c r="J450" s="273"/>
      <c r="K450" s="268"/>
      <c r="L450" s="114"/>
      <c r="M450" s="9"/>
      <c r="N450" s="9"/>
      <c r="O450" s="9"/>
      <c r="P450" s="9"/>
      <c r="Q450" s="9"/>
      <c r="R450" s="9"/>
      <c r="S450" s="261"/>
      <c r="T450" s="261"/>
      <c r="U450" s="261"/>
      <c r="V450" s="261"/>
      <c r="W450" s="261"/>
      <c r="X450" s="261"/>
      <c r="Y450" s="261"/>
      <c r="Z450" s="261"/>
    </row>
    <row r="451" spans="1:26">
      <c r="A451" s="9"/>
      <c r="B451" s="9"/>
      <c r="C451" s="9"/>
      <c r="D451" s="9"/>
      <c r="E451" s="35"/>
      <c r="F451" s="35"/>
      <c r="G451" s="264"/>
      <c r="H451" s="273"/>
      <c r="I451" s="268"/>
      <c r="J451" s="273"/>
      <c r="K451" s="268"/>
      <c r="L451" s="114"/>
      <c r="M451" s="9"/>
      <c r="N451" s="9"/>
      <c r="O451" s="9"/>
      <c r="P451" s="9"/>
      <c r="Q451" s="9"/>
      <c r="R451" s="9"/>
      <c r="S451" s="261"/>
      <c r="T451" s="261"/>
      <c r="U451" s="261"/>
      <c r="V451" s="261"/>
      <c r="W451" s="261"/>
      <c r="X451" s="261"/>
      <c r="Y451" s="261"/>
      <c r="Z451" s="261"/>
    </row>
    <row r="452" spans="1:26">
      <c r="A452" s="9"/>
      <c r="B452" s="9"/>
      <c r="C452" s="9"/>
      <c r="D452" s="9"/>
      <c r="E452" s="35"/>
      <c r="F452" s="35"/>
      <c r="G452" s="264"/>
      <c r="H452" s="273"/>
      <c r="I452" s="268"/>
      <c r="J452" s="273"/>
      <c r="K452" s="268"/>
      <c r="L452" s="114"/>
      <c r="M452" s="9"/>
      <c r="N452" s="9"/>
      <c r="O452" s="9"/>
      <c r="P452" s="9"/>
      <c r="Q452" s="9"/>
      <c r="R452" s="9"/>
      <c r="S452" s="261"/>
      <c r="T452" s="261"/>
      <c r="U452" s="261"/>
      <c r="V452" s="261"/>
      <c r="W452" s="261"/>
      <c r="X452" s="261"/>
      <c r="Y452" s="261"/>
      <c r="Z452" s="261"/>
    </row>
    <row r="453" spans="1:26">
      <c r="A453" s="9"/>
      <c r="B453" s="9"/>
      <c r="C453" s="9"/>
      <c r="D453" s="9"/>
      <c r="E453" s="35"/>
      <c r="F453" s="35"/>
      <c r="G453" s="264"/>
      <c r="H453" s="273"/>
      <c r="I453" s="268"/>
      <c r="J453" s="273"/>
      <c r="K453" s="268"/>
      <c r="L453" s="114"/>
      <c r="M453" s="9"/>
      <c r="N453" s="9"/>
      <c r="O453" s="9"/>
      <c r="P453" s="9"/>
      <c r="Q453" s="9"/>
      <c r="R453" s="9"/>
      <c r="S453" s="261"/>
      <c r="T453" s="261"/>
      <c r="U453" s="261"/>
      <c r="V453" s="261"/>
      <c r="W453" s="261"/>
      <c r="X453" s="261"/>
      <c r="Y453" s="261"/>
      <c r="Z453" s="261"/>
    </row>
    <row r="454" spans="1:26">
      <c r="A454" s="9"/>
      <c r="B454" s="9"/>
      <c r="C454" s="9"/>
      <c r="D454" s="9"/>
      <c r="E454" s="35"/>
      <c r="F454" s="35"/>
      <c r="G454" s="264"/>
      <c r="H454" s="273"/>
      <c r="I454" s="268"/>
      <c r="J454" s="273"/>
      <c r="K454" s="268"/>
      <c r="L454" s="114"/>
      <c r="M454" s="9"/>
      <c r="N454" s="9"/>
      <c r="O454" s="9"/>
      <c r="P454" s="9"/>
      <c r="Q454" s="9"/>
      <c r="R454" s="9"/>
      <c r="S454" s="261"/>
      <c r="T454" s="261"/>
      <c r="U454" s="261"/>
      <c r="V454" s="261"/>
      <c r="W454" s="261"/>
      <c r="X454" s="261"/>
      <c r="Y454" s="261"/>
      <c r="Z454" s="261"/>
    </row>
    <row r="455" spans="1:26">
      <c r="A455" s="9"/>
      <c r="B455" s="9"/>
      <c r="C455" s="9"/>
      <c r="D455" s="9"/>
      <c r="E455" s="35"/>
      <c r="F455" s="35"/>
      <c r="G455" s="264"/>
      <c r="H455" s="273"/>
      <c r="I455" s="268"/>
      <c r="J455" s="273"/>
      <c r="K455" s="268"/>
      <c r="L455" s="114"/>
      <c r="M455" s="9"/>
      <c r="N455" s="9"/>
      <c r="O455" s="9"/>
      <c r="P455" s="9"/>
      <c r="Q455" s="9"/>
      <c r="R455" s="9"/>
      <c r="S455" s="261"/>
      <c r="T455" s="261"/>
      <c r="U455" s="261"/>
      <c r="V455" s="261"/>
      <c r="W455" s="261"/>
      <c r="X455" s="261"/>
      <c r="Y455" s="261"/>
      <c r="Z455" s="261"/>
    </row>
    <row r="456" spans="1:26">
      <c r="A456" s="9"/>
      <c r="B456" s="9"/>
      <c r="C456" s="9"/>
      <c r="D456" s="9"/>
      <c r="E456" s="35"/>
      <c r="F456" s="35"/>
      <c r="G456" s="264"/>
      <c r="H456" s="273"/>
      <c r="I456" s="268"/>
      <c r="J456" s="273"/>
      <c r="K456" s="268"/>
      <c r="L456" s="114"/>
      <c r="M456" s="9"/>
      <c r="N456" s="9"/>
      <c r="O456" s="9"/>
      <c r="P456" s="9"/>
      <c r="Q456" s="9"/>
      <c r="R456" s="9"/>
      <c r="S456" s="261"/>
      <c r="T456" s="261"/>
      <c r="U456" s="261"/>
      <c r="V456" s="261"/>
      <c r="W456" s="261"/>
      <c r="X456" s="261"/>
      <c r="Y456" s="261"/>
      <c r="Z456" s="261"/>
    </row>
    <row r="457" spans="1:26">
      <c r="A457" s="9"/>
      <c r="B457" s="9"/>
      <c r="C457" s="9"/>
      <c r="D457" s="9"/>
      <c r="E457" s="35"/>
      <c r="F457" s="35"/>
      <c r="G457" s="264"/>
      <c r="H457" s="273"/>
      <c r="I457" s="268"/>
      <c r="J457" s="273"/>
      <c r="K457" s="268"/>
      <c r="L457" s="114"/>
      <c r="M457" s="9"/>
      <c r="N457" s="9"/>
      <c r="O457" s="9"/>
      <c r="P457" s="9"/>
      <c r="Q457" s="9"/>
      <c r="R457" s="9"/>
      <c r="S457" s="261"/>
      <c r="T457" s="261"/>
      <c r="U457" s="261"/>
      <c r="V457" s="261"/>
      <c r="W457" s="261"/>
      <c r="X457" s="261"/>
      <c r="Y457" s="261"/>
      <c r="Z457" s="261"/>
    </row>
    <row r="458" spans="1:26">
      <c r="A458" s="9"/>
      <c r="B458" s="9"/>
      <c r="C458" s="9"/>
      <c r="D458" s="9"/>
      <c r="E458" s="35"/>
      <c r="F458" s="35"/>
      <c r="G458" s="264"/>
      <c r="H458" s="273"/>
      <c r="I458" s="268"/>
      <c r="J458" s="273"/>
      <c r="K458" s="268"/>
      <c r="L458" s="114"/>
      <c r="M458" s="9"/>
      <c r="N458" s="9"/>
      <c r="O458" s="9"/>
      <c r="P458" s="9"/>
      <c r="Q458" s="9"/>
      <c r="R458" s="9"/>
      <c r="S458" s="261"/>
      <c r="T458" s="261"/>
      <c r="U458" s="261"/>
      <c r="V458" s="261"/>
      <c r="W458" s="261"/>
      <c r="X458" s="261"/>
      <c r="Y458" s="261"/>
      <c r="Z458" s="261"/>
    </row>
    <row r="459" spans="1:26">
      <c r="A459" s="9"/>
      <c r="B459" s="9"/>
      <c r="C459" s="9"/>
      <c r="D459" s="9"/>
      <c r="E459" s="35"/>
      <c r="F459" s="35"/>
      <c r="G459" s="264"/>
      <c r="H459" s="273"/>
      <c r="I459" s="268"/>
      <c r="J459" s="273"/>
      <c r="K459" s="268"/>
      <c r="L459" s="114"/>
      <c r="M459" s="9"/>
      <c r="N459" s="9"/>
      <c r="O459" s="9"/>
      <c r="P459" s="9"/>
      <c r="Q459" s="9"/>
      <c r="R459" s="9"/>
      <c r="S459" s="261"/>
      <c r="T459" s="261"/>
      <c r="U459" s="261"/>
      <c r="V459" s="261"/>
      <c r="W459" s="261"/>
      <c r="X459" s="261"/>
      <c r="Y459" s="261"/>
      <c r="Z459" s="261"/>
    </row>
    <row r="460" spans="1:26">
      <c r="A460" s="9"/>
      <c r="B460" s="9"/>
      <c r="C460" s="9"/>
      <c r="D460" s="9"/>
      <c r="E460" s="35"/>
      <c r="F460" s="35"/>
      <c r="G460" s="264"/>
      <c r="H460" s="273"/>
      <c r="I460" s="268"/>
      <c r="J460" s="273"/>
      <c r="K460" s="268"/>
      <c r="L460" s="114"/>
      <c r="M460" s="9"/>
      <c r="N460" s="9"/>
      <c r="O460" s="9"/>
      <c r="P460" s="9"/>
      <c r="Q460" s="9"/>
      <c r="R460" s="9"/>
      <c r="S460" s="261"/>
      <c r="T460" s="261"/>
      <c r="U460" s="261"/>
      <c r="V460" s="261"/>
      <c r="W460" s="261"/>
      <c r="X460" s="261"/>
      <c r="Y460" s="261"/>
      <c r="Z460" s="261"/>
    </row>
    <row r="461" spans="1:26">
      <c r="A461" s="9"/>
      <c r="B461" s="9"/>
      <c r="C461" s="9"/>
      <c r="D461" s="9"/>
      <c r="E461" s="35"/>
      <c r="F461" s="35"/>
      <c r="G461" s="264"/>
      <c r="H461" s="273"/>
      <c r="I461" s="268"/>
      <c r="J461" s="273"/>
      <c r="K461" s="268"/>
      <c r="L461" s="114"/>
      <c r="M461" s="9"/>
      <c r="N461" s="9"/>
      <c r="O461" s="9"/>
      <c r="P461" s="9"/>
      <c r="Q461" s="9"/>
      <c r="R461" s="9"/>
      <c r="S461" s="261"/>
      <c r="T461" s="261"/>
      <c r="U461" s="261"/>
      <c r="V461" s="261"/>
      <c r="W461" s="261"/>
      <c r="X461" s="261"/>
      <c r="Y461" s="261"/>
      <c r="Z461" s="261"/>
    </row>
    <row r="462" spans="1:26">
      <c r="A462" s="9"/>
      <c r="B462" s="9"/>
      <c r="C462" s="9"/>
      <c r="D462" s="9"/>
      <c r="E462" s="35"/>
      <c r="F462" s="35"/>
      <c r="G462" s="264"/>
      <c r="H462" s="273"/>
      <c r="I462" s="268"/>
      <c r="J462" s="273"/>
      <c r="K462" s="268"/>
      <c r="L462" s="114"/>
      <c r="M462" s="9"/>
      <c r="N462" s="9"/>
      <c r="O462" s="9"/>
      <c r="P462" s="9"/>
      <c r="Q462" s="9"/>
      <c r="R462" s="9"/>
      <c r="S462" s="261"/>
      <c r="T462" s="261"/>
      <c r="U462" s="261"/>
      <c r="V462" s="261"/>
      <c r="W462" s="261"/>
      <c r="X462" s="261"/>
      <c r="Y462" s="261"/>
      <c r="Z462" s="261"/>
    </row>
    <row r="463" spans="1:26">
      <c r="A463" s="9"/>
      <c r="B463" s="9"/>
      <c r="C463" s="9"/>
      <c r="D463" s="9"/>
      <c r="E463" s="35"/>
      <c r="F463" s="35"/>
      <c r="G463" s="264"/>
      <c r="H463" s="273"/>
      <c r="I463" s="268"/>
      <c r="J463" s="273"/>
      <c r="K463" s="268"/>
      <c r="L463" s="114"/>
      <c r="M463" s="9"/>
      <c r="N463" s="9"/>
      <c r="O463" s="9"/>
      <c r="P463" s="9"/>
      <c r="Q463" s="9"/>
      <c r="R463" s="9"/>
      <c r="S463" s="261"/>
      <c r="T463" s="261"/>
      <c r="U463" s="261"/>
      <c r="V463" s="261"/>
      <c r="W463" s="261"/>
      <c r="X463" s="261"/>
      <c r="Y463" s="261"/>
      <c r="Z463" s="261"/>
    </row>
    <row r="464" spans="1:26">
      <c r="A464" s="9"/>
      <c r="B464" s="9"/>
      <c r="C464" s="9"/>
      <c r="D464" s="9"/>
      <c r="E464" s="35"/>
      <c r="F464" s="35"/>
      <c r="G464" s="264"/>
      <c r="H464" s="273"/>
      <c r="I464" s="268"/>
      <c r="J464" s="273"/>
      <c r="K464" s="268"/>
      <c r="L464" s="114"/>
      <c r="M464" s="9"/>
      <c r="N464" s="9"/>
      <c r="O464" s="9"/>
      <c r="P464" s="9"/>
      <c r="Q464" s="9"/>
      <c r="R464" s="9"/>
      <c r="S464" s="261"/>
      <c r="T464" s="261"/>
      <c r="U464" s="261"/>
      <c r="V464" s="261"/>
      <c r="W464" s="261"/>
      <c r="X464" s="261"/>
      <c r="Y464" s="261"/>
      <c r="Z464" s="261"/>
    </row>
    <row r="465" spans="1:26">
      <c r="A465" s="9"/>
      <c r="B465" s="9"/>
      <c r="C465" s="9"/>
      <c r="D465" s="9"/>
      <c r="E465" s="35"/>
      <c r="F465" s="35"/>
      <c r="G465" s="264"/>
      <c r="H465" s="273"/>
      <c r="I465" s="268"/>
      <c r="J465" s="273"/>
      <c r="K465" s="268"/>
      <c r="L465" s="114"/>
      <c r="M465" s="9"/>
      <c r="N465" s="9"/>
      <c r="O465" s="9"/>
      <c r="P465" s="9"/>
      <c r="Q465" s="9"/>
      <c r="R465" s="9"/>
      <c r="S465" s="261"/>
      <c r="T465" s="261"/>
      <c r="U465" s="261"/>
      <c r="V465" s="261"/>
      <c r="W465" s="261"/>
      <c r="X465" s="261"/>
      <c r="Y465" s="261"/>
      <c r="Z465" s="261"/>
    </row>
    <row r="466" spans="1:26">
      <c r="A466" s="9"/>
      <c r="B466" s="9"/>
      <c r="C466" s="9"/>
      <c r="D466" s="9"/>
      <c r="E466" s="35"/>
      <c r="F466" s="35"/>
      <c r="G466" s="264"/>
      <c r="H466" s="273"/>
      <c r="I466" s="268"/>
      <c r="J466" s="273"/>
      <c r="K466" s="268"/>
      <c r="L466" s="114"/>
      <c r="M466" s="9"/>
      <c r="N466" s="9"/>
      <c r="O466" s="9"/>
      <c r="P466" s="9"/>
      <c r="Q466" s="9"/>
      <c r="R466" s="9"/>
      <c r="S466" s="261"/>
      <c r="T466" s="261"/>
      <c r="U466" s="261"/>
      <c r="V466" s="261"/>
      <c r="W466" s="261"/>
      <c r="X466" s="261"/>
      <c r="Y466" s="261"/>
      <c r="Z466" s="261"/>
    </row>
    <row r="467" spans="1:26">
      <c r="A467" s="9"/>
      <c r="B467" s="9"/>
      <c r="C467" s="9"/>
      <c r="D467" s="9"/>
      <c r="E467" s="35"/>
      <c r="F467" s="35"/>
      <c r="G467" s="264"/>
      <c r="H467" s="273"/>
      <c r="I467" s="268"/>
      <c r="J467" s="273"/>
      <c r="K467" s="268"/>
      <c r="L467" s="114"/>
      <c r="M467" s="9"/>
      <c r="N467" s="9"/>
      <c r="O467" s="9"/>
      <c r="P467" s="9"/>
      <c r="Q467" s="9"/>
      <c r="R467" s="9"/>
      <c r="S467" s="261"/>
      <c r="T467" s="261"/>
      <c r="U467" s="261"/>
      <c r="V467" s="261"/>
      <c r="W467" s="261"/>
      <c r="X467" s="261"/>
      <c r="Y467" s="261"/>
      <c r="Z467" s="261"/>
    </row>
    <row r="468" spans="1:26">
      <c r="A468" s="9"/>
      <c r="B468" s="9"/>
      <c r="C468" s="9"/>
      <c r="D468" s="9"/>
      <c r="E468" s="35"/>
      <c r="F468" s="35"/>
      <c r="G468" s="264"/>
      <c r="H468" s="273"/>
      <c r="I468" s="268"/>
      <c r="J468" s="273"/>
      <c r="K468" s="268"/>
      <c r="L468" s="114"/>
      <c r="M468" s="9"/>
      <c r="N468" s="9"/>
      <c r="O468" s="9"/>
      <c r="P468" s="9"/>
      <c r="Q468" s="9"/>
      <c r="R468" s="9"/>
      <c r="S468" s="261"/>
      <c r="T468" s="261"/>
      <c r="U468" s="261"/>
      <c r="V468" s="261"/>
      <c r="W468" s="261"/>
      <c r="X468" s="261"/>
      <c r="Y468" s="261"/>
      <c r="Z468" s="261"/>
    </row>
    <row r="469" spans="1:26">
      <c r="A469" s="9"/>
      <c r="B469" s="9"/>
      <c r="C469" s="9"/>
      <c r="D469" s="9"/>
      <c r="E469" s="35"/>
      <c r="F469" s="35"/>
      <c r="G469" s="264"/>
      <c r="H469" s="273"/>
      <c r="I469" s="268"/>
      <c r="J469" s="273"/>
      <c r="K469" s="268"/>
      <c r="L469" s="114"/>
      <c r="M469" s="9"/>
      <c r="N469" s="9"/>
      <c r="O469" s="9"/>
      <c r="P469" s="9"/>
      <c r="Q469" s="9"/>
      <c r="R469" s="9"/>
      <c r="S469" s="261"/>
      <c r="T469" s="261"/>
      <c r="U469" s="261"/>
      <c r="V469" s="261"/>
      <c r="W469" s="261"/>
      <c r="X469" s="261"/>
      <c r="Y469" s="261"/>
      <c r="Z469" s="261"/>
    </row>
    <row r="470" spans="1:26">
      <c r="A470" s="9"/>
      <c r="B470" s="9"/>
      <c r="C470" s="9"/>
      <c r="D470" s="9"/>
      <c r="E470" s="35"/>
      <c r="F470" s="35"/>
      <c r="G470" s="264"/>
      <c r="H470" s="273"/>
      <c r="I470" s="268"/>
      <c r="J470" s="273"/>
      <c r="K470" s="268"/>
      <c r="L470" s="114"/>
      <c r="M470" s="9"/>
      <c r="N470" s="9"/>
      <c r="O470" s="9"/>
      <c r="P470" s="9"/>
      <c r="Q470" s="9"/>
      <c r="R470" s="9"/>
      <c r="S470" s="261"/>
      <c r="T470" s="261"/>
      <c r="U470" s="261"/>
      <c r="V470" s="261"/>
      <c r="W470" s="261"/>
      <c r="X470" s="261"/>
      <c r="Y470" s="261"/>
      <c r="Z470" s="261"/>
    </row>
    <row r="471" spans="1:26">
      <c r="A471" s="9"/>
      <c r="B471" s="9"/>
      <c r="C471" s="9"/>
      <c r="D471" s="9"/>
      <c r="E471" s="35"/>
      <c r="F471" s="35"/>
      <c r="G471" s="264"/>
      <c r="H471" s="273"/>
      <c r="I471" s="268"/>
      <c r="J471" s="273"/>
      <c r="K471" s="268"/>
      <c r="L471" s="114"/>
      <c r="M471" s="9"/>
      <c r="N471" s="9"/>
      <c r="O471" s="9"/>
      <c r="P471" s="9"/>
      <c r="Q471" s="9"/>
      <c r="R471" s="9"/>
      <c r="S471" s="261"/>
      <c r="T471" s="261"/>
      <c r="U471" s="261"/>
      <c r="V471" s="261"/>
      <c r="W471" s="261"/>
      <c r="X471" s="261"/>
      <c r="Y471" s="261"/>
      <c r="Z471" s="261"/>
    </row>
    <row r="472" spans="1:26">
      <c r="A472" s="9"/>
      <c r="B472" s="9"/>
      <c r="C472" s="9"/>
      <c r="D472" s="9"/>
      <c r="E472" s="35"/>
      <c r="F472" s="35"/>
      <c r="G472" s="264"/>
      <c r="H472" s="273"/>
      <c r="I472" s="268"/>
      <c r="J472" s="273"/>
      <c r="K472" s="268"/>
      <c r="L472" s="114"/>
      <c r="M472" s="9"/>
      <c r="N472" s="9"/>
      <c r="O472" s="9"/>
      <c r="P472" s="9"/>
      <c r="Q472" s="9"/>
      <c r="R472" s="9"/>
      <c r="S472" s="261"/>
      <c r="T472" s="261"/>
      <c r="U472" s="261"/>
      <c r="V472" s="261"/>
      <c r="W472" s="261"/>
      <c r="X472" s="261"/>
      <c r="Y472" s="261"/>
      <c r="Z472" s="261"/>
    </row>
    <row r="473" spans="1:26">
      <c r="A473" s="9"/>
      <c r="B473" s="9"/>
      <c r="C473" s="9"/>
      <c r="D473" s="9"/>
      <c r="E473" s="35"/>
      <c r="F473" s="35"/>
      <c r="G473" s="264"/>
      <c r="H473" s="273"/>
      <c r="I473" s="268"/>
      <c r="J473" s="273"/>
      <c r="K473" s="268"/>
      <c r="L473" s="114"/>
      <c r="M473" s="9"/>
      <c r="N473" s="9"/>
      <c r="O473" s="9"/>
      <c r="P473" s="9"/>
      <c r="Q473" s="9"/>
      <c r="R473" s="9"/>
      <c r="S473" s="261"/>
      <c r="T473" s="261"/>
      <c r="U473" s="261"/>
      <c r="V473" s="261"/>
      <c r="W473" s="261"/>
      <c r="X473" s="261"/>
      <c r="Y473" s="261"/>
      <c r="Z473" s="261"/>
    </row>
    <row r="474" spans="1:26">
      <c r="A474" s="9"/>
      <c r="B474" s="9"/>
      <c r="C474" s="9"/>
      <c r="D474" s="9"/>
      <c r="E474" s="35"/>
      <c r="F474" s="35"/>
      <c r="G474" s="264"/>
      <c r="H474" s="273"/>
      <c r="I474" s="268"/>
      <c r="J474" s="273"/>
      <c r="K474" s="268"/>
      <c r="L474" s="114"/>
      <c r="M474" s="9"/>
      <c r="N474" s="9"/>
      <c r="O474" s="9"/>
      <c r="P474" s="9"/>
      <c r="Q474" s="9"/>
      <c r="R474" s="9"/>
      <c r="S474" s="261"/>
      <c r="T474" s="261"/>
      <c r="U474" s="261"/>
      <c r="V474" s="261"/>
      <c r="W474" s="261"/>
      <c r="X474" s="261"/>
      <c r="Y474" s="261"/>
      <c r="Z474" s="261"/>
    </row>
    <row r="475" spans="1:26">
      <c r="A475" s="9"/>
      <c r="B475" s="9"/>
      <c r="C475" s="9"/>
      <c r="D475" s="9"/>
      <c r="E475" s="35"/>
      <c r="F475" s="35"/>
      <c r="G475" s="264"/>
      <c r="H475" s="273"/>
      <c r="I475" s="268"/>
      <c r="J475" s="273"/>
      <c r="K475" s="268"/>
      <c r="L475" s="114"/>
      <c r="M475" s="9"/>
      <c r="N475" s="9"/>
      <c r="O475" s="9"/>
      <c r="P475" s="9"/>
      <c r="Q475" s="9"/>
      <c r="R475" s="9"/>
      <c r="S475" s="261"/>
      <c r="T475" s="261"/>
      <c r="U475" s="261"/>
      <c r="V475" s="261"/>
      <c r="W475" s="261"/>
      <c r="X475" s="261"/>
      <c r="Y475" s="261"/>
      <c r="Z475" s="261"/>
    </row>
    <row r="476" spans="1:26">
      <c r="A476" s="9"/>
      <c r="B476" s="9"/>
      <c r="C476" s="9"/>
      <c r="D476" s="9"/>
      <c r="E476" s="35"/>
      <c r="F476" s="35"/>
      <c r="G476" s="264"/>
      <c r="H476" s="273"/>
      <c r="I476" s="268"/>
      <c r="J476" s="273"/>
      <c r="K476" s="268"/>
      <c r="L476" s="114"/>
      <c r="M476" s="9"/>
      <c r="N476" s="9"/>
      <c r="O476" s="9"/>
      <c r="P476" s="9"/>
      <c r="Q476" s="9"/>
      <c r="R476" s="9"/>
      <c r="S476" s="261"/>
      <c r="T476" s="261"/>
      <c r="U476" s="261"/>
      <c r="V476" s="261"/>
      <c r="W476" s="261"/>
      <c r="X476" s="261"/>
      <c r="Y476" s="261"/>
      <c r="Z476" s="261"/>
    </row>
    <row r="477" spans="1:26">
      <c r="A477" s="9"/>
      <c r="B477" s="9"/>
      <c r="C477" s="9"/>
      <c r="D477" s="9"/>
      <c r="E477" s="35"/>
      <c r="F477" s="35"/>
      <c r="G477" s="264"/>
      <c r="H477" s="273"/>
      <c r="I477" s="268"/>
      <c r="J477" s="273"/>
      <c r="K477" s="268"/>
      <c r="L477" s="114"/>
      <c r="M477" s="9"/>
      <c r="N477" s="9"/>
      <c r="O477" s="9"/>
      <c r="P477" s="9"/>
      <c r="Q477" s="9"/>
      <c r="R477" s="9"/>
      <c r="S477" s="261"/>
      <c r="T477" s="261"/>
      <c r="U477" s="261"/>
      <c r="V477" s="261"/>
      <c r="W477" s="261"/>
      <c r="X477" s="261"/>
      <c r="Y477" s="261"/>
      <c r="Z477" s="261"/>
    </row>
    <row r="478" spans="1:26">
      <c r="A478" s="9"/>
      <c r="B478" s="9"/>
      <c r="C478" s="9"/>
      <c r="D478" s="9"/>
      <c r="E478" s="35"/>
      <c r="F478" s="35"/>
      <c r="G478" s="264"/>
      <c r="H478" s="273"/>
      <c r="I478" s="268"/>
      <c r="J478" s="273"/>
      <c r="K478" s="268"/>
      <c r="L478" s="114"/>
      <c r="M478" s="9"/>
      <c r="N478" s="9"/>
      <c r="O478" s="9"/>
      <c r="P478" s="9"/>
      <c r="Q478" s="9"/>
      <c r="R478" s="9"/>
      <c r="S478" s="261"/>
      <c r="T478" s="261"/>
      <c r="U478" s="261"/>
      <c r="V478" s="261"/>
      <c r="W478" s="261"/>
      <c r="X478" s="261"/>
      <c r="Y478" s="261"/>
      <c r="Z478" s="261"/>
    </row>
    <row r="479" spans="1:26">
      <c r="A479" s="9"/>
      <c r="B479" s="9"/>
      <c r="C479" s="9"/>
      <c r="D479" s="9"/>
      <c r="E479" s="35"/>
      <c r="F479" s="35"/>
      <c r="G479" s="264"/>
      <c r="H479" s="273"/>
      <c r="I479" s="268"/>
      <c r="J479" s="273"/>
      <c r="K479" s="268"/>
      <c r="L479" s="114"/>
      <c r="M479" s="9"/>
      <c r="N479" s="9"/>
      <c r="O479" s="9"/>
      <c r="P479" s="9"/>
      <c r="Q479" s="9"/>
      <c r="R479" s="9"/>
      <c r="S479" s="261"/>
      <c r="T479" s="261"/>
      <c r="U479" s="261"/>
      <c r="V479" s="261"/>
      <c r="W479" s="261"/>
      <c r="X479" s="261"/>
      <c r="Y479" s="261"/>
      <c r="Z479" s="261"/>
    </row>
    <row r="480" spans="1:26">
      <c r="A480" s="9"/>
      <c r="B480" s="9"/>
      <c r="C480" s="9"/>
      <c r="D480" s="9"/>
      <c r="E480" s="35"/>
      <c r="F480" s="35"/>
      <c r="G480" s="264"/>
      <c r="H480" s="273"/>
      <c r="I480" s="268"/>
      <c r="J480" s="273"/>
      <c r="K480" s="268"/>
      <c r="L480" s="114"/>
      <c r="M480" s="9"/>
      <c r="N480" s="9"/>
      <c r="O480" s="9"/>
      <c r="P480" s="9"/>
      <c r="Q480" s="9"/>
      <c r="R480" s="9"/>
      <c r="S480" s="261"/>
      <c r="T480" s="261"/>
      <c r="U480" s="261"/>
      <c r="V480" s="261"/>
      <c r="W480" s="261"/>
      <c r="X480" s="261"/>
      <c r="Y480" s="261"/>
      <c r="Z480" s="261"/>
    </row>
    <row r="481" spans="1:26">
      <c r="A481" s="9"/>
      <c r="B481" s="9"/>
      <c r="C481" s="9"/>
      <c r="D481" s="9"/>
      <c r="E481" s="35"/>
      <c r="F481" s="35"/>
      <c r="G481" s="264"/>
      <c r="H481" s="273"/>
      <c r="I481" s="268"/>
      <c r="J481" s="273"/>
      <c r="K481" s="268"/>
      <c r="L481" s="114"/>
      <c r="M481" s="9"/>
      <c r="N481" s="9"/>
      <c r="O481" s="9"/>
      <c r="P481" s="9"/>
      <c r="Q481" s="9"/>
      <c r="R481" s="9"/>
      <c r="S481" s="261"/>
      <c r="T481" s="261"/>
      <c r="U481" s="261"/>
      <c r="V481" s="261"/>
      <c r="W481" s="261"/>
      <c r="X481" s="261"/>
      <c r="Y481" s="261"/>
      <c r="Z481" s="261"/>
    </row>
    <row r="482" spans="1:26">
      <c r="A482" s="9"/>
      <c r="B482" s="9"/>
      <c r="C482" s="9"/>
      <c r="D482" s="9"/>
      <c r="E482" s="35"/>
      <c r="F482" s="35"/>
      <c r="G482" s="264"/>
      <c r="H482" s="273"/>
      <c r="I482" s="268"/>
      <c r="J482" s="273"/>
      <c r="K482" s="268"/>
      <c r="L482" s="114"/>
      <c r="M482" s="9"/>
      <c r="N482" s="9"/>
      <c r="O482" s="9"/>
      <c r="P482" s="9"/>
      <c r="Q482" s="9"/>
      <c r="R482" s="9"/>
      <c r="S482" s="261"/>
      <c r="T482" s="261"/>
      <c r="U482" s="261"/>
      <c r="V482" s="261"/>
      <c r="W482" s="261"/>
      <c r="X482" s="261"/>
      <c r="Y482" s="261"/>
      <c r="Z482" s="261"/>
    </row>
    <row r="483" spans="1:26">
      <c r="A483" s="9"/>
      <c r="B483" s="9"/>
      <c r="C483" s="9"/>
      <c r="D483" s="9"/>
      <c r="E483" s="35"/>
      <c r="F483" s="35"/>
      <c r="G483" s="264"/>
      <c r="H483" s="273"/>
      <c r="I483" s="268"/>
      <c r="J483" s="273"/>
      <c r="K483" s="268"/>
      <c r="L483" s="114"/>
      <c r="M483" s="9"/>
      <c r="N483" s="9"/>
      <c r="O483" s="9"/>
      <c r="P483" s="9"/>
      <c r="Q483" s="9"/>
      <c r="R483" s="9"/>
      <c r="S483" s="261"/>
      <c r="T483" s="261"/>
      <c r="U483" s="261"/>
      <c r="V483" s="261"/>
      <c r="W483" s="261"/>
      <c r="X483" s="261"/>
      <c r="Y483" s="261"/>
      <c r="Z483" s="261"/>
    </row>
    <row r="484" spans="1:26">
      <c r="A484" s="9"/>
      <c r="B484" s="9"/>
      <c r="C484" s="9"/>
      <c r="D484" s="9"/>
      <c r="E484" s="35"/>
      <c r="F484" s="35"/>
      <c r="G484" s="264"/>
      <c r="H484" s="273"/>
      <c r="I484" s="268"/>
      <c r="J484" s="273"/>
      <c r="K484" s="268"/>
      <c r="L484" s="114"/>
      <c r="M484" s="9"/>
      <c r="N484" s="9"/>
      <c r="O484" s="9"/>
      <c r="P484" s="9"/>
      <c r="Q484" s="9"/>
      <c r="R484" s="9"/>
      <c r="S484" s="261"/>
      <c r="T484" s="261"/>
      <c r="U484" s="261"/>
      <c r="V484" s="261"/>
      <c r="W484" s="261"/>
      <c r="X484" s="261"/>
      <c r="Y484" s="261"/>
      <c r="Z484" s="261"/>
    </row>
    <row r="485" spans="1:26">
      <c r="A485" s="9"/>
      <c r="B485" s="9"/>
      <c r="C485" s="9"/>
      <c r="D485" s="9"/>
      <c r="E485" s="35"/>
      <c r="F485" s="35"/>
      <c r="G485" s="264"/>
      <c r="H485" s="273"/>
      <c r="I485" s="268"/>
      <c r="J485" s="273"/>
      <c r="K485" s="268"/>
      <c r="L485" s="114"/>
      <c r="M485" s="9"/>
      <c r="N485" s="9"/>
      <c r="O485" s="9"/>
      <c r="P485" s="9"/>
      <c r="Q485" s="9"/>
      <c r="R485" s="9"/>
      <c r="S485" s="261"/>
      <c r="T485" s="261"/>
      <c r="U485" s="261"/>
      <c r="V485" s="261"/>
      <c r="W485" s="261"/>
      <c r="X485" s="261"/>
      <c r="Y485" s="261"/>
      <c r="Z485" s="261"/>
    </row>
    <row r="486" spans="1:26">
      <c r="A486" s="9"/>
      <c r="B486" s="9"/>
      <c r="C486" s="9"/>
      <c r="D486" s="9"/>
      <c r="E486" s="35"/>
      <c r="F486" s="35"/>
      <c r="G486" s="264"/>
      <c r="H486" s="273"/>
      <c r="I486" s="268"/>
      <c r="J486" s="273"/>
      <c r="K486" s="268"/>
      <c r="L486" s="114"/>
      <c r="M486" s="9"/>
      <c r="N486" s="9"/>
      <c r="O486" s="9"/>
      <c r="P486" s="9"/>
      <c r="Q486" s="9"/>
      <c r="R486" s="9"/>
      <c r="S486" s="261"/>
      <c r="T486" s="261"/>
      <c r="U486" s="261"/>
      <c r="V486" s="261"/>
      <c r="W486" s="261"/>
      <c r="X486" s="261"/>
      <c r="Y486" s="261"/>
      <c r="Z486" s="261"/>
    </row>
    <row r="487" spans="1:26">
      <c r="A487" s="9"/>
      <c r="B487" s="9"/>
      <c r="C487" s="9"/>
      <c r="D487" s="9"/>
      <c r="E487" s="35"/>
      <c r="F487" s="35"/>
      <c r="G487" s="264"/>
      <c r="H487" s="273"/>
      <c r="I487" s="268"/>
      <c r="J487" s="273"/>
      <c r="K487" s="268"/>
      <c r="L487" s="114"/>
      <c r="M487" s="9"/>
      <c r="N487" s="9"/>
      <c r="O487" s="9"/>
      <c r="P487" s="9"/>
      <c r="Q487" s="9"/>
      <c r="R487" s="9"/>
      <c r="S487" s="261"/>
      <c r="T487" s="261"/>
      <c r="U487" s="261"/>
      <c r="V487" s="261"/>
      <c r="W487" s="261"/>
      <c r="X487" s="261"/>
      <c r="Y487" s="261"/>
      <c r="Z487" s="261"/>
    </row>
    <row r="488" spans="1:26">
      <c r="A488" s="9"/>
      <c r="B488" s="9"/>
      <c r="C488" s="9"/>
      <c r="D488" s="9"/>
      <c r="E488" s="35"/>
      <c r="F488" s="35"/>
      <c r="G488" s="264"/>
      <c r="H488" s="273"/>
      <c r="I488" s="268"/>
      <c r="J488" s="273"/>
      <c r="K488" s="268"/>
      <c r="L488" s="114"/>
      <c r="M488" s="9"/>
      <c r="N488" s="9"/>
      <c r="O488" s="9"/>
      <c r="P488" s="9"/>
      <c r="Q488" s="9"/>
      <c r="R488" s="9"/>
      <c r="S488" s="261"/>
      <c r="T488" s="261"/>
      <c r="U488" s="261"/>
      <c r="V488" s="261"/>
      <c r="W488" s="261"/>
      <c r="X488" s="261"/>
      <c r="Y488" s="261"/>
      <c r="Z488" s="261"/>
    </row>
    <row r="489" spans="1:26">
      <c r="A489" s="9"/>
      <c r="B489" s="9"/>
      <c r="C489" s="9"/>
      <c r="D489" s="9"/>
      <c r="E489" s="35"/>
      <c r="F489" s="35"/>
      <c r="G489" s="264"/>
      <c r="H489" s="273"/>
      <c r="I489" s="268"/>
      <c r="J489" s="273"/>
      <c r="K489" s="268"/>
      <c r="L489" s="114"/>
      <c r="M489" s="9"/>
      <c r="N489" s="9"/>
      <c r="O489" s="9"/>
      <c r="P489" s="9"/>
      <c r="Q489" s="9"/>
      <c r="R489" s="9"/>
      <c r="S489" s="261"/>
      <c r="T489" s="261"/>
      <c r="U489" s="261"/>
      <c r="V489" s="261"/>
      <c r="W489" s="261"/>
      <c r="X489" s="261"/>
      <c r="Y489" s="261"/>
      <c r="Z489" s="261"/>
    </row>
    <row r="490" spans="1:26">
      <c r="A490" s="9"/>
      <c r="B490" s="9"/>
      <c r="C490" s="9"/>
      <c r="D490" s="9"/>
      <c r="E490" s="35"/>
      <c r="F490" s="35"/>
      <c r="G490" s="264"/>
      <c r="H490" s="273"/>
      <c r="I490" s="268"/>
      <c r="J490" s="273"/>
      <c r="K490" s="268"/>
      <c r="L490" s="114"/>
      <c r="M490" s="9"/>
      <c r="N490" s="9"/>
      <c r="O490" s="9"/>
      <c r="P490" s="9"/>
      <c r="Q490" s="9"/>
      <c r="R490" s="9"/>
      <c r="S490" s="261"/>
      <c r="T490" s="261"/>
      <c r="U490" s="261"/>
      <c r="V490" s="261"/>
      <c r="W490" s="261"/>
      <c r="X490" s="261"/>
      <c r="Y490" s="261"/>
      <c r="Z490" s="261"/>
    </row>
    <row r="491" spans="1:26">
      <c r="A491" s="9"/>
      <c r="B491" s="9"/>
      <c r="C491" s="9"/>
      <c r="D491" s="9"/>
      <c r="E491" s="35"/>
      <c r="F491" s="35"/>
      <c r="G491" s="264"/>
      <c r="H491" s="273"/>
      <c r="I491" s="268"/>
      <c r="J491" s="273"/>
      <c r="K491" s="268"/>
      <c r="L491" s="114"/>
      <c r="M491" s="9"/>
      <c r="N491" s="9"/>
      <c r="O491" s="9"/>
      <c r="P491" s="9"/>
      <c r="Q491" s="9"/>
      <c r="R491" s="9"/>
      <c r="S491" s="261"/>
      <c r="T491" s="261"/>
      <c r="U491" s="261"/>
      <c r="V491" s="261"/>
      <c r="W491" s="261"/>
      <c r="X491" s="261"/>
      <c r="Y491" s="261"/>
      <c r="Z491" s="261"/>
    </row>
    <row r="492" spans="1:26">
      <c r="A492" s="9"/>
      <c r="B492" s="9"/>
      <c r="C492" s="9"/>
      <c r="D492" s="9"/>
      <c r="E492" s="35"/>
      <c r="F492" s="35"/>
      <c r="G492" s="264"/>
      <c r="H492" s="273"/>
      <c r="I492" s="268"/>
      <c r="J492" s="273"/>
      <c r="K492" s="268"/>
      <c r="L492" s="114"/>
      <c r="M492" s="9"/>
      <c r="N492" s="9"/>
      <c r="O492" s="9"/>
      <c r="P492" s="9"/>
      <c r="Q492" s="9"/>
      <c r="R492" s="9"/>
      <c r="S492" s="261"/>
      <c r="T492" s="261"/>
      <c r="U492" s="261"/>
      <c r="V492" s="261"/>
      <c r="W492" s="261"/>
      <c r="X492" s="261"/>
      <c r="Y492" s="261"/>
      <c r="Z492" s="261"/>
    </row>
    <row r="493" spans="1:26">
      <c r="A493" s="9"/>
      <c r="B493" s="9"/>
      <c r="C493" s="9"/>
      <c r="D493" s="9"/>
      <c r="E493" s="35"/>
      <c r="F493" s="35"/>
      <c r="G493" s="264"/>
      <c r="H493" s="273"/>
      <c r="I493" s="268"/>
      <c r="J493" s="273"/>
      <c r="K493" s="268"/>
      <c r="L493" s="114"/>
      <c r="M493" s="9"/>
      <c r="N493" s="9"/>
      <c r="O493" s="9"/>
      <c r="P493" s="9"/>
      <c r="Q493" s="9"/>
      <c r="R493" s="9"/>
      <c r="S493" s="261"/>
      <c r="T493" s="261"/>
      <c r="U493" s="261"/>
      <c r="V493" s="261"/>
      <c r="W493" s="261"/>
      <c r="X493" s="261"/>
      <c r="Y493" s="261"/>
      <c r="Z493" s="261"/>
    </row>
    <row r="494" spans="1:26">
      <c r="A494" s="9"/>
      <c r="B494" s="9"/>
      <c r="C494" s="9"/>
      <c r="D494" s="9"/>
      <c r="E494" s="35"/>
      <c r="F494" s="35"/>
      <c r="G494" s="264"/>
      <c r="H494" s="273"/>
      <c r="I494" s="268"/>
      <c r="J494" s="273"/>
      <c r="K494" s="268"/>
      <c r="L494" s="114"/>
      <c r="M494" s="9"/>
      <c r="N494" s="9"/>
      <c r="O494" s="9"/>
      <c r="P494" s="9"/>
      <c r="Q494" s="9"/>
      <c r="R494" s="9"/>
      <c r="S494" s="261"/>
      <c r="T494" s="261"/>
      <c r="U494" s="261"/>
      <c r="V494" s="261"/>
      <c r="W494" s="261"/>
      <c r="X494" s="261"/>
      <c r="Y494" s="261"/>
      <c r="Z494" s="261"/>
    </row>
    <row r="495" spans="1:26">
      <c r="A495" s="9"/>
      <c r="B495" s="9"/>
      <c r="C495" s="9"/>
      <c r="D495" s="9"/>
      <c r="E495" s="35"/>
      <c r="F495" s="35"/>
      <c r="G495" s="264"/>
      <c r="H495" s="273"/>
      <c r="I495" s="268"/>
      <c r="J495" s="273"/>
      <c r="K495" s="268"/>
      <c r="L495" s="114"/>
      <c r="M495" s="9"/>
      <c r="N495" s="9"/>
      <c r="O495" s="9"/>
      <c r="P495" s="9"/>
      <c r="Q495" s="9"/>
      <c r="R495" s="9"/>
      <c r="S495" s="261"/>
      <c r="T495" s="261"/>
      <c r="U495" s="261"/>
      <c r="V495" s="261"/>
      <c r="W495" s="261"/>
      <c r="X495" s="261"/>
      <c r="Y495" s="261"/>
      <c r="Z495" s="261"/>
    </row>
    <row r="496" spans="1:26">
      <c r="A496" s="9"/>
      <c r="B496" s="9"/>
      <c r="C496" s="9"/>
      <c r="D496" s="9"/>
      <c r="E496" s="35"/>
      <c r="F496" s="35"/>
      <c r="G496" s="264"/>
      <c r="H496" s="273"/>
      <c r="I496" s="268"/>
      <c r="J496" s="273"/>
      <c r="K496" s="268"/>
      <c r="L496" s="114"/>
      <c r="M496" s="9"/>
      <c r="N496" s="9"/>
      <c r="O496" s="9"/>
      <c r="P496" s="9"/>
      <c r="Q496" s="9"/>
      <c r="R496" s="9"/>
      <c r="S496" s="261"/>
      <c r="T496" s="261"/>
      <c r="U496" s="261"/>
      <c r="V496" s="261"/>
      <c r="W496" s="261"/>
      <c r="X496" s="261"/>
      <c r="Y496" s="261"/>
      <c r="Z496" s="261"/>
    </row>
    <row r="497" spans="1:26">
      <c r="A497" s="9"/>
      <c r="B497" s="9"/>
      <c r="C497" s="9"/>
      <c r="D497" s="9"/>
      <c r="E497" s="35"/>
      <c r="F497" s="35"/>
      <c r="G497" s="264"/>
      <c r="H497" s="273"/>
      <c r="I497" s="268"/>
      <c r="J497" s="273"/>
      <c r="K497" s="268"/>
      <c r="L497" s="114"/>
      <c r="M497" s="9"/>
      <c r="N497" s="9"/>
      <c r="O497" s="9"/>
      <c r="P497" s="9"/>
      <c r="Q497" s="9"/>
      <c r="R497" s="9"/>
      <c r="S497" s="261"/>
      <c r="T497" s="261"/>
      <c r="U497" s="261"/>
      <c r="V497" s="261"/>
      <c r="W497" s="261"/>
      <c r="X497" s="261"/>
      <c r="Y497" s="261"/>
      <c r="Z497" s="261"/>
    </row>
    <row r="498" spans="1:26">
      <c r="A498" s="9"/>
      <c r="B498" s="9"/>
      <c r="C498" s="9"/>
      <c r="D498" s="9"/>
      <c r="E498" s="35"/>
      <c r="F498" s="35"/>
      <c r="G498" s="264"/>
      <c r="H498" s="273"/>
      <c r="I498" s="268"/>
      <c r="J498" s="273"/>
      <c r="K498" s="268"/>
      <c r="L498" s="114"/>
      <c r="M498" s="9"/>
      <c r="N498" s="9"/>
      <c r="O498" s="9"/>
      <c r="P498" s="9"/>
      <c r="Q498" s="9"/>
      <c r="R498" s="9"/>
      <c r="S498" s="261"/>
      <c r="T498" s="261"/>
      <c r="U498" s="261"/>
      <c r="V498" s="261"/>
      <c r="W498" s="261"/>
      <c r="X498" s="261"/>
      <c r="Y498" s="261"/>
      <c r="Z498" s="261"/>
    </row>
    <row r="499" spans="1:26">
      <c r="A499" s="9"/>
      <c r="B499" s="9"/>
      <c r="C499" s="9"/>
      <c r="D499" s="9"/>
      <c r="E499" s="35"/>
      <c r="F499" s="35"/>
      <c r="G499" s="264"/>
      <c r="H499" s="273"/>
      <c r="I499" s="268"/>
      <c r="J499" s="273"/>
      <c r="K499" s="268"/>
      <c r="L499" s="114"/>
      <c r="M499" s="9"/>
      <c r="N499" s="9"/>
      <c r="O499" s="9"/>
      <c r="P499" s="9"/>
      <c r="Q499" s="9"/>
      <c r="R499" s="9"/>
      <c r="S499" s="261"/>
      <c r="T499" s="261"/>
      <c r="U499" s="261"/>
      <c r="V499" s="261"/>
      <c r="W499" s="261"/>
      <c r="X499" s="261"/>
      <c r="Y499" s="261"/>
      <c r="Z499" s="261"/>
    </row>
    <row r="500" spans="1:26">
      <c r="A500" s="9"/>
      <c r="B500" s="9"/>
      <c r="C500" s="9"/>
      <c r="D500" s="9"/>
      <c r="E500" s="35"/>
      <c r="F500" s="35"/>
      <c r="G500" s="264"/>
      <c r="H500" s="273"/>
      <c r="I500" s="268"/>
      <c r="J500" s="273"/>
      <c r="K500" s="268"/>
      <c r="L500" s="114"/>
      <c r="M500" s="9"/>
      <c r="N500" s="9"/>
      <c r="O500" s="9"/>
      <c r="P500" s="9"/>
      <c r="Q500" s="9"/>
      <c r="R500" s="9"/>
      <c r="S500" s="261"/>
      <c r="T500" s="261"/>
      <c r="U500" s="261"/>
      <c r="V500" s="261"/>
      <c r="W500" s="261"/>
      <c r="X500" s="261"/>
      <c r="Y500" s="261"/>
      <c r="Z500" s="261"/>
    </row>
    <row r="501" spans="1:26">
      <c r="A501" s="9"/>
      <c r="B501" s="9"/>
      <c r="C501" s="9"/>
      <c r="D501" s="9"/>
      <c r="E501" s="35"/>
      <c r="F501" s="35"/>
      <c r="G501" s="264"/>
      <c r="H501" s="273"/>
      <c r="I501" s="268"/>
      <c r="J501" s="273"/>
      <c r="K501" s="268"/>
      <c r="L501" s="114"/>
      <c r="M501" s="9"/>
      <c r="N501" s="9"/>
      <c r="O501" s="9"/>
      <c r="P501" s="9"/>
      <c r="Q501" s="9"/>
      <c r="R501" s="9"/>
      <c r="S501" s="261"/>
      <c r="T501" s="261"/>
      <c r="U501" s="261"/>
      <c r="V501" s="261"/>
      <c r="W501" s="261"/>
      <c r="X501" s="261"/>
      <c r="Y501" s="261"/>
      <c r="Z501" s="261"/>
    </row>
    <row r="502" spans="1:26">
      <c r="A502" s="9"/>
      <c r="B502" s="9"/>
      <c r="C502" s="9"/>
      <c r="D502" s="9"/>
      <c r="E502" s="35"/>
      <c r="F502" s="35"/>
      <c r="G502" s="264"/>
      <c r="H502" s="273"/>
      <c r="I502" s="268"/>
      <c r="J502" s="273"/>
      <c r="K502" s="268"/>
      <c r="L502" s="114"/>
      <c r="M502" s="9"/>
      <c r="N502" s="9"/>
      <c r="O502" s="9"/>
      <c r="P502" s="9"/>
      <c r="Q502" s="9"/>
      <c r="R502" s="9"/>
      <c r="S502" s="261"/>
      <c r="T502" s="261"/>
      <c r="U502" s="261"/>
      <c r="V502" s="261"/>
      <c r="W502" s="261"/>
      <c r="X502" s="261"/>
      <c r="Y502" s="261"/>
      <c r="Z502" s="261"/>
    </row>
    <row r="503" spans="1:26">
      <c r="A503" s="9"/>
      <c r="B503" s="9"/>
      <c r="C503" s="9"/>
      <c r="D503" s="9"/>
      <c r="E503" s="35"/>
      <c r="F503" s="35"/>
      <c r="G503" s="264"/>
      <c r="H503" s="273"/>
      <c r="I503" s="268"/>
      <c r="J503" s="273"/>
      <c r="K503" s="268"/>
      <c r="L503" s="114"/>
      <c r="M503" s="9"/>
      <c r="N503" s="9"/>
      <c r="O503" s="9"/>
      <c r="P503" s="9"/>
      <c r="Q503" s="9"/>
      <c r="R503" s="9"/>
      <c r="S503" s="261"/>
      <c r="T503" s="261"/>
      <c r="U503" s="261"/>
      <c r="V503" s="261"/>
      <c r="W503" s="261"/>
      <c r="X503" s="261"/>
      <c r="Y503" s="261"/>
      <c r="Z503" s="261"/>
    </row>
    <row r="504" spans="1:26">
      <c r="A504" s="9"/>
      <c r="B504" s="9"/>
      <c r="C504" s="9"/>
      <c r="D504" s="9"/>
      <c r="E504" s="35"/>
      <c r="F504" s="35"/>
      <c r="G504" s="264"/>
      <c r="H504" s="273"/>
      <c r="I504" s="268"/>
      <c r="J504" s="273"/>
      <c r="K504" s="268"/>
      <c r="L504" s="114"/>
      <c r="M504" s="9"/>
      <c r="N504" s="9"/>
      <c r="O504" s="9"/>
      <c r="P504" s="9"/>
      <c r="Q504" s="9"/>
      <c r="R504" s="9"/>
      <c r="S504" s="261"/>
      <c r="T504" s="261"/>
      <c r="U504" s="261"/>
      <c r="V504" s="261"/>
      <c r="W504" s="261"/>
      <c r="X504" s="261"/>
      <c r="Y504" s="261"/>
      <c r="Z504" s="261"/>
    </row>
    <row r="505" spans="1:26">
      <c r="A505" s="9"/>
      <c r="B505" s="9"/>
      <c r="C505" s="9"/>
      <c r="D505" s="9"/>
      <c r="E505" s="35"/>
      <c r="F505" s="35"/>
      <c r="G505" s="264"/>
      <c r="H505" s="273"/>
      <c r="I505" s="268"/>
      <c r="J505" s="273"/>
      <c r="K505" s="268"/>
      <c r="L505" s="114"/>
      <c r="M505" s="9"/>
      <c r="N505" s="9"/>
      <c r="O505" s="9"/>
      <c r="P505" s="9"/>
      <c r="Q505" s="9"/>
      <c r="R505" s="9"/>
      <c r="S505" s="261"/>
      <c r="T505" s="261"/>
      <c r="U505" s="261"/>
      <c r="V505" s="261"/>
      <c r="W505" s="261"/>
      <c r="X505" s="261"/>
      <c r="Y505" s="261"/>
      <c r="Z505" s="261"/>
    </row>
    <row r="506" spans="1:26">
      <c r="A506" s="9"/>
      <c r="B506" s="9"/>
      <c r="C506" s="9"/>
      <c r="D506" s="9"/>
      <c r="E506" s="35"/>
      <c r="F506" s="35"/>
      <c r="G506" s="264"/>
      <c r="H506" s="273"/>
      <c r="I506" s="268"/>
      <c r="J506" s="273"/>
      <c r="K506" s="268"/>
      <c r="L506" s="114"/>
      <c r="M506" s="9"/>
      <c r="N506" s="9"/>
      <c r="O506" s="9"/>
      <c r="P506" s="9"/>
      <c r="Q506" s="9"/>
      <c r="R506" s="9"/>
      <c r="S506" s="261"/>
      <c r="T506" s="261"/>
      <c r="U506" s="261"/>
      <c r="V506" s="261"/>
      <c r="W506" s="261"/>
      <c r="X506" s="261"/>
      <c r="Y506" s="261"/>
      <c r="Z506" s="261"/>
    </row>
    <row r="507" spans="1:26">
      <c r="A507" s="9"/>
      <c r="B507" s="9"/>
      <c r="C507" s="9"/>
      <c r="D507" s="9"/>
      <c r="E507" s="35"/>
      <c r="F507" s="35"/>
      <c r="G507" s="264"/>
      <c r="H507" s="273"/>
      <c r="I507" s="268"/>
      <c r="J507" s="273"/>
      <c r="K507" s="268"/>
      <c r="L507" s="114"/>
      <c r="M507" s="9"/>
      <c r="N507" s="9"/>
      <c r="O507" s="9"/>
      <c r="P507" s="9"/>
      <c r="Q507" s="9"/>
      <c r="R507" s="9"/>
      <c r="S507" s="261"/>
      <c r="T507" s="261"/>
      <c r="U507" s="261"/>
      <c r="V507" s="261"/>
      <c r="W507" s="261"/>
      <c r="X507" s="261"/>
      <c r="Y507" s="261"/>
      <c r="Z507" s="261"/>
    </row>
    <row r="508" spans="1:26">
      <c r="A508" s="9"/>
      <c r="B508" s="9"/>
      <c r="C508" s="9"/>
      <c r="D508" s="9"/>
      <c r="E508" s="35"/>
      <c r="F508" s="35"/>
      <c r="G508" s="264"/>
      <c r="H508" s="273"/>
      <c r="I508" s="268"/>
      <c r="J508" s="273"/>
      <c r="K508" s="268"/>
      <c r="L508" s="114"/>
      <c r="M508" s="9"/>
      <c r="N508" s="9"/>
      <c r="O508" s="9"/>
      <c r="P508" s="9"/>
      <c r="Q508" s="9"/>
      <c r="R508" s="9"/>
      <c r="S508" s="261"/>
      <c r="T508" s="261"/>
      <c r="U508" s="261"/>
      <c r="V508" s="261"/>
      <c r="W508" s="261"/>
      <c r="X508" s="261"/>
      <c r="Y508" s="261"/>
      <c r="Z508" s="261"/>
    </row>
    <row r="509" spans="1:26">
      <c r="A509" s="9"/>
      <c r="B509" s="9"/>
      <c r="C509" s="9"/>
      <c r="D509" s="9"/>
      <c r="E509" s="35"/>
      <c r="F509" s="35"/>
      <c r="G509" s="264"/>
      <c r="H509" s="273"/>
      <c r="I509" s="268"/>
      <c r="J509" s="273"/>
      <c r="K509" s="268"/>
      <c r="L509" s="114"/>
      <c r="M509" s="9"/>
      <c r="N509" s="9"/>
      <c r="O509" s="9"/>
      <c r="P509" s="9"/>
      <c r="Q509" s="9"/>
      <c r="R509" s="9"/>
      <c r="S509" s="261"/>
      <c r="T509" s="261"/>
      <c r="U509" s="261"/>
      <c r="V509" s="261"/>
      <c r="W509" s="261"/>
      <c r="X509" s="261"/>
      <c r="Y509" s="261"/>
      <c r="Z509" s="261"/>
    </row>
    <row r="510" spans="1:26">
      <c r="A510" s="9"/>
      <c r="B510" s="9"/>
      <c r="C510" s="9"/>
      <c r="D510" s="9"/>
      <c r="E510" s="35"/>
      <c r="F510" s="35"/>
      <c r="G510" s="264"/>
      <c r="H510" s="273"/>
      <c r="I510" s="268"/>
      <c r="J510" s="273"/>
      <c r="K510" s="268"/>
      <c r="L510" s="114"/>
      <c r="M510" s="9"/>
      <c r="N510" s="9"/>
      <c r="O510" s="9"/>
      <c r="P510" s="9"/>
      <c r="Q510" s="9"/>
      <c r="R510" s="9"/>
      <c r="S510" s="261"/>
      <c r="T510" s="261"/>
      <c r="U510" s="261"/>
      <c r="V510" s="261"/>
      <c r="W510" s="261"/>
      <c r="X510" s="261"/>
      <c r="Y510" s="261"/>
      <c r="Z510" s="261"/>
    </row>
    <row r="511" spans="1:26">
      <c r="A511" s="9"/>
      <c r="B511" s="9"/>
      <c r="C511" s="9"/>
      <c r="D511" s="9"/>
      <c r="E511" s="35"/>
      <c r="F511" s="35"/>
      <c r="G511" s="264"/>
      <c r="H511" s="273"/>
      <c r="I511" s="268"/>
      <c r="J511" s="273"/>
      <c r="K511" s="268"/>
      <c r="L511" s="114"/>
      <c r="M511" s="9"/>
      <c r="N511" s="9"/>
      <c r="O511" s="9"/>
      <c r="P511" s="9"/>
      <c r="Q511" s="9"/>
      <c r="R511" s="9"/>
      <c r="S511" s="261"/>
      <c r="T511" s="261"/>
      <c r="U511" s="261"/>
      <c r="V511" s="261"/>
      <c r="W511" s="261"/>
      <c r="X511" s="261"/>
      <c r="Y511" s="261"/>
      <c r="Z511" s="261"/>
    </row>
    <row r="512" spans="1:26">
      <c r="A512" s="9"/>
      <c r="B512" s="9"/>
      <c r="C512" s="9"/>
      <c r="D512" s="9"/>
      <c r="E512" s="35"/>
      <c r="F512" s="35"/>
      <c r="G512" s="264"/>
      <c r="H512" s="273"/>
      <c r="I512" s="268"/>
      <c r="J512" s="273"/>
      <c r="K512" s="268"/>
      <c r="L512" s="114"/>
      <c r="M512" s="9"/>
      <c r="N512" s="9"/>
      <c r="O512" s="9"/>
      <c r="P512" s="9"/>
      <c r="Q512" s="9"/>
      <c r="R512" s="9"/>
      <c r="S512" s="261"/>
      <c r="T512" s="261"/>
      <c r="U512" s="261"/>
      <c r="V512" s="261"/>
      <c r="W512" s="261"/>
      <c r="X512" s="261"/>
      <c r="Y512" s="261"/>
      <c r="Z512" s="261"/>
    </row>
    <row r="513" spans="1:26">
      <c r="A513" s="9"/>
      <c r="B513" s="9"/>
      <c r="C513" s="9"/>
      <c r="D513" s="9"/>
      <c r="E513" s="35"/>
      <c r="F513" s="35"/>
      <c r="G513" s="264"/>
      <c r="H513" s="273"/>
      <c r="I513" s="268"/>
      <c r="J513" s="273"/>
      <c r="K513" s="268"/>
      <c r="L513" s="114"/>
      <c r="M513" s="9"/>
      <c r="N513" s="9"/>
      <c r="O513" s="9"/>
      <c r="P513" s="9"/>
      <c r="Q513" s="9"/>
      <c r="R513" s="9"/>
      <c r="S513" s="261"/>
      <c r="T513" s="261"/>
      <c r="U513" s="261"/>
      <c r="V513" s="261"/>
      <c r="W513" s="261"/>
      <c r="X513" s="261"/>
      <c r="Y513" s="261"/>
      <c r="Z513" s="261"/>
    </row>
    <row r="514" spans="1:26">
      <c r="A514" s="9"/>
      <c r="B514" s="9"/>
      <c r="C514" s="9"/>
      <c r="D514" s="9"/>
      <c r="E514" s="35"/>
      <c r="F514" s="35"/>
      <c r="G514" s="264"/>
      <c r="H514" s="273"/>
      <c r="I514" s="268"/>
      <c r="J514" s="273"/>
      <c r="K514" s="268"/>
      <c r="L514" s="114"/>
      <c r="M514" s="9"/>
      <c r="N514" s="9"/>
      <c r="O514" s="9"/>
      <c r="P514" s="9"/>
      <c r="Q514" s="9"/>
      <c r="R514" s="9"/>
      <c r="S514" s="261"/>
      <c r="T514" s="261"/>
      <c r="U514" s="261"/>
      <c r="V514" s="261"/>
      <c r="W514" s="261"/>
      <c r="X514" s="261"/>
      <c r="Y514" s="261"/>
      <c r="Z514" s="261"/>
    </row>
    <row r="515" spans="1:26">
      <c r="A515" s="9"/>
      <c r="B515" s="9"/>
      <c r="C515" s="9"/>
      <c r="D515" s="9"/>
      <c r="E515" s="35"/>
      <c r="F515" s="35"/>
      <c r="G515" s="264"/>
      <c r="H515" s="273"/>
      <c r="I515" s="268"/>
      <c r="J515" s="273"/>
      <c r="K515" s="268"/>
      <c r="L515" s="114"/>
      <c r="M515" s="9"/>
      <c r="N515" s="9"/>
      <c r="O515" s="9"/>
      <c r="P515" s="9"/>
      <c r="Q515" s="9"/>
      <c r="R515" s="9"/>
      <c r="S515" s="261"/>
      <c r="T515" s="261"/>
      <c r="U515" s="261"/>
      <c r="V515" s="261"/>
      <c r="W515" s="261"/>
      <c r="X515" s="261"/>
      <c r="Y515" s="261"/>
      <c r="Z515" s="261"/>
    </row>
    <row r="516" spans="1:26">
      <c r="A516" s="9"/>
      <c r="B516" s="9"/>
      <c r="C516" s="9"/>
      <c r="D516" s="9"/>
      <c r="E516" s="35"/>
      <c r="F516" s="35"/>
      <c r="G516" s="264"/>
      <c r="H516" s="273"/>
      <c r="I516" s="268"/>
      <c r="J516" s="273"/>
      <c r="K516" s="268"/>
      <c r="L516" s="114"/>
      <c r="M516" s="9"/>
      <c r="N516" s="9"/>
      <c r="O516" s="9"/>
      <c r="P516" s="9"/>
      <c r="Q516" s="9"/>
      <c r="R516" s="9"/>
      <c r="S516" s="261"/>
      <c r="T516" s="261"/>
      <c r="U516" s="261"/>
      <c r="V516" s="261"/>
      <c r="W516" s="261"/>
      <c r="X516" s="261"/>
      <c r="Y516" s="261"/>
      <c r="Z516" s="261"/>
    </row>
    <row r="517" spans="1:26">
      <c r="A517" s="9"/>
      <c r="B517" s="9"/>
      <c r="C517" s="9"/>
      <c r="D517" s="9"/>
      <c r="E517" s="35"/>
      <c r="F517" s="35"/>
      <c r="G517" s="264"/>
      <c r="H517" s="273"/>
      <c r="I517" s="268"/>
      <c r="J517" s="273"/>
      <c r="K517" s="268"/>
      <c r="L517" s="114"/>
      <c r="M517" s="9"/>
      <c r="N517" s="9"/>
      <c r="O517" s="9"/>
      <c r="P517" s="9"/>
      <c r="Q517" s="9"/>
      <c r="R517" s="9"/>
      <c r="S517" s="261"/>
      <c r="T517" s="261"/>
      <c r="U517" s="261"/>
      <c r="V517" s="261"/>
      <c r="W517" s="261"/>
      <c r="X517" s="261"/>
      <c r="Y517" s="261"/>
      <c r="Z517" s="261"/>
    </row>
    <row r="518" spans="1:26">
      <c r="A518" s="9"/>
      <c r="B518" s="9"/>
      <c r="C518" s="9"/>
      <c r="D518" s="9"/>
      <c r="E518" s="35"/>
      <c r="F518" s="35"/>
      <c r="G518" s="264"/>
      <c r="H518" s="273"/>
      <c r="I518" s="268"/>
      <c r="J518" s="273"/>
      <c r="K518" s="268"/>
      <c r="L518" s="114"/>
      <c r="M518" s="9"/>
      <c r="N518" s="9"/>
      <c r="O518" s="9"/>
      <c r="P518" s="9"/>
      <c r="Q518" s="9"/>
      <c r="R518" s="9"/>
      <c r="S518" s="261"/>
      <c r="T518" s="261"/>
      <c r="U518" s="261"/>
      <c r="V518" s="261"/>
      <c r="W518" s="261"/>
      <c r="X518" s="261"/>
      <c r="Y518" s="261"/>
      <c r="Z518" s="261"/>
    </row>
    <row r="519" spans="1:26">
      <c r="A519" s="9"/>
      <c r="B519" s="9"/>
      <c r="C519" s="9"/>
      <c r="D519" s="9"/>
      <c r="E519" s="35"/>
      <c r="F519" s="35"/>
      <c r="G519" s="264"/>
      <c r="H519" s="273"/>
      <c r="I519" s="268"/>
      <c r="J519" s="273"/>
      <c r="K519" s="268"/>
      <c r="L519" s="114"/>
      <c r="M519" s="9"/>
      <c r="N519" s="9"/>
      <c r="O519" s="9"/>
      <c r="P519" s="9"/>
      <c r="Q519" s="9"/>
      <c r="R519" s="9"/>
      <c r="S519" s="261"/>
      <c r="T519" s="261"/>
      <c r="U519" s="261"/>
      <c r="V519" s="261"/>
      <c r="W519" s="261"/>
      <c r="X519" s="261"/>
      <c r="Y519" s="261"/>
      <c r="Z519" s="261"/>
    </row>
    <row r="520" spans="1:26">
      <c r="A520" s="9"/>
      <c r="B520" s="9"/>
      <c r="C520" s="9"/>
      <c r="D520" s="9"/>
      <c r="E520" s="35"/>
      <c r="F520" s="35"/>
      <c r="G520" s="264"/>
      <c r="H520" s="273"/>
      <c r="I520" s="268"/>
      <c r="J520" s="273"/>
      <c r="K520" s="268"/>
      <c r="L520" s="114"/>
      <c r="M520" s="9"/>
      <c r="N520" s="9"/>
      <c r="O520" s="9"/>
      <c r="P520" s="9"/>
      <c r="Q520" s="9"/>
      <c r="R520" s="9"/>
      <c r="S520" s="261"/>
      <c r="T520" s="261"/>
      <c r="U520" s="261"/>
      <c r="V520" s="261"/>
      <c r="W520" s="261"/>
      <c r="X520" s="261"/>
      <c r="Y520" s="261"/>
      <c r="Z520" s="261"/>
    </row>
    <row r="521" spans="1:26">
      <c r="A521" s="9"/>
      <c r="B521" s="9"/>
      <c r="C521" s="9"/>
      <c r="D521" s="9"/>
      <c r="E521" s="35"/>
      <c r="F521" s="35"/>
      <c r="G521" s="264"/>
      <c r="H521" s="273"/>
      <c r="I521" s="268"/>
      <c r="J521" s="273"/>
      <c r="K521" s="268"/>
      <c r="L521" s="114"/>
      <c r="M521" s="9"/>
      <c r="N521" s="9"/>
      <c r="O521" s="9"/>
      <c r="P521" s="9"/>
      <c r="Q521" s="9"/>
      <c r="R521" s="9"/>
      <c r="S521" s="261"/>
      <c r="T521" s="261"/>
      <c r="U521" s="261"/>
      <c r="V521" s="261"/>
      <c r="W521" s="261"/>
      <c r="X521" s="261"/>
      <c r="Y521" s="261"/>
      <c r="Z521" s="261"/>
    </row>
    <row r="522" spans="1:26">
      <c r="A522" s="9"/>
      <c r="B522" s="9"/>
      <c r="C522" s="9"/>
      <c r="D522" s="9"/>
      <c r="E522" s="35"/>
      <c r="F522" s="35"/>
      <c r="G522" s="264"/>
      <c r="H522" s="273"/>
      <c r="I522" s="268"/>
      <c r="J522" s="273"/>
      <c r="K522" s="268"/>
      <c r="L522" s="114"/>
      <c r="M522" s="9"/>
      <c r="N522" s="9"/>
      <c r="O522" s="9"/>
      <c r="P522" s="9"/>
      <c r="Q522" s="9"/>
      <c r="R522" s="9"/>
      <c r="S522" s="261"/>
      <c r="T522" s="261"/>
      <c r="U522" s="261"/>
      <c r="V522" s="261"/>
      <c r="W522" s="261"/>
      <c r="X522" s="261"/>
      <c r="Y522" s="261"/>
      <c r="Z522" s="261"/>
    </row>
    <row r="523" spans="1:26">
      <c r="A523" s="9"/>
      <c r="B523" s="9"/>
      <c r="C523" s="9"/>
      <c r="D523" s="9"/>
      <c r="E523" s="35"/>
      <c r="F523" s="35"/>
      <c r="G523" s="264"/>
      <c r="H523" s="273"/>
      <c r="I523" s="268"/>
      <c r="J523" s="273"/>
      <c r="K523" s="268"/>
      <c r="L523" s="114"/>
      <c r="M523" s="9"/>
      <c r="N523" s="9"/>
      <c r="O523" s="9"/>
      <c r="P523" s="9"/>
      <c r="Q523" s="9"/>
      <c r="R523" s="9"/>
      <c r="S523" s="261"/>
      <c r="T523" s="261"/>
      <c r="U523" s="261"/>
      <c r="V523" s="261"/>
      <c r="W523" s="261"/>
      <c r="X523" s="261"/>
      <c r="Y523" s="261"/>
      <c r="Z523" s="261"/>
    </row>
    <row r="524" spans="1:26">
      <c r="A524" s="9"/>
      <c r="B524" s="9"/>
      <c r="C524" s="9"/>
      <c r="D524" s="9"/>
      <c r="E524" s="35"/>
      <c r="F524" s="35"/>
      <c r="G524" s="264"/>
      <c r="H524" s="273"/>
      <c r="I524" s="268"/>
      <c r="J524" s="273"/>
      <c r="K524" s="268"/>
      <c r="L524" s="114"/>
      <c r="M524" s="9"/>
      <c r="N524" s="9"/>
      <c r="O524" s="9"/>
      <c r="P524" s="9"/>
      <c r="Q524" s="9"/>
      <c r="R524" s="9"/>
      <c r="S524" s="261"/>
      <c r="T524" s="261"/>
      <c r="U524" s="261"/>
      <c r="V524" s="261"/>
      <c r="W524" s="261"/>
      <c r="X524" s="261"/>
      <c r="Y524" s="261"/>
      <c r="Z524" s="261"/>
    </row>
    <row r="525" spans="1:26">
      <c r="A525" s="9"/>
      <c r="B525" s="9"/>
      <c r="C525" s="9"/>
      <c r="D525" s="9"/>
      <c r="E525" s="35"/>
      <c r="F525" s="35"/>
      <c r="G525" s="264"/>
      <c r="H525" s="273"/>
      <c r="I525" s="268"/>
      <c r="J525" s="273"/>
      <c r="K525" s="268"/>
      <c r="L525" s="114"/>
      <c r="M525" s="9"/>
      <c r="N525" s="9"/>
      <c r="O525" s="9"/>
      <c r="P525" s="9"/>
      <c r="Q525" s="9"/>
      <c r="R525" s="9"/>
      <c r="S525" s="261"/>
      <c r="T525" s="261"/>
      <c r="U525" s="261"/>
      <c r="V525" s="261"/>
      <c r="W525" s="261"/>
      <c r="X525" s="261"/>
      <c r="Y525" s="261"/>
      <c r="Z525" s="261"/>
    </row>
    <row r="526" spans="1:26">
      <c r="A526" s="9"/>
      <c r="B526" s="9"/>
      <c r="C526" s="9"/>
      <c r="D526" s="9"/>
      <c r="E526" s="35"/>
      <c r="F526" s="35"/>
      <c r="G526" s="264"/>
      <c r="H526" s="273"/>
      <c r="I526" s="268"/>
      <c r="J526" s="273"/>
      <c r="K526" s="268"/>
      <c r="L526" s="114"/>
      <c r="M526" s="9"/>
      <c r="N526" s="9"/>
      <c r="O526" s="9"/>
      <c r="P526" s="9"/>
      <c r="Q526" s="9"/>
      <c r="R526" s="9"/>
      <c r="S526" s="261"/>
      <c r="T526" s="261"/>
      <c r="U526" s="261"/>
      <c r="V526" s="261"/>
      <c r="W526" s="261"/>
      <c r="X526" s="261"/>
      <c r="Y526" s="261"/>
      <c r="Z526" s="261"/>
    </row>
    <row r="527" spans="1:26">
      <c r="A527" s="9"/>
      <c r="B527" s="9"/>
      <c r="C527" s="9"/>
      <c r="D527" s="9"/>
      <c r="E527" s="35"/>
      <c r="F527" s="35"/>
      <c r="G527" s="264"/>
      <c r="H527" s="273"/>
      <c r="I527" s="268"/>
      <c r="J527" s="273"/>
      <c r="K527" s="268"/>
      <c r="L527" s="114"/>
      <c r="M527" s="9"/>
      <c r="N527" s="9"/>
      <c r="O527" s="9"/>
      <c r="P527" s="9"/>
      <c r="Q527" s="9"/>
      <c r="R527" s="9"/>
      <c r="S527" s="261"/>
      <c r="T527" s="261"/>
      <c r="U527" s="261"/>
      <c r="V527" s="261"/>
      <c r="W527" s="261"/>
      <c r="X527" s="261"/>
      <c r="Y527" s="261"/>
      <c r="Z527" s="261"/>
    </row>
    <row r="528" spans="1:26">
      <c r="A528" s="9"/>
      <c r="B528" s="9"/>
      <c r="C528" s="9"/>
      <c r="D528" s="9"/>
      <c r="E528" s="35"/>
      <c r="F528" s="35"/>
      <c r="G528" s="264"/>
      <c r="H528" s="273"/>
      <c r="I528" s="268"/>
      <c r="J528" s="273"/>
      <c r="K528" s="268"/>
      <c r="L528" s="114"/>
      <c r="M528" s="9"/>
      <c r="N528" s="9"/>
      <c r="O528" s="9"/>
      <c r="P528" s="9"/>
      <c r="Q528" s="9"/>
      <c r="R528" s="9"/>
      <c r="S528" s="261"/>
      <c r="T528" s="261"/>
      <c r="U528" s="261"/>
      <c r="V528" s="261"/>
      <c r="W528" s="261"/>
      <c r="X528" s="261"/>
      <c r="Y528" s="261"/>
      <c r="Z528" s="261"/>
    </row>
    <row r="529" spans="1:26">
      <c r="A529" s="9"/>
      <c r="B529" s="9"/>
      <c r="C529" s="9"/>
      <c r="D529" s="9"/>
      <c r="E529" s="35"/>
      <c r="F529" s="35"/>
      <c r="G529" s="264"/>
      <c r="H529" s="273"/>
      <c r="I529" s="268"/>
      <c r="J529" s="273"/>
      <c r="K529" s="268"/>
      <c r="L529" s="114"/>
      <c r="M529" s="9"/>
      <c r="N529" s="9"/>
      <c r="O529" s="9"/>
      <c r="P529" s="9"/>
      <c r="Q529" s="9"/>
      <c r="R529" s="9"/>
      <c r="S529" s="261"/>
      <c r="T529" s="261"/>
      <c r="U529" s="261"/>
      <c r="V529" s="261"/>
      <c r="W529" s="261"/>
      <c r="X529" s="261"/>
      <c r="Y529" s="261"/>
      <c r="Z529" s="261"/>
    </row>
    <row r="530" spans="1:26">
      <c r="A530" s="9"/>
      <c r="B530" s="9"/>
      <c r="C530" s="9"/>
      <c r="D530" s="9"/>
      <c r="E530" s="35"/>
      <c r="F530" s="35"/>
      <c r="G530" s="264"/>
      <c r="H530" s="273"/>
      <c r="I530" s="268"/>
      <c r="J530" s="273"/>
      <c r="K530" s="268"/>
      <c r="L530" s="114"/>
      <c r="M530" s="9"/>
      <c r="N530" s="9"/>
      <c r="O530" s="9"/>
      <c r="P530" s="9"/>
      <c r="Q530" s="9"/>
      <c r="R530" s="9"/>
      <c r="S530" s="261"/>
      <c r="T530" s="261"/>
      <c r="U530" s="261"/>
      <c r="V530" s="261"/>
      <c r="W530" s="261"/>
      <c r="X530" s="261"/>
      <c r="Y530" s="261"/>
      <c r="Z530" s="261"/>
    </row>
    <row r="531" spans="1:26">
      <c r="A531" s="9"/>
      <c r="B531" s="9"/>
      <c r="C531" s="9"/>
      <c r="D531" s="9"/>
      <c r="E531" s="35"/>
      <c r="F531" s="35"/>
      <c r="G531" s="264"/>
      <c r="H531" s="273"/>
      <c r="I531" s="268"/>
      <c r="J531" s="273"/>
      <c r="K531" s="268"/>
      <c r="L531" s="114"/>
      <c r="M531" s="9"/>
      <c r="N531" s="9"/>
      <c r="O531" s="9"/>
      <c r="P531" s="9"/>
      <c r="Q531" s="9"/>
      <c r="R531" s="9"/>
      <c r="S531" s="261"/>
      <c r="T531" s="261"/>
      <c r="U531" s="261"/>
      <c r="V531" s="261"/>
      <c r="W531" s="261"/>
      <c r="X531" s="261"/>
      <c r="Y531" s="261"/>
      <c r="Z531" s="261"/>
    </row>
    <row r="532" spans="1:26">
      <c r="A532" s="9"/>
      <c r="B532" s="9"/>
      <c r="C532" s="9"/>
      <c r="D532" s="9"/>
      <c r="E532" s="35"/>
      <c r="F532" s="35"/>
      <c r="G532" s="264"/>
      <c r="H532" s="273"/>
      <c r="I532" s="268"/>
      <c r="J532" s="273"/>
      <c r="K532" s="268"/>
      <c r="L532" s="114"/>
      <c r="M532" s="9"/>
      <c r="N532" s="9"/>
      <c r="O532" s="9"/>
      <c r="P532" s="9"/>
      <c r="Q532" s="9"/>
      <c r="R532" s="9"/>
      <c r="S532" s="261"/>
      <c r="T532" s="261"/>
      <c r="U532" s="261"/>
      <c r="V532" s="261"/>
      <c r="W532" s="261"/>
      <c r="X532" s="261"/>
      <c r="Y532" s="261"/>
      <c r="Z532" s="261"/>
    </row>
    <row r="533" spans="1:26">
      <c r="A533" s="9"/>
      <c r="B533" s="9"/>
      <c r="C533" s="9"/>
      <c r="D533" s="9"/>
      <c r="E533" s="35"/>
      <c r="F533" s="35"/>
      <c r="G533" s="264"/>
      <c r="H533" s="273"/>
      <c r="I533" s="268"/>
      <c r="J533" s="273"/>
      <c r="K533" s="268"/>
      <c r="L533" s="114"/>
      <c r="M533" s="9"/>
      <c r="N533" s="9"/>
      <c r="O533" s="9"/>
      <c r="P533" s="9"/>
      <c r="Q533" s="9"/>
      <c r="R533" s="9"/>
      <c r="S533" s="261"/>
      <c r="T533" s="261"/>
      <c r="U533" s="261"/>
      <c r="V533" s="261"/>
      <c r="W533" s="261"/>
      <c r="X533" s="261"/>
      <c r="Y533" s="261"/>
      <c r="Z533" s="261"/>
    </row>
    <row r="534" spans="1:26">
      <c r="A534" s="9"/>
      <c r="B534" s="9"/>
      <c r="C534" s="9"/>
      <c r="D534" s="9"/>
      <c r="E534" s="35"/>
      <c r="F534" s="35"/>
      <c r="G534" s="264"/>
      <c r="H534" s="273"/>
      <c r="I534" s="268"/>
      <c r="J534" s="273"/>
      <c r="K534" s="268"/>
      <c r="L534" s="114"/>
      <c r="M534" s="9"/>
      <c r="N534" s="9"/>
      <c r="O534" s="9"/>
      <c r="P534" s="9"/>
      <c r="Q534" s="9"/>
      <c r="R534" s="9"/>
      <c r="S534" s="261"/>
      <c r="T534" s="261"/>
      <c r="U534" s="261"/>
      <c r="V534" s="261"/>
      <c r="W534" s="261"/>
      <c r="X534" s="261"/>
      <c r="Y534" s="261"/>
      <c r="Z534" s="261"/>
    </row>
    <row r="535" spans="1:26">
      <c r="A535" s="9"/>
      <c r="B535" s="9"/>
      <c r="C535" s="9"/>
      <c r="D535" s="9"/>
      <c r="E535" s="35"/>
      <c r="F535" s="35"/>
      <c r="G535" s="264"/>
      <c r="H535" s="273"/>
      <c r="I535" s="268"/>
      <c r="J535" s="273"/>
      <c r="K535" s="268"/>
      <c r="L535" s="114"/>
      <c r="M535" s="9"/>
      <c r="N535" s="9"/>
      <c r="O535" s="9"/>
      <c r="P535" s="9"/>
      <c r="Q535" s="9"/>
      <c r="R535" s="9"/>
      <c r="S535" s="261"/>
      <c r="T535" s="261"/>
      <c r="U535" s="261"/>
      <c r="V535" s="261"/>
      <c r="W535" s="261"/>
      <c r="X535" s="261"/>
      <c r="Y535" s="261"/>
      <c r="Z535" s="261"/>
    </row>
    <row r="536" spans="1:26">
      <c r="A536" s="9"/>
      <c r="B536" s="9"/>
      <c r="C536" s="9"/>
      <c r="D536" s="9"/>
      <c r="E536" s="35"/>
      <c r="F536" s="35"/>
      <c r="G536" s="264"/>
      <c r="H536" s="273"/>
      <c r="I536" s="268"/>
      <c r="J536" s="273"/>
      <c r="K536" s="268"/>
      <c r="L536" s="114"/>
      <c r="M536" s="9"/>
      <c r="N536" s="9"/>
      <c r="O536" s="9"/>
      <c r="P536" s="9"/>
      <c r="Q536" s="9"/>
      <c r="R536" s="9"/>
      <c r="S536" s="261"/>
      <c r="T536" s="261"/>
      <c r="U536" s="261"/>
      <c r="V536" s="261"/>
      <c r="W536" s="261"/>
      <c r="X536" s="261"/>
      <c r="Y536" s="261"/>
      <c r="Z536" s="261"/>
    </row>
    <row r="537" spans="1:26">
      <c r="A537" s="9"/>
      <c r="B537" s="9"/>
      <c r="C537" s="9"/>
      <c r="D537" s="9"/>
      <c r="E537" s="35"/>
      <c r="F537" s="35"/>
      <c r="G537" s="264"/>
      <c r="H537" s="273"/>
      <c r="I537" s="268"/>
      <c r="J537" s="273"/>
      <c r="K537" s="268"/>
      <c r="L537" s="114"/>
      <c r="M537" s="9"/>
      <c r="N537" s="9"/>
      <c r="O537" s="9"/>
      <c r="P537" s="9"/>
      <c r="Q537" s="9"/>
      <c r="R537" s="9"/>
      <c r="S537" s="261"/>
      <c r="T537" s="261"/>
      <c r="U537" s="261"/>
      <c r="V537" s="261"/>
      <c r="W537" s="261"/>
      <c r="X537" s="261"/>
      <c r="Y537" s="261"/>
      <c r="Z537" s="261"/>
    </row>
    <row r="538" spans="1:26">
      <c r="A538" s="9"/>
      <c r="B538" s="9"/>
      <c r="C538" s="9"/>
      <c r="D538" s="9"/>
      <c r="E538" s="35"/>
      <c r="F538" s="35"/>
      <c r="G538" s="264"/>
      <c r="H538" s="273"/>
      <c r="I538" s="268"/>
      <c r="J538" s="273"/>
      <c r="K538" s="268"/>
      <c r="L538" s="114"/>
      <c r="M538" s="9"/>
      <c r="N538" s="9"/>
      <c r="O538" s="9"/>
      <c r="P538" s="9"/>
      <c r="Q538" s="9"/>
      <c r="R538" s="9"/>
      <c r="S538" s="261"/>
      <c r="T538" s="261"/>
      <c r="U538" s="261"/>
      <c r="V538" s="261"/>
      <c r="W538" s="261"/>
      <c r="X538" s="261"/>
      <c r="Y538" s="261"/>
      <c r="Z538" s="261"/>
    </row>
    <row r="539" spans="1:26">
      <c r="A539" s="9"/>
      <c r="B539" s="9"/>
      <c r="C539" s="9"/>
      <c r="D539" s="9"/>
      <c r="E539" s="35"/>
      <c r="F539" s="35"/>
      <c r="G539" s="264"/>
      <c r="H539" s="273"/>
      <c r="I539" s="268"/>
      <c r="J539" s="273"/>
      <c r="K539" s="268"/>
      <c r="L539" s="114"/>
      <c r="M539" s="9"/>
      <c r="N539" s="9"/>
      <c r="O539" s="9"/>
      <c r="P539" s="9"/>
      <c r="Q539" s="9"/>
      <c r="R539" s="9"/>
      <c r="S539" s="261"/>
      <c r="T539" s="261"/>
      <c r="U539" s="261"/>
      <c r="V539" s="261"/>
      <c r="W539" s="261"/>
      <c r="X539" s="261"/>
      <c r="Y539" s="261"/>
      <c r="Z539" s="261"/>
    </row>
    <row r="540" spans="1:26">
      <c r="A540" s="9"/>
      <c r="B540" s="9"/>
      <c r="C540" s="9"/>
      <c r="D540" s="9"/>
      <c r="E540" s="35"/>
      <c r="F540" s="35"/>
      <c r="G540" s="264"/>
      <c r="H540" s="273"/>
      <c r="I540" s="268"/>
      <c r="J540" s="273"/>
      <c r="K540" s="268"/>
      <c r="L540" s="114"/>
      <c r="M540" s="9"/>
      <c r="N540" s="9"/>
      <c r="O540" s="9"/>
      <c r="P540" s="9"/>
      <c r="Q540" s="9"/>
      <c r="R540" s="9"/>
      <c r="S540" s="261"/>
      <c r="T540" s="261"/>
      <c r="U540" s="261"/>
      <c r="V540" s="261"/>
      <c r="W540" s="261"/>
      <c r="X540" s="261"/>
      <c r="Y540" s="261"/>
      <c r="Z540" s="261"/>
    </row>
    <row r="541" spans="1:26">
      <c r="A541" s="9"/>
      <c r="B541" s="9"/>
      <c r="C541" s="9"/>
      <c r="D541" s="9"/>
      <c r="E541" s="35"/>
      <c r="F541" s="35"/>
      <c r="G541" s="264"/>
      <c r="H541" s="273"/>
      <c r="I541" s="268"/>
      <c r="J541" s="273"/>
      <c r="K541" s="268"/>
      <c r="L541" s="114"/>
      <c r="M541" s="9"/>
      <c r="N541" s="9"/>
      <c r="O541" s="9"/>
      <c r="P541" s="9"/>
      <c r="Q541" s="9"/>
      <c r="R541" s="9"/>
      <c r="S541" s="261"/>
      <c r="T541" s="261"/>
      <c r="U541" s="261"/>
      <c r="V541" s="261"/>
      <c r="W541" s="261"/>
      <c r="X541" s="261"/>
      <c r="Y541" s="261"/>
      <c r="Z541" s="261"/>
    </row>
    <row r="542" spans="1:26">
      <c r="A542" s="9"/>
      <c r="B542" s="9"/>
      <c r="C542" s="9"/>
      <c r="D542" s="9"/>
      <c r="E542" s="35"/>
      <c r="F542" s="35"/>
      <c r="G542" s="264"/>
      <c r="H542" s="273"/>
      <c r="I542" s="268"/>
      <c r="J542" s="273"/>
      <c r="K542" s="268"/>
      <c r="L542" s="114"/>
      <c r="M542" s="9"/>
      <c r="N542" s="9"/>
      <c r="O542" s="9"/>
      <c r="P542" s="9"/>
      <c r="Q542" s="9"/>
      <c r="R542" s="9"/>
      <c r="S542" s="261"/>
      <c r="T542" s="261"/>
      <c r="U542" s="261"/>
      <c r="V542" s="261"/>
      <c r="W542" s="261"/>
      <c r="X542" s="261"/>
      <c r="Y542" s="261"/>
      <c r="Z542" s="261"/>
    </row>
    <row r="543" spans="1:26">
      <c r="A543" s="9"/>
      <c r="B543" s="9"/>
      <c r="C543" s="9"/>
      <c r="D543" s="9"/>
      <c r="E543" s="35"/>
      <c r="F543" s="35"/>
      <c r="G543" s="264"/>
      <c r="H543" s="273"/>
      <c r="I543" s="268"/>
      <c r="J543" s="273"/>
      <c r="K543" s="268"/>
      <c r="L543" s="114"/>
      <c r="M543" s="9"/>
      <c r="N543" s="9"/>
      <c r="O543" s="9"/>
      <c r="P543" s="9"/>
      <c r="Q543" s="9"/>
      <c r="R543" s="9"/>
      <c r="S543" s="261"/>
      <c r="T543" s="261"/>
      <c r="U543" s="261"/>
      <c r="V543" s="261"/>
      <c r="W543" s="261"/>
      <c r="X543" s="261"/>
      <c r="Y543" s="261"/>
      <c r="Z543" s="261"/>
    </row>
    <row r="544" spans="1:26">
      <c r="A544" s="9"/>
      <c r="B544" s="9"/>
      <c r="C544" s="9"/>
      <c r="D544" s="9"/>
      <c r="E544" s="35"/>
      <c r="F544" s="35"/>
      <c r="G544" s="264"/>
      <c r="H544" s="273"/>
      <c r="I544" s="268"/>
      <c r="J544" s="273"/>
      <c r="K544" s="268"/>
      <c r="L544" s="114"/>
      <c r="M544" s="9"/>
      <c r="N544" s="9"/>
      <c r="O544" s="9"/>
      <c r="P544" s="9"/>
      <c r="Q544" s="9"/>
      <c r="R544" s="9"/>
      <c r="S544" s="261"/>
      <c r="T544" s="261"/>
      <c r="U544" s="261"/>
      <c r="V544" s="261"/>
      <c r="W544" s="261"/>
      <c r="X544" s="261"/>
      <c r="Y544" s="261"/>
      <c r="Z544" s="261"/>
    </row>
    <row r="545" spans="1:26">
      <c r="A545" s="9"/>
      <c r="B545" s="9"/>
      <c r="C545" s="9"/>
      <c r="D545" s="9"/>
      <c r="E545" s="35"/>
      <c r="F545" s="35"/>
      <c r="G545" s="264"/>
      <c r="H545" s="273"/>
      <c r="I545" s="268"/>
      <c r="J545" s="273"/>
      <c r="K545" s="268"/>
      <c r="L545" s="114"/>
      <c r="M545" s="9"/>
      <c r="N545" s="9"/>
      <c r="O545" s="9"/>
      <c r="P545" s="9"/>
      <c r="Q545" s="9"/>
      <c r="R545" s="9"/>
      <c r="S545" s="261"/>
      <c r="T545" s="261"/>
      <c r="U545" s="261"/>
      <c r="V545" s="261"/>
      <c r="W545" s="261"/>
      <c r="X545" s="261"/>
      <c r="Y545" s="261"/>
      <c r="Z545" s="261"/>
    </row>
    <row r="546" spans="1:26">
      <c r="A546" s="9"/>
      <c r="B546" s="9"/>
      <c r="C546" s="9"/>
      <c r="D546" s="9"/>
      <c r="E546" s="35"/>
      <c r="F546" s="35"/>
      <c r="G546" s="264"/>
      <c r="H546" s="273"/>
      <c r="I546" s="268"/>
      <c r="J546" s="273"/>
      <c r="K546" s="268"/>
      <c r="L546" s="114"/>
      <c r="M546" s="9"/>
      <c r="N546" s="9"/>
      <c r="O546" s="9"/>
      <c r="P546" s="9"/>
      <c r="Q546" s="9"/>
      <c r="R546" s="9"/>
      <c r="S546" s="261"/>
      <c r="T546" s="261"/>
      <c r="U546" s="261"/>
      <c r="V546" s="261"/>
      <c r="W546" s="261"/>
      <c r="X546" s="261"/>
      <c r="Y546" s="261"/>
      <c r="Z546" s="261"/>
    </row>
    <row r="547" spans="1:26">
      <c r="A547" s="9"/>
      <c r="B547" s="9"/>
      <c r="C547" s="9"/>
      <c r="D547" s="9"/>
      <c r="E547" s="35"/>
      <c r="F547" s="35"/>
      <c r="G547" s="264"/>
      <c r="H547" s="273"/>
      <c r="I547" s="268"/>
      <c r="J547" s="273"/>
      <c r="K547" s="268"/>
      <c r="L547" s="114"/>
      <c r="M547" s="9"/>
      <c r="N547" s="9"/>
      <c r="O547" s="9"/>
      <c r="P547" s="9"/>
      <c r="Q547" s="9"/>
      <c r="R547" s="9"/>
      <c r="S547" s="261"/>
      <c r="T547" s="261"/>
      <c r="U547" s="261"/>
      <c r="V547" s="261"/>
      <c r="W547" s="261"/>
      <c r="X547" s="261"/>
      <c r="Y547" s="261"/>
      <c r="Z547" s="261"/>
    </row>
    <row r="548" spans="1:26">
      <c r="A548" s="9"/>
      <c r="B548" s="9"/>
      <c r="C548" s="9"/>
      <c r="D548" s="9"/>
      <c r="E548" s="35"/>
      <c r="F548" s="35"/>
      <c r="G548" s="264"/>
      <c r="H548" s="273"/>
      <c r="I548" s="268"/>
      <c r="J548" s="273"/>
      <c r="K548" s="268"/>
      <c r="L548" s="114"/>
      <c r="M548" s="9"/>
      <c r="N548" s="9"/>
      <c r="O548" s="9"/>
      <c r="P548" s="9"/>
      <c r="Q548" s="9"/>
      <c r="R548" s="9"/>
      <c r="S548" s="261"/>
      <c r="T548" s="261"/>
      <c r="U548" s="261"/>
      <c r="V548" s="261"/>
      <c r="W548" s="261"/>
      <c r="X548" s="261"/>
      <c r="Y548" s="261"/>
      <c r="Z548" s="261"/>
    </row>
    <row r="549" spans="1:26">
      <c r="A549" s="9"/>
      <c r="B549" s="9"/>
      <c r="C549" s="9"/>
      <c r="D549" s="9"/>
      <c r="E549" s="35"/>
      <c r="F549" s="35"/>
      <c r="G549" s="264"/>
      <c r="H549" s="273"/>
      <c r="I549" s="268"/>
      <c r="J549" s="273"/>
      <c r="K549" s="268"/>
      <c r="L549" s="114"/>
      <c r="M549" s="9"/>
      <c r="N549" s="9"/>
      <c r="O549" s="9"/>
      <c r="P549" s="9"/>
      <c r="Q549" s="9"/>
      <c r="R549" s="9"/>
      <c r="S549" s="261"/>
      <c r="T549" s="261"/>
      <c r="U549" s="261"/>
      <c r="V549" s="261"/>
      <c r="W549" s="261"/>
      <c r="X549" s="261"/>
      <c r="Y549" s="261"/>
      <c r="Z549" s="261"/>
    </row>
    <row r="550" spans="1:26">
      <c r="A550" s="9"/>
      <c r="B550" s="9"/>
      <c r="C550" s="9"/>
      <c r="D550" s="9"/>
      <c r="E550" s="35"/>
      <c r="F550" s="35"/>
      <c r="G550" s="264"/>
      <c r="H550" s="273"/>
      <c r="I550" s="268"/>
      <c r="J550" s="273"/>
      <c r="K550" s="268"/>
      <c r="L550" s="114"/>
      <c r="M550" s="9"/>
      <c r="N550" s="9"/>
      <c r="O550" s="9"/>
      <c r="P550" s="9"/>
      <c r="Q550" s="9"/>
      <c r="R550" s="9"/>
      <c r="S550" s="261"/>
      <c r="T550" s="261"/>
      <c r="U550" s="261"/>
      <c r="V550" s="261"/>
      <c r="W550" s="261"/>
      <c r="X550" s="261"/>
      <c r="Y550" s="261"/>
      <c r="Z550" s="261"/>
    </row>
    <row r="551" spans="1:26">
      <c r="A551" s="9"/>
      <c r="B551" s="9"/>
      <c r="C551" s="9"/>
      <c r="D551" s="9"/>
      <c r="E551" s="35"/>
      <c r="F551" s="35"/>
      <c r="G551" s="264"/>
      <c r="H551" s="273"/>
      <c r="I551" s="268"/>
      <c r="J551" s="273"/>
      <c r="K551" s="268"/>
      <c r="L551" s="114"/>
      <c r="M551" s="9"/>
      <c r="N551" s="9"/>
      <c r="O551" s="9"/>
      <c r="P551" s="9"/>
      <c r="Q551" s="9"/>
      <c r="R551" s="9"/>
      <c r="S551" s="261"/>
      <c r="T551" s="261"/>
      <c r="U551" s="261"/>
      <c r="V551" s="261"/>
      <c r="W551" s="261"/>
      <c r="X551" s="261"/>
      <c r="Y551" s="261"/>
      <c r="Z551" s="261"/>
    </row>
    <row r="552" spans="1:26">
      <c r="A552" s="9"/>
      <c r="B552" s="9"/>
      <c r="C552" s="9"/>
      <c r="D552" s="9"/>
      <c r="E552" s="35"/>
      <c r="F552" s="35"/>
      <c r="G552" s="264"/>
      <c r="H552" s="273"/>
      <c r="I552" s="268"/>
      <c r="J552" s="273"/>
      <c r="K552" s="268"/>
      <c r="L552" s="114"/>
      <c r="M552" s="9"/>
      <c r="N552" s="9"/>
      <c r="O552" s="9"/>
      <c r="P552" s="9"/>
      <c r="Q552" s="9"/>
      <c r="R552" s="9"/>
      <c r="S552" s="261"/>
      <c r="T552" s="261"/>
      <c r="U552" s="261"/>
      <c r="V552" s="261"/>
      <c r="W552" s="261"/>
      <c r="X552" s="261"/>
      <c r="Y552" s="261"/>
      <c r="Z552" s="261"/>
    </row>
    <row r="553" spans="1:26">
      <c r="A553" s="9"/>
      <c r="B553" s="9"/>
      <c r="C553" s="9"/>
      <c r="D553" s="9"/>
      <c r="E553" s="35"/>
      <c r="F553" s="35"/>
      <c r="G553" s="264"/>
      <c r="H553" s="273"/>
      <c r="I553" s="268"/>
      <c r="J553" s="273"/>
      <c r="K553" s="268"/>
      <c r="L553" s="114"/>
      <c r="M553" s="9"/>
      <c r="N553" s="9"/>
      <c r="O553" s="9"/>
      <c r="P553" s="9"/>
      <c r="Q553" s="9"/>
      <c r="R553" s="9"/>
      <c r="S553" s="261"/>
      <c r="T553" s="261"/>
      <c r="U553" s="261"/>
      <c r="V553" s="261"/>
      <c r="W553" s="261"/>
      <c r="X553" s="261"/>
      <c r="Y553" s="261"/>
      <c r="Z553" s="261"/>
    </row>
    <row r="554" spans="1:26">
      <c r="A554" s="9"/>
      <c r="B554" s="9"/>
      <c r="C554" s="9"/>
      <c r="D554" s="9"/>
      <c r="E554" s="35"/>
      <c r="F554" s="35"/>
      <c r="G554" s="264"/>
      <c r="H554" s="273"/>
      <c r="I554" s="268"/>
      <c r="J554" s="273"/>
      <c r="K554" s="268"/>
      <c r="L554" s="114"/>
      <c r="M554" s="9"/>
      <c r="N554" s="9"/>
      <c r="O554" s="9"/>
      <c r="P554" s="9"/>
      <c r="Q554" s="9"/>
      <c r="R554" s="9"/>
      <c r="S554" s="261"/>
      <c r="T554" s="261"/>
      <c r="U554" s="261"/>
      <c r="V554" s="261"/>
      <c r="W554" s="261"/>
      <c r="X554" s="261"/>
      <c r="Y554" s="261"/>
      <c r="Z554" s="261"/>
    </row>
    <row r="555" spans="1:26">
      <c r="A555" s="9"/>
      <c r="B555" s="9"/>
      <c r="C555" s="9"/>
      <c r="D555" s="9"/>
      <c r="E555" s="35"/>
      <c r="F555" s="35"/>
      <c r="G555" s="264"/>
      <c r="H555" s="273"/>
      <c r="I555" s="268"/>
      <c r="J555" s="273"/>
      <c r="K555" s="268"/>
      <c r="L555" s="114"/>
      <c r="M555" s="9"/>
      <c r="N555" s="9"/>
      <c r="O555" s="9"/>
      <c r="P555" s="9"/>
      <c r="Q555" s="9"/>
      <c r="R555" s="9"/>
      <c r="S555" s="261"/>
      <c r="T555" s="261"/>
      <c r="U555" s="261"/>
      <c r="V555" s="261"/>
      <c r="W555" s="261"/>
      <c r="X555" s="261"/>
      <c r="Y555" s="261"/>
      <c r="Z555" s="261"/>
    </row>
    <row r="556" spans="1:26">
      <c r="A556" s="9"/>
      <c r="B556" s="9"/>
      <c r="C556" s="9"/>
      <c r="D556" s="9"/>
      <c r="E556" s="35"/>
      <c r="F556" s="35"/>
      <c r="G556" s="264"/>
      <c r="H556" s="273"/>
      <c r="I556" s="268"/>
      <c r="J556" s="273"/>
      <c r="K556" s="268"/>
      <c r="L556" s="114"/>
      <c r="M556" s="9"/>
      <c r="N556" s="9"/>
      <c r="O556" s="9"/>
      <c r="P556" s="9"/>
      <c r="Q556" s="9"/>
      <c r="R556" s="9"/>
      <c r="S556" s="261"/>
      <c r="T556" s="261"/>
      <c r="U556" s="261"/>
      <c r="V556" s="261"/>
      <c r="W556" s="261"/>
      <c r="X556" s="261"/>
      <c r="Y556" s="261"/>
      <c r="Z556" s="261"/>
    </row>
    <row r="557" spans="1:26">
      <c r="A557" s="9"/>
      <c r="B557" s="9"/>
      <c r="C557" s="9"/>
      <c r="D557" s="9"/>
      <c r="E557" s="35"/>
      <c r="F557" s="35"/>
      <c r="G557" s="264"/>
      <c r="H557" s="273"/>
      <c r="I557" s="268"/>
      <c r="J557" s="273"/>
      <c r="K557" s="268"/>
      <c r="L557" s="114"/>
      <c r="M557" s="9"/>
      <c r="N557" s="9"/>
      <c r="O557" s="9"/>
      <c r="P557" s="9"/>
      <c r="Q557" s="9"/>
      <c r="R557" s="9"/>
      <c r="S557" s="261"/>
      <c r="T557" s="261"/>
      <c r="U557" s="261"/>
      <c r="V557" s="261"/>
      <c r="W557" s="261"/>
      <c r="X557" s="261"/>
      <c r="Y557" s="261"/>
      <c r="Z557" s="261"/>
    </row>
    <row r="558" spans="1:26">
      <c r="A558" s="9"/>
      <c r="B558" s="9"/>
      <c r="C558" s="9"/>
      <c r="D558" s="9"/>
      <c r="E558" s="35"/>
      <c r="F558" s="35"/>
      <c r="G558" s="264"/>
      <c r="H558" s="273"/>
      <c r="I558" s="268"/>
      <c r="J558" s="273"/>
      <c r="K558" s="268"/>
      <c r="L558" s="114"/>
      <c r="M558" s="9"/>
      <c r="N558" s="9"/>
      <c r="O558" s="9"/>
      <c r="P558" s="9"/>
      <c r="Q558" s="9"/>
      <c r="R558" s="9"/>
      <c r="S558" s="261"/>
      <c r="T558" s="261"/>
      <c r="U558" s="261"/>
      <c r="V558" s="261"/>
      <c r="W558" s="261"/>
      <c r="X558" s="261"/>
      <c r="Y558" s="261"/>
      <c r="Z558" s="261"/>
    </row>
    <row r="559" spans="1:26">
      <c r="A559" s="9"/>
      <c r="B559" s="9"/>
      <c r="C559" s="9"/>
      <c r="D559" s="9"/>
      <c r="E559" s="35"/>
      <c r="F559" s="35"/>
      <c r="G559" s="264"/>
      <c r="H559" s="273"/>
      <c r="I559" s="268"/>
      <c r="J559" s="273"/>
      <c r="K559" s="268"/>
      <c r="L559" s="114"/>
      <c r="M559" s="9"/>
      <c r="N559" s="9"/>
      <c r="O559" s="9"/>
      <c r="P559" s="9"/>
      <c r="Q559" s="9"/>
      <c r="R559" s="9"/>
      <c r="S559" s="261"/>
      <c r="T559" s="261"/>
      <c r="U559" s="261"/>
      <c r="V559" s="261"/>
      <c r="W559" s="261"/>
      <c r="X559" s="261"/>
      <c r="Y559" s="261"/>
      <c r="Z559" s="261"/>
    </row>
    <row r="560" spans="1:26">
      <c r="A560" s="9"/>
      <c r="B560" s="9"/>
      <c r="C560" s="9"/>
      <c r="D560" s="9"/>
      <c r="E560" s="35"/>
      <c r="F560" s="35"/>
      <c r="G560" s="264"/>
      <c r="H560" s="273"/>
      <c r="I560" s="268"/>
      <c r="J560" s="273"/>
      <c r="K560" s="268"/>
      <c r="L560" s="114"/>
      <c r="M560" s="9"/>
      <c r="N560" s="9"/>
      <c r="O560" s="9"/>
      <c r="P560" s="9"/>
      <c r="Q560" s="9"/>
      <c r="R560" s="9"/>
      <c r="S560" s="261"/>
      <c r="T560" s="261"/>
      <c r="U560" s="261"/>
      <c r="V560" s="261"/>
      <c r="W560" s="261"/>
      <c r="X560" s="261"/>
      <c r="Y560" s="261"/>
      <c r="Z560" s="261"/>
    </row>
    <row r="561" spans="1:26">
      <c r="A561" s="9"/>
      <c r="B561" s="9"/>
      <c r="C561" s="9"/>
      <c r="D561" s="9"/>
      <c r="E561" s="35"/>
      <c r="F561" s="35"/>
      <c r="G561" s="264"/>
      <c r="H561" s="273"/>
      <c r="I561" s="268"/>
      <c r="J561" s="273"/>
      <c r="K561" s="268"/>
      <c r="L561" s="114"/>
      <c r="M561" s="9"/>
      <c r="N561" s="9"/>
      <c r="O561" s="9"/>
      <c r="P561" s="9"/>
      <c r="Q561" s="9"/>
      <c r="R561" s="9"/>
      <c r="S561" s="261"/>
      <c r="T561" s="261"/>
      <c r="U561" s="261"/>
      <c r="V561" s="261"/>
      <c r="W561" s="261"/>
      <c r="X561" s="261"/>
      <c r="Y561" s="261"/>
      <c r="Z561" s="261"/>
    </row>
    <row r="562" spans="1:26">
      <c r="A562" s="9"/>
      <c r="B562" s="9"/>
      <c r="C562" s="9"/>
      <c r="D562" s="9"/>
      <c r="E562" s="35"/>
      <c r="F562" s="35"/>
      <c r="G562" s="264"/>
      <c r="H562" s="273"/>
      <c r="I562" s="268"/>
      <c r="J562" s="273"/>
      <c r="K562" s="268"/>
      <c r="L562" s="114"/>
      <c r="M562" s="9"/>
      <c r="N562" s="9"/>
      <c r="O562" s="9"/>
      <c r="P562" s="9"/>
      <c r="Q562" s="9"/>
      <c r="R562" s="9"/>
      <c r="S562" s="261"/>
      <c r="T562" s="261"/>
      <c r="U562" s="261"/>
      <c r="V562" s="261"/>
      <c r="W562" s="261"/>
      <c r="X562" s="261"/>
      <c r="Y562" s="261"/>
      <c r="Z562" s="261"/>
    </row>
    <row r="563" spans="1:26">
      <c r="A563" s="9"/>
      <c r="B563" s="9"/>
      <c r="C563" s="9"/>
      <c r="D563" s="9"/>
      <c r="E563" s="35"/>
      <c r="F563" s="35"/>
      <c r="G563" s="264"/>
      <c r="H563" s="273"/>
      <c r="I563" s="268"/>
      <c r="J563" s="273"/>
      <c r="K563" s="268"/>
      <c r="L563" s="114"/>
      <c r="M563" s="9"/>
      <c r="N563" s="9"/>
      <c r="O563" s="9"/>
      <c r="P563" s="9"/>
      <c r="Q563" s="9"/>
      <c r="R563" s="9"/>
      <c r="S563" s="261"/>
      <c r="T563" s="261"/>
      <c r="U563" s="261"/>
      <c r="V563" s="261"/>
      <c r="W563" s="261"/>
      <c r="X563" s="261"/>
      <c r="Y563" s="261"/>
      <c r="Z563" s="261"/>
    </row>
    <row r="564" spans="1:26">
      <c r="A564" s="9"/>
      <c r="B564" s="9"/>
      <c r="C564" s="9"/>
      <c r="D564" s="9"/>
      <c r="E564" s="35"/>
      <c r="F564" s="35"/>
      <c r="G564" s="264"/>
      <c r="H564" s="273"/>
      <c r="I564" s="268"/>
      <c r="J564" s="273"/>
      <c r="K564" s="268"/>
      <c r="L564" s="114"/>
      <c r="M564" s="9"/>
      <c r="N564" s="9"/>
      <c r="O564" s="9"/>
      <c r="P564" s="9"/>
      <c r="Q564" s="9"/>
      <c r="R564" s="9"/>
      <c r="S564" s="261"/>
      <c r="T564" s="261"/>
      <c r="U564" s="261"/>
      <c r="V564" s="261"/>
      <c r="W564" s="261"/>
      <c r="X564" s="261"/>
      <c r="Y564" s="261"/>
      <c r="Z564" s="261"/>
    </row>
    <row r="565" spans="1:26">
      <c r="A565" s="9"/>
      <c r="B565" s="9"/>
      <c r="C565" s="9"/>
      <c r="D565" s="9"/>
      <c r="E565" s="35"/>
      <c r="F565" s="35"/>
      <c r="G565" s="264"/>
      <c r="H565" s="273"/>
      <c r="I565" s="268"/>
      <c r="J565" s="273"/>
      <c r="K565" s="268"/>
      <c r="L565" s="114"/>
      <c r="M565" s="9"/>
      <c r="N565" s="9"/>
      <c r="O565" s="9"/>
      <c r="P565" s="9"/>
      <c r="Q565" s="9"/>
      <c r="R565" s="9"/>
      <c r="S565" s="261"/>
      <c r="T565" s="261"/>
      <c r="U565" s="261"/>
      <c r="V565" s="261"/>
      <c r="W565" s="261"/>
      <c r="X565" s="261"/>
      <c r="Y565" s="261"/>
      <c r="Z565" s="261"/>
    </row>
    <row r="566" spans="1:26">
      <c r="A566" s="9"/>
      <c r="B566" s="9"/>
      <c r="C566" s="9"/>
      <c r="D566" s="9"/>
      <c r="E566" s="35"/>
      <c r="F566" s="35"/>
      <c r="G566" s="264"/>
      <c r="H566" s="273"/>
      <c r="I566" s="268"/>
      <c r="J566" s="273"/>
      <c r="K566" s="268"/>
      <c r="L566" s="114"/>
      <c r="M566" s="9"/>
      <c r="N566" s="9"/>
      <c r="O566" s="9"/>
      <c r="P566" s="9"/>
      <c r="Q566" s="9"/>
      <c r="R566" s="9"/>
      <c r="S566" s="261"/>
      <c r="T566" s="261"/>
      <c r="U566" s="261"/>
      <c r="V566" s="261"/>
      <c r="W566" s="261"/>
      <c r="X566" s="261"/>
      <c r="Y566" s="261"/>
      <c r="Z566" s="261"/>
    </row>
    <row r="567" spans="1:26">
      <c r="A567" s="9"/>
      <c r="B567" s="9"/>
      <c r="C567" s="9"/>
      <c r="D567" s="9"/>
      <c r="E567" s="35"/>
      <c r="F567" s="35"/>
      <c r="G567" s="264"/>
      <c r="H567" s="273"/>
      <c r="I567" s="268"/>
      <c r="J567" s="273"/>
      <c r="K567" s="268"/>
      <c r="L567" s="114"/>
      <c r="M567" s="9"/>
      <c r="N567" s="9"/>
      <c r="O567" s="9"/>
      <c r="P567" s="9"/>
      <c r="Q567" s="9"/>
      <c r="R567" s="9"/>
      <c r="S567" s="261"/>
      <c r="T567" s="261"/>
      <c r="U567" s="261"/>
      <c r="V567" s="261"/>
      <c r="W567" s="261"/>
      <c r="X567" s="261"/>
      <c r="Y567" s="261"/>
      <c r="Z567" s="261"/>
    </row>
    <row r="568" spans="1:26">
      <c r="A568" s="9"/>
      <c r="B568" s="9"/>
      <c r="C568" s="9"/>
      <c r="D568" s="9"/>
      <c r="E568" s="35"/>
      <c r="F568" s="35"/>
      <c r="G568" s="264"/>
      <c r="H568" s="273"/>
      <c r="I568" s="268"/>
      <c r="J568" s="273"/>
      <c r="K568" s="268"/>
      <c r="L568" s="114"/>
      <c r="M568" s="9"/>
      <c r="N568" s="9"/>
      <c r="O568" s="9"/>
      <c r="P568" s="9"/>
      <c r="Q568" s="9"/>
      <c r="R568" s="9"/>
      <c r="S568" s="261"/>
      <c r="T568" s="261"/>
      <c r="U568" s="261"/>
      <c r="V568" s="261"/>
      <c r="W568" s="261"/>
      <c r="X568" s="261"/>
      <c r="Y568" s="261"/>
      <c r="Z568" s="261"/>
    </row>
    <row r="569" spans="1:26">
      <c r="A569" s="9"/>
      <c r="B569" s="9"/>
      <c r="C569" s="9"/>
      <c r="D569" s="9"/>
      <c r="E569" s="35"/>
      <c r="F569" s="35"/>
      <c r="G569" s="264"/>
      <c r="H569" s="273"/>
      <c r="I569" s="268"/>
      <c r="J569" s="273"/>
      <c r="K569" s="268"/>
      <c r="L569" s="114"/>
      <c r="M569" s="9"/>
      <c r="N569" s="9"/>
      <c r="O569" s="9"/>
      <c r="P569" s="9"/>
      <c r="Q569" s="9"/>
      <c r="R569" s="9"/>
      <c r="S569" s="261"/>
      <c r="T569" s="261"/>
      <c r="U569" s="261"/>
      <c r="V569" s="261"/>
      <c r="W569" s="261"/>
      <c r="X569" s="261"/>
      <c r="Y569" s="261"/>
      <c r="Z569" s="261"/>
    </row>
    <row r="570" spans="1:26">
      <c r="A570" s="9"/>
      <c r="B570" s="9"/>
      <c r="C570" s="9"/>
      <c r="D570" s="9"/>
      <c r="E570" s="35"/>
      <c r="F570" s="35"/>
      <c r="G570" s="264"/>
      <c r="H570" s="273"/>
      <c r="I570" s="268"/>
      <c r="J570" s="273"/>
      <c r="K570" s="268"/>
      <c r="L570" s="114"/>
      <c r="M570" s="9"/>
      <c r="N570" s="9"/>
      <c r="O570" s="9"/>
      <c r="P570" s="9"/>
      <c r="Q570" s="9"/>
      <c r="R570" s="9"/>
      <c r="S570" s="261"/>
      <c r="T570" s="261"/>
      <c r="U570" s="261"/>
      <c r="V570" s="261"/>
      <c r="W570" s="261"/>
      <c r="X570" s="261"/>
      <c r="Y570" s="261"/>
      <c r="Z570" s="261"/>
    </row>
    <row r="571" spans="1:26">
      <c r="A571" s="9"/>
      <c r="B571" s="9"/>
      <c r="C571" s="9"/>
      <c r="D571" s="9"/>
      <c r="E571" s="35"/>
      <c r="F571" s="35"/>
      <c r="G571" s="264"/>
      <c r="H571" s="273"/>
      <c r="I571" s="268"/>
      <c r="J571" s="273"/>
      <c r="K571" s="268"/>
      <c r="L571" s="114"/>
      <c r="M571" s="9"/>
      <c r="N571" s="9"/>
      <c r="O571" s="9"/>
      <c r="P571" s="9"/>
      <c r="Q571" s="9"/>
      <c r="R571" s="9"/>
      <c r="S571" s="261"/>
      <c r="T571" s="261"/>
      <c r="U571" s="261"/>
      <c r="V571" s="261"/>
      <c r="W571" s="261"/>
      <c r="X571" s="261"/>
      <c r="Y571" s="261"/>
      <c r="Z571" s="261"/>
    </row>
    <row r="572" spans="1:26">
      <c r="A572" s="9"/>
      <c r="B572" s="9"/>
      <c r="C572" s="9"/>
      <c r="D572" s="9"/>
      <c r="E572" s="35"/>
      <c r="F572" s="35"/>
      <c r="G572" s="264"/>
      <c r="H572" s="273"/>
      <c r="I572" s="268"/>
      <c r="J572" s="273"/>
      <c r="K572" s="268"/>
      <c r="L572" s="114"/>
      <c r="M572" s="9"/>
      <c r="N572" s="9"/>
      <c r="O572" s="9"/>
      <c r="P572" s="9"/>
      <c r="Q572" s="9"/>
      <c r="R572" s="9"/>
      <c r="S572" s="261"/>
      <c r="T572" s="261"/>
      <c r="U572" s="261"/>
      <c r="V572" s="261"/>
      <c r="W572" s="261"/>
      <c r="X572" s="261"/>
      <c r="Y572" s="261"/>
      <c r="Z572" s="261"/>
    </row>
    <row r="573" spans="1:26">
      <c r="A573" s="9"/>
      <c r="B573" s="9"/>
      <c r="C573" s="9"/>
      <c r="D573" s="9"/>
      <c r="E573" s="35"/>
      <c r="F573" s="35"/>
      <c r="G573" s="264"/>
      <c r="H573" s="273"/>
      <c r="I573" s="268"/>
      <c r="J573" s="273"/>
      <c r="K573" s="268"/>
      <c r="L573" s="114"/>
      <c r="M573" s="9"/>
      <c r="N573" s="9"/>
      <c r="O573" s="9"/>
      <c r="P573" s="9"/>
      <c r="Q573" s="9"/>
      <c r="R573" s="9"/>
      <c r="S573" s="261"/>
      <c r="T573" s="261"/>
      <c r="U573" s="261"/>
      <c r="V573" s="261"/>
      <c r="W573" s="261"/>
      <c r="X573" s="261"/>
      <c r="Y573" s="261"/>
      <c r="Z573" s="261"/>
    </row>
    <row r="574" spans="1:26">
      <c r="A574" s="9"/>
      <c r="B574" s="9"/>
      <c r="C574" s="9"/>
      <c r="D574" s="9"/>
      <c r="E574" s="35"/>
      <c r="F574" s="35"/>
      <c r="G574" s="264"/>
      <c r="H574" s="273"/>
      <c r="I574" s="268"/>
      <c r="J574" s="273"/>
      <c r="K574" s="268"/>
      <c r="L574" s="114"/>
      <c r="M574" s="9"/>
      <c r="N574" s="9"/>
      <c r="O574" s="9"/>
      <c r="P574" s="9"/>
      <c r="Q574" s="9"/>
      <c r="R574" s="9"/>
      <c r="S574" s="261"/>
      <c r="T574" s="261"/>
      <c r="U574" s="261"/>
      <c r="V574" s="261"/>
      <c r="W574" s="261"/>
      <c r="X574" s="261"/>
      <c r="Y574" s="261"/>
      <c r="Z574" s="261"/>
    </row>
    <row r="575" spans="1:26">
      <c r="A575" s="9"/>
      <c r="B575" s="9"/>
      <c r="C575" s="9"/>
      <c r="D575" s="9"/>
      <c r="E575" s="35"/>
      <c r="F575" s="35"/>
      <c r="G575" s="264"/>
      <c r="H575" s="273"/>
      <c r="I575" s="268"/>
      <c r="J575" s="273"/>
      <c r="K575" s="268"/>
      <c r="L575" s="114"/>
      <c r="M575" s="9"/>
      <c r="N575" s="9"/>
      <c r="O575" s="9"/>
      <c r="P575" s="9"/>
      <c r="Q575" s="9"/>
      <c r="R575" s="9"/>
      <c r="S575" s="261"/>
      <c r="T575" s="261"/>
      <c r="U575" s="261"/>
      <c r="V575" s="261"/>
      <c r="W575" s="261"/>
      <c r="X575" s="261"/>
      <c r="Y575" s="261"/>
      <c r="Z575" s="261"/>
    </row>
    <row r="576" spans="1:26">
      <c r="A576" s="9"/>
      <c r="B576" s="9"/>
      <c r="C576" s="9"/>
      <c r="D576" s="9"/>
      <c r="E576" s="35"/>
      <c r="F576" s="35"/>
      <c r="G576" s="264"/>
      <c r="H576" s="273"/>
      <c r="I576" s="268"/>
      <c r="J576" s="273"/>
      <c r="K576" s="268"/>
      <c r="L576" s="114"/>
      <c r="M576" s="9"/>
      <c r="N576" s="9"/>
      <c r="O576" s="9"/>
      <c r="P576" s="9"/>
      <c r="Q576" s="9"/>
      <c r="R576" s="9"/>
      <c r="S576" s="261"/>
      <c r="T576" s="261"/>
      <c r="U576" s="261"/>
      <c r="V576" s="261"/>
      <c r="W576" s="261"/>
      <c r="X576" s="261"/>
      <c r="Y576" s="261"/>
      <c r="Z576" s="261"/>
    </row>
    <row r="577" spans="1:26">
      <c r="A577" s="9"/>
      <c r="B577" s="9"/>
      <c r="C577" s="9"/>
      <c r="D577" s="9"/>
      <c r="E577" s="35"/>
      <c r="F577" s="35"/>
      <c r="G577" s="264"/>
      <c r="H577" s="273"/>
      <c r="I577" s="268"/>
      <c r="J577" s="273"/>
      <c r="K577" s="268"/>
      <c r="L577" s="114"/>
      <c r="M577" s="9"/>
      <c r="N577" s="9"/>
      <c r="O577" s="9"/>
      <c r="P577" s="9"/>
      <c r="Q577" s="9"/>
      <c r="R577" s="9"/>
      <c r="S577" s="261"/>
      <c r="T577" s="261"/>
      <c r="U577" s="261"/>
      <c r="V577" s="261"/>
      <c r="W577" s="261"/>
      <c r="X577" s="261"/>
      <c r="Y577" s="261"/>
      <c r="Z577" s="261"/>
    </row>
    <row r="578" spans="1:26">
      <c r="A578" s="9"/>
      <c r="B578" s="9"/>
      <c r="C578" s="9"/>
      <c r="D578" s="9"/>
      <c r="E578" s="35"/>
      <c r="F578" s="35"/>
      <c r="G578" s="264"/>
      <c r="H578" s="273"/>
      <c r="I578" s="268"/>
      <c r="J578" s="273"/>
      <c r="K578" s="268"/>
      <c r="L578" s="114"/>
      <c r="M578" s="9"/>
      <c r="N578" s="9"/>
      <c r="O578" s="9"/>
      <c r="P578" s="9"/>
      <c r="Q578" s="9"/>
      <c r="R578" s="9"/>
      <c r="S578" s="261"/>
      <c r="T578" s="261"/>
      <c r="U578" s="261"/>
      <c r="V578" s="261"/>
      <c r="W578" s="261"/>
      <c r="X578" s="261"/>
      <c r="Y578" s="261"/>
      <c r="Z578" s="261"/>
    </row>
    <row r="579" spans="1:26">
      <c r="A579" s="9"/>
      <c r="B579" s="9"/>
      <c r="C579" s="9"/>
      <c r="D579" s="9"/>
      <c r="E579" s="35"/>
      <c r="F579" s="35"/>
      <c r="G579" s="264"/>
      <c r="H579" s="273"/>
      <c r="I579" s="268"/>
      <c r="J579" s="273"/>
      <c r="K579" s="268"/>
      <c r="L579" s="114"/>
      <c r="M579" s="9"/>
      <c r="N579" s="9"/>
      <c r="O579" s="9"/>
      <c r="P579" s="9"/>
      <c r="Q579" s="9"/>
      <c r="R579" s="9"/>
      <c r="S579" s="261"/>
      <c r="T579" s="261"/>
      <c r="U579" s="261"/>
      <c r="V579" s="261"/>
      <c r="W579" s="261"/>
      <c r="X579" s="261"/>
      <c r="Y579" s="261"/>
      <c r="Z579" s="261"/>
    </row>
    <row r="580" spans="1:26">
      <c r="A580" s="9"/>
      <c r="B580" s="9"/>
      <c r="C580" s="9"/>
      <c r="D580" s="9"/>
      <c r="E580" s="35"/>
      <c r="F580" s="35"/>
      <c r="G580" s="264"/>
      <c r="H580" s="273"/>
      <c r="I580" s="268"/>
      <c r="J580" s="273"/>
      <c r="K580" s="268"/>
      <c r="L580" s="114"/>
      <c r="M580" s="9"/>
      <c r="N580" s="9"/>
      <c r="O580" s="9"/>
      <c r="P580" s="9"/>
      <c r="Q580" s="9"/>
      <c r="R580" s="9"/>
      <c r="S580" s="261"/>
      <c r="T580" s="261"/>
      <c r="U580" s="261"/>
      <c r="V580" s="261"/>
      <c r="W580" s="261"/>
      <c r="X580" s="261"/>
      <c r="Y580" s="261"/>
      <c r="Z580" s="261"/>
    </row>
    <row r="581" spans="1:26">
      <c r="A581" s="9"/>
      <c r="B581" s="9"/>
      <c r="C581" s="9"/>
      <c r="D581" s="9"/>
      <c r="E581" s="35"/>
      <c r="F581" s="35"/>
      <c r="G581" s="264"/>
      <c r="H581" s="273"/>
      <c r="I581" s="268"/>
      <c r="J581" s="273"/>
      <c r="K581" s="268"/>
      <c r="L581" s="114"/>
      <c r="M581" s="9"/>
      <c r="N581" s="9"/>
      <c r="O581" s="9"/>
      <c r="P581" s="9"/>
      <c r="Q581" s="9"/>
      <c r="R581" s="9"/>
      <c r="S581" s="261"/>
      <c r="T581" s="261"/>
      <c r="U581" s="261"/>
      <c r="V581" s="261"/>
      <c r="W581" s="261"/>
      <c r="X581" s="261"/>
      <c r="Y581" s="261"/>
      <c r="Z581" s="261"/>
    </row>
    <row r="582" spans="1:26">
      <c r="A582" s="9"/>
      <c r="B582" s="9"/>
      <c r="C582" s="9"/>
      <c r="D582" s="9"/>
      <c r="E582" s="35"/>
      <c r="F582" s="35"/>
      <c r="G582" s="264"/>
      <c r="H582" s="273"/>
      <c r="I582" s="268"/>
      <c r="J582" s="273"/>
      <c r="K582" s="268"/>
      <c r="L582" s="114"/>
      <c r="M582" s="9"/>
      <c r="N582" s="9"/>
      <c r="O582" s="9"/>
      <c r="P582" s="9"/>
      <c r="Q582" s="9"/>
      <c r="R582" s="9"/>
      <c r="S582" s="261"/>
      <c r="T582" s="261"/>
      <c r="U582" s="261"/>
      <c r="V582" s="261"/>
      <c r="W582" s="261"/>
      <c r="X582" s="261"/>
      <c r="Y582" s="261"/>
      <c r="Z582" s="261"/>
    </row>
    <row r="583" spans="1:26">
      <c r="A583" s="9"/>
      <c r="B583" s="9"/>
      <c r="C583" s="9"/>
      <c r="D583" s="9"/>
      <c r="E583" s="35"/>
      <c r="F583" s="35"/>
      <c r="G583" s="264"/>
      <c r="H583" s="273"/>
      <c r="I583" s="268"/>
      <c r="J583" s="273"/>
      <c r="K583" s="268"/>
      <c r="L583" s="114"/>
      <c r="M583" s="9"/>
      <c r="N583" s="9"/>
      <c r="O583" s="9"/>
      <c r="P583" s="9"/>
      <c r="Q583" s="9"/>
      <c r="R583" s="9"/>
      <c r="S583" s="261"/>
      <c r="T583" s="261"/>
      <c r="U583" s="261"/>
      <c r="V583" s="261"/>
      <c r="W583" s="261"/>
      <c r="X583" s="261"/>
      <c r="Y583" s="261"/>
      <c r="Z583" s="261"/>
    </row>
    <row r="584" spans="1:26">
      <c r="A584" s="9"/>
      <c r="B584" s="9"/>
      <c r="C584" s="9"/>
      <c r="D584" s="9"/>
      <c r="E584" s="35"/>
      <c r="F584" s="35"/>
      <c r="G584" s="264"/>
      <c r="H584" s="273"/>
      <c r="I584" s="268"/>
      <c r="J584" s="273"/>
      <c r="K584" s="268"/>
      <c r="L584" s="114"/>
      <c r="M584" s="9"/>
      <c r="N584" s="9"/>
      <c r="O584" s="9"/>
      <c r="P584" s="9"/>
      <c r="Q584" s="9"/>
      <c r="R584" s="9"/>
      <c r="S584" s="261"/>
      <c r="T584" s="261"/>
      <c r="U584" s="261"/>
      <c r="V584" s="261"/>
      <c r="W584" s="261"/>
      <c r="X584" s="261"/>
      <c r="Y584" s="261"/>
      <c r="Z584" s="261"/>
    </row>
    <row r="585" spans="1:26">
      <c r="A585" s="9"/>
      <c r="B585" s="9"/>
      <c r="C585" s="9"/>
      <c r="D585" s="9"/>
      <c r="E585" s="35"/>
      <c r="F585" s="35"/>
      <c r="G585" s="264"/>
      <c r="H585" s="273"/>
      <c r="I585" s="268"/>
      <c r="J585" s="273"/>
      <c r="K585" s="268"/>
      <c r="L585" s="114"/>
      <c r="M585" s="9"/>
      <c r="N585" s="9"/>
      <c r="O585" s="9"/>
      <c r="P585" s="9"/>
      <c r="Q585" s="9"/>
      <c r="R585" s="9"/>
      <c r="S585" s="261"/>
      <c r="T585" s="261"/>
      <c r="U585" s="261"/>
      <c r="V585" s="261"/>
      <c r="W585" s="261"/>
      <c r="X585" s="261"/>
      <c r="Y585" s="261"/>
      <c r="Z585" s="261"/>
    </row>
    <row r="586" spans="1:26">
      <c r="A586" s="9"/>
      <c r="B586" s="9"/>
      <c r="C586" s="9"/>
      <c r="D586" s="9"/>
      <c r="E586" s="35"/>
      <c r="F586" s="35"/>
      <c r="G586" s="264"/>
      <c r="H586" s="273"/>
      <c r="I586" s="268"/>
      <c r="J586" s="273"/>
      <c r="K586" s="268"/>
      <c r="L586" s="114"/>
      <c r="M586" s="9"/>
      <c r="N586" s="9"/>
      <c r="O586" s="9"/>
      <c r="P586" s="9"/>
      <c r="Q586" s="9"/>
      <c r="R586" s="9"/>
      <c r="S586" s="261"/>
      <c r="T586" s="261"/>
      <c r="U586" s="261"/>
      <c r="V586" s="261"/>
      <c r="W586" s="261"/>
      <c r="X586" s="261"/>
      <c r="Y586" s="261"/>
      <c r="Z586" s="261"/>
    </row>
    <row r="587" spans="1:26">
      <c r="A587" s="9"/>
      <c r="B587" s="9"/>
      <c r="C587" s="9"/>
      <c r="D587" s="9"/>
      <c r="E587" s="35"/>
      <c r="F587" s="35"/>
      <c r="G587" s="264"/>
      <c r="H587" s="273"/>
      <c r="I587" s="268"/>
      <c r="J587" s="273"/>
      <c r="K587" s="268"/>
      <c r="L587" s="114"/>
      <c r="M587" s="9"/>
      <c r="N587" s="9"/>
      <c r="O587" s="9"/>
      <c r="P587" s="9"/>
      <c r="Q587" s="9"/>
      <c r="R587" s="9"/>
      <c r="S587" s="261"/>
      <c r="T587" s="261"/>
      <c r="U587" s="261"/>
      <c r="V587" s="261"/>
      <c r="W587" s="261"/>
      <c r="X587" s="261"/>
      <c r="Y587" s="261"/>
      <c r="Z587" s="261"/>
    </row>
    <row r="588" spans="1:26">
      <c r="A588" s="9"/>
      <c r="B588" s="9"/>
      <c r="C588" s="9"/>
      <c r="D588" s="9"/>
      <c r="E588" s="35"/>
      <c r="F588" s="35"/>
      <c r="G588" s="264"/>
      <c r="H588" s="273"/>
      <c r="I588" s="268"/>
      <c r="J588" s="273"/>
      <c r="K588" s="268"/>
      <c r="L588" s="114"/>
      <c r="M588" s="9"/>
      <c r="N588" s="9"/>
      <c r="O588" s="9"/>
      <c r="P588" s="9"/>
      <c r="Q588" s="9"/>
      <c r="R588" s="9"/>
      <c r="S588" s="261"/>
      <c r="T588" s="261"/>
      <c r="U588" s="261"/>
      <c r="V588" s="261"/>
      <c r="W588" s="261"/>
      <c r="X588" s="261"/>
      <c r="Y588" s="261"/>
      <c r="Z588" s="261"/>
    </row>
    <row r="589" spans="1:26">
      <c r="A589" s="9"/>
      <c r="B589" s="9"/>
      <c r="C589" s="9"/>
      <c r="D589" s="9"/>
      <c r="E589" s="35"/>
      <c r="F589" s="35"/>
      <c r="G589" s="264"/>
      <c r="H589" s="273"/>
      <c r="I589" s="268"/>
      <c r="J589" s="273"/>
      <c r="K589" s="268"/>
      <c r="L589" s="114"/>
      <c r="M589" s="9"/>
      <c r="N589" s="9"/>
      <c r="O589" s="9"/>
      <c r="P589" s="9"/>
      <c r="Q589" s="9"/>
      <c r="R589" s="9"/>
      <c r="S589" s="261"/>
      <c r="T589" s="261"/>
      <c r="U589" s="261"/>
      <c r="V589" s="261"/>
      <c r="W589" s="261"/>
      <c r="X589" s="261"/>
      <c r="Y589" s="261"/>
      <c r="Z589" s="261"/>
    </row>
    <row r="590" spans="1:26">
      <c r="A590" s="9"/>
      <c r="B590" s="9"/>
      <c r="C590" s="9"/>
      <c r="D590" s="9"/>
      <c r="E590" s="35"/>
      <c r="F590" s="35"/>
      <c r="G590" s="264"/>
      <c r="H590" s="273"/>
      <c r="I590" s="268"/>
      <c r="J590" s="273"/>
      <c r="K590" s="268"/>
      <c r="L590" s="114"/>
      <c r="M590" s="9"/>
      <c r="N590" s="9"/>
      <c r="O590" s="9"/>
      <c r="P590" s="9"/>
      <c r="Q590" s="9"/>
      <c r="R590" s="9"/>
      <c r="S590" s="261"/>
      <c r="T590" s="261"/>
      <c r="U590" s="261"/>
      <c r="V590" s="261"/>
      <c r="W590" s="261"/>
      <c r="X590" s="261"/>
      <c r="Y590" s="261"/>
      <c r="Z590" s="261"/>
    </row>
    <row r="591" spans="1:26">
      <c r="A591" s="9"/>
      <c r="B591" s="9"/>
      <c r="C591" s="9"/>
      <c r="D591" s="9"/>
      <c r="E591" s="35"/>
      <c r="F591" s="35"/>
      <c r="G591" s="264"/>
      <c r="H591" s="273"/>
      <c r="I591" s="268"/>
      <c r="J591" s="273"/>
      <c r="K591" s="268"/>
      <c r="L591" s="114"/>
      <c r="M591" s="9"/>
      <c r="N591" s="9"/>
      <c r="O591" s="9"/>
      <c r="P591" s="9"/>
      <c r="Q591" s="9"/>
      <c r="R591" s="9"/>
      <c r="S591" s="261"/>
      <c r="T591" s="261"/>
      <c r="U591" s="261"/>
      <c r="V591" s="261"/>
      <c r="W591" s="261"/>
      <c r="X591" s="261"/>
      <c r="Y591" s="261"/>
      <c r="Z591" s="261"/>
    </row>
    <row r="592" spans="1:26">
      <c r="A592" s="9"/>
      <c r="B592" s="9"/>
      <c r="C592" s="9"/>
      <c r="D592" s="9"/>
      <c r="E592" s="35"/>
      <c r="F592" s="35"/>
      <c r="G592" s="264"/>
      <c r="H592" s="273"/>
      <c r="I592" s="268"/>
      <c r="J592" s="273"/>
      <c r="K592" s="268"/>
      <c r="L592" s="114"/>
      <c r="M592" s="9"/>
      <c r="N592" s="9"/>
      <c r="O592" s="9"/>
      <c r="P592" s="9"/>
      <c r="Q592" s="9"/>
      <c r="R592" s="9"/>
      <c r="S592" s="261"/>
      <c r="T592" s="261"/>
      <c r="U592" s="261"/>
      <c r="V592" s="261"/>
      <c r="W592" s="261"/>
      <c r="X592" s="261"/>
      <c r="Y592" s="261"/>
      <c r="Z592" s="261"/>
    </row>
    <row r="593" spans="1:26">
      <c r="A593" s="9"/>
      <c r="B593" s="9"/>
      <c r="C593" s="9"/>
      <c r="D593" s="9"/>
      <c r="E593" s="35"/>
      <c r="F593" s="35"/>
      <c r="G593" s="264"/>
      <c r="H593" s="273"/>
      <c r="I593" s="268"/>
      <c r="J593" s="273"/>
      <c r="K593" s="268"/>
      <c r="L593" s="114"/>
      <c r="M593" s="9"/>
      <c r="N593" s="9"/>
      <c r="O593" s="9"/>
      <c r="P593" s="9"/>
      <c r="Q593" s="9"/>
      <c r="R593" s="9"/>
      <c r="S593" s="261"/>
      <c r="T593" s="261"/>
      <c r="U593" s="261"/>
      <c r="V593" s="261"/>
      <c r="W593" s="261"/>
      <c r="X593" s="261"/>
      <c r="Y593" s="261"/>
      <c r="Z593" s="261"/>
    </row>
    <row r="594" spans="1:26">
      <c r="A594" s="9"/>
      <c r="B594" s="9"/>
      <c r="C594" s="9"/>
      <c r="D594" s="9"/>
      <c r="E594" s="35"/>
      <c r="F594" s="35"/>
      <c r="G594" s="264"/>
      <c r="H594" s="273"/>
      <c r="I594" s="268"/>
      <c r="J594" s="273"/>
      <c r="K594" s="268"/>
      <c r="L594" s="114"/>
      <c r="M594" s="9"/>
      <c r="N594" s="9"/>
      <c r="O594" s="9"/>
      <c r="P594" s="9"/>
      <c r="Q594" s="9"/>
      <c r="R594" s="9"/>
      <c r="S594" s="261"/>
      <c r="T594" s="261"/>
      <c r="U594" s="261"/>
      <c r="V594" s="261"/>
      <c r="W594" s="261"/>
      <c r="X594" s="261"/>
      <c r="Y594" s="261"/>
      <c r="Z594" s="261"/>
    </row>
    <row r="595" spans="1:26">
      <c r="A595" s="9"/>
      <c r="B595" s="9"/>
      <c r="C595" s="9"/>
      <c r="D595" s="9"/>
      <c r="E595" s="35"/>
      <c r="F595" s="35"/>
      <c r="G595" s="264"/>
      <c r="H595" s="273"/>
      <c r="I595" s="268"/>
      <c r="J595" s="273"/>
      <c r="K595" s="268"/>
      <c r="L595" s="114"/>
      <c r="M595" s="9"/>
      <c r="N595" s="9"/>
      <c r="O595" s="9"/>
      <c r="P595" s="9"/>
      <c r="Q595" s="9"/>
      <c r="R595" s="9"/>
      <c r="S595" s="261"/>
      <c r="T595" s="261"/>
      <c r="U595" s="261"/>
      <c r="V595" s="261"/>
      <c r="W595" s="261"/>
      <c r="X595" s="261"/>
      <c r="Y595" s="261"/>
      <c r="Z595" s="261"/>
    </row>
    <row r="596" spans="1:26">
      <c r="A596" s="9"/>
      <c r="B596" s="9"/>
      <c r="C596" s="9"/>
      <c r="D596" s="9"/>
      <c r="E596" s="35"/>
      <c r="F596" s="35"/>
      <c r="G596" s="264"/>
      <c r="H596" s="273"/>
      <c r="I596" s="268"/>
      <c r="J596" s="273"/>
      <c r="K596" s="268"/>
      <c r="L596" s="114"/>
      <c r="M596" s="9"/>
      <c r="N596" s="9"/>
      <c r="O596" s="9"/>
      <c r="P596" s="9"/>
      <c r="Q596" s="9"/>
      <c r="R596" s="9"/>
      <c r="S596" s="261"/>
      <c r="T596" s="261"/>
      <c r="U596" s="261"/>
      <c r="V596" s="261"/>
      <c r="W596" s="261"/>
      <c r="X596" s="261"/>
      <c r="Y596" s="261"/>
      <c r="Z596" s="261"/>
    </row>
    <row r="597" spans="1:26">
      <c r="A597" s="9"/>
      <c r="B597" s="9"/>
      <c r="C597" s="9"/>
      <c r="D597" s="9"/>
      <c r="E597" s="35"/>
      <c r="F597" s="35"/>
      <c r="G597" s="264"/>
      <c r="H597" s="273"/>
      <c r="I597" s="268"/>
      <c r="J597" s="273"/>
      <c r="K597" s="268"/>
      <c r="L597" s="114"/>
      <c r="M597" s="9"/>
      <c r="N597" s="9"/>
      <c r="O597" s="9"/>
      <c r="P597" s="9"/>
      <c r="Q597" s="9"/>
      <c r="R597" s="9"/>
      <c r="S597" s="261"/>
      <c r="T597" s="261"/>
      <c r="U597" s="261"/>
      <c r="V597" s="261"/>
      <c r="W597" s="261"/>
      <c r="X597" s="261"/>
      <c r="Y597" s="261"/>
      <c r="Z597" s="261"/>
    </row>
    <row r="598" spans="1:26">
      <c r="A598" s="9"/>
      <c r="B598" s="9"/>
      <c r="C598" s="9"/>
      <c r="D598" s="9"/>
      <c r="E598" s="35"/>
      <c r="F598" s="35"/>
      <c r="G598" s="264"/>
      <c r="H598" s="273"/>
      <c r="I598" s="268"/>
      <c r="J598" s="273"/>
      <c r="K598" s="268"/>
      <c r="L598" s="114"/>
      <c r="M598" s="9"/>
      <c r="N598" s="9"/>
      <c r="O598" s="9"/>
      <c r="P598" s="9"/>
      <c r="Q598" s="9"/>
      <c r="R598" s="9"/>
      <c r="S598" s="261"/>
      <c r="T598" s="261"/>
      <c r="U598" s="261"/>
      <c r="V598" s="261"/>
      <c r="W598" s="261"/>
      <c r="X598" s="261"/>
      <c r="Y598" s="261"/>
      <c r="Z598" s="261"/>
    </row>
    <row r="599" spans="1:26">
      <c r="A599" s="9"/>
      <c r="B599" s="9"/>
      <c r="C599" s="9"/>
      <c r="D599" s="9"/>
      <c r="E599" s="35"/>
      <c r="F599" s="35"/>
      <c r="G599" s="264"/>
      <c r="H599" s="273"/>
      <c r="I599" s="268"/>
      <c r="J599" s="273"/>
      <c r="K599" s="268"/>
      <c r="L599" s="114"/>
      <c r="M599" s="9"/>
      <c r="N599" s="9"/>
      <c r="O599" s="9"/>
      <c r="P599" s="9"/>
      <c r="Q599" s="9"/>
      <c r="R599" s="9"/>
      <c r="S599" s="261"/>
      <c r="T599" s="261"/>
      <c r="U599" s="261"/>
      <c r="V599" s="261"/>
      <c r="W599" s="261"/>
      <c r="X599" s="261"/>
      <c r="Y599" s="261"/>
      <c r="Z599" s="261"/>
    </row>
    <row r="600" spans="1:26">
      <c r="A600" s="9"/>
      <c r="B600" s="9"/>
      <c r="C600" s="9"/>
      <c r="D600" s="9"/>
      <c r="E600" s="35"/>
      <c r="F600" s="35"/>
      <c r="G600" s="264"/>
      <c r="H600" s="273"/>
      <c r="I600" s="268"/>
      <c r="J600" s="273"/>
      <c r="K600" s="268"/>
      <c r="L600" s="114"/>
      <c r="M600" s="9"/>
      <c r="N600" s="9"/>
      <c r="O600" s="9"/>
      <c r="P600" s="9"/>
      <c r="Q600" s="9"/>
      <c r="R600" s="9"/>
      <c r="S600" s="261"/>
      <c r="T600" s="261"/>
      <c r="U600" s="261"/>
      <c r="V600" s="261"/>
      <c r="W600" s="261"/>
      <c r="X600" s="261"/>
      <c r="Y600" s="261"/>
      <c r="Z600" s="261"/>
    </row>
    <row r="601" spans="1:26">
      <c r="A601" s="9"/>
      <c r="B601" s="9"/>
      <c r="C601" s="9"/>
      <c r="D601" s="9"/>
      <c r="E601" s="35"/>
      <c r="F601" s="35"/>
      <c r="G601" s="264"/>
      <c r="H601" s="273"/>
      <c r="I601" s="268"/>
      <c r="J601" s="273"/>
      <c r="K601" s="268"/>
      <c r="L601" s="114"/>
      <c r="M601" s="9"/>
      <c r="N601" s="9"/>
      <c r="O601" s="9"/>
      <c r="P601" s="9"/>
      <c r="Q601" s="9"/>
      <c r="R601" s="9"/>
      <c r="S601" s="261"/>
      <c r="T601" s="261"/>
      <c r="U601" s="261"/>
      <c r="V601" s="261"/>
      <c r="W601" s="261"/>
      <c r="X601" s="261"/>
      <c r="Y601" s="261"/>
      <c r="Z601" s="261"/>
    </row>
    <row r="602" spans="1:26">
      <c r="A602" s="9"/>
      <c r="B602" s="9"/>
      <c r="C602" s="9"/>
      <c r="D602" s="9"/>
      <c r="E602" s="35"/>
      <c r="F602" s="35"/>
      <c r="G602" s="264"/>
      <c r="H602" s="273"/>
      <c r="I602" s="268"/>
      <c r="J602" s="273"/>
      <c r="K602" s="268"/>
      <c r="L602" s="114"/>
      <c r="M602" s="9"/>
      <c r="N602" s="9"/>
      <c r="O602" s="9"/>
      <c r="P602" s="9"/>
      <c r="Q602" s="9"/>
      <c r="R602" s="9"/>
      <c r="S602" s="261"/>
      <c r="T602" s="261"/>
      <c r="U602" s="261"/>
      <c r="V602" s="261"/>
      <c r="W602" s="261"/>
      <c r="X602" s="261"/>
      <c r="Y602" s="261"/>
      <c r="Z602" s="261"/>
    </row>
    <row r="603" spans="1:26">
      <c r="A603" s="9"/>
      <c r="B603" s="9"/>
      <c r="C603" s="9"/>
      <c r="D603" s="9"/>
      <c r="E603" s="35"/>
      <c r="F603" s="35"/>
      <c r="G603" s="264"/>
      <c r="H603" s="273"/>
      <c r="I603" s="268"/>
      <c r="J603" s="273"/>
      <c r="K603" s="268"/>
      <c r="L603" s="114"/>
      <c r="M603" s="9"/>
      <c r="N603" s="9"/>
      <c r="O603" s="9"/>
      <c r="P603" s="9"/>
      <c r="Q603" s="9"/>
      <c r="R603" s="9"/>
      <c r="S603" s="261"/>
      <c r="T603" s="261"/>
      <c r="U603" s="261"/>
      <c r="V603" s="261"/>
      <c r="W603" s="261"/>
      <c r="X603" s="261"/>
      <c r="Y603" s="261"/>
      <c r="Z603" s="261"/>
    </row>
    <row r="604" spans="1:26">
      <c r="A604" s="9"/>
      <c r="B604" s="9"/>
      <c r="C604" s="9"/>
      <c r="D604" s="9"/>
      <c r="E604" s="35"/>
      <c r="F604" s="35"/>
      <c r="G604" s="264"/>
      <c r="H604" s="273"/>
      <c r="I604" s="268"/>
      <c r="J604" s="273"/>
      <c r="K604" s="268"/>
      <c r="L604" s="114"/>
      <c r="M604" s="9"/>
      <c r="N604" s="9"/>
      <c r="O604" s="9"/>
      <c r="P604" s="9"/>
      <c r="Q604" s="9"/>
      <c r="R604" s="9"/>
      <c r="S604" s="261"/>
      <c r="T604" s="261"/>
      <c r="U604" s="261"/>
      <c r="V604" s="261"/>
      <c r="W604" s="261"/>
      <c r="X604" s="261"/>
      <c r="Y604" s="261"/>
      <c r="Z604" s="261"/>
    </row>
    <row r="605" spans="1:26">
      <c r="A605" s="9"/>
      <c r="B605" s="9"/>
      <c r="C605" s="9"/>
      <c r="D605" s="9"/>
      <c r="E605" s="35"/>
      <c r="F605" s="35"/>
      <c r="G605" s="264"/>
      <c r="H605" s="273"/>
      <c r="I605" s="268"/>
      <c r="J605" s="273"/>
      <c r="K605" s="268"/>
      <c r="L605" s="114"/>
      <c r="M605" s="9"/>
      <c r="N605" s="9"/>
      <c r="O605" s="9"/>
      <c r="P605" s="9"/>
      <c r="Q605" s="9"/>
      <c r="R605" s="9"/>
      <c r="S605" s="261"/>
      <c r="T605" s="261"/>
      <c r="U605" s="261"/>
      <c r="V605" s="261"/>
      <c r="W605" s="261"/>
      <c r="X605" s="261"/>
      <c r="Y605" s="261"/>
      <c r="Z605" s="261"/>
    </row>
    <row r="606" spans="1:26">
      <c r="A606" s="9"/>
      <c r="B606" s="9"/>
      <c r="C606" s="9"/>
      <c r="D606" s="9"/>
      <c r="E606" s="35"/>
      <c r="F606" s="35"/>
      <c r="G606" s="264"/>
      <c r="H606" s="273"/>
      <c r="I606" s="268"/>
      <c r="J606" s="273"/>
      <c r="K606" s="268"/>
      <c r="L606" s="114"/>
      <c r="M606" s="9"/>
      <c r="N606" s="9"/>
      <c r="O606" s="9"/>
      <c r="P606" s="9"/>
      <c r="Q606" s="9"/>
      <c r="R606" s="9"/>
      <c r="S606" s="261"/>
      <c r="T606" s="261"/>
      <c r="U606" s="261"/>
      <c r="V606" s="261"/>
      <c r="W606" s="261"/>
      <c r="X606" s="261"/>
      <c r="Y606" s="261"/>
      <c r="Z606" s="261"/>
    </row>
    <row r="607" spans="1:26">
      <c r="A607" s="9"/>
      <c r="B607" s="9"/>
      <c r="C607" s="9"/>
      <c r="D607" s="9"/>
      <c r="E607" s="35"/>
      <c r="F607" s="35"/>
      <c r="G607" s="264"/>
      <c r="H607" s="273"/>
      <c r="I607" s="268"/>
      <c r="J607" s="273"/>
      <c r="K607" s="268"/>
      <c r="L607" s="114"/>
      <c r="M607" s="9"/>
      <c r="N607" s="9"/>
      <c r="O607" s="9"/>
      <c r="P607" s="9"/>
      <c r="Q607" s="9"/>
      <c r="R607" s="9"/>
      <c r="S607" s="261"/>
      <c r="T607" s="261"/>
      <c r="U607" s="261"/>
      <c r="V607" s="261"/>
      <c r="W607" s="261"/>
      <c r="X607" s="261"/>
      <c r="Y607" s="261"/>
      <c r="Z607" s="261"/>
    </row>
    <row r="608" spans="1:26">
      <c r="A608" s="9"/>
      <c r="B608" s="9"/>
      <c r="C608" s="9"/>
      <c r="D608" s="9"/>
      <c r="E608" s="35"/>
      <c r="F608" s="35"/>
      <c r="G608" s="264"/>
      <c r="H608" s="273"/>
      <c r="I608" s="268"/>
      <c r="J608" s="273"/>
      <c r="K608" s="268"/>
      <c r="L608" s="114"/>
      <c r="M608" s="9"/>
      <c r="N608" s="9"/>
      <c r="O608" s="9"/>
      <c r="P608" s="9"/>
      <c r="Q608" s="9"/>
      <c r="R608" s="9"/>
      <c r="S608" s="261"/>
      <c r="T608" s="261"/>
      <c r="U608" s="261"/>
      <c r="V608" s="261"/>
      <c r="W608" s="261"/>
      <c r="X608" s="261"/>
      <c r="Y608" s="261"/>
      <c r="Z608" s="261"/>
    </row>
    <row r="609" spans="1:26">
      <c r="A609" s="9"/>
      <c r="B609" s="9"/>
      <c r="C609" s="9"/>
      <c r="D609" s="9"/>
      <c r="E609" s="35"/>
      <c r="F609" s="35"/>
      <c r="G609" s="264"/>
      <c r="H609" s="273"/>
      <c r="I609" s="268"/>
      <c r="J609" s="273"/>
      <c r="K609" s="268"/>
      <c r="L609" s="114"/>
      <c r="M609" s="9"/>
      <c r="N609" s="9"/>
      <c r="O609" s="9"/>
      <c r="P609" s="9"/>
      <c r="Q609" s="9"/>
      <c r="R609" s="9"/>
      <c r="S609" s="261"/>
      <c r="T609" s="261"/>
      <c r="U609" s="261"/>
      <c r="V609" s="261"/>
      <c r="W609" s="261"/>
      <c r="X609" s="261"/>
      <c r="Y609" s="261"/>
      <c r="Z609" s="261"/>
    </row>
    <row r="610" spans="1:26">
      <c r="A610" s="9"/>
      <c r="B610" s="9"/>
      <c r="C610" s="9"/>
      <c r="D610" s="9"/>
      <c r="E610" s="35"/>
      <c r="F610" s="35"/>
      <c r="G610" s="264"/>
      <c r="H610" s="273"/>
      <c r="I610" s="268"/>
      <c r="J610" s="273"/>
      <c r="K610" s="268"/>
      <c r="L610" s="114"/>
      <c r="M610" s="9"/>
      <c r="N610" s="9"/>
      <c r="O610" s="9"/>
      <c r="P610" s="9"/>
      <c r="Q610" s="9"/>
      <c r="R610" s="9"/>
      <c r="S610" s="261"/>
      <c r="T610" s="261"/>
      <c r="U610" s="261"/>
      <c r="V610" s="261"/>
      <c r="W610" s="261"/>
      <c r="X610" s="261"/>
      <c r="Y610" s="261"/>
      <c r="Z610" s="261"/>
    </row>
    <row r="611" spans="1:26">
      <c r="A611" s="9"/>
      <c r="B611" s="9"/>
      <c r="C611" s="9"/>
      <c r="D611" s="9"/>
      <c r="E611" s="35"/>
      <c r="F611" s="35"/>
      <c r="G611" s="264"/>
      <c r="H611" s="273"/>
      <c r="I611" s="268"/>
      <c r="J611" s="273"/>
      <c r="K611" s="268"/>
      <c r="L611" s="114"/>
      <c r="M611" s="9"/>
      <c r="N611" s="9"/>
      <c r="O611" s="9"/>
      <c r="P611" s="9"/>
      <c r="Q611" s="9"/>
      <c r="R611" s="9"/>
      <c r="S611" s="261"/>
      <c r="T611" s="261"/>
      <c r="U611" s="261"/>
      <c r="V611" s="261"/>
      <c r="W611" s="261"/>
      <c r="X611" s="261"/>
      <c r="Y611" s="261"/>
      <c r="Z611" s="261"/>
    </row>
    <row r="612" spans="1:26">
      <c r="A612" s="9"/>
      <c r="B612" s="9"/>
      <c r="C612" s="9"/>
      <c r="D612" s="9"/>
      <c r="E612" s="35"/>
      <c r="F612" s="35"/>
      <c r="G612" s="264"/>
      <c r="H612" s="273"/>
      <c r="I612" s="268"/>
      <c r="J612" s="273"/>
      <c r="K612" s="268"/>
      <c r="L612" s="114"/>
      <c r="M612" s="9"/>
      <c r="N612" s="9"/>
      <c r="O612" s="9"/>
      <c r="P612" s="9"/>
      <c r="Q612" s="9"/>
      <c r="R612" s="9"/>
      <c r="S612" s="261"/>
      <c r="T612" s="261"/>
      <c r="U612" s="261"/>
      <c r="V612" s="261"/>
      <c r="W612" s="261"/>
      <c r="X612" s="261"/>
      <c r="Y612" s="261"/>
      <c r="Z612" s="261"/>
    </row>
    <row r="613" spans="1:26">
      <c r="A613" s="9"/>
      <c r="B613" s="9"/>
      <c r="C613" s="9"/>
      <c r="D613" s="9"/>
      <c r="E613" s="35"/>
      <c r="F613" s="35"/>
      <c r="G613" s="264"/>
      <c r="H613" s="273"/>
      <c r="I613" s="268"/>
      <c r="J613" s="273"/>
      <c r="K613" s="268"/>
      <c r="L613" s="114"/>
      <c r="M613" s="9"/>
      <c r="N613" s="9"/>
      <c r="O613" s="9"/>
      <c r="P613" s="9"/>
      <c r="Q613" s="9"/>
      <c r="R613" s="9"/>
      <c r="S613" s="261"/>
      <c r="T613" s="261"/>
      <c r="U613" s="261"/>
      <c r="V613" s="261"/>
      <c r="W613" s="261"/>
      <c r="X613" s="261"/>
      <c r="Y613" s="261"/>
      <c r="Z613" s="261"/>
    </row>
    <row r="614" spans="1:26">
      <c r="A614" s="9"/>
      <c r="B614" s="9"/>
      <c r="C614" s="9"/>
      <c r="D614" s="9"/>
      <c r="E614" s="35"/>
      <c r="F614" s="35"/>
      <c r="G614" s="264"/>
      <c r="H614" s="273"/>
      <c r="I614" s="268"/>
      <c r="J614" s="273"/>
      <c r="K614" s="268"/>
      <c r="L614" s="114"/>
      <c r="M614" s="9"/>
      <c r="N614" s="9"/>
      <c r="O614" s="9"/>
      <c r="P614" s="9"/>
      <c r="Q614" s="9"/>
      <c r="R614" s="9"/>
      <c r="S614" s="261"/>
      <c r="T614" s="261"/>
      <c r="U614" s="261"/>
      <c r="V614" s="261"/>
      <c r="W614" s="261"/>
      <c r="X614" s="261"/>
      <c r="Y614" s="261"/>
      <c r="Z614" s="261"/>
    </row>
    <row r="615" spans="1:26">
      <c r="A615" s="9"/>
      <c r="B615" s="9"/>
      <c r="C615" s="9"/>
      <c r="D615" s="9"/>
      <c r="E615" s="35"/>
      <c r="F615" s="35"/>
      <c r="G615" s="264"/>
      <c r="H615" s="273"/>
      <c r="I615" s="268"/>
      <c r="J615" s="273"/>
      <c r="K615" s="268"/>
      <c r="L615" s="114"/>
      <c r="M615" s="9"/>
      <c r="N615" s="9"/>
      <c r="O615" s="9"/>
      <c r="P615" s="9"/>
      <c r="Q615" s="9"/>
      <c r="R615" s="9"/>
      <c r="S615" s="261"/>
      <c r="T615" s="261"/>
      <c r="U615" s="261"/>
      <c r="V615" s="261"/>
      <c r="W615" s="261"/>
      <c r="X615" s="261"/>
      <c r="Y615" s="261"/>
      <c r="Z615" s="261"/>
    </row>
    <row r="616" spans="1:26">
      <c r="A616" s="9"/>
      <c r="B616" s="9"/>
      <c r="C616" s="9"/>
      <c r="D616" s="9"/>
      <c r="E616" s="35"/>
      <c r="F616" s="35"/>
      <c r="G616" s="264"/>
      <c r="H616" s="273"/>
      <c r="I616" s="268"/>
      <c r="J616" s="273"/>
      <c r="K616" s="268"/>
      <c r="L616" s="114"/>
      <c r="M616" s="9"/>
      <c r="N616" s="9"/>
      <c r="O616" s="9"/>
      <c r="P616" s="9"/>
      <c r="Q616" s="9"/>
      <c r="R616" s="9"/>
      <c r="S616" s="261"/>
      <c r="T616" s="261"/>
      <c r="U616" s="261"/>
      <c r="V616" s="261"/>
      <c r="W616" s="261"/>
      <c r="X616" s="261"/>
      <c r="Y616" s="261"/>
      <c r="Z616" s="261"/>
    </row>
    <row r="617" spans="1:26">
      <c r="A617" s="9"/>
      <c r="B617" s="9"/>
      <c r="C617" s="9"/>
      <c r="D617" s="9"/>
      <c r="E617" s="35"/>
      <c r="F617" s="35"/>
      <c r="G617" s="264"/>
      <c r="H617" s="273"/>
      <c r="I617" s="268"/>
      <c r="J617" s="273"/>
      <c r="K617" s="268"/>
      <c r="L617" s="114"/>
      <c r="M617" s="9"/>
      <c r="N617" s="9"/>
      <c r="O617" s="9"/>
      <c r="P617" s="9"/>
      <c r="Q617" s="9"/>
      <c r="R617" s="9"/>
      <c r="S617" s="261"/>
      <c r="T617" s="261"/>
      <c r="U617" s="261"/>
      <c r="V617" s="261"/>
      <c r="W617" s="261"/>
      <c r="X617" s="261"/>
      <c r="Y617" s="261"/>
      <c r="Z617" s="261"/>
    </row>
    <row r="618" spans="1:26">
      <c r="A618" s="9"/>
      <c r="B618" s="9"/>
      <c r="C618" s="9"/>
      <c r="D618" s="9"/>
      <c r="E618" s="35"/>
      <c r="F618" s="35"/>
      <c r="G618" s="264"/>
      <c r="H618" s="273"/>
      <c r="I618" s="268"/>
      <c r="J618" s="273"/>
      <c r="K618" s="268"/>
      <c r="L618" s="114"/>
      <c r="M618" s="9"/>
      <c r="N618" s="9"/>
      <c r="O618" s="9"/>
      <c r="P618" s="9"/>
      <c r="Q618" s="9"/>
      <c r="R618" s="9"/>
      <c r="S618" s="261"/>
      <c r="T618" s="261"/>
      <c r="U618" s="261"/>
      <c r="V618" s="261"/>
      <c r="W618" s="261"/>
      <c r="X618" s="261"/>
      <c r="Y618" s="261"/>
      <c r="Z618" s="261"/>
    </row>
    <row r="619" spans="1:26">
      <c r="A619" s="9"/>
      <c r="B619" s="9"/>
      <c r="C619" s="9"/>
      <c r="D619" s="9"/>
      <c r="E619" s="35"/>
      <c r="F619" s="35"/>
      <c r="G619" s="264"/>
      <c r="H619" s="273"/>
      <c r="I619" s="268"/>
      <c r="J619" s="273"/>
      <c r="K619" s="268"/>
      <c r="L619" s="114"/>
      <c r="M619" s="9"/>
      <c r="N619" s="9"/>
      <c r="O619" s="9"/>
      <c r="P619" s="9"/>
      <c r="Q619" s="9"/>
      <c r="R619" s="9"/>
      <c r="S619" s="261"/>
      <c r="T619" s="261"/>
      <c r="U619" s="261"/>
      <c r="V619" s="261"/>
      <c r="W619" s="261"/>
      <c r="X619" s="261"/>
      <c r="Y619" s="261"/>
      <c r="Z619" s="261"/>
    </row>
    <row r="620" spans="1:26">
      <c r="A620" s="9"/>
      <c r="B620" s="9"/>
      <c r="C620" s="9"/>
      <c r="D620" s="9"/>
      <c r="E620" s="35"/>
      <c r="F620" s="35"/>
      <c r="G620" s="264"/>
      <c r="H620" s="273"/>
      <c r="I620" s="268"/>
      <c r="J620" s="273"/>
      <c r="K620" s="268"/>
      <c r="L620" s="114"/>
      <c r="M620" s="9"/>
      <c r="N620" s="9"/>
      <c r="O620" s="9"/>
      <c r="P620" s="9"/>
      <c r="Q620" s="9"/>
      <c r="R620" s="9"/>
      <c r="S620" s="261"/>
      <c r="T620" s="261"/>
      <c r="U620" s="261"/>
      <c r="V620" s="261"/>
      <c r="W620" s="261"/>
      <c r="X620" s="261"/>
      <c r="Y620" s="261"/>
      <c r="Z620" s="261"/>
    </row>
    <row r="621" spans="1:26">
      <c r="A621" s="9"/>
      <c r="B621" s="9"/>
      <c r="C621" s="9"/>
      <c r="D621" s="9"/>
      <c r="E621" s="35"/>
      <c r="F621" s="35"/>
      <c r="G621" s="264"/>
      <c r="H621" s="273"/>
      <c r="I621" s="268"/>
      <c r="J621" s="273"/>
      <c r="K621" s="268"/>
      <c r="L621" s="114"/>
      <c r="M621" s="9"/>
      <c r="N621" s="9"/>
      <c r="O621" s="9"/>
      <c r="P621" s="9"/>
      <c r="Q621" s="9"/>
      <c r="R621" s="9"/>
      <c r="S621" s="261"/>
      <c r="T621" s="261"/>
      <c r="U621" s="261"/>
      <c r="V621" s="261"/>
      <c r="W621" s="261"/>
      <c r="X621" s="261"/>
      <c r="Y621" s="261"/>
      <c r="Z621" s="261"/>
    </row>
    <row r="622" spans="1:26">
      <c r="A622" s="9"/>
      <c r="B622" s="9"/>
      <c r="C622" s="9"/>
      <c r="D622" s="9"/>
      <c r="E622" s="35"/>
      <c r="F622" s="35"/>
      <c r="G622" s="264"/>
      <c r="H622" s="273"/>
      <c r="I622" s="268"/>
      <c r="J622" s="273"/>
      <c r="K622" s="268"/>
      <c r="L622" s="114"/>
      <c r="M622" s="9"/>
      <c r="N622" s="9"/>
      <c r="O622" s="9"/>
      <c r="P622" s="9"/>
      <c r="Q622" s="9"/>
      <c r="R622" s="9"/>
      <c r="S622" s="261"/>
      <c r="T622" s="261"/>
      <c r="U622" s="261"/>
      <c r="V622" s="261"/>
      <c r="W622" s="261"/>
      <c r="X622" s="261"/>
      <c r="Y622" s="261"/>
      <c r="Z622" s="261"/>
    </row>
    <row r="623" spans="1:26">
      <c r="A623" s="9"/>
      <c r="B623" s="9"/>
      <c r="C623" s="9"/>
      <c r="D623" s="9"/>
      <c r="E623" s="35"/>
      <c r="F623" s="35"/>
      <c r="G623" s="264"/>
      <c r="H623" s="273"/>
      <c r="I623" s="268"/>
      <c r="J623" s="273"/>
      <c r="K623" s="268"/>
      <c r="L623" s="114"/>
      <c r="M623" s="9"/>
      <c r="N623" s="9"/>
      <c r="O623" s="9"/>
      <c r="P623" s="9"/>
      <c r="Q623" s="9"/>
      <c r="R623" s="9"/>
      <c r="S623" s="261"/>
      <c r="T623" s="261"/>
      <c r="U623" s="261"/>
      <c r="V623" s="261"/>
      <c r="W623" s="261"/>
      <c r="X623" s="261"/>
      <c r="Y623" s="261"/>
      <c r="Z623" s="261"/>
    </row>
    <row r="624" spans="1:26">
      <c r="A624" s="9"/>
      <c r="B624" s="9"/>
      <c r="C624" s="9"/>
      <c r="D624" s="9"/>
      <c r="E624" s="35"/>
      <c r="F624" s="35"/>
      <c r="G624" s="264"/>
      <c r="H624" s="273"/>
      <c r="I624" s="268"/>
      <c r="J624" s="273"/>
      <c r="K624" s="268"/>
      <c r="L624" s="114"/>
      <c r="M624" s="9"/>
      <c r="N624" s="9"/>
      <c r="O624" s="9"/>
      <c r="P624" s="9"/>
      <c r="Q624" s="9"/>
      <c r="R624" s="9"/>
      <c r="S624" s="261"/>
      <c r="T624" s="261"/>
      <c r="U624" s="261"/>
      <c r="V624" s="261"/>
      <c r="W624" s="261"/>
      <c r="X624" s="261"/>
      <c r="Y624" s="261"/>
      <c r="Z624" s="261"/>
    </row>
    <row r="625" spans="1:26">
      <c r="A625" s="9"/>
      <c r="B625" s="9"/>
      <c r="C625" s="9"/>
      <c r="D625" s="9"/>
      <c r="E625" s="35"/>
      <c r="F625" s="35"/>
      <c r="G625" s="264"/>
      <c r="H625" s="273"/>
      <c r="I625" s="268"/>
      <c r="J625" s="273"/>
      <c r="K625" s="268"/>
      <c r="L625" s="114"/>
      <c r="M625" s="9"/>
      <c r="N625" s="9"/>
      <c r="O625" s="9"/>
      <c r="P625" s="9"/>
      <c r="Q625" s="9"/>
      <c r="R625" s="9"/>
      <c r="S625" s="261"/>
      <c r="T625" s="261"/>
      <c r="U625" s="261"/>
      <c r="V625" s="261"/>
      <c r="W625" s="261"/>
      <c r="X625" s="261"/>
      <c r="Y625" s="261"/>
      <c r="Z625" s="261"/>
    </row>
    <row r="626" spans="1:26">
      <c r="A626" s="9"/>
      <c r="B626" s="9"/>
      <c r="C626" s="9"/>
      <c r="D626" s="9"/>
      <c r="E626" s="35"/>
      <c r="F626" s="35"/>
      <c r="G626" s="264"/>
      <c r="H626" s="273"/>
      <c r="I626" s="268"/>
      <c r="J626" s="273"/>
      <c r="K626" s="268"/>
      <c r="L626" s="114"/>
      <c r="M626" s="9"/>
      <c r="N626" s="9"/>
      <c r="O626" s="9"/>
      <c r="P626" s="9"/>
      <c r="Q626" s="9"/>
      <c r="R626" s="9"/>
      <c r="S626" s="261"/>
      <c r="T626" s="261"/>
      <c r="U626" s="261"/>
      <c r="V626" s="261"/>
      <c r="W626" s="261"/>
      <c r="X626" s="261"/>
      <c r="Y626" s="261"/>
      <c r="Z626" s="261"/>
    </row>
    <row r="627" spans="1:26">
      <c r="A627" s="9"/>
      <c r="B627" s="9"/>
      <c r="C627" s="9"/>
      <c r="D627" s="9"/>
      <c r="E627" s="35"/>
      <c r="F627" s="35"/>
      <c r="G627" s="264"/>
      <c r="H627" s="273"/>
      <c r="I627" s="268"/>
      <c r="J627" s="273"/>
      <c r="K627" s="268"/>
      <c r="L627" s="114"/>
      <c r="M627" s="9"/>
      <c r="N627" s="9"/>
      <c r="O627" s="9"/>
      <c r="P627" s="9"/>
      <c r="Q627" s="9"/>
      <c r="R627" s="9"/>
      <c r="S627" s="261"/>
      <c r="T627" s="261"/>
      <c r="U627" s="261"/>
      <c r="V627" s="261"/>
      <c r="W627" s="261"/>
      <c r="X627" s="261"/>
      <c r="Y627" s="261"/>
      <c r="Z627" s="261"/>
    </row>
    <row r="628" spans="1:26">
      <c r="A628" s="9"/>
      <c r="B628" s="9"/>
      <c r="C628" s="9"/>
      <c r="D628" s="9"/>
      <c r="E628" s="35"/>
      <c r="F628" s="35"/>
      <c r="G628" s="264"/>
      <c r="H628" s="273"/>
      <c r="I628" s="268"/>
      <c r="J628" s="273"/>
      <c r="K628" s="268"/>
      <c r="L628" s="114"/>
      <c r="M628" s="9"/>
      <c r="N628" s="9"/>
      <c r="O628" s="9"/>
      <c r="P628" s="9"/>
      <c r="Q628" s="9"/>
      <c r="R628" s="9"/>
      <c r="S628" s="261"/>
      <c r="T628" s="261"/>
      <c r="U628" s="261"/>
      <c r="V628" s="261"/>
      <c r="W628" s="261"/>
      <c r="X628" s="261"/>
      <c r="Y628" s="261"/>
      <c r="Z628" s="261"/>
    </row>
    <row r="629" spans="1:26">
      <c r="A629" s="9"/>
      <c r="B629" s="9"/>
      <c r="C629" s="9"/>
      <c r="D629" s="9"/>
      <c r="E629" s="35"/>
      <c r="F629" s="35"/>
      <c r="G629" s="264"/>
      <c r="H629" s="273"/>
      <c r="I629" s="268"/>
      <c r="J629" s="273"/>
      <c r="K629" s="268"/>
      <c r="L629" s="114"/>
      <c r="M629" s="9"/>
      <c r="N629" s="9"/>
      <c r="O629" s="9"/>
      <c r="P629" s="9"/>
      <c r="Q629" s="9"/>
      <c r="R629" s="9"/>
      <c r="S629" s="261"/>
      <c r="T629" s="261"/>
      <c r="U629" s="261"/>
      <c r="V629" s="261"/>
      <c r="W629" s="261"/>
      <c r="X629" s="261"/>
      <c r="Y629" s="261"/>
      <c r="Z629" s="261"/>
    </row>
    <row r="630" spans="1:26">
      <c r="A630" s="9"/>
      <c r="B630" s="9"/>
      <c r="C630" s="9"/>
      <c r="D630" s="9"/>
      <c r="E630" s="35"/>
      <c r="F630" s="35"/>
      <c r="G630" s="264"/>
      <c r="H630" s="273"/>
      <c r="I630" s="268"/>
      <c r="J630" s="273"/>
      <c r="K630" s="268"/>
      <c r="L630" s="114"/>
      <c r="M630" s="9"/>
      <c r="N630" s="9"/>
      <c r="O630" s="9"/>
      <c r="P630" s="9"/>
      <c r="Q630" s="9"/>
      <c r="R630" s="9"/>
      <c r="S630" s="261"/>
      <c r="T630" s="261"/>
      <c r="U630" s="261"/>
      <c r="V630" s="261"/>
      <c r="W630" s="261"/>
      <c r="X630" s="261"/>
      <c r="Y630" s="261"/>
      <c r="Z630" s="261"/>
    </row>
    <row r="631" spans="1:26">
      <c r="A631" s="9"/>
      <c r="B631" s="9"/>
      <c r="C631" s="9"/>
      <c r="D631" s="9"/>
      <c r="E631" s="35"/>
      <c r="F631" s="35"/>
      <c r="G631" s="264"/>
      <c r="H631" s="273"/>
      <c r="I631" s="268"/>
      <c r="J631" s="273"/>
      <c r="K631" s="268"/>
      <c r="L631" s="114"/>
      <c r="M631" s="9"/>
      <c r="N631" s="9"/>
      <c r="O631" s="9"/>
      <c r="P631" s="9"/>
      <c r="Q631" s="9"/>
      <c r="R631" s="9"/>
      <c r="S631" s="261"/>
      <c r="T631" s="261"/>
      <c r="U631" s="261"/>
      <c r="V631" s="261"/>
      <c r="W631" s="261"/>
      <c r="X631" s="261"/>
      <c r="Y631" s="261"/>
      <c r="Z631" s="261"/>
    </row>
    <row r="632" spans="1:26">
      <c r="A632" s="9"/>
      <c r="B632" s="9"/>
      <c r="C632" s="9"/>
      <c r="D632" s="9"/>
      <c r="E632" s="35"/>
      <c r="F632" s="35"/>
      <c r="G632" s="264"/>
      <c r="H632" s="273"/>
      <c r="I632" s="268"/>
      <c r="J632" s="273"/>
      <c r="K632" s="268"/>
      <c r="L632" s="114"/>
      <c r="M632" s="9"/>
      <c r="N632" s="9"/>
      <c r="O632" s="9"/>
      <c r="P632" s="9"/>
      <c r="Q632" s="9"/>
      <c r="R632" s="9"/>
      <c r="S632" s="9"/>
      <c r="T632" s="9"/>
      <c r="U632" s="9"/>
      <c r="V632" s="9"/>
      <c r="W632" s="9"/>
      <c r="X632" s="9"/>
      <c r="Y632" s="9"/>
      <c r="Z632" s="9"/>
    </row>
    <row r="633" spans="1:26">
      <c r="A633" s="9"/>
      <c r="B633" s="9"/>
      <c r="C633" s="9"/>
      <c r="D633" s="9"/>
      <c r="E633" s="35"/>
      <c r="F633" s="35"/>
      <c r="G633" s="264"/>
      <c r="H633" s="273"/>
      <c r="I633" s="268"/>
      <c r="J633" s="273"/>
      <c r="K633" s="268"/>
      <c r="L633" s="114"/>
      <c r="M633" s="9"/>
      <c r="N633" s="9"/>
      <c r="O633" s="9"/>
      <c r="P633" s="9"/>
      <c r="Q633" s="9"/>
      <c r="R633" s="9"/>
      <c r="S633" s="9"/>
      <c r="T633" s="9"/>
      <c r="U633" s="9"/>
      <c r="V633" s="9"/>
      <c r="W633" s="9"/>
      <c r="X633" s="9"/>
      <c r="Y633" s="9"/>
      <c r="Z633" s="9"/>
    </row>
    <row r="634" spans="1:26">
      <c r="A634" s="9"/>
      <c r="B634" s="9"/>
      <c r="C634" s="9"/>
      <c r="D634" s="9"/>
      <c r="E634" s="35"/>
      <c r="F634" s="35"/>
      <c r="G634" s="264"/>
      <c r="H634" s="273"/>
      <c r="I634" s="268"/>
      <c r="J634" s="273"/>
      <c r="K634" s="268"/>
      <c r="L634" s="114"/>
      <c r="M634" s="9"/>
      <c r="N634" s="9"/>
      <c r="O634" s="9"/>
      <c r="P634" s="9"/>
      <c r="Q634" s="9"/>
      <c r="R634" s="9"/>
      <c r="S634" s="9"/>
      <c r="T634" s="9"/>
      <c r="U634" s="9"/>
      <c r="V634" s="9"/>
      <c r="W634" s="9"/>
      <c r="X634" s="9"/>
      <c r="Y634" s="9"/>
      <c r="Z634" s="9"/>
    </row>
    <row r="635" spans="1:26">
      <c r="A635" s="9"/>
      <c r="B635" s="9"/>
      <c r="C635" s="9"/>
      <c r="D635" s="9"/>
      <c r="E635" s="35"/>
      <c r="F635" s="35"/>
      <c r="G635" s="264"/>
      <c r="H635" s="273"/>
      <c r="I635" s="268"/>
      <c r="J635" s="273"/>
      <c r="K635" s="268"/>
      <c r="L635" s="114"/>
      <c r="M635" s="9"/>
      <c r="N635" s="9"/>
      <c r="O635" s="9"/>
      <c r="P635" s="9"/>
      <c r="Q635" s="9"/>
      <c r="R635" s="9"/>
      <c r="S635" s="9"/>
      <c r="T635" s="9"/>
      <c r="U635" s="9"/>
      <c r="V635" s="9"/>
      <c r="W635" s="9"/>
      <c r="X635" s="9"/>
      <c r="Y635" s="9"/>
      <c r="Z635" s="9"/>
    </row>
    <row r="636" spans="1:26">
      <c r="A636" s="9"/>
      <c r="B636" s="9"/>
      <c r="C636" s="9"/>
      <c r="D636" s="9"/>
      <c r="E636" s="35"/>
      <c r="F636" s="35"/>
      <c r="G636" s="264"/>
      <c r="H636" s="273"/>
      <c r="I636" s="268"/>
      <c r="J636" s="273"/>
      <c r="K636" s="268"/>
      <c r="L636" s="114"/>
      <c r="M636" s="9"/>
      <c r="N636" s="9"/>
      <c r="O636" s="9"/>
      <c r="P636" s="9"/>
      <c r="Q636" s="9"/>
      <c r="R636" s="9"/>
      <c r="S636" s="9"/>
      <c r="T636" s="9"/>
      <c r="U636" s="9"/>
      <c r="V636" s="9"/>
      <c r="W636" s="9"/>
      <c r="X636" s="9"/>
      <c r="Y636" s="9"/>
      <c r="Z636" s="9"/>
    </row>
    <row r="637" spans="1:26">
      <c r="A637" s="9"/>
      <c r="B637" s="9"/>
      <c r="C637" s="9"/>
      <c r="D637" s="9"/>
      <c r="E637" s="35"/>
      <c r="F637" s="35"/>
      <c r="G637" s="264"/>
      <c r="H637" s="273"/>
      <c r="I637" s="268"/>
      <c r="J637" s="273"/>
      <c r="K637" s="268"/>
      <c r="L637" s="114"/>
      <c r="M637" s="9"/>
      <c r="N637" s="9"/>
      <c r="O637" s="9"/>
      <c r="P637" s="9"/>
      <c r="Q637" s="9"/>
      <c r="R637" s="9"/>
      <c r="S637" s="9"/>
      <c r="T637" s="9"/>
      <c r="U637" s="9"/>
      <c r="V637" s="9"/>
      <c r="W637" s="9"/>
      <c r="X637" s="9"/>
      <c r="Y637" s="9"/>
      <c r="Z637" s="9"/>
    </row>
    <row r="638" spans="1:26">
      <c r="A638" s="9"/>
      <c r="B638" s="9"/>
      <c r="C638" s="9"/>
      <c r="D638" s="9"/>
      <c r="E638" s="35"/>
      <c r="F638" s="35"/>
      <c r="G638" s="264"/>
      <c r="H638" s="273"/>
      <c r="I638" s="268"/>
      <c r="J638" s="273"/>
      <c r="K638" s="268"/>
      <c r="L638" s="114"/>
      <c r="M638" s="9"/>
      <c r="N638" s="9"/>
      <c r="O638" s="9"/>
      <c r="P638" s="9"/>
      <c r="Q638" s="9"/>
      <c r="R638" s="9"/>
      <c r="S638" s="9"/>
      <c r="T638" s="9"/>
      <c r="U638" s="9"/>
      <c r="V638" s="9"/>
      <c r="W638" s="9"/>
      <c r="X638" s="9"/>
      <c r="Y638" s="9"/>
      <c r="Z638" s="9"/>
    </row>
    <row r="639" spans="1:26">
      <c r="A639" s="9"/>
      <c r="B639" s="9"/>
      <c r="C639" s="9"/>
      <c r="D639" s="9"/>
      <c r="E639" s="35"/>
      <c r="F639" s="35"/>
      <c r="G639" s="264"/>
      <c r="H639" s="273"/>
      <c r="I639" s="268"/>
      <c r="J639" s="273"/>
      <c r="K639" s="268"/>
      <c r="L639" s="114"/>
      <c r="M639" s="9"/>
      <c r="N639" s="9"/>
      <c r="O639" s="9"/>
      <c r="P639" s="9"/>
      <c r="Q639" s="9"/>
      <c r="R639" s="9"/>
      <c r="S639" s="9"/>
      <c r="T639" s="9"/>
      <c r="U639" s="9"/>
      <c r="V639" s="9"/>
      <c r="W639" s="9"/>
      <c r="X639" s="9"/>
      <c r="Y639" s="9"/>
      <c r="Z639" s="9"/>
    </row>
    <row r="640" spans="1:26">
      <c r="A640" s="9"/>
      <c r="B640" s="9"/>
      <c r="C640" s="9"/>
      <c r="D640" s="9"/>
      <c r="E640" s="35"/>
      <c r="F640" s="35"/>
      <c r="G640" s="264"/>
      <c r="H640" s="273"/>
      <c r="I640" s="268"/>
      <c r="J640" s="273"/>
      <c r="K640" s="268"/>
      <c r="L640" s="114"/>
      <c r="M640" s="9"/>
      <c r="N640" s="9"/>
      <c r="O640" s="9"/>
      <c r="P640" s="9"/>
      <c r="Q640" s="9"/>
      <c r="R640" s="9"/>
      <c r="S640" s="9"/>
      <c r="T640" s="9"/>
      <c r="U640" s="9"/>
      <c r="V640" s="9"/>
      <c r="W640" s="9"/>
      <c r="X640" s="9"/>
      <c r="Y640" s="9"/>
      <c r="Z640" s="9"/>
    </row>
    <row r="641" spans="1:26">
      <c r="A641" s="9"/>
      <c r="B641" s="9"/>
      <c r="C641" s="9"/>
      <c r="D641" s="9"/>
      <c r="E641" s="35"/>
      <c r="F641" s="35"/>
      <c r="G641" s="264"/>
      <c r="H641" s="273"/>
      <c r="I641" s="268"/>
      <c r="J641" s="273"/>
      <c r="K641" s="268"/>
      <c r="L641" s="114"/>
      <c r="M641" s="9"/>
      <c r="N641" s="9"/>
      <c r="O641" s="9"/>
      <c r="P641" s="9"/>
      <c r="Q641" s="9"/>
      <c r="R641" s="9"/>
      <c r="S641" s="9"/>
      <c r="T641" s="9"/>
      <c r="U641" s="9"/>
      <c r="V641" s="9"/>
      <c r="W641" s="9"/>
      <c r="X641" s="9"/>
      <c r="Y641" s="9"/>
      <c r="Z641" s="9"/>
    </row>
    <row r="642" spans="1:26">
      <c r="A642" s="9"/>
      <c r="B642" s="9"/>
      <c r="C642" s="9"/>
      <c r="D642" s="9"/>
      <c r="E642" s="35"/>
      <c r="F642" s="35"/>
      <c r="G642" s="264"/>
      <c r="H642" s="273"/>
      <c r="I642" s="268"/>
      <c r="J642" s="273"/>
      <c r="K642" s="268"/>
      <c r="L642" s="114"/>
      <c r="M642" s="9"/>
      <c r="N642" s="9"/>
      <c r="O642" s="9"/>
      <c r="P642" s="9"/>
      <c r="Q642" s="9"/>
      <c r="R642" s="9"/>
      <c r="S642" s="9"/>
      <c r="T642" s="9"/>
      <c r="U642" s="9"/>
      <c r="V642" s="9"/>
      <c r="W642" s="9"/>
      <c r="X642" s="9"/>
      <c r="Y642" s="9"/>
      <c r="Z642" s="9"/>
    </row>
    <row r="643" spans="1:26">
      <c r="A643" s="9"/>
      <c r="B643" s="9"/>
      <c r="C643" s="9"/>
      <c r="D643" s="9"/>
      <c r="E643" s="35"/>
      <c r="F643" s="35"/>
      <c r="G643" s="264"/>
      <c r="H643" s="273"/>
      <c r="I643" s="268"/>
      <c r="J643" s="273"/>
      <c r="K643" s="268"/>
      <c r="L643" s="114"/>
      <c r="M643" s="9"/>
      <c r="N643" s="9"/>
      <c r="O643" s="9"/>
      <c r="P643" s="9"/>
      <c r="Q643" s="9"/>
      <c r="R643" s="9"/>
      <c r="S643" s="9"/>
      <c r="T643" s="9"/>
      <c r="U643" s="9"/>
      <c r="V643" s="9"/>
      <c r="W643" s="9"/>
      <c r="X643" s="9"/>
      <c r="Y643" s="9"/>
      <c r="Z643" s="9"/>
    </row>
    <row r="644" spans="1:26">
      <c r="A644" s="9"/>
      <c r="B644" s="9"/>
      <c r="C644" s="9"/>
      <c r="D644" s="9"/>
      <c r="E644" s="35"/>
      <c r="F644" s="35"/>
      <c r="G644" s="264"/>
      <c r="H644" s="273"/>
      <c r="I644" s="268"/>
      <c r="J644" s="273"/>
      <c r="K644" s="268"/>
      <c r="L644" s="114"/>
      <c r="M644" s="9"/>
      <c r="N644" s="9"/>
      <c r="O644" s="9"/>
      <c r="P644" s="9"/>
      <c r="Q644" s="9"/>
      <c r="R644" s="9"/>
      <c r="S644" s="9"/>
      <c r="T644" s="9"/>
      <c r="U644" s="9"/>
      <c r="V644" s="9"/>
      <c r="W644" s="9"/>
      <c r="X644" s="9"/>
      <c r="Y644" s="9"/>
      <c r="Z644" s="9"/>
    </row>
    <row r="645" spans="1:26">
      <c r="A645" s="9"/>
      <c r="B645" s="9"/>
      <c r="C645" s="9"/>
      <c r="D645" s="9"/>
      <c r="E645" s="35"/>
      <c r="F645" s="35"/>
      <c r="G645" s="264"/>
      <c r="H645" s="273"/>
      <c r="I645" s="268"/>
      <c r="J645" s="273"/>
      <c r="K645" s="268"/>
      <c r="L645" s="114"/>
      <c r="M645" s="9"/>
      <c r="N645" s="9"/>
      <c r="O645" s="9"/>
      <c r="P645" s="9"/>
      <c r="Q645" s="9"/>
      <c r="R645" s="9"/>
      <c r="S645" s="9"/>
      <c r="T645" s="9"/>
      <c r="U645" s="9"/>
      <c r="V645" s="9"/>
      <c r="W645" s="9"/>
      <c r="X645" s="9"/>
      <c r="Y645" s="9"/>
      <c r="Z645" s="9"/>
    </row>
    <row r="646" spans="1:26">
      <c r="A646" s="9"/>
      <c r="B646" s="9"/>
      <c r="C646" s="9"/>
      <c r="D646" s="9"/>
      <c r="E646" s="35"/>
      <c r="F646" s="35"/>
      <c r="G646" s="264"/>
      <c r="H646" s="273"/>
      <c r="I646" s="268"/>
      <c r="J646" s="273"/>
      <c r="K646" s="268"/>
      <c r="L646" s="114"/>
      <c r="M646" s="9"/>
      <c r="N646" s="9"/>
      <c r="O646" s="9"/>
      <c r="P646" s="9"/>
      <c r="Q646" s="9"/>
      <c r="R646" s="9"/>
      <c r="S646" s="9"/>
      <c r="T646" s="9"/>
      <c r="U646" s="9"/>
      <c r="V646" s="9"/>
      <c r="W646" s="9"/>
      <c r="X646" s="9"/>
      <c r="Y646" s="9"/>
      <c r="Z646" s="9"/>
    </row>
    <row r="647" spans="1:26">
      <c r="A647" s="9"/>
      <c r="B647" s="9"/>
      <c r="C647" s="9"/>
      <c r="D647" s="9"/>
      <c r="E647" s="35"/>
      <c r="F647" s="35"/>
      <c r="G647" s="264"/>
      <c r="H647" s="273"/>
      <c r="I647" s="268"/>
      <c r="J647" s="273"/>
      <c r="K647" s="268"/>
      <c r="L647" s="114"/>
      <c r="M647" s="9"/>
      <c r="N647" s="9"/>
      <c r="O647" s="9"/>
      <c r="P647" s="9"/>
      <c r="Q647" s="9"/>
      <c r="R647" s="9"/>
      <c r="S647" s="9"/>
      <c r="T647" s="9"/>
      <c r="U647" s="9"/>
      <c r="V647" s="9"/>
      <c r="W647" s="9"/>
      <c r="X647" s="9"/>
      <c r="Y647" s="9"/>
      <c r="Z647" s="9"/>
    </row>
    <row r="648" spans="1:26">
      <c r="A648" s="9"/>
      <c r="B648" s="9"/>
      <c r="C648" s="9"/>
      <c r="D648" s="9"/>
      <c r="E648" s="35"/>
      <c r="F648" s="35"/>
      <c r="G648" s="264"/>
      <c r="H648" s="273"/>
      <c r="I648" s="268"/>
      <c r="J648" s="273"/>
      <c r="K648" s="268"/>
      <c r="L648" s="114"/>
      <c r="M648" s="9"/>
      <c r="N648" s="9"/>
      <c r="O648" s="9"/>
      <c r="P648" s="9"/>
      <c r="Q648" s="9"/>
      <c r="R648" s="9"/>
      <c r="S648" s="9"/>
      <c r="T648" s="9"/>
      <c r="U648" s="9"/>
      <c r="V648" s="9"/>
      <c r="W648" s="9"/>
      <c r="X648" s="9"/>
      <c r="Y648" s="9"/>
      <c r="Z648" s="9"/>
    </row>
    <row r="649" spans="1:26">
      <c r="A649" s="9"/>
      <c r="B649" s="9"/>
      <c r="C649" s="9"/>
      <c r="D649" s="9"/>
      <c r="E649" s="35"/>
      <c r="F649" s="35"/>
      <c r="G649" s="264"/>
      <c r="H649" s="273"/>
      <c r="I649" s="268"/>
      <c r="J649" s="273"/>
      <c r="K649" s="268"/>
      <c r="L649" s="114"/>
      <c r="M649" s="9"/>
      <c r="N649" s="9"/>
      <c r="O649" s="9"/>
      <c r="P649" s="9"/>
      <c r="Q649" s="9"/>
      <c r="R649" s="9"/>
      <c r="S649" s="9"/>
      <c r="T649" s="9"/>
      <c r="U649" s="9"/>
      <c r="V649" s="9"/>
      <c r="W649" s="9"/>
      <c r="X649" s="9"/>
      <c r="Y649" s="9"/>
      <c r="Z649" s="9"/>
    </row>
    <row r="650" spans="1:26">
      <c r="A650" s="9"/>
      <c r="B650" s="9"/>
      <c r="C650" s="9"/>
      <c r="D650" s="9"/>
      <c r="E650" s="35"/>
      <c r="F650" s="35"/>
      <c r="G650" s="264"/>
      <c r="H650" s="273"/>
      <c r="I650" s="268"/>
      <c r="J650" s="273"/>
      <c r="K650" s="268"/>
      <c r="L650" s="114"/>
      <c r="M650" s="9"/>
      <c r="N650" s="9"/>
      <c r="O650" s="9"/>
      <c r="P650" s="9"/>
      <c r="Q650" s="9"/>
      <c r="R650" s="9"/>
      <c r="S650" s="9"/>
      <c r="T650" s="9"/>
      <c r="U650" s="9"/>
      <c r="V650" s="9"/>
      <c r="W650" s="9"/>
      <c r="X650" s="9"/>
      <c r="Y650" s="9"/>
      <c r="Z650" s="9"/>
    </row>
    <row r="651" spans="1:26">
      <c r="A651" s="9"/>
      <c r="B651" s="9"/>
      <c r="C651" s="9"/>
      <c r="D651" s="9"/>
      <c r="E651" s="35"/>
      <c r="F651" s="35"/>
      <c r="G651" s="264"/>
      <c r="H651" s="273"/>
      <c r="I651" s="268"/>
      <c r="J651" s="273"/>
      <c r="K651" s="268"/>
      <c r="L651" s="114"/>
      <c r="M651" s="9"/>
      <c r="N651" s="9"/>
      <c r="O651" s="9"/>
      <c r="P651" s="9"/>
      <c r="Q651" s="9"/>
      <c r="R651" s="9"/>
      <c r="S651" s="9"/>
      <c r="T651" s="9"/>
      <c r="U651" s="9"/>
      <c r="V651" s="9"/>
      <c r="W651" s="9"/>
      <c r="X651" s="9"/>
      <c r="Y651" s="9"/>
      <c r="Z651" s="9"/>
    </row>
    <row r="652" spans="1:26">
      <c r="A652" s="9"/>
      <c r="B652" s="9"/>
      <c r="C652" s="9"/>
      <c r="D652" s="9"/>
      <c r="E652" s="35"/>
      <c r="F652" s="35"/>
      <c r="G652" s="264"/>
      <c r="H652" s="273"/>
      <c r="I652" s="268"/>
      <c r="J652" s="273"/>
      <c r="K652" s="268"/>
      <c r="L652" s="114"/>
      <c r="M652" s="9"/>
      <c r="N652" s="9"/>
      <c r="O652" s="9"/>
      <c r="P652" s="9"/>
      <c r="Q652" s="9"/>
      <c r="R652" s="9"/>
      <c r="S652" s="9"/>
      <c r="T652" s="9"/>
      <c r="U652" s="9"/>
      <c r="V652" s="9"/>
      <c r="W652" s="9"/>
      <c r="X652" s="9"/>
      <c r="Y652" s="9"/>
      <c r="Z652" s="9"/>
    </row>
    <row r="653" spans="1:26">
      <c r="A653" s="9"/>
      <c r="B653" s="9"/>
      <c r="C653" s="9"/>
      <c r="D653" s="9"/>
      <c r="E653" s="35"/>
      <c r="F653" s="35"/>
      <c r="G653" s="264"/>
      <c r="H653" s="273"/>
      <c r="I653" s="268"/>
      <c r="J653" s="273"/>
      <c r="K653" s="268"/>
      <c r="L653" s="114"/>
      <c r="M653" s="9"/>
      <c r="N653" s="9"/>
      <c r="O653" s="9"/>
      <c r="P653" s="9"/>
      <c r="Q653" s="9"/>
      <c r="R653" s="9"/>
      <c r="S653" s="9"/>
      <c r="T653" s="9"/>
      <c r="U653" s="9"/>
      <c r="V653" s="9"/>
      <c r="W653" s="9"/>
      <c r="X653" s="9"/>
      <c r="Y653" s="9"/>
      <c r="Z653" s="9"/>
    </row>
    <row r="654" spans="1:26">
      <c r="A654" s="9"/>
      <c r="B654" s="9"/>
      <c r="C654" s="9"/>
      <c r="D654" s="9"/>
      <c r="E654" s="35"/>
      <c r="F654" s="35"/>
      <c r="G654" s="264"/>
      <c r="H654" s="273"/>
      <c r="I654" s="268"/>
      <c r="J654" s="273"/>
      <c r="K654" s="268"/>
      <c r="L654" s="114"/>
      <c r="M654" s="9"/>
      <c r="N654" s="9"/>
      <c r="O654" s="9"/>
      <c r="P654" s="9"/>
      <c r="Q654" s="9"/>
      <c r="R654" s="9"/>
      <c r="S654" s="9"/>
      <c r="T654" s="9"/>
      <c r="U654" s="9"/>
      <c r="V654" s="9"/>
      <c r="W654" s="9"/>
      <c r="X654" s="9"/>
      <c r="Y654" s="9"/>
      <c r="Z654" s="9"/>
    </row>
    <row r="655" spans="1:26">
      <c r="A655" s="9"/>
      <c r="B655" s="9"/>
      <c r="C655" s="9"/>
      <c r="D655" s="9"/>
      <c r="E655" s="35"/>
      <c r="F655" s="35"/>
      <c r="G655" s="264"/>
      <c r="H655" s="273"/>
      <c r="I655" s="268"/>
      <c r="J655" s="273"/>
      <c r="K655" s="268"/>
      <c r="L655" s="114"/>
      <c r="M655" s="9"/>
      <c r="N655" s="9"/>
      <c r="O655" s="9"/>
      <c r="P655" s="9"/>
      <c r="Q655" s="9"/>
      <c r="R655" s="9"/>
      <c r="S655" s="9"/>
      <c r="T655" s="9"/>
      <c r="U655" s="9"/>
      <c r="V655" s="9"/>
      <c r="W655" s="9"/>
      <c r="X655" s="9"/>
      <c r="Y655" s="9"/>
      <c r="Z655" s="9"/>
    </row>
    <row r="656" spans="1:26">
      <c r="A656" s="9"/>
      <c r="B656" s="9"/>
      <c r="C656" s="9"/>
      <c r="D656" s="9"/>
      <c r="E656" s="35"/>
      <c r="F656" s="35"/>
      <c r="G656" s="264"/>
      <c r="H656" s="273"/>
      <c r="I656" s="268"/>
      <c r="J656" s="273"/>
      <c r="K656" s="268"/>
      <c r="L656" s="114"/>
      <c r="M656" s="9"/>
      <c r="N656" s="9"/>
      <c r="O656" s="9"/>
      <c r="P656" s="9"/>
      <c r="Q656" s="9"/>
      <c r="R656" s="9"/>
      <c r="S656" s="9"/>
      <c r="T656" s="9"/>
      <c r="U656" s="9"/>
      <c r="V656" s="9"/>
      <c r="W656" s="9"/>
      <c r="X656" s="9"/>
      <c r="Y656" s="9"/>
      <c r="Z656" s="9"/>
    </row>
    <row r="657" spans="1:26">
      <c r="A657" s="9"/>
      <c r="B657" s="9"/>
      <c r="C657" s="9"/>
      <c r="D657" s="9"/>
      <c r="E657" s="35"/>
      <c r="F657" s="35"/>
      <c r="G657" s="264"/>
      <c r="H657" s="273"/>
      <c r="I657" s="268"/>
      <c r="J657" s="273"/>
      <c r="K657" s="268"/>
      <c r="L657" s="114"/>
      <c r="M657" s="9"/>
      <c r="N657" s="9"/>
      <c r="O657" s="9"/>
      <c r="P657" s="9"/>
      <c r="Q657" s="9"/>
      <c r="R657" s="9"/>
      <c r="S657" s="9"/>
      <c r="T657" s="9"/>
      <c r="U657" s="9"/>
      <c r="V657" s="9"/>
      <c r="W657" s="9"/>
      <c r="X657" s="9"/>
      <c r="Y657" s="9"/>
      <c r="Z657" s="9"/>
    </row>
    <row r="658" spans="1:26">
      <c r="A658" s="9"/>
      <c r="B658" s="9"/>
      <c r="C658" s="9"/>
      <c r="D658" s="9"/>
      <c r="E658" s="35"/>
      <c r="F658" s="35"/>
      <c r="G658" s="264"/>
      <c r="H658" s="273"/>
      <c r="I658" s="268"/>
      <c r="J658" s="273"/>
      <c r="K658" s="268"/>
      <c r="L658" s="114"/>
      <c r="M658" s="9"/>
      <c r="N658" s="9"/>
      <c r="O658" s="9"/>
      <c r="P658" s="9"/>
      <c r="Q658" s="9"/>
      <c r="R658" s="9"/>
      <c r="S658" s="9"/>
      <c r="T658" s="9"/>
      <c r="U658" s="9"/>
      <c r="V658" s="9"/>
      <c r="W658" s="9"/>
      <c r="X658" s="9"/>
      <c r="Y658" s="9"/>
      <c r="Z658" s="9"/>
    </row>
    <row r="659" spans="1:26">
      <c r="A659" s="9"/>
      <c r="B659" s="9"/>
      <c r="C659" s="9"/>
      <c r="D659" s="9"/>
      <c r="E659" s="35"/>
      <c r="F659" s="35"/>
      <c r="G659" s="264"/>
      <c r="H659" s="273"/>
      <c r="I659" s="268"/>
      <c r="J659" s="273"/>
      <c r="K659" s="268"/>
      <c r="L659" s="114"/>
      <c r="M659" s="9"/>
      <c r="N659" s="9"/>
      <c r="O659" s="9"/>
      <c r="P659" s="9"/>
      <c r="Q659" s="9"/>
      <c r="R659" s="9"/>
      <c r="S659" s="9"/>
      <c r="T659" s="9"/>
      <c r="U659" s="9"/>
      <c r="V659" s="9"/>
      <c r="W659" s="9"/>
      <c r="X659" s="9"/>
      <c r="Y659" s="9"/>
      <c r="Z659" s="9"/>
    </row>
    <row r="660" spans="1:26">
      <c r="A660" s="9"/>
      <c r="B660" s="9"/>
      <c r="C660" s="9"/>
      <c r="D660" s="9"/>
      <c r="E660" s="35"/>
      <c r="F660" s="35"/>
      <c r="G660" s="264"/>
      <c r="H660" s="273"/>
      <c r="I660" s="268"/>
      <c r="J660" s="273"/>
      <c r="K660" s="268"/>
      <c r="L660" s="114"/>
      <c r="M660" s="9"/>
      <c r="N660" s="9"/>
      <c r="O660" s="9"/>
      <c r="P660" s="9"/>
      <c r="Q660" s="9"/>
      <c r="R660" s="9"/>
      <c r="S660" s="9"/>
      <c r="T660" s="9"/>
      <c r="U660" s="9"/>
      <c r="V660" s="9"/>
      <c r="W660" s="9"/>
      <c r="X660" s="9"/>
      <c r="Y660" s="9"/>
      <c r="Z660" s="9"/>
    </row>
  </sheetData>
  <dataConsolidate/>
  <mergeCells count="90">
    <mergeCell ref="C303:C312"/>
    <mergeCell ref="H303:H312"/>
    <mergeCell ref="C288:D288"/>
    <mergeCell ref="C289:C298"/>
    <mergeCell ref="H289:H298"/>
    <mergeCell ref="C302:D302"/>
    <mergeCell ref="H275:H284"/>
    <mergeCell ref="H9:H18"/>
    <mergeCell ref="H23:H32"/>
    <mergeCell ref="H149:H158"/>
    <mergeCell ref="H37:H46"/>
    <mergeCell ref="H51:H60"/>
    <mergeCell ref="H65:H74"/>
    <mergeCell ref="H79:H88"/>
    <mergeCell ref="H93:H102"/>
    <mergeCell ref="C93:C102"/>
    <mergeCell ref="H163:H172"/>
    <mergeCell ref="H177:H186"/>
    <mergeCell ref="C106:D106"/>
    <mergeCell ref="C176:D176"/>
    <mergeCell ref="C163:C172"/>
    <mergeCell ref="C162:D162"/>
    <mergeCell ref="H121:H130"/>
    <mergeCell ref="H135:H144"/>
    <mergeCell ref="C261:C270"/>
    <mergeCell ref="C260:D260"/>
    <mergeCell ref="C190:D190"/>
    <mergeCell ref="C247:C256"/>
    <mergeCell ref="H191:H200"/>
    <mergeCell ref="H205:H214"/>
    <mergeCell ref="H219:H228"/>
    <mergeCell ref="H233:H242"/>
    <mergeCell ref="H247:H256"/>
    <mergeCell ref="C204:D204"/>
    <mergeCell ref="C218:D218"/>
    <mergeCell ref="C232:D232"/>
    <mergeCell ref="C246:D246"/>
    <mergeCell ref="H261:H270"/>
    <mergeCell ref="C8:D8"/>
    <mergeCell ref="C36:D36"/>
    <mergeCell ref="C121:C130"/>
    <mergeCell ref="C9:C18"/>
    <mergeCell ref="C23:C32"/>
    <mergeCell ref="C22:D22"/>
    <mergeCell ref="C64:D64"/>
    <mergeCell ref="C50:D50"/>
    <mergeCell ref="C65:C74"/>
    <mergeCell ref="C37:C46"/>
    <mergeCell ref="C120:D120"/>
    <mergeCell ref="C107:C116"/>
    <mergeCell ref="C51:C60"/>
    <mergeCell ref="C79:C88"/>
    <mergeCell ref="C92:D92"/>
    <mergeCell ref="C78:D78"/>
    <mergeCell ref="C316:D316"/>
    <mergeCell ref="C317:C326"/>
    <mergeCell ref="H317:H326"/>
    <mergeCell ref="C330:D330"/>
    <mergeCell ref="H107:H116"/>
    <mergeCell ref="C135:C144"/>
    <mergeCell ref="C149:C158"/>
    <mergeCell ref="C134:D134"/>
    <mergeCell ref="C148:D148"/>
    <mergeCell ref="C275:C284"/>
    <mergeCell ref="C177:C186"/>
    <mergeCell ref="C191:C200"/>
    <mergeCell ref="C205:C214"/>
    <mergeCell ref="C219:C228"/>
    <mergeCell ref="C233:C242"/>
    <mergeCell ref="C274:D274"/>
    <mergeCell ref="C358:D358"/>
    <mergeCell ref="C359:C368"/>
    <mergeCell ref="H359:H368"/>
    <mergeCell ref="C372:D372"/>
    <mergeCell ref="C331:C340"/>
    <mergeCell ref="H331:H340"/>
    <mergeCell ref="C344:D344"/>
    <mergeCell ref="C345:C354"/>
    <mergeCell ref="H345:H354"/>
    <mergeCell ref="C373:C382"/>
    <mergeCell ref="H373:H382"/>
    <mergeCell ref="C386:D386"/>
    <mergeCell ref="C387:C396"/>
    <mergeCell ref="H387:H396"/>
    <mergeCell ref="C415:C424"/>
    <mergeCell ref="H415:H424"/>
    <mergeCell ref="C400:D400"/>
    <mergeCell ref="C401:C410"/>
    <mergeCell ref="H401:H410"/>
    <mergeCell ref="C414:D414"/>
  </mergeCells>
  <phoneticPr fontId="15" type="noConversion"/>
  <pageMargins left="0.7" right="0.7" top="0.75" bottom="0.75" header="0.3" footer="0.3"/>
  <pageSetup paperSize="9" scale="59" orientation="portrait" r:id="rId1"/>
  <colBreaks count="1" manualBreakCount="1">
    <brk id="15" max="519"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zoomScale="85" zoomScaleNormal="85" workbookViewId="0">
      <selection activeCell="N32" sqref="N32"/>
    </sheetView>
  </sheetViews>
  <sheetFormatPr defaultRowHeight="13.2"/>
  <cols>
    <col min="1" max="4" width="0.88671875" customWidth="1"/>
    <col min="5" max="5" width="29.5546875" style="262" customWidth="1"/>
    <col min="6" max="6" width="14.33203125" style="262" customWidth="1"/>
    <col min="7" max="7" width="14.33203125" style="271" customWidth="1"/>
    <col min="8" max="8" width="14.33203125" style="274" customWidth="1"/>
    <col min="9" max="9" width="14.33203125" style="272" customWidth="1"/>
    <col min="10" max="10" width="15.109375" style="272" customWidth="1"/>
    <col min="11" max="11" width="16.109375" style="274" customWidth="1"/>
    <col min="12" max="12" width="14.33203125" style="272" customWidth="1"/>
    <col min="13" max="13" width="12.33203125" style="287" customWidth="1"/>
    <col min="14" max="14" width="11.33203125" customWidth="1"/>
    <col min="15" max="15" width="14.33203125" customWidth="1"/>
    <col min="16" max="17" width="12.5546875" customWidth="1"/>
    <col min="18" max="18" width="13.6640625"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s="204" customFormat="1" ht="15.6">
      <c r="A2" s="260"/>
      <c r="B2" s="58"/>
      <c r="C2" s="44"/>
      <c r="D2" s="44"/>
      <c r="E2" s="304"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row>
    <row r="3" spans="1:26">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6.5" customHeight="1">
      <c r="A4" s="86"/>
      <c r="B4" s="87"/>
      <c r="C4" s="86"/>
      <c r="D4" s="86"/>
      <c r="E4" s="86"/>
      <c r="F4" s="86"/>
      <c r="G4" s="147"/>
      <c r="H4" s="147"/>
      <c r="I4" s="147"/>
      <c r="J4" s="147"/>
      <c r="K4" s="147"/>
      <c r="L4" s="147"/>
      <c r="M4" s="147"/>
      <c r="N4" s="147"/>
      <c r="O4" s="147"/>
      <c r="P4" s="147"/>
      <c r="Q4" s="147"/>
      <c r="R4" s="147"/>
      <c r="S4" s="44"/>
      <c r="T4" s="44"/>
      <c r="U4" s="44"/>
      <c r="V4" s="44"/>
      <c r="W4" s="44"/>
      <c r="X4" s="44"/>
      <c r="Y4" s="44"/>
      <c r="Z4" s="44"/>
    </row>
    <row r="5" spans="1:26">
      <c r="A5" s="78"/>
      <c r="B5" s="159"/>
      <c r="C5" s="159"/>
      <c r="D5" s="159"/>
      <c r="E5" s="382" t="str">
        <f>"Opening Regulatory Asset Base for "&amp;Q7&amp;" ($m Nominal)"</f>
        <v>Opening Regulatory Asset Base for 2014-15 ($m Nominal)</v>
      </c>
      <c r="F5" s="382"/>
      <c r="G5" s="382"/>
      <c r="H5" s="382"/>
      <c r="I5" s="283"/>
      <c r="J5" s="283"/>
      <c r="K5" s="283"/>
      <c r="L5" s="283"/>
      <c r="M5" s="78"/>
      <c r="N5" s="78"/>
      <c r="O5" s="78"/>
      <c r="P5" s="78"/>
      <c r="Q5" s="78"/>
      <c r="R5" s="78"/>
      <c r="S5" s="44"/>
      <c r="T5" s="44"/>
      <c r="U5" s="44"/>
      <c r="V5" s="44"/>
      <c r="W5" s="44"/>
      <c r="X5" s="44"/>
      <c r="Y5" s="44"/>
      <c r="Z5" s="44"/>
    </row>
    <row r="6" spans="1:26" s="293" customFormat="1" ht="51.75" customHeight="1">
      <c r="A6" s="291"/>
      <c r="B6" s="291"/>
      <c r="C6" s="291"/>
      <c r="D6" s="291"/>
      <c r="E6" s="292"/>
      <c r="F6" s="292"/>
      <c r="G6" s="404" t="s">
        <v>82</v>
      </c>
      <c r="H6" s="404"/>
      <c r="I6" s="404"/>
      <c r="J6" s="296" t="s">
        <v>109</v>
      </c>
      <c r="K6" s="296" t="s">
        <v>108</v>
      </c>
      <c r="L6" s="297" t="s">
        <v>99</v>
      </c>
      <c r="M6" s="297" t="s">
        <v>92</v>
      </c>
      <c r="N6" s="296" t="s">
        <v>64</v>
      </c>
      <c r="O6" s="296" t="s">
        <v>100</v>
      </c>
      <c r="P6" s="296" t="s">
        <v>91</v>
      </c>
      <c r="Q6" s="296" t="s">
        <v>21</v>
      </c>
      <c r="R6" s="296" t="s">
        <v>93</v>
      </c>
      <c r="S6" s="291"/>
      <c r="T6" s="291"/>
      <c r="U6" s="291"/>
      <c r="V6" s="291"/>
      <c r="W6" s="291"/>
      <c r="X6" s="291"/>
      <c r="Y6" s="291"/>
      <c r="Z6" s="291"/>
    </row>
    <row r="7" spans="1:26">
      <c r="A7" s="9"/>
      <c r="B7" s="9"/>
      <c r="C7" s="9"/>
      <c r="D7" s="9"/>
      <c r="E7" s="402" t="str">
        <f>Input!F7</f>
        <v>Asset Class 1</v>
      </c>
      <c r="F7" s="403"/>
      <c r="G7" s="405" t="str">
        <f>Asset1</f>
        <v>Transmission Lines and Cables</v>
      </c>
      <c r="H7" s="406"/>
      <c r="I7" s="406"/>
      <c r="J7" s="378">
        <f>HLOOKUP(IF(Input!$W$7="",5,Input!$W$7),'Total actual RAB roll forward'!$L$360:$Q$391,3,FALSE)</f>
        <v>257.40055900735848</v>
      </c>
      <c r="K7" s="298">
        <f>HLOOKUP(IF(Input!$W$7="",5,Input!$W$7),'Total actual RAB roll forward'!$L$652:$Q$683,3,FALSE)</f>
        <v>257.40055900735848</v>
      </c>
      <c r="L7" s="376">
        <f ca="1">IF('Asset lives roll forward'!F19=0,"n/a",'Asset lives roll forward'!F19)</f>
        <v>15.998988719931223</v>
      </c>
      <c r="M7" s="299"/>
      <c r="N7" s="326">
        <f>HLOOKUP(IF(Input!$W$7="",5,Input!$W$7),'Tax value roll forward'!$M$2:$R$37,7,FALSE)</f>
        <v>195.92548641550636</v>
      </c>
      <c r="O7" s="376">
        <f ca="1">IF('Asset lives roll forward'!K19=0,"n/a",'Asset lives roll forward'!K19)</f>
        <v>16.425689281989303</v>
      </c>
      <c r="P7" s="299"/>
      <c r="Q7" s="302" t="str">
        <f>HLOOKUP(IF(Input!W7="",5,Input!W7),'Tax value roll forward'!I2:R4,3,FALSE)</f>
        <v>2014-15</v>
      </c>
      <c r="R7" s="300"/>
      <c r="S7" s="44"/>
      <c r="T7" s="44"/>
      <c r="U7" s="44"/>
      <c r="V7" s="44"/>
      <c r="W7" s="44"/>
      <c r="X7" s="44"/>
      <c r="Y7" s="44"/>
      <c r="Z7" s="44"/>
    </row>
    <row r="8" spans="1:26">
      <c r="A8" s="9"/>
      <c r="B8" s="9"/>
      <c r="C8" s="9"/>
      <c r="D8" s="9"/>
      <c r="E8" s="402" t="str">
        <f>Input!F8</f>
        <v>Asset Class 2</v>
      </c>
      <c r="F8" s="403"/>
      <c r="G8" s="400" t="str">
        <f>Asset2</f>
        <v>Transmission Substations</v>
      </c>
      <c r="H8" s="401"/>
      <c r="I8" s="401"/>
      <c r="J8" s="315">
        <f>HLOOKUP(IF(Input!$W$7="",5,Input!$W$7),'Total actual RAB roll forward'!$L$360:$Q$391,4,FALSE)</f>
        <v>328.4707375424947</v>
      </c>
      <c r="K8" s="294">
        <f>HLOOKUP(IF(Input!$W$7="",5,Input!$W$7),'Total actual RAB roll forward'!$L$652:$Q$683,4,FALSE)</f>
        <v>328.4707375424947</v>
      </c>
      <c r="L8" s="294">
        <f ca="1">IF('Asset lives roll forward'!F33=0,"n/a",'Asset lives roll forward'!F33)</f>
        <v>23.116763101348873</v>
      </c>
      <c r="M8" s="295"/>
      <c r="N8" s="322">
        <f>HLOOKUP(IF(Input!$W$7="",5,Input!$W$7),'Tax value roll forward'!$M$2:$R$37,8,FALSE)</f>
        <v>262.28023221453958</v>
      </c>
      <c r="O8" s="294">
        <f ca="1">IF('Asset lives roll forward'!K33=0,"n/a",'Asset lives roll forward'!K33)</f>
        <v>23.720522625551443</v>
      </c>
      <c r="P8" s="295"/>
      <c r="Q8" s="285"/>
      <c r="R8" s="12"/>
      <c r="S8" s="44"/>
      <c r="T8" s="44"/>
      <c r="U8" s="44"/>
      <c r="V8" s="44"/>
      <c r="W8" s="44"/>
      <c r="X8" s="44"/>
      <c r="Y8" s="44"/>
      <c r="Z8" s="44"/>
    </row>
    <row r="9" spans="1:26">
      <c r="A9" s="9"/>
      <c r="B9" s="9"/>
      <c r="C9" s="9"/>
      <c r="D9" s="9"/>
      <c r="E9" s="402" t="str">
        <f>Input!F9</f>
        <v>Asset Class 3</v>
      </c>
      <c r="F9" s="403"/>
      <c r="G9" s="400" t="str">
        <f>Asset3</f>
        <v>Protection and Control</v>
      </c>
      <c r="H9" s="401"/>
      <c r="I9" s="401"/>
      <c r="J9" s="315">
        <f>HLOOKUP(IF(Input!$W$7="",5,Input!$W$7),'Total actual RAB roll forward'!$L$360:$Q$391,5,FALSE)</f>
        <v>19.612015774939891</v>
      </c>
      <c r="K9" s="294">
        <f>HLOOKUP(IF(Input!$W$7="",5,Input!$W$7),'Total actual RAB roll forward'!$L$652:$Q$683,5,FALSE)</f>
        <v>19.612015774939891</v>
      </c>
      <c r="L9" s="294">
        <f ca="1">IF('Asset lives roll forward'!F47=0,"n/a",'Asset lives roll forward'!F47)</f>
        <v>3.570810734660498</v>
      </c>
      <c r="M9" s="295"/>
      <c r="N9" s="322">
        <f>HLOOKUP(IF(Input!$W$7="",5,Input!$W$7),'Tax value roll forward'!$M$2:$R$37,9,FALSE)</f>
        <v>17.123775499804722</v>
      </c>
      <c r="O9" s="294">
        <f ca="1">IF('Asset lives roll forward'!K47=0,"n/a",'Asset lives roll forward'!K47)</f>
        <v>3.7603565874394107</v>
      </c>
      <c r="P9" s="295"/>
      <c r="Q9" s="285"/>
      <c r="R9" s="12"/>
      <c r="S9" s="44"/>
      <c r="T9" s="44"/>
      <c r="U9" s="44"/>
      <c r="V9" s="44"/>
      <c r="W9" s="44"/>
      <c r="X9" s="44"/>
      <c r="Y9" s="44"/>
      <c r="Z9" s="44"/>
    </row>
    <row r="10" spans="1:26">
      <c r="A10" s="9"/>
      <c r="B10" s="9"/>
      <c r="C10" s="9"/>
      <c r="D10" s="9"/>
      <c r="E10" s="402" t="str">
        <f>Input!F10</f>
        <v>Asset Class 4</v>
      </c>
      <c r="F10" s="403"/>
      <c r="G10" s="400" t="str">
        <f>Asset4</f>
        <v>Refurbishment</v>
      </c>
      <c r="H10" s="401"/>
      <c r="I10" s="401"/>
      <c r="J10" s="315">
        <f>HLOOKUP(IF(Input!$W$7="",5,Input!$W$7),'Total actual RAB roll forward'!$L$360:$Q$391,6,FALSE)</f>
        <v>12.891287351088824</v>
      </c>
      <c r="K10" s="294">
        <f>HLOOKUP(IF(Input!$W$7="",5,Input!$W$7),'Total actual RAB roll forward'!$L$652:$Q$683,6,FALSE)</f>
        <v>12.891287351088824</v>
      </c>
      <c r="L10" s="294">
        <f ca="1">IF('Asset lives roll forward'!F61=0,"n/a",'Asset lives roll forward'!F61)</f>
        <v>5.0158497122468741</v>
      </c>
      <c r="M10" s="295"/>
      <c r="N10" s="322">
        <f>HLOOKUP(IF(Input!$W$7="",5,Input!$W$7),'Tax value roll forward'!$M$2:$R$37,10,FALSE)</f>
        <v>11.273189290079014</v>
      </c>
      <c r="O10" s="294">
        <f ca="1">IF('Asset lives roll forward'!K61=0,"n/a",'Asset lives roll forward'!K61)</f>
        <v>5.0430504383288532</v>
      </c>
      <c r="P10" s="295"/>
      <c r="Q10" s="285"/>
      <c r="R10" s="12"/>
      <c r="S10" s="44"/>
      <c r="T10" s="44"/>
      <c r="U10" s="44"/>
      <c r="V10" s="44"/>
      <c r="W10" s="44"/>
      <c r="X10" s="44"/>
      <c r="Y10" s="44"/>
      <c r="Z10" s="44"/>
    </row>
    <row r="11" spans="1:26">
      <c r="A11" s="9"/>
      <c r="B11" s="9"/>
      <c r="C11" s="9"/>
      <c r="D11" s="9"/>
      <c r="E11" s="402" t="str">
        <f>Input!F11</f>
        <v>Asset Class 5</v>
      </c>
      <c r="F11" s="403"/>
      <c r="G11" s="400" t="str">
        <f>Asset5</f>
        <v>Other</v>
      </c>
      <c r="H11" s="401"/>
      <c r="I11" s="401"/>
      <c r="J11" s="315">
        <f>HLOOKUP(IF(Input!$W$7="",5,Input!$W$7),'Total actual RAB roll forward'!$L$360:$Q$391,7,FALSE)</f>
        <v>0.58543283790094502</v>
      </c>
      <c r="K11" s="294">
        <f>HLOOKUP(IF(Input!$W$7="",5,Input!$W$7),'Total actual RAB roll forward'!$L$652:$Q$683,7,FALSE)</f>
        <v>0.58543283790094502</v>
      </c>
      <c r="L11" s="294">
        <f ca="1">IF('Asset lives roll forward'!F75=0,"n/a",'Asset lives roll forward'!F75)</f>
        <v>0.27293845468381228</v>
      </c>
      <c r="M11" s="295"/>
      <c r="N11" s="322">
        <f>HLOOKUP(IF(Input!$W$7="",5,Input!$W$7),'Tax value roll forward'!$M$2:$R$37,11,FALSE)</f>
        <v>0.41813108520285125</v>
      </c>
      <c r="O11" s="294">
        <f ca="1">IF('Asset lives roll forward'!K75=0,"n/a",'Asset lives roll forward'!K75)</f>
        <v>0.27059100980185669</v>
      </c>
      <c r="P11" s="295"/>
      <c r="Q11" s="285"/>
      <c r="R11" s="12"/>
      <c r="S11" s="44"/>
      <c r="T11" s="44"/>
      <c r="U11" s="44"/>
      <c r="V11" s="44"/>
      <c r="W11" s="44"/>
      <c r="X11" s="44"/>
      <c r="Y11" s="44"/>
      <c r="Z11" s="44"/>
    </row>
    <row r="12" spans="1:26">
      <c r="A12" s="9"/>
      <c r="B12" s="9"/>
      <c r="C12" s="9"/>
      <c r="D12" s="9"/>
      <c r="E12" s="402" t="str">
        <f>Input!F12</f>
        <v>Asset Class 6</v>
      </c>
      <c r="F12" s="403"/>
      <c r="G12" s="400" t="str">
        <f>Asset6</f>
        <v>Other - IT</v>
      </c>
      <c r="H12" s="401"/>
      <c r="I12" s="401"/>
      <c r="J12" s="315">
        <f>HLOOKUP(IF(Input!$W$7="",5,Input!$W$7),'Total actual RAB roll forward'!$L$360:$Q$391,8,FALSE)</f>
        <v>9.1960647042548587</v>
      </c>
      <c r="K12" s="294">
        <f>HLOOKUP(IF(Input!$W$7="",5,Input!$W$7),'Total actual RAB roll forward'!$L$652:$Q$683,8,FALSE)</f>
        <v>9.1960647042548587</v>
      </c>
      <c r="L12" s="359">
        <v>5</v>
      </c>
      <c r="M12" s="295"/>
      <c r="N12" s="322">
        <f>HLOOKUP(IF(Input!$W$7="",5,Input!$W$7),'Tax value roll forward'!$M$2:$R$37,12,FALSE)</f>
        <v>4.9818149563425695</v>
      </c>
      <c r="O12" s="342">
        <v>5</v>
      </c>
      <c r="P12" s="295"/>
      <c r="Q12" s="285"/>
      <c r="R12" s="12"/>
      <c r="S12" s="44"/>
      <c r="T12" s="44"/>
      <c r="U12" s="44"/>
      <c r="V12" s="44"/>
      <c r="W12" s="44"/>
      <c r="X12" s="44"/>
      <c r="Y12" s="44"/>
      <c r="Z12" s="44"/>
    </row>
    <row r="13" spans="1:26">
      <c r="A13" s="9"/>
      <c r="B13" s="9"/>
      <c r="C13" s="9"/>
      <c r="D13" s="9"/>
      <c r="E13" s="402" t="str">
        <f>Input!F13</f>
        <v>Asset Class 7</v>
      </c>
      <c r="F13" s="403"/>
      <c r="G13" s="400" t="str">
        <f>Asset7</f>
        <v>Other - General</v>
      </c>
      <c r="H13" s="401"/>
      <c r="I13" s="401"/>
      <c r="J13" s="315">
        <f>HLOOKUP(IF(Input!$W$7="",5,Input!$W$7),'Total actual RAB roll forward'!$L$360:$Q$391,9,FALSE)</f>
        <v>2.0782940908430505</v>
      </c>
      <c r="K13" s="294">
        <f>HLOOKUP(IF(Input!$W$7="",5,Input!$W$7),'Total actual RAB roll forward'!$L$652:$Q$683,9,FALSE)</f>
        <v>2.0782940908430505</v>
      </c>
      <c r="L13" s="359">
        <v>5</v>
      </c>
      <c r="M13" s="295"/>
      <c r="N13" s="322">
        <f>HLOOKUP(IF(Input!$W$7="",5,Input!$W$7),'Tax value roll forward'!$M$2:$R$37,13,FALSE)</f>
        <v>1.2130000000000003</v>
      </c>
      <c r="O13" s="342">
        <v>5</v>
      </c>
      <c r="P13" s="295"/>
      <c r="Q13" s="285"/>
      <c r="R13" s="12"/>
      <c r="S13" s="44"/>
      <c r="T13" s="44"/>
      <c r="U13" s="44"/>
      <c r="V13" s="44"/>
      <c r="W13" s="44"/>
      <c r="X13" s="44"/>
      <c r="Y13" s="44"/>
      <c r="Z13" s="44"/>
    </row>
    <row r="14" spans="1:26">
      <c r="A14" s="9"/>
      <c r="B14" s="9"/>
      <c r="C14" s="9"/>
      <c r="D14" s="9"/>
      <c r="E14" s="402" t="str">
        <f>Input!F14</f>
        <v>Asset Class 8</v>
      </c>
      <c r="F14" s="403"/>
      <c r="G14" s="400" t="str">
        <f>Asset8</f>
        <v>Other - Buildings</v>
      </c>
      <c r="H14" s="401"/>
      <c r="I14" s="401"/>
      <c r="J14" s="315">
        <f>HLOOKUP(IF(Input!$W$7="",5,Input!$W$7),'Total actual RAB roll forward'!$L$360:$Q$391,10,FALSE)</f>
        <v>25.661977102838815</v>
      </c>
      <c r="K14" s="294">
        <f>HLOOKUP(IF(Input!$W$7="",5,Input!$W$7),'Total actual RAB roll forward'!$L$652:$Q$683,10,FALSE)</f>
        <v>25.661977102838815</v>
      </c>
      <c r="L14" s="294">
        <f ca="1">IF('Asset lives roll forward'!F117=0,"n/a",'Asset lives roll forward'!F117)</f>
        <v>31.241279046673355</v>
      </c>
      <c r="M14" s="295"/>
      <c r="N14" s="322">
        <f>HLOOKUP(IF(Input!$W$7="",5,Input!$W$7),'Tax value roll forward'!$M$2:$R$37,14,FALSE)</f>
        <v>21.106967318299208</v>
      </c>
      <c r="O14" s="294">
        <f ca="1">IF('Asset lives roll forward'!K117=0,"n/a",'Asset lives roll forward'!K117)</f>
        <v>31.300373214891799</v>
      </c>
      <c r="P14" s="295"/>
      <c r="Q14" s="285"/>
      <c r="R14" s="12"/>
      <c r="S14" s="44"/>
      <c r="T14" s="44"/>
      <c r="U14" s="44"/>
      <c r="V14" s="44"/>
      <c r="W14" s="44"/>
      <c r="X14" s="44"/>
      <c r="Y14" s="44"/>
      <c r="Z14" s="44"/>
    </row>
    <row r="15" spans="1:26">
      <c r="A15" s="9"/>
      <c r="B15" s="9"/>
      <c r="C15" s="9"/>
      <c r="D15" s="9"/>
      <c r="E15" s="402" t="str">
        <f>Input!F15</f>
        <v>Asset Class 9</v>
      </c>
      <c r="F15" s="403"/>
      <c r="G15" s="400" t="str">
        <f>Asset9</f>
        <v>Land and Easements</v>
      </c>
      <c r="H15" s="401"/>
      <c r="I15" s="401"/>
      <c r="J15" s="315">
        <f>HLOOKUP(IF(Input!$W$7="",5,Input!$W$7),'Total actual RAB roll forward'!$L$360:$Q$391,11,FALSE)</f>
        <v>100.75200477367551</v>
      </c>
      <c r="K15" s="294">
        <f>HLOOKUP(IF(Input!$W$7="",5,Input!$W$7),'Total actual RAB roll forward'!$L$652:$Q$683,11,FALSE)</f>
        <v>100.75200477367551</v>
      </c>
      <c r="L15" s="294" t="str">
        <f ca="1">IF('Asset lives roll forward'!F131=0,"n/a",'Asset lives roll forward'!F131)</f>
        <v>n/a</v>
      </c>
      <c r="M15" s="295"/>
      <c r="N15" s="322">
        <f>HLOOKUP(IF(Input!$W$7="",5,Input!$W$7),'Tax value roll forward'!$M$2:$R$37,15,FALSE)</f>
        <v>75.299155887228679</v>
      </c>
      <c r="O15" s="294" t="str">
        <f ca="1">IF('Asset lives roll forward'!K131=0,"n/a",'Asset lives roll forward'!K131)</f>
        <v>n/a</v>
      </c>
      <c r="P15" s="295"/>
      <c r="Q15" s="285"/>
      <c r="R15" s="12"/>
      <c r="S15" s="44"/>
      <c r="T15" s="44"/>
      <c r="U15" s="44"/>
      <c r="V15" s="44"/>
      <c r="W15" s="44"/>
      <c r="X15" s="44"/>
      <c r="Y15" s="44"/>
      <c r="Z15" s="44"/>
    </row>
    <row r="16" spans="1:26">
      <c r="A16" s="9"/>
      <c r="B16" s="9"/>
      <c r="C16" s="9"/>
      <c r="D16" s="9"/>
      <c r="E16" s="402" t="str">
        <f>Input!F16</f>
        <v>Asset Class 10</v>
      </c>
      <c r="F16" s="403"/>
      <c r="G16" s="400" t="str">
        <f>Asset10</f>
        <v>Transmission line assets - long life (60)</v>
      </c>
      <c r="H16" s="401"/>
      <c r="I16" s="401"/>
      <c r="J16" s="315">
        <f>HLOOKUP(IF(Input!$W$7="",5,Input!$W$7),'Total actual RAB roll forward'!$L$360:$Q$391,12,FALSE)</f>
        <v>202.05553658933448</v>
      </c>
      <c r="K16" s="294">
        <f>HLOOKUP(IF(Input!$W$7="",5,Input!$W$7),'Total actual RAB roll forward'!$L$652:$Q$683,12,FALSE)</f>
        <v>191.71628498863174</v>
      </c>
      <c r="L16" s="294">
        <f ca="1">IF('Asset lives roll forward'!F145=0,"n/a",'Asset lives roll forward'!F145)</f>
        <v>57.871342187619099</v>
      </c>
      <c r="M16" s="295"/>
      <c r="N16" s="322">
        <f>HLOOKUP(IF(Input!$W$7="",5,Input!$W$7),'Tax value roll forward'!$M$2:$R$37,16,FALSE)</f>
        <v>174.15970719901276</v>
      </c>
      <c r="O16" s="294">
        <f ca="1">IF('Asset lives roll forward'!K145=0,"n/a",'Asset lives roll forward'!K145)</f>
        <v>57.912895561708162</v>
      </c>
      <c r="P16" s="295"/>
      <c r="Q16" s="285"/>
      <c r="R16" s="12"/>
      <c r="S16" s="44"/>
      <c r="T16" s="44"/>
      <c r="U16" s="44"/>
      <c r="V16" s="44"/>
      <c r="W16" s="44"/>
      <c r="X16" s="44"/>
      <c r="Y16" s="44"/>
      <c r="Z16" s="44"/>
    </row>
    <row r="17" spans="1:26">
      <c r="A17" s="9"/>
      <c r="B17" s="9"/>
      <c r="C17" s="9"/>
      <c r="D17" s="9"/>
      <c r="E17" s="402" t="str">
        <f>Input!F17</f>
        <v>Asset Class 11</v>
      </c>
      <c r="F17" s="403"/>
      <c r="G17" s="400" t="str">
        <f>Asset11</f>
        <v>Transmission line assets - medium life (45)</v>
      </c>
      <c r="H17" s="401"/>
      <c r="I17" s="401"/>
      <c r="J17" s="315">
        <f>HLOOKUP(IF(Input!$W$7="",5,Input!$W$7),'Total actual RAB roll forward'!$L$360:$Q$391,13,FALSE)</f>
        <v>23.099245522779885</v>
      </c>
      <c r="K17" s="294">
        <f>HLOOKUP(IF(Input!$W$7="",5,Input!$W$7),'Total actual RAB roll forward'!$L$652:$Q$683,13,FALSE)</f>
        <v>0.80306705758188679</v>
      </c>
      <c r="L17" s="294">
        <f ca="1">IF('Asset lives roll forward'!F159=0,"n/a",'Asset lives roll forward'!F159)</f>
        <v>43.82353819203226</v>
      </c>
      <c r="M17" s="295"/>
      <c r="N17" s="322">
        <f>HLOOKUP(IF(Input!$W$7="",5,Input!$W$7),'Tax value roll forward'!$M$2:$R$37,17,FALSE)</f>
        <v>0.74468466666666666</v>
      </c>
      <c r="O17" s="294">
        <f ca="1">IF('Asset lives roll forward'!K159=0,"n/a",'Asset lives roll forward'!K159)</f>
        <v>43.838994939244984</v>
      </c>
      <c r="P17" s="295"/>
      <c r="Q17" s="285"/>
      <c r="R17" s="12"/>
      <c r="S17" s="44"/>
      <c r="T17" s="44"/>
      <c r="U17" s="44"/>
      <c r="V17" s="44"/>
      <c r="W17" s="44"/>
      <c r="X17" s="44"/>
      <c r="Y17" s="44"/>
      <c r="Z17" s="44"/>
    </row>
    <row r="18" spans="1:26">
      <c r="A18" s="9"/>
      <c r="B18" s="9"/>
      <c r="C18" s="9"/>
      <c r="D18" s="9"/>
      <c r="E18" s="402" t="str">
        <f>Input!F18</f>
        <v>Asset Class 12</v>
      </c>
      <c r="F18" s="403"/>
      <c r="G18" s="400" t="str">
        <f>Asset12</f>
        <v>Transmission line assets - short life (10)</v>
      </c>
      <c r="H18" s="401"/>
      <c r="I18" s="401"/>
      <c r="J18" s="315">
        <f>HLOOKUP(IF(Input!$W$7="",5,Input!$W$7),'Total actual RAB roll forward'!$L$360:$Q$391,14,FALSE)</f>
        <v>16.589636481077687</v>
      </c>
      <c r="K18" s="294">
        <f>HLOOKUP(IF(Input!$W$7="",5,Input!$W$7),'Total actual RAB roll forward'!$L$652:$Q$683,14,FALSE)</f>
        <v>5.3086605257542301</v>
      </c>
      <c r="L18" s="294">
        <f ca="1">IF('Asset lives roll forward'!F173=0,"n/a",'Asset lives roll forward'!F173)</f>
        <v>9.3531302787613715</v>
      </c>
      <c r="M18" s="295"/>
      <c r="N18" s="322">
        <f>HLOOKUP(IF(Input!$W$7="",5,Input!$W$7),'Tax value roll forward'!$M$2:$R$37,18,FALSE)</f>
        <v>4.9866757782399507</v>
      </c>
      <c r="O18" s="294">
        <f ca="1">IF('Asset lives roll forward'!K173=0,"n/a",'Asset lives roll forward'!K173)</f>
        <v>9.3842857774315362</v>
      </c>
      <c r="P18" s="295"/>
      <c r="Q18" s="285"/>
      <c r="R18" s="12"/>
      <c r="S18" s="44"/>
      <c r="T18" s="44"/>
      <c r="U18" s="44"/>
      <c r="V18" s="44"/>
      <c r="W18" s="44"/>
      <c r="X18" s="44"/>
      <c r="Y18" s="44"/>
      <c r="Z18" s="44"/>
    </row>
    <row r="19" spans="1:26">
      <c r="A19" s="9"/>
      <c r="B19" s="9"/>
      <c r="C19" s="9"/>
      <c r="D19" s="9"/>
      <c r="E19" s="402" t="str">
        <f>Input!F19</f>
        <v>Asset Class 13</v>
      </c>
      <c r="F19" s="403"/>
      <c r="G19" s="400" t="str">
        <f>Asset13</f>
        <v>Substation assets - long life (60)</v>
      </c>
      <c r="H19" s="401"/>
      <c r="I19" s="401"/>
      <c r="J19" s="315">
        <f>HLOOKUP(IF(Input!$W$7="",5,Input!$W$7),'Total actual RAB roll forward'!$L$360:$Q$391,15,FALSE)</f>
        <v>67.407479975490077</v>
      </c>
      <c r="K19" s="294">
        <f>HLOOKUP(IF(Input!$W$7="",5,Input!$W$7),'Total actual RAB roll forward'!$L$652:$Q$683,15,FALSE)</f>
        <v>56.281024861000837</v>
      </c>
      <c r="L19" s="294">
        <f ca="1">IF('Asset lives roll forward'!F187=0,"n/a",'Asset lives roll forward'!F187)</f>
        <v>58.006415516008083</v>
      </c>
      <c r="M19" s="295"/>
      <c r="N19" s="322">
        <f>HLOOKUP(IF(Input!$W$7="",5,Input!$W$7),'Tax value roll forward'!$M$2:$R$37,19,FALSE)</f>
        <v>51.260885711245344</v>
      </c>
      <c r="O19" s="294">
        <f ca="1">IF('Asset lives roll forward'!K187=0,"n/a",'Asset lives roll forward'!K187)</f>
        <v>58.044959219695748</v>
      </c>
      <c r="P19" s="295"/>
      <c r="Q19" s="285"/>
      <c r="R19" s="12"/>
      <c r="S19" s="44"/>
      <c r="T19" s="44"/>
      <c r="U19" s="44"/>
      <c r="V19" s="44"/>
      <c r="W19" s="44"/>
      <c r="X19" s="44"/>
      <c r="Y19" s="44"/>
      <c r="Z19" s="44"/>
    </row>
    <row r="20" spans="1:26">
      <c r="A20" s="9"/>
      <c r="B20" s="9"/>
      <c r="C20" s="9"/>
      <c r="D20" s="9"/>
      <c r="E20" s="402" t="str">
        <f>Input!F20</f>
        <v>Asset Class 14</v>
      </c>
      <c r="F20" s="403"/>
      <c r="G20" s="400" t="str">
        <f>Asset14</f>
        <v>Substation assets - medium life (45)</v>
      </c>
      <c r="H20" s="401"/>
      <c r="I20" s="401"/>
      <c r="J20" s="315">
        <f>HLOOKUP(IF(Input!$W$7="",5,Input!$W$7),'Total actual RAB roll forward'!$L$360:$Q$391,16,FALSE)</f>
        <v>170.89036619203853</v>
      </c>
      <c r="K20" s="294">
        <f>HLOOKUP(IF(Input!$W$7="",5,Input!$W$7),'Total actual RAB roll forward'!$L$652:$Q$683,16,FALSE)</f>
        <v>187.24014483773325</v>
      </c>
      <c r="L20" s="294">
        <f ca="1">IF('Asset lives roll forward'!F201=0,"n/a",'Asset lives roll forward'!F201)</f>
        <v>43.117158296782179</v>
      </c>
      <c r="M20" s="295"/>
      <c r="N20" s="322">
        <f>HLOOKUP(IF(Input!$W$7="",5,Input!$W$7),'Tax value roll forward'!$M$2:$R$37,20,FALSE)</f>
        <v>170.9345959891711</v>
      </c>
      <c r="O20" s="294">
        <f ca="1">IF('Asset lives roll forward'!K201=0,"n/a",'Asset lives roll forward'!K201)</f>
        <v>43.153509751517944</v>
      </c>
      <c r="P20" s="295"/>
      <c r="Q20" s="285"/>
      <c r="R20" s="12"/>
      <c r="S20" s="44"/>
      <c r="T20" s="44"/>
      <c r="U20" s="44"/>
      <c r="V20" s="44"/>
      <c r="W20" s="44"/>
      <c r="X20" s="44"/>
      <c r="Y20" s="44"/>
      <c r="Z20" s="44"/>
    </row>
    <row r="21" spans="1:26">
      <c r="A21" s="9"/>
      <c r="B21" s="9"/>
      <c r="C21" s="9"/>
      <c r="D21" s="9"/>
      <c r="E21" s="402" t="str">
        <f>Input!F21</f>
        <v>Asset Class 15</v>
      </c>
      <c r="F21" s="403"/>
      <c r="G21" s="400" t="str">
        <f>Asset15</f>
        <v>Substation assets - short life (15)</v>
      </c>
      <c r="H21" s="401"/>
      <c r="I21" s="401"/>
      <c r="J21" s="315">
        <f>HLOOKUP(IF(Input!$W$7="",5,Input!$W$7),'Total actual RAB roll forward'!$L$360:$Q$391,17,FALSE)</f>
        <v>24.453387543073639</v>
      </c>
      <c r="K21" s="294">
        <f>HLOOKUP(IF(Input!$W$7="",5,Input!$W$7),'Total actual RAB roll forward'!$L$652:$Q$683,17,FALSE)</f>
        <v>21.700033489063532</v>
      </c>
      <c r="L21" s="294">
        <f ca="1">IF('Asset lives roll forward'!F215=0,"n/a",'Asset lives roll forward'!F215)</f>
        <v>12.683648018257792</v>
      </c>
      <c r="M21" s="295"/>
      <c r="N21" s="322">
        <f>HLOOKUP(IF(Input!$W$7="",5,Input!$W$7),'Tax value roll forward'!$M$2:$R$37,21,FALSE)</f>
        <v>19.573038243583447</v>
      </c>
      <c r="O21" s="294">
        <f ca="1">IF('Asset lives roll forward'!K215=0,"n/a",'Asset lives roll forward'!K215)</f>
        <v>12.761137908791492</v>
      </c>
      <c r="P21" s="295"/>
      <c r="Q21" s="285"/>
      <c r="R21" s="12"/>
      <c r="S21" s="44"/>
      <c r="T21" s="44"/>
      <c r="U21" s="44"/>
      <c r="V21" s="44"/>
      <c r="W21" s="44"/>
      <c r="X21" s="44"/>
      <c r="Y21" s="44"/>
      <c r="Z21" s="44"/>
    </row>
    <row r="22" spans="1:26">
      <c r="A22" s="9"/>
      <c r="B22" s="9"/>
      <c r="C22" s="9"/>
      <c r="D22" s="9"/>
      <c r="E22" s="402" t="str">
        <f>Input!F22</f>
        <v>Asset Class 16</v>
      </c>
      <c r="F22" s="403"/>
      <c r="G22" s="400" t="str">
        <f>Asset16</f>
        <v>Protection and control - short life (15)</v>
      </c>
      <c r="H22" s="401"/>
      <c r="I22" s="401"/>
      <c r="J22" s="315">
        <f>HLOOKUP(IF(Input!$W$7="",5,Input!$W$7),'Total actual RAB roll forward'!$L$360:$Q$391,18,FALSE)</f>
        <v>92.60075685663486</v>
      </c>
      <c r="K22" s="294">
        <f>HLOOKUP(IF(Input!$W$7="",5,Input!$W$7),'Total actual RAB roll forward'!$L$652:$Q$683,18,FALSE)</f>
        <v>78.989744924493067</v>
      </c>
      <c r="L22" s="294">
        <f ca="1">IF('Asset lives roll forward'!F229=0,"n/a",'Asset lives roll forward'!F229)</f>
        <v>13.379854583164542</v>
      </c>
      <c r="M22" s="295"/>
      <c r="N22" s="322">
        <f>HLOOKUP(IF(Input!$W$7="",5,Input!$W$7),'Tax value roll forward'!$M$2:$R$37,22,FALSE)</f>
        <v>72.532317742441904</v>
      </c>
      <c r="O22" s="294">
        <f ca="1">IF('Asset lives roll forward'!K229=0,"n/a",'Asset lives roll forward'!K229)</f>
        <v>13.423626582484133</v>
      </c>
      <c r="P22" s="295"/>
      <c r="Q22" s="285"/>
      <c r="R22" s="12"/>
      <c r="S22" s="44"/>
      <c r="T22" s="44"/>
      <c r="U22" s="44"/>
      <c r="V22" s="44"/>
      <c r="W22" s="44"/>
      <c r="X22" s="44"/>
      <c r="Y22" s="44"/>
      <c r="Z22" s="44"/>
    </row>
    <row r="23" spans="1:26">
      <c r="A23" s="9"/>
      <c r="B23" s="9"/>
      <c r="C23" s="9"/>
      <c r="D23" s="9"/>
      <c r="E23" s="402" t="str">
        <f>Input!F23</f>
        <v>Asset Class 17</v>
      </c>
      <c r="F23" s="403"/>
      <c r="G23" s="400" t="str">
        <f>Asset17</f>
        <v>Protection and control - short life (4)</v>
      </c>
      <c r="H23" s="401"/>
      <c r="I23" s="401"/>
      <c r="J23" s="315">
        <f>HLOOKUP(IF(Input!$W$7="",5,Input!$W$7),'Total actual RAB roll forward'!$L$360:$Q$391,19,FALSE)</f>
        <v>0.93672265961251622</v>
      </c>
      <c r="K23" s="294">
        <f>HLOOKUP(IF(Input!$W$7="",5,Input!$W$7),'Total actual RAB roll forward'!$L$652:$Q$683,19,FALSE)</f>
        <v>0.96196360464478337</v>
      </c>
      <c r="L23" s="294">
        <f ca="1">IF('Asset lives roll forward'!F243=0,"n/a",'Asset lives roll forward'!F243)</f>
        <v>2.2335833899186821</v>
      </c>
      <c r="M23" s="295"/>
      <c r="N23" s="322">
        <f>HLOOKUP(IF(Input!$W$7="",5,Input!$W$7),'Tax value roll forward'!$M$2:$R$37,23,FALSE)</f>
        <v>0.876</v>
      </c>
      <c r="O23" s="294">
        <f ca="1">IF('Asset lives roll forward'!K243=0,"n/a",'Asset lives roll forward'!K243)</f>
        <v>2.2368721461187215</v>
      </c>
      <c r="P23" s="295"/>
      <c r="Q23" s="285"/>
      <c r="R23" s="12"/>
      <c r="S23" s="44"/>
      <c r="T23" s="44"/>
      <c r="U23" s="44"/>
      <c r="V23" s="44"/>
      <c r="W23" s="44"/>
      <c r="X23" s="44"/>
      <c r="Y23" s="44"/>
      <c r="Z23" s="44"/>
    </row>
    <row r="24" spans="1:26">
      <c r="A24" s="9"/>
      <c r="B24" s="9"/>
      <c r="C24" s="9"/>
      <c r="D24" s="9"/>
      <c r="E24" s="402" t="str">
        <f>Input!F24</f>
        <v>Asset Class 18</v>
      </c>
      <c r="F24" s="403"/>
      <c r="G24" s="400" t="str">
        <f>Asset18</f>
        <v>Transmission operations - short life (10)</v>
      </c>
      <c r="H24" s="401"/>
      <c r="I24" s="401"/>
      <c r="J24" s="315">
        <f>HLOOKUP(IF(Input!$W$7="",5,Input!$W$7),'Total actual RAB roll forward'!$L$360:$Q$391,20,FALSE)</f>
        <v>8.9479597772727058</v>
      </c>
      <c r="K24" s="294">
        <f>HLOOKUP(IF(Input!$W$7="",5,Input!$W$7),'Total actual RAB roll forward'!$L$652:$Q$683,20,FALSE)</f>
        <v>7.6111988859128124</v>
      </c>
      <c r="L24" s="294">
        <f ca="1">IF('Asset lives roll forward'!F257=0,"n/a",'Asset lives roll forward'!F257)</f>
        <v>8.2710173600187389</v>
      </c>
      <c r="M24" s="295"/>
      <c r="N24" s="322">
        <f>HLOOKUP(IF(Input!$W$7="",5,Input!$W$7),'Tax value roll forward'!$M$2:$R$37,24,FALSE)</f>
        <v>6.97294679</v>
      </c>
      <c r="O24" s="294">
        <f ca="1">IF('Asset lives roll forward'!K257=0,"n/a",'Asset lives roll forward'!K257)</f>
        <v>8.3101194437767969</v>
      </c>
      <c r="P24" s="295"/>
      <c r="Q24" s="285"/>
      <c r="R24" s="12"/>
      <c r="S24" s="44"/>
      <c r="T24" s="44"/>
      <c r="U24" s="44"/>
      <c r="V24" s="44"/>
      <c r="W24" s="44"/>
      <c r="X24" s="44"/>
      <c r="Y24" s="44"/>
      <c r="Z24" s="44"/>
    </row>
    <row r="25" spans="1:26">
      <c r="A25" s="9"/>
      <c r="B25" s="9"/>
      <c r="C25" s="9"/>
      <c r="D25" s="9"/>
      <c r="E25" s="402" t="str">
        <f>Input!F25</f>
        <v>Asset Class 19</v>
      </c>
      <c r="F25" s="403"/>
      <c r="G25" s="400" t="str">
        <f>Asset19</f>
        <v>Transmission operations - short life (4)</v>
      </c>
      <c r="H25" s="401"/>
      <c r="I25" s="401"/>
      <c r="J25" s="315">
        <f>HLOOKUP(IF(Input!$W$7="",5,Input!$W$7),'Total actual RAB roll forward'!$L$360:$Q$391,21,FALSE)</f>
        <v>7.5758742437688403E-2</v>
      </c>
      <c r="K25" s="294">
        <f>HLOOKUP(IF(Input!$W$7="",5,Input!$W$7),'Total actual RAB roll forward'!$L$652:$Q$683,21,FALSE)</f>
        <v>0.14539259577728286</v>
      </c>
      <c r="L25" s="294">
        <f ca="1">IF('Asset lives roll forward'!F271=0,"n/a",'Asset lives roll forward'!F271)</f>
        <v>2.7522173471231457</v>
      </c>
      <c r="M25" s="295"/>
      <c r="N25" s="322">
        <f>HLOOKUP(IF(Input!$W$7="",5,Input!$W$7),'Tax value roll forward'!$M$2:$R$37,25,FALSE)</f>
        <v>0.13525000000000001</v>
      </c>
      <c r="O25" s="294">
        <f ca="1">IF('Asset lives roll forward'!K271=0,"n/a",'Asset lives roll forward'!K271)</f>
        <v>2.7634011090573019</v>
      </c>
      <c r="P25" s="295"/>
      <c r="Q25" s="285"/>
      <c r="R25" s="12"/>
      <c r="S25" s="44"/>
      <c r="T25" s="44"/>
      <c r="U25" s="44"/>
      <c r="V25" s="44"/>
      <c r="W25" s="44"/>
      <c r="X25" s="44"/>
      <c r="Y25" s="44"/>
      <c r="Z25" s="44"/>
    </row>
    <row r="26" spans="1:26">
      <c r="A26" s="9"/>
      <c r="B26" s="9"/>
      <c r="C26" s="9"/>
      <c r="D26" s="9"/>
      <c r="E26" s="402" t="str">
        <f>Input!F26</f>
        <v>Asset Class 20</v>
      </c>
      <c r="F26" s="403"/>
      <c r="G26" s="400" t="str">
        <f>Asset20</f>
        <v>Other - medium life (40)</v>
      </c>
      <c r="H26" s="401"/>
      <c r="I26" s="401"/>
      <c r="J26" s="315">
        <f>HLOOKUP(IF(Input!$W$7="",5,Input!$W$7),'Total actual RAB roll forward'!$L$360:$Q$391,22,FALSE)</f>
        <v>31.305932402224013</v>
      </c>
      <c r="K26" s="294">
        <f>HLOOKUP(IF(Input!$W$7="",5,Input!$W$7),'Total actual RAB roll forward'!$L$652:$Q$683,22,FALSE)</f>
        <v>28.803918489884531</v>
      </c>
      <c r="L26" s="294">
        <f ca="1">IF('Asset lives roll forward'!F285=0,"n/a",'Asset lives roll forward'!F285)</f>
        <v>37.155355633126803</v>
      </c>
      <c r="M26" s="295"/>
      <c r="N26" s="322">
        <f>HLOOKUP(IF(Input!$W$7="",5,Input!$W$7),'Tax value roll forward'!$M$2:$R$37,26,FALSE)</f>
        <v>25.688806433070734</v>
      </c>
      <c r="O26" s="294">
        <f ca="1">IF('Asset lives roll forward'!K285=0,"n/a",'Asset lives roll forward'!K285)</f>
        <v>37.195454853548526</v>
      </c>
      <c r="P26" s="295"/>
      <c r="Q26" s="285"/>
      <c r="R26" s="12"/>
      <c r="S26" s="44"/>
      <c r="T26" s="44"/>
      <c r="U26" s="44"/>
      <c r="V26" s="44"/>
      <c r="W26" s="44"/>
      <c r="X26" s="44"/>
      <c r="Y26" s="44"/>
      <c r="Z26" s="44"/>
    </row>
    <row r="27" spans="1:26">
      <c r="A27" s="9"/>
      <c r="B27" s="9"/>
      <c r="C27" s="9"/>
      <c r="D27" s="9"/>
      <c r="E27" s="402" t="str">
        <f>Input!F27</f>
        <v>Asset Class 21</v>
      </c>
      <c r="F27" s="403"/>
      <c r="G27" s="400" t="str">
        <f>Asset21</f>
        <v>Other - short life (9)</v>
      </c>
      <c r="H27" s="401"/>
      <c r="I27" s="401"/>
      <c r="J27" s="315">
        <f>HLOOKUP(IF(Input!$W$7="",5,Input!$W$7),'Total actual RAB roll forward'!$L$360:$Q$391,23,FALSE)</f>
        <v>1.4554505847175536</v>
      </c>
      <c r="K27" s="294">
        <f>HLOOKUP(IF(Input!$W$7="",5,Input!$W$7),'Total actual RAB roll forward'!$L$652:$Q$683,23,FALSE)</f>
        <v>2.8901245049736608</v>
      </c>
      <c r="L27" s="294">
        <f ca="1">IF('Asset lives roll forward'!F299=0,"n/a",'Asset lives roll forward'!F299)</f>
        <v>6.8715782509791774</v>
      </c>
      <c r="M27" s="295"/>
      <c r="N27" s="322">
        <f>HLOOKUP(IF(Input!$W$7="",5,Input!$W$7),'Tax value roll forward'!$M$2:$R$37,27,FALSE)</f>
        <v>2.6253012222222223</v>
      </c>
      <c r="O27" s="294">
        <f ca="1">IF('Asset lives roll forward'!K299=0,"n/a",'Asset lives roll forward'!K299)</f>
        <v>6.9155060767418393</v>
      </c>
      <c r="P27" s="295"/>
      <c r="Q27" s="285"/>
      <c r="R27" s="12"/>
      <c r="S27" s="44"/>
      <c r="T27" s="44"/>
      <c r="U27" s="44"/>
      <c r="V27" s="44"/>
      <c r="W27" s="44"/>
      <c r="X27" s="44"/>
      <c r="Y27" s="44"/>
      <c r="Z27" s="44"/>
    </row>
    <row r="28" spans="1:26">
      <c r="A28" s="9"/>
      <c r="B28" s="9"/>
      <c r="C28" s="9"/>
      <c r="D28" s="9"/>
      <c r="E28" s="402" t="str">
        <f>Input!F28</f>
        <v>Asset Class 22</v>
      </c>
      <c r="F28" s="403"/>
      <c r="G28" s="400" t="str">
        <f>Asset22</f>
        <v>Other - short life (4)</v>
      </c>
      <c r="H28" s="401"/>
      <c r="I28" s="401"/>
      <c r="J28" s="315">
        <f>HLOOKUP(IF(Input!$W$7="",5,Input!$W$7),'Total actual RAB roll forward'!$L$360:$Q$391,24,FALSE)</f>
        <v>13.157328111808479</v>
      </c>
      <c r="K28" s="294">
        <f>HLOOKUP(IF(Input!$W$7="",5,Input!$W$7),'Total actual RAB roll forward'!$L$652:$Q$683,24,FALSE)</f>
        <v>8.2661121698126649</v>
      </c>
      <c r="L28" s="294">
        <f ca="1">IF('Asset lives roll forward'!F313=0,"n/a",'Asset lives roll forward'!F313)</f>
        <v>3.0457703673266674</v>
      </c>
      <c r="M28" s="295"/>
      <c r="N28" s="322">
        <f>HLOOKUP(IF(Input!$W$7="",5,Input!$W$7),'Tax value roll forward'!$M$2:$R$37,28,FALSE)</f>
        <v>7.7247119599999987</v>
      </c>
      <c r="O28" s="294">
        <f ca="1">IF('Asset lives roll forward'!K313=0,"n/a",'Asset lives roll forward'!K313)</f>
        <v>3.0615184051471092</v>
      </c>
      <c r="P28" s="295"/>
      <c r="Q28" s="285"/>
      <c r="R28" s="12"/>
      <c r="S28" s="44"/>
      <c r="T28" s="44"/>
      <c r="U28" s="44"/>
      <c r="V28" s="44"/>
      <c r="W28" s="44"/>
      <c r="X28" s="44"/>
      <c r="Y28" s="44"/>
      <c r="Z28" s="44"/>
    </row>
    <row r="29" spans="1:26">
      <c r="A29" s="9"/>
      <c r="B29" s="9"/>
      <c r="C29" s="9"/>
      <c r="D29" s="9"/>
      <c r="E29" s="402" t="str">
        <f>Input!F29</f>
        <v>Asset Class 23</v>
      </c>
      <c r="F29" s="403"/>
      <c r="G29" s="400" t="str">
        <f>Asset23</f>
        <v>Land and Easements</v>
      </c>
      <c r="H29" s="401"/>
      <c r="I29" s="401"/>
      <c r="J29" s="315">
        <f>HLOOKUP(IF(Input!$W$7="",5,Input!$W$7),'Total actual RAB roll forward'!$L$360:$Q$391,25,FALSE)</f>
        <v>6.7712452175646174</v>
      </c>
      <c r="K29" s="294">
        <f>HLOOKUP(IF(Input!$W$7="",5,Input!$W$7),'Total actual RAB roll forward'!$L$652:$Q$683,25,FALSE)</f>
        <v>4.8160160086349917</v>
      </c>
      <c r="L29" s="294" t="str">
        <f ca="1">IF('Asset lives roll forward'!F327=0,"n/a",'Asset lives roll forward'!F327)</f>
        <v>n/a</v>
      </c>
      <c r="M29" s="295"/>
      <c r="N29" s="322">
        <f>HLOOKUP(IF(Input!$W$7="",5,Input!$W$7),'Tax value roll forward'!$M$2:$R$37,29,FALSE)</f>
        <v>4.419121352290194</v>
      </c>
      <c r="O29" s="294" t="str">
        <f ca="1">IF('Asset lives roll forward'!K327=0,"n/a",'Asset lives roll forward'!K327)</f>
        <v>n/a</v>
      </c>
      <c r="P29" s="295"/>
      <c r="Q29" s="285"/>
      <c r="R29" s="12"/>
      <c r="S29" s="44"/>
      <c r="T29" s="44"/>
      <c r="U29" s="44"/>
      <c r="V29" s="44"/>
      <c r="W29" s="44"/>
      <c r="X29" s="44"/>
      <c r="Y29" s="44"/>
      <c r="Z29" s="44"/>
    </row>
    <row r="30" spans="1:26">
      <c r="A30" s="9"/>
      <c r="B30" s="9"/>
      <c r="C30" s="9"/>
      <c r="D30" s="9"/>
      <c r="E30" s="402" t="str">
        <f>Input!F30</f>
        <v>Asset Class 24</v>
      </c>
      <c r="F30" s="403"/>
      <c r="G30" s="400" t="str">
        <f>Asset24</f>
        <v>Equity Raising</v>
      </c>
      <c r="H30" s="401"/>
      <c r="I30" s="401"/>
      <c r="J30" s="377">
        <f>HLOOKUP(IF(Input!$W$7="",5,Input!$W$7),'Total actual RAB roll forward'!$L$360:$Q$391,26,FALSE)</f>
        <v>0.44335963280526741</v>
      </c>
      <c r="K30" s="294">
        <f>HLOOKUP(IF(Input!$W$7="",5,Input!$W$7),'Total actual RAB roll forward'!$L$652:$Q$683,26,FALSE)</f>
        <v>0.44335963280526741</v>
      </c>
      <c r="L30" s="294">
        <f ca="1">IF('Asset lives roll forward'!F341=0,"n/a",'Asset lives roll forward'!F341)</f>
        <v>37.695808343233246</v>
      </c>
      <c r="M30" s="295"/>
      <c r="N30" s="322">
        <f>HLOOKUP(IF(Input!$W$7="",5,Input!$W$7),'Tax value roll forward'!$M$2:$R$37,30,FALSE)</f>
        <v>0.42328724402768747</v>
      </c>
      <c r="O30" s="294" t="str">
        <f ca="1">IF('Asset lives roll forward'!K341=0,"n/a",'Asset lives roll forward'!K341)</f>
        <v>n/a</v>
      </c>
      <c r="P30" s="295"/>
      <c r="Q30" s="285"/>
      <c r="R30" s="12"/>
      <c r="S30" s="44"/>
      <c r="T30" s="44"/>
      <c r="U30" s="44"/>
      <c r="V30" s="44"/>
      <c r="W30" s="44"/>
      <c r="X30" s="44"/>
      <c r="Y30" s="44"/>
      <c r="Z30" s="44"/>
    </row>
    <row r="31" spans="1:26">
      <c r="A31" s="9"/>
      <c r="B31" s="9"/>
      <c r="C31" s="9"/>
      <c r="D31" s="9"/>
      <c r="E31" s="402" t="str">
        <f>Input!F31</f>
        <v>Asset Class 25</v>
      </c>
      <c r="F31" s="403"/>
      <c r="G31" s="400">
        <f>Asset25</f>
        <v>0</v>
      </c>
      <c r="H31" s="401"/>
      <c r="I31" s="401"/>
      <c r="J31" s="315">
        <f>HLOOKUP(IF(Input!$W$7="",5,Input!$W$7),'Total actual RAB roll forward'!$L$360:$Q$391,27,FALSE)</f>
        <v>0</v>
      </c>
      <c r="K31" s="294">
        <f>HLOOKUP(IF(Input!$W$7="",5,Input!$W$7),'Total actual RAB roll forward'!$L$652:$Q$683,27,FALSE)</f>
        <v>0</v>
      </c>
      <c r="L31" s="294" t="str">
        <f ca="1">IF('Asset lives roll forward'!F355=0,"n/a",'Asset lives roll forward'!F355)</f>
        <v>n/a</v>
      </c>
      <c r="M31" s="295"/>
      <c r="N31" s="322">
        <f>HLOOKUP(IF(Input!$W$7="",5,Input!$W$7),'Tax value roll forward'!$M$2:$R$37,31,FALSE)</f>
        <v>0</v>
      </c>
      <c r="O31" s="294" t="str">
        <f ca="1">IF('Asset lives roll forward'!K355=0,"n/a",'Asset lives roll forward'!K355)</f>
        <v>n/a</v>
      </c>
      <c r="P31" s="295"/>
      <c r="Q31" s="285"/>
      <c r="R31" s="12"/>
      <c r="S31" s="44"/>
      <c r="T31" s="44"/>
      <c r="U31" s="44"/>
      <c r="V31" s="44"/>
      <c r="W31" s="44"/>
      <c r="X31" s="44"/>
      <c r="Y31" s="44"/>
      <c r="Z31" s="44"/>
    </row>
    <row r="32" spans="1:26">
      <c r="A32" s="9"/>
      <c r="B32" s="9"/>
      <c r="C32" s="9"/>
      <c r="D32" s="9"/>
      <c r="E32" s="402" t="str">
        <f>Input!F32</f>
        <v>Asset Class 26</v>
      </c>
      <c r="F32" s="403"/>
      <c r="G32" s="400">
        <f>Asset26</f>
        <v>0</v>
      </c>
      <c r="H32" s="401"/>
      <c r="I32" s="401"/>
      <c r="J32" s="315">
        <f>HLOOKUP(IF(Input!$W$7="",5,Input!$W$7),'Total actual RAB roll forward'!$L$360:$Q$391,28,FALSE)</f>
        <v>0</v>
      </c>
      <c r="K32" s="294">
        <f>HLOOKUP(IF(Input!$W$7="",5,Input!$W$7),'Total actual RAB roll forward'!$L$652:$Q$683,28,FALSE)</f>
        <v>0</v>
      </c>
      <c r="L32" s="294" t="str">
        <f ca="1">IF('Asset lives roll forward'!F369=0,"n/a",'Asset lives roll forward'!F369)</f>
        <v>n/a</v>
      </c>
      <c r="M32" s="295"/>
      <c r="N32" s="322">
        <f>HLOOKUP(IF(Input!$W$7="",5,Input!$W$7),'Tax value roll forward'!$M$2:$R$37,32,FALSE)</f>
        <v>0</v>
      </c>
      <c r="O32" s="294" t="str">
        <f ca="1">IF('Asset lives roll forward'!K369=0,"n/a",'Asset lives roll forward'!K369)</f>
        <v>n/a</v>
      </c>
      <c r="P32" s="295"/>
      <c r="Q32" s="285"/>
      <c r="R32" s="12"/>
      <c r="S32" s="44"/>
      <c r="T32" s="44"/>
      <c r="U32" s="44"/>
      <c r="V32" s="44"/>
      <c r="W32" s="44"/>
      <c r="X32" s="44"/>
      <c r="Y32" s="44"/>
      <c r="Z32" s="44"/>
    </row>
    <row r="33" spans="1:26">
      <c r="A33" s="9"/>
      <c r="B33" s="9"/>
      <c r="C33" s="9"/>
      <c r="D33" s="9"/>
      <c r="E33" s="402" t="str">
        <f>Input!F33</f>
        <v>Asset Class 27</v>
      </c>
      <c r="F33" s="403"/>
      <c r="G33" s="400">
        <f>Asset27</f>
        <v>0</v>
      </c>
      <c r="H33" s="401"/>
      <c r="I33" s="401"/>
      <c r="J33" s="315">
        <f>HLOOKUP(IF(Input!$W$7="",5,Input!$W$7),'Total actual RAB roll forward'!$L$360:$Q$391,29,FALSE)</f>
        <v>0</v>
      </c>
      <c r="K33" s="294">
        <f>HLOOKUP(IF(Input!$W$7="",5,Input!$W$7),'Total actual RAB roll forward'!$L$652:$Q$683,29,FALSE)</f>
        <v>0</v>
      </c>
      <c r="L33" s="294" t="str">
        <f ca="1">IF('Asset lives roll forward'!F383=0,"n/a",'Asset lives roll forward'!F383)</f>
        <v>n/a</v>
      </c>
      <c r="M33" s="295"/>
      <c r="N33" s="322">
        <f>HLOOKUP(IF(Input!$W$7="",5,Input!$W$7),'Tax value roll forward'!$M$2:$R$37,33,FALSE)</f>
        <v>0</v>
      </c>
      <c r="O33" s="294" t="str">
        <f ca="1">IF('Asset lives roll forward'!K383=0,"n/a",'Asset lives roll forward'!K383)</f>
        <v>n/a</v>
      </c>
      <c r="P33" s="295"/>
      <c r="Q33" s="285"/>
      <c r="R33" s="12"/>
      <c r="S33" s="44"/>
      <c r="T33" s="44"/>
      <c r="U33" s="44"/>
      <c r="V33" s="44"/>
      <c r="W33" s="44"/>
      <c r="X33" s="44"/>
      <c r="Y33" s="44"/>
      <c r="Z33" s="44"/>
    </row>
    <row r="34" spans="1:26">
      <c r="A34" s="9"/>
      <c r="B34" s="9"/>
      <c r="C34" s="9"/>
      <c r="D34" s="9"/>
      <c r="E34" s="402" t="str">
        <f>Input!F34</f>
        <v>Asset Class 28</v>
      </c>
      <c r="F34" s="403"/>
      <c r="G34" s="400">
        <f>Asset28</f>
        <v>0</v>
      </c>
      <c r="H34" s="401"/>
      <c r="I34" s="401"/>
      <c r="J34" s="315">
        <f>HLOOKUP(IF(Input!$W$7="",5,Input!$W$7),'Total actual RAB roll forward'!$L$360:$Q$391,30,FALSE)</f>
        <v>0</v>
      </c>
      <c r="K34" s="294">
        <f>HLOOKUP(IF(Input!$W$7="",5,Input!$W$7),'Total actual RAB roll forward'!$L$652:$Q$683,30,FALSE)</f>
        <v>0</v>
      </c>
      <c r="L34" s="294" t="str">
        <f ca="1">IF('Asset lives roll forward'!F397=0,"n/a",'Asset lives roll forward'!F397)</f>
        <v>n/a</v>
      </c>
      <c r="M34" s="295"/>
      <c r="N34" s="322">
        <f>HLOOKUP(IF(Input!$W$7="",5,Input!$W$7),'Tax value roll forward'!$M$2:$R$37,34,FALSE)</f>
        <v>0</v>
      </c>
      <c r="O34" s="294" t="str">
        <f ca="1">IF('Asset lives roll forward'!K397=0,"n/a",'Asset lives roll forward'!K397)</f>
        <v>n/a</v>
      </c>
      <c r="P34" s="295"/>
      <c r="Q34" s="285"/>
      <c r="R34" s="12"/>
      <c r="S34" s="44"/>
      <c r="T34" s="44"/>
      <c r="U34" s="44"/>
      <c r="V34" s="44"/>
      <c r="W34" s="44"/>
      <c r="X34" s="44"/>
      <c r="Y34" s="44"/>
      <c r="Z34" s="44"/>
    </row>
    <row r="35" spans="1:26">
      <c r="A35" s="9"/>
      <c r="B35" s="9"/>
      <c r="C35" s="9"/>
      <c r="D35" s="9"/>
      <c r="E35" s="402" t="str">
        <f>Input!F35</f>
        <v>Asset Class 29</v>
      </c>
      <c r="F35" s="403"/>
      <c r="G35" s="400">
        <f>Asset29</f>
        <v>0</v>
      </c>
      <c r="H35" s="401"/>
      <c r="I35" s="401"/>
      <c r="J35" s="315">
        <f>HLOOKUP(IF(Input!$W$7="",5,Input!$W$7),'Total actual RAB roll forward'!$L$360:$Q$391,31,FALSE)</f>
        <v>0</v>
      </c>
      <c r="K35" s="294">
        <f>HLOOKUP(IF(Input!$W$7="",5,Input!$W$7),'Total actual RAB roll forward'!$L$652:$Q$683,31,FALSE)</f>
        <v>0</v>
      </c>
      <c r="L35" s="294" t="str">
        <f ca="1">IF('Asset lives roll forward'!F411=0,"n/a",'Asset lives roll forward'!F411)</f>
        <v>n/a</v>
      </c>
      <c r="M35" s="295"/>
      <c r="N35" s="322">
        <f>HLOOKUP(IF(Input!$W$7="",5,Input!$W$7),'Tax value roll forward'!$M$2:$R$37,35,FALSE)</f>
        <v>0</v>
      </c>
      <c r="O35" s="294" t="str">
        <f ca="1">IF('Asset lives roll forward'!K411=0,"n/a",'Asset lives roll forward'!K411)</f>
        <v>n/a</v>
      </c>
      <c r="P35" s="295"/>
      <c r="Q35" s="285"/>
      <c r="R35" s="12"/>
      <c r="S35" s="44"/>
      <c r="T35" s="44"/>
      <c r="U35" s="44"/>
      <c r="V35" s="44"/>
      <c r="W35" s="44"/>
      <c r="X35" s="44"/>
      <c r="Y35" s="44"/>
      <c r="Z35" s="44"/>
    </row>
    <row r="36" spans="1:26">
      <c r="A36" s="9"/>
      <c r="B36" s="9"/>
      <c r="C36" s="9"/>
      <c r="D36" s="9"/>
      <c r="E36" s="402" t="str">
        <f>Input!F36</f>
        <v>Asset Class 30</v>
      </c>
      <c r="F36" s="403"/>
      <c r="G36" s="400">
        <f>Asset30</f>
        <v>0</v>
      </c>
      <c r="H36" s="401"/>
      <c r="I36" s="401"/>
      <c r="J36" s="315">
        <f>HLOOKUP(IF(Input!$W$7="",5,Input!$W$7),'Total actual RAB roll forward'!$L$360:$Q$391,32,FALSE)</f>
        <v>0</v>
      </c>
      <c r="K36" s="294">
        <f>HLOOKUP(IF(Input!$W$7="",5,Input!$W$7),'Total actual RAB roll forward'!$L$652:$Q$683,32,FALSE)</f>
        <v>0</v>
      </c>
      <c r="L36" s="294" t="str">
        <f ca="1">IF('Asset lives roll forward'!F425=0,"n/a",'Asset lives roll forward'!F425)</f>
        <v>n/a</v>
      </c>
      <c r="M36" s="295"/>
      <c r="N36" s="322">
        <f>HLOOKUP(IF(Input!$W$7="",5,Input!$W$7),'Tax value roll forward'!$M$2:$R$37,36,FALSE)</f>
        <v>0</v>
      </c>
      <c r="O36" s="294" t="str">
        <f ca="1">IF('Asset lives roll forward'!K425=0,"n/a",'Asset lives roll forward'!K425)</f>
        <v>n/a</v>
      </c>
      <c r="P36" s="295"/>
      <c r="Q36" s="285"/>
      <c r="R36" s="12"/>
      <c r="S36" s="44"/>
      <c r="T36" s="44"/>
      <c r="U36" s="44"/>
      <c r="V36" s="44"/>
      <c r="W36" s="44"/>
      <c r="X36" s="44"/>
      <c r="Y36" s="44"/>
      <c r="Z36" s="44"/>
    </row>
    <row r="37" spans="1:26">
      <c r="A37" s="9"/>
      <c r="B37" s="9"/>
      <c r="C37" s="9"/>
      <c r="D37" s="9"/>
      <c r="E37" s="118" t="s">
        <v>19</v>
      </c>
      <c r="F37" s="35"/>
      <c r="G37" s="264"/>
      <c r="H37" s="273"/>
      <c r="I37" s="268"/>
      <c r="J37" s="380">
        <f>SUM(J7:J36)</f>
        <v>1416.8385394742675</v>
      </c>
      <c r="K37" s="380">
        <f>SUM(K7:K36)</f>
        <v>1352.6254197620999</v>
      </c>
      <c r="L37" s="332"/>
      <c r="M37" s="114"/>
      <c r="N37" s="35">
        <f>SUM(N7:N36)</f>
        <v>1132.679082998975</v>
      </c>
      <c r="O37" s="9"/>
      <c r="P37" s="9"/>
      <c r="Q37" s="9"/>
      <c r="R37" s="9"/>
      <c r="S37" s="44"/>
      <c r="T37" s="44"/>
      <c r="U37" s="44"/>
      <c r="V37" s="44"/>
      <c r="W37" s="44"/>
      <c r="X37" s="44"/>
      <c r="Y37" s="44"/>
      <c r="Z37" s="44"/>
    </row>
    <row r="38" spans="1:26">
      <c r="A38" s="9"/>
      <c r="B38" s="9"/>
      <c r="C38" s="9"/>
      <c r="D38" s="9"/>
      <c r="E38" s="35"/>
      <c r="F38" s="35"/>
      <c r="G38" s="264"/>
      <c r="H38" s="273"/>
      <c r="I38" s="268"/>
      <c r="J38" s="268"/>
      <c r="K38" s="273"/>
      <c r="L38" s="268"/>
      <c r="M38" s="114"/>
      <c r="N38" s="9"/>
      <c r="O38" s="9"/>
      <c r="P38" s="9"/>
      <c r="Q38" s="9"/>
      <c r="R38" s="9"/>
      <c r="S38" s="44"/>
      <c r="T38" s="44"/>
      <c r="U38" s="44"/>
      <c r="V38" s="44"/>
      <c r="W38" s="44"/>
      <c r="X38" s="44"/>
      <c r="Y38" s="44"/>
      <c r="Z38" s="44"/>
    </row>
    <row r="39" spans="1:26">
      <c r="A39" s="9"/>
      <c r="B39" s="9"/>
      <c r="C39" s="9"/>
      <c r="D39" s="9"/>
      <c r="E39" s="35"/>
      <c r="F39" s="35"/>
      <c r="G39" s="264"/>
      <c r="H39" s="273"/>
      <c r="I39" s="268"/>
      <c r="J39" s="268"/>
      <c r="K39" s="273"/>
      <c r="L39" s="268"/>
      <c r="M39" s="114"/>
      <c r="N39" s="9"/>
      <c r="O39" s="9"/>
      <c r="P39" s="9"/>
      <c r="Q39" s="9"/>
      <c r="R39" s="9"/>
      <c r="S39" s="44"/>
      <c r="T39" s="44"/>
      <c r="U39" s="44"/>
      <c r="V39" s="44"/>
      <c r="W39" s="44"/>
      <c r="X39" s="44"/>
      <c r="Y39" s="44"/>
      <c r="Z39" s="44"/>
    </row>
    <row r="40" spans="1:26">
      <c r="A40" s="9"/>
      <c r="B40" s="9"/>
      <c r="C40" s="9"/>
      <c r="D40" s="9"/>
      <c r="E40" s="35"/>
      <c r="F40" s="35"/>
      <c r="G40" s="264"/>
      <c r="H40" s="273"/>
      <c r="I40" s="268"/>
      <c r="J40" s="268"/>
      <c r="K40" s="273"/>
      <c r="L40" s="268"/>
      <c r="M40" s="114"/>
      <c r="N40" s="9"/>
      <c r="O40" s="9"/>
      <c r="P40" s="9"/>
      <c r="Q40" s="9"/>
      <c r="R40" s="9"/>
      <c r="S40" s="44"/>
      <c r="T40" s="44"/>
      <c r="U40" s="44"/>
      <c r="V40" s="44"/>
      <c r="W40" s="44"/>
      <c r="X40" s="44"/>
      <c r="Y40" s="44"/>
      <c r="Z40" s="44"/>
    </row>
    <row r="41" spans="1:26">
      <c r="A41" s="9"/>
      <c r="B41" s="9"/>
      <c r="C41" s="9"/>
      <c r="D41" s="9"/>
      <c r="E41" s="35"/>
      <c r="F41" s="35"/>
      <c r="G41" s="264"/>
      <c r="H41" s="273"/>
      <c r="I41" s="268"/>
      <c r="J41" s="268"/>
      <c r="K41" s="273"/>
      <c r="L41" s="268"/>
      <c r="M41" s="114"/>
      <c r="N41" s="9"/>
      <c r="O41" s="9"/>
      <c r="P41" s="9"/>
      <c r="Q41" s="9"/>
      <c r="R41" s="9"/>
      <c r="S41" s="44"/>
      <c r="T41" s="44"/>
      <c r="U41" s="44"/>
      <c r="V41" s="44"/>
      <c r="W41" s="44"/>
      <c r="X41" s="44"/>
      <c r="Y41" s="44"/>
      <c r="Z41" s="44"/>
    </row>
    <row r="42" spans="1:26">
      <c r="A42" s="9"/>
      <c r="B42" s="9"/>
      <c r="C42" s="9"/>
      <c r="D42" s="9"/>
      <c r="E42" s="35"/>
      <c r="F42" s="35"/>
      <c r="G42" s="264"/>
      <c r="H42" s="273"/>
      <c r="I42" s="268"/>
      <c r="J42" s="379"/>
      <c r="K42" s="379"/>
      <c r="L42" s="268"/>
      <c r="M42" s="114"/>
      <c r="N42" s="9"/>
      <c r="O42" s="9"/>
      <c r="P42" s="9"/>
      <c r="Q42" s="9"/>
      <c r="R42" s="9"/>
      <c r="S42" s="44"/>
      <c r="T42" s="44"/>
      <c r="U42" s="44"/>
      <c r="V42" s="44"/>
      <c r="W42" s="44"/>
      <c r="X42" s="44"/>
      <c r="Y42" s="44"/>
      <c r="Z42" s="44"/>
    </row>
    <row r="43" spans="1:26">
      <c r="A43" s="9"/>
      <c r="B43" s="9"/>
      <c r="C43" s="9"/>
      <c r="D43" s="9"/>
      <c r="E43" s="35"/>
      <c r="F43" s="35"/>
      <c r="G43" s="264"/>
      <c r="H43" s="273"/>
      <c r="I43" s="268"/>
      <c r="J43" s="268"/>
      <c r="K43" s="273"/>
      <c r="L43" s="268"/>
      <c r="M43" s="114"/>
      <c r="N43" s="9"/>
      <c r="O43" s="9"/>
      <c r="P43" s="9"/>
      <c r="Q43" s="9"/>
      <c r="R43" s="9"/>
      <c r="S43" s="44"/>
      <c r="T43" s="44"/>
      <c r="U43" s="44"/>
      <c r="V43" s="44"/>
      <c r="W43" s="44"/>
      <c r="X43" s="44"/>
      <c r="Y43" s="44"/>
      <c r="Z43" s="44"/>
    </row>
    <row r="44" spans="1:26">
      <c r="A44" s="9"/>
      <c r="B44" s="9"/>
      <c r="C44" s="9"/>
      <c r="D44" s="9"/>
      <c r="E44" s="35"/>
      <c r="F44" s="35"/>
      <c r="G44" s="264"/>
      <c r="H44" s="273"/>
      <c r="I44" s="268"/>
      <c r="J44" s="268"/>
      <c r="K44" s="273"/>
      <c r="L44" s="268"/>
      <c r="M44" s="114"/>
      <c r="N44" s="9"/>
      <c r="O44" s="9"/>
      <c r="P44" s="9"/>
      <c r="Q44" s="9"/>
      <c r="R44" s="9"/>
      <c r="S44" s="44"/>
      <c r="T44" s="44"/>
      <c r="U44" s="44"/>
      <c r="V44" s="44"/>
      <c r="W44" s="44"/>
      <c r="X44" s="44"/>
      <c r="Y44" s="44"/>
      <c r="Z44" s="44"/>
    </row>
    <row r="45" spans="1:26">
      <c r="A45" s="9"/>
      <c r="B45" s="9"/>
      <c r="C45" s="9"/>
      <c r="D45" s="9"/>
      <c r="E45" s="35"/>
      <c r="F45" s="35"/>
      <c r="G45" s="264"/>
      <c r="H45" s="273"/>
      <c r="I45" s="268"/>
      <c r="J45" s="268"/>
      <c r="K45" s="273"/>
      <c r="L45" s="268"/>
      <c r="M45" s="114"/>
      <c r="N45" s="9"/>
      <c r="O45" s="9"/>
      <c r="P45" s="9"/>
      <c r="Q45" s="9"/>
      <c r="R45" s="9"/>
      <c r="S45" s="44"/>
      <c r="T45" s="44"/>
      <c r="U45" s="44"/>
      <c r="V45" s="44"/>
      <c r="W45" s="44"/>
      <c r="X45" s="44"/>
      <c r="Y45" s="44"/>
      <c r="Z45" s="44"/>
    </row>
    <row r="46" spans="1:26">
      <c r="A46" s="9"/>
      <c r="B46" s="9"/>
      <c r="C46" s="9"/>
      <c r="D46" s="9"/>
      <c r="E46" s="35"/>
      <c r="F46" s="35"/>
      <c r="G46" s="264"/>
      <c r="H46" s="273"/>
      <c r="I46" s="268"/>
      <c r="J46" s="268"/>
      <c r="K46" s="273"/>
      <c r="L46" s="268"/>
      <c r="M46" s="114"/>
      <c r="N46" s="9"/>
      <c r="O46" s="9"/>
      <c r="P46" s="9"/>
      <c r="Q46" s="9"/>
      <c r="R46" s="9"/>
      <c r="S46" s="44"/>
      <c r="T46" s="44"/>
      <c r="U46" s="44"/>
      <c r="V46" s="44"/>
      <c r="W46" s="44"/>
      <c r="X46" s="44"/>
      <c r="Y46" s="44"/>
      <c r="Z46" s="44"/>
    </row>
    <row r="47" spans="1:26">
      <c r="A47" s="9"/>
      <c r="B47" s="9"/>
      <c r="C47" s="9"/>
      <c r="D47" s="9"/>
      <c r="E47" s="35"/>
      <c r="F47" s="35"/>
      <c r="G47" s="264"/>
      <c r="H47" s="273"/>
      <c r="I47" s="268"/>
      <c r="J47" s="268"/>
      <c r="K47" s="273"/>
      <c r="L47" s="268"/>
      <c r="M47" s="114"/>
      <c r="N47" s="9"/>
      <c r="O47" s="9"/>
      <c r="P47" s="9"/>
      <c r="Q47" s="9"/>
      <c r="R47" s="9"/>
      <c r="S47" s="44"/>
      <c r="T47" s="44"/>
      <c r="U47" s="44"/>
      <c r="V47" s="44"/>
      <c r="W47" s="44"/>
      <c r="X47" s="44"/>
      <c r="Y47" s="44"/>
      <c r="Z47" s="44"/>
    </row>
    <row r="48" spans="1:26">
      <c r="A48" s="9"/>
      <c r="B48" s="9"/>
      <c r="C48" s="9"/>
      <c r="D48" s="9"/>
      <c r="E48" s="35"/>
      <c r="F48" s="35"/>
      <c r="G48" s="264"/>
      <c r="H48" s="273"/>
      <c r="I48" s="268"/>
      <c r="J48" s="268"/>
      <c r="K48" s="273"/>
      <c r="L48" s="268"/>
      <c r="M48" s="114"/>
      <c r="N48" s="9"/>
      <c r="O48" s="9"/>
      <c r="P48" s="9"/>
      <c r="Q48" s="9"/>
      <c r="R48" s="9"/>
      <c r="S48" s="44"/>
      <c r="T48" s="44"/>
      <c r="U48" s="44"/>
      <c r="V48" s="44"/>
      <c r="W48" s="44"/>
      <c r="X48" s="44"/>
      <c r="Y48" s="44"/>
      <c r="Z48" s="44"/>
    </row>
    <row r="49" spans="1:26">
      <c r="A49" s="9"/>
      <c r="B49" s="9"/>
      <c r="C49" s="9"/>
      <c r="D49" s="9"/>
      <c r="E49" s="35"/>
      <c r="F49" s="35"/>
      <c r="G49" s="264"/>
      <c r="H49" s="273"/>
      <c r="I49" s="268"/>
      <c r="J49" s="268"/>
      <c r="K49" s="273"/>
      <c r="L49" s="268"/>
      <c r="M49" s="114"/>
      <c r="N49" s="9"/>
      <c r="O49" s="9"/>
      <c r="P49" s="9"/>
      <c r="Q49" s="9"/>
      <c r="R49" s="9"/>
      <c r="S49" s="44"/>
      <c r="T49" s="44"/>
      <c r="U49" s="44"/>
      <c r="V49" s="44"/>
      <c r="W49" s="44"/>
      <c r="X49" s="44"/>
      <c r="Y49" s="44"/>
      <c r="Z49" s="44"/>
    </row>
    <row r="50" spans="1:26">
      <c r="A50" s="9"/>
      <c r="B50" s="9"/>
      <c r="C50" s="9"/>
      <c r="D50" s="9"/>
      <c r="E50" s="35"/>
      <c r="F50" s="35"/>
      <c r="G50" s="264"/>
      <c r="H50" s="273"/>
      <c r="I50" s="268"/>
      <c r="J50" s="268"/>
      <c r="K50" s="273"/>
      <c r="L50" s="268"/>
      <c r="M50" s="114"/>
      <c r="N50" s="9"/>
      <c r="O50" s="9"/>
      <c r="P50" s="9"/>
      <c r="Q50" s="9"/>
      <c r="R50" s="9"/>
      <c r="S50" s="44"/>
      <c r="T50" s="44"/>
      <c r="U50" s="44"/>
      <c r="V50" s="44"/>
      <c r="W50" s="44"/>
      <c r="X50" s="44"/>
      <c r="Y50" s="44"/>
      <c r="Z50" s="44"/>
    </row>
    <row r="51" spans="1:26">
      <c r="A51" s="9"/>
      <c r="B51" s="9"/>
      <c r="C51" s="9"/>
      <c r="D51" s="9"/>
      <c r="E51" s="35"/>
      <c r="F51" s="35"/>
      <c r="G51" s="264"/>
      <c r="H51" s="273"/>
      <c r="I51" s="268"/>
      <c r="J51" s="268"/>
      <c r="K51" s="273"/>
      <c r="L51" s="268"/>
      <c r="M51" s="114"/>
      <c r="N51" s="9"/>
      <c r="O51" s="9"/>
      <c r="P51" s="9"/>
      <c r="Q51" s="9"/>
      <c r="R51" s="9"/>
      <c r="S51" s="44"/>
      <c r="T51" s="44"/>
      <c r="U51" s="44"/>
      <c r="V51" s="44"/>
      <c r="W51" s="44"/>
      <c r="X51" s="44"/>
      <c r="Y51" s="44"/>
      <c r="Z51" s="44"/>
    </row>
    <row r="52" spans="1:26">
      <c r="A52" s="9"/>
      <c r="B52" s="9"/>
      <c r="C52" s="9"/>
      <c r="D52" s="9"/>
      <c r="E52" s="35"/>
      <c r="F52" s="35"/>
      <c r="G52" s="264"/>
      <c r="H52" s="273"/>
      <c r="I52" s="268"/>
      <c r="J52" s="268"/>
      <c r="K52" s="273"/>
      <c r="L52" s="268"/>
      <c r="M52" s="114"/>
      <c r="N52" s="9"/>
      <c r="O52" s="9"/>
      <c r="P52" s="9"/>
      <c r="Q52" s="9"/>
      <c r="R52" s="9"/>
      <c r="S52" s="44"/>
      <c r="T52" s="44"/>
      <c r="U52" s="44"/>
      <c r="V52" s="44"/>
      <c r="W52" s="44"/>
      <c r="X52" s="44"/>
      <c r="Y52" s="44"/>
      <c r="Z52" s="44"/>
    </row>
    <row r="53" spans="1:26">
      <c r="A53" s="9"/>
      <c r="B53" s="9"/>
      <c r="C53" s="9"/>
      <c r="D53" s="9"/>
      <c r="E53" s="35"/>
      <c r="F53" s="35"/>
      <c r="G53" s="264"/>
      <c r="H53" s="273"/>
      <c r="I53" s="268"/>
      <c r="J53" s="268"/>
      <c r="K53" s="273"/>
      <c r="L53" s="268"/>
      <c r="M53" s="114"/>
      <c r="N53" s="9"/>
      <c r="O53" s="9"/>
      <c r="P53" s="9"/>
      <c r="Q53" s="9"/>
      <c r="R53" s="9"/>
      <c r="S53" s="44"/>
      <c r="T53" s="44"/>
      <c r="U53" s="44"/>
      <c r="V53" s="44"/>
      <c r="W53" s="44"/>
      <c r="X53" s="44"/>
      <c r="Y53" s="44"/>
      <c r="Z53" s="44"/>
    </row>
    <row r="54" spans="1:26">
      <c r="A54" s="9"/>
      <c r="B54" s="9"/>
      <c r="C54" s="9"/>
      <c r="D54" s="9"/>
      <c r="E54" s="35"/>
      <c r="F54" s="35"/>
      <c r="G54" s="264"/>
      <c r="H54" s="273"/>
      <c r="I54" s="268"/>
      <c r="J54" s="268"/>
      <c r="K54" s="273"/>
      <c r="L54" s="268"/>
      <c r="M54" s="114"/>
      <c r="N54" s="9"/>
      <c r="O54" s="9"/>
      <c r="P54" s="9"/>
      <c r="Q54" s="9"/>
      <c r="R54" s="9"/>
      <c r="S54" s="44"/>
      <c r="T54" s="44"/>
      <c r="U54" s="44"/>
      <c r="V54" s="44"/>
      <c r="W54" s="44"/>
      <c r="X54" s="44"/>
      <c r="Y54" s="44"/>
      <c r="Z54" s="44"/>
    </row>
    <row r="55" spans="1:26">
      <c r="A55" s="9"/>
      <c r="B55" s="9"/>
      <c r="C55" s="9"/>
      <c r="D55" s="9"/>
      <c r="E55" s="35"/>
      <c r="F55" s="35"/>
      <c r="G55" s="264"/>
      <c r="H55" s="273"/>
      <c r="I55" s="268"/>
      <c r="J55" s="268"/>
      <c r="K55" s="273"/>
      <c r="L55" s="268"/>
      <c r="M55" s="114"/>
      <c r="N55" s="9"/>
      <c r="O55" s="9"/>
      <c r="P55" s="9"/>
      <c r="Q55" s="9"/>
      <c r="R55" s="9"/>
      <c r="S55" s="44"/>
      <c r="T55" s="44"/>
      <c r="U55" s="44"/>
      <c r="V55" s="44"/>
      <c r="W55" s="44"/>
      <c r="X55" s="44"/>
      <c r="Y55" s="44"/>
      <c r="Z55" s="44"/>
    </row>
    <row r="56" spans="1:26">
      <c r="A56" s="9"/>
      <c r="B56" s="9"/>
      <c r="C56" s="9"/>
      <c r="D56" s="9"/>
      <c r="E56" s="35"/>
      <c r="F56" s="35"/>
      <c r="G56" s="264"/>
      <c r="H56" s="273"/>
      <c r="I56" s="268"/>
      <c r="J56" s="268"/>
      <c r="K56" s="273"/>
      <c r="L56" s="268"/>
      <c r="M56" s="114"/>
      <c r="N56" s="9"/>
      <c r="O56" s="9"/>
      <c r="P56" s="9"/>
      <c r="Q56" s="9"/>
      <c r="R56" s="9"/>
      <c r="S56" s="44"/>
      <c r="T56" s="44"/>
      <c r="U56" s="44"/>
      <c r="V56" s="44"/>
      <c r="W56" s="44"/>
      <c r="X56" s="44"/>
      <c r="Y56" s="44"/>
      <c r="Z56" s="44"/>
    </row>
    <row r="57" spans="1:26">
      <c r="A57" s="9"/>
      <c r="B57" s="9"/>
      <c r="C57" s="9"/>
      <c r="D57" s="9"/>
      <c r="E57" s="35"/>
      <c r="F57" s="35"/>
      <c r="G57" s="264"/>
      <c r="H57" s="273"/>
      <c r="I57" s="268"/>
      <c r="J57" s="268"/>
      <c r="K57" s="273"/>
      <c r="L57" s="268"/>
      <c r="M57" s="114"/>
      <c r="N57" s="9"/>
      <c r="O57" s="9"/>
      <c r="P57" s="9"/>
      <c r="Q57" s="9"/>
      <c r="R57" s="9"/>
      <c r="S57" s="44"/>
      <c r="T57" s="44"/>
      <c r="U57" s="44"/>
      <c r="V57" s="44"/>
      <c r="W57" s="44"/>
      <c r="X57" s="44"/>
      <c r="Y57" s="44"/>
      <c r="Z57" s="44"/>
    </row>
    <row r="58" spans="1:26">
      <c r="A58" s="9"/>
      <c r="B58" s="9"/>
      <c r="C58" s="9"/>
      <c r="D58" s="9"/>
      <c r="E58" s="35"/>
      <c r="F58" s="35"/>
      <c r="G58" s="264"/>
      <c r="H58" s="273"/>
      <c r="I58" s="268"/>
      <c r="J58" s="268"/>
      <c r="K58" s="273"/>
      <c r="L58" s="268"/>
      <c r="M58" s="114"/>
      <c r="N58" s="9"/>
      <c r="O58" s="9"/>
      <c r="P58" s="9"/>
      <c r="Q58" s="9"/>
      <c r="R58" s="9"/>
      <c r="S58" s="44"/>
      <c r="T58" s="44"/>
      <c r="U58" s="44"/>
      <c r="V58" s="44"/>
      <c r="W58" s="44"/>
      <c r="X58" s="44"/>
      <c r="Y58" s="44"/>
      <c r="Z58" s="44"/>
    </row>
    <row r="59" spans="1:26">
      <c r="A59" s="9"/>
      <c r="B59" s="9"/>
      <c r="C59" s="9"/>
      <c r="D59" s="9"/>
      <c r="E59" s="35"/>
      <c r="F59" s="35"/>
      <c r="G59" s="264"/>
      <c r="H59" s="273"/>
      <c r="I59" s="268"/>
      <c r="J59" s="268"/>
      <c r="K59" s="273"/>
      <c r="L59" s="268"/>
      <c r="M59" s="114"/>
      <c r="N59" s="9"/>
      <c r="O59" s="9"/>
      <c r="P59" s="9"/>
      <c r="Q59" s="9"/>
      <c r="R59" s="9"/>
      <c r="S59" s="44"/>
      <c r="T59" s="44"/>
      <c r="U59" s="44"/>
      <c r="V59" s="44"/>
      <c r="W59" s="44"/>
      <c r="X59" s="44"/>
      <c r="Y59" s="44"/>
      <c r="Z59" s="44"/>
    </row>
    <row r="60" spans="1:26">
      <c r="A60" s="9"/>
      <c r="B60" s="9"/>
      <c r="C60" s="9"/>
      <c r="D60" s="9"/>
      <c r="E60" s="35"/>
      <c r="F60" s="35"/>
      <c r="G60" s="264"/>
      <c r="H60" s="273"/>
      <c r="I60" s="268"/>
      <c r="J60" s="268"/>
      <c r="K60" s="273"/>
      <c r="L60" s="268"/>
      <c r="M60" s="114"/>
      <c r="N60" s="9"/>
      <c r="O60" s="9"/>
      <c r="P60" s="9"/>
      <c r="Q60" s="9"/>
      <c r="R60" s="9"/>
      <c r="S60" s="44"/>
      <c r="T60" s="44"/>
      <c r="U60" s="44"/>
      <c r="V60" s="44"/>
      <c r="W60" s="44"/>
      <c r="X60" s="44"/>
      <c r="Y60" s="44"/>
      <c r="Z60" s="44"/>
    </row>
    <row r="61" spans="1:26">
      <c r="A61" s="9"/>
      <c r="B61" s="9"/>
      <c r="C61" s="9"/>
      <c r="D61" s="9"/>
      <c r="E61" s="35"/>
      <c r="F61" s="35"/>
      <c r="G61" s="264"/>
      <c r="H61" s="273"/>
      <c r="I61" s="268"/>
      <c r="J61" s="268"/>
      <c r="K61" s="273"/>
      <c r="L61" s="268"/>
      <c r="M61" s="114"/>
      <c r="N61" s="9"/>
      <c r="O61" s="9"/>
      <c r="P61" s="9"/>
      <c r="Q61" s="9"/>
      <c r="R61" s="9"/>
      <c r="S61" s="44"/>
      <c r="T61" s="44"/>
      <c r="U61" s="44"/>
      <c r="V61" s="44"/>
      <c r="W61" s="44"/>
      <c r="X61" s="44"/>
      <c r="Y61" s="44"/>
      <c r="Z61" s="44"/>
    </row>
    <row r="62" spans="1:26">
      <c r="A62" s="9"/>
      <c r="B62" s="9"/>
      <c r="C62" s="9"/>
      <c r="D62" s="9"/>
      <c r="E62" s="35"/>
      <c r="F62" s="35"/>
      <c r="G62" s="264"/>
      <c r="H62" s="273"/>
      <c r="I62" s="268"/>
      <c r="J62" s="268"/>
      <c r="K62" s="273"/>
      <c r="L62" s="268"/>
      <c r="M62" s="114"/>
      <c r="N62" s="9"/>
      <c r="O62" s="9"/>
      <c r="P62" s="9"/>
      <c r="Q62" s="9"/>
      <c r="R62" s="9"/>
      <c r="S62" s="44"/>
      <c r="T62" s="44"/>
      <c r="U62" s="44"/>
      <c r="V62" s="44"/>
      <c r="W62" s="44"/>
      <c r="X62" s="44"/>
      <c r="Y62" s="44"/>
      <c r="Z62" s="44"/>
    </row>
    <row r="63" spans="1:26">
      <c r="A63" s="9"/>
      <c r="B63" s="9"/>
      <c r="C63" s="9"/>
      <c r="D63" s="9"/>
      <c r="E63" s="35"/>
      <c r="F63" s="35"/>
      <c r="G63" s="264"/>
      <c r="H63" s="273"/>
      <c r="I63" s="268"/>
      <c r="J63" s="268"/>
      <c r="K63" s="273"/>
      <c r="L63" s="268"/>
      <c r="M63" s="114"/>
      <c r="N63" s="9"/>
      <c r="O63" s="9"/>
      <c r="P63" s="9"/>
      <c r="Q63" s="9"/>
      <c r="R63" s="9"/>
      <c r="S63" s="44"/>
      <c r="T63" s="44"/>
      <c r="U63" s="44"/>
      <c r="V63" s="44"/>
      <c r="W63" s="44"/>
      <c r="X63" s="44"/>
      <c r="Y63" s="44"/>
      <c r="Z63" s="44"/>
    </row>
    <row r="64" spans="1:26">
      <c r="A64" s="9"/>
      <c r="B64" s="9"/>
      <c r="C64" s="9"/>
      <c r="D64" s="9"/>
      <c r="E64" s="35"/>
      <c r="F64" s="35"/>
      <c r="G64" s="264"/>
      <c r="H64" s="273"/>
      <c r="I64" s="268"/>
      <c r="J64" s="268"/>
      <c r="K64" s="273"/>
      <c r="L64" s="268"/>
      <c r="M64" s="114"/>
      <c r="N64" s="9"/>
      <c r="O64" s="9"/>
      <c r="P64" s="9"/>
      <c r="Q64" s="9"/>
      <c r="R64" s="9"/>
      <c r="S64" s="44"/>
      <c r="T64" s="44"/>
      <c r="U64" s="44"/>
      <c r="V64" s="44"/>
      <c r="W64" s="44"/>
      <c r="X64" s="44"/>
      <c r="Y64" s="44"/>
      <c r="Z64" s="44"/>
    </row>
    <row r="65" spans="1:26">
      <c r="A65" s="9"/>
      <c r="B65" s="9"/>
      <c r="C65" s="9"/>
      <c r="D65" s="9"/>
      <c r="E65" s="35"/>
      <c r="F65" s="35"/>
      <c r="G65" s="264"/>
      <c r="H65" s="273"/>
      <c r="I65" s="268"/>
      <c r="J65" s="268"/>
      <c r="K65" s="273"/>
      <c r="L65" s="268"/>
      <c r="M65" s="114"/>
      <c r="N65" s="9"/>
      <c r="O65" s="9"/>
      <c r="P65" s="9"/>
      <c r="Q65" s="9"/>
      <c r="R65" s="9"/>
      <c r="S65" s="44"/>
      <c r="T65" s="44"/>
      <c r="U65" s="44"/>
      <c r="V65" s="44"/>
      <c r="W65" s="44"/>
      <c r="X65" s="44"/>
      <c r="Y65" s="44"/>
      <c r="Z65" s="44"/>
    </row>
    <row r="66" spans="1:26">
      <c r="A66" s="9"/>
      <c r="B66" s="9"/>
      <c r="C66" s="9"/>
      <c r="D66" s="9"/>
      <c r="E66" s="35"/>
      <c r="F66" s="35"/>
      <c r="G66" s="264"/>
      <c r="H66" s="273"/>
      <c r="I66" s="268"/>
      <c r="J66" s="268"/>
      <c r="K66" s="273"/>
      <c r="L66" s="268"/>
      <c r="M66" s="114"/>
      <c r="N66" s="9"/>
      <c r="O66" s="9"/>
      <c r="P66" s="9"/>
      <c r="Q66" s="9"/>
      <c r="R66" s="9"/>
      <c r="S66" s="44"/>
      <c r="T66" s="44"/>
      <c r="U66" s="44"/>
      <c r="V66" s="44"/>
      <c r="W66" s="44"/>
      <c r="X66" s="44"/>
      <c r="Y66" s="44"/>
      <c r="Z66" s="44"/>
    </row>
    <row r="67" spans="1:26">
      <c r="A67" s="9"/>
      <c r="B67" s="9"/>
      <c r="C67" s="9"/>
      <c r="D67" s="9"/>
      <c r="E67" s="35"/>
      <c r="F67" s="35"/>
      <c r="G67" s="264"/>
      <c r="H67" s="273"/>
      <c r="I67" s="268"/>
      <c r="J67" s="268"/>
      <c r="K67" s="273"/>
      <c r="L67" s="268"/>
      <c r="M67" s="114"/>
      <c r="N67" s="9"/>
      <c r="O67" s="9"/>
      <c r="P67" s="9"/>
      <c r="Q67" s="9"/>
      <c r="R67" s="9"/>
      <c r="S67" s="44"/>
      <c r="T67" s="44"/>
      <c r="U67" s="44"/>
      <c r="V67" s="44"/>
      <c r="W67" s="44"/>
      <c r="X67" s="44"/>
      <c r="Y67" s="44"/>
      <c r="Z67" s="44"/>
    </row>
    <row r="68" spans="1:26">
      <c r="A68" s="9"/>
      <c r="B68" s="9"/>
      <c r="C68" s="9"/>
      <c r="D68" s="9"/>
      <c r="E68" s="35"/>
      <c r="F68" s="35"/>
      <c r="G68" s="264"/>
      <c r="H68" s="273"/>
      <c r="I68" s="268"/>
      <c r="J68" s="268"/>
      <c r="K68" s="273"/>
      <c r="L68" s="268"/>
      <c r="M68" s="114"/>
      <c r="N68" s="9"/>
      <c r="O68" s="9"/>
      <c r="P68" s="9"/>
      <c r="Q68" s="9"/>
      <c r="R68" s="9"/>
      <c r="S68" s="44"/>
      <c r="T68" s="44"/>
      <c r="U68" s="44"/>
      <c r="V68" s="44"/>
      <c r="W68" s="44"/>
      <c r="X68" s="44"/>
      <c r="Y68" s="44"/>
      <c r="Z68" s="44"/>
    </row>
    <row r="69" spans="1:26">
      <c r="A69" s="9"/>
      <c r="B69" s="9"/>
      <c r="C69" s="9"/>
      <c r="D69" s="9"/>
      <c r="E69" s="35"/>
      <c r="F69" s="35"/>
      <c r="G69" s="264"/>
      <c r="H69" s="273"/>
      <c r="I69" s="268"/>
      <c r="J69" s="268"/>
      <c r="K69" s="273"/>
      <c r="L69" s="268"/>
      <c r="M69" s="114"/>
      <c r="N69" s="9"/>
      <c r="O69" s="9"/>
      <c r="P69" s="9"/>
      <c r="Q69" s="9"/>
      <c r="R69" s="9"/>
      <c r="S69" s="44"/>
      <c r="T69" s="44"/>
      <c r="U69" s="44"/>
      <c r="V69" s="44"/>
      <c r="W69" s="44"/>
      <c r="X69" s="44"/>
      <c r="Y69" s="44"/>
      <c r="Z69" s="44"/>
    </row>
    <row r="70" spans="1:26">
      <c r="A70" s="9"/>
      <c r="B70" s="9"/>
      <c r="C70" s="9"/>
      <c r="D70" s="9"/>
      <c r="E70" s="35"/>
      <c r="F70" s="35"/>
      <c r="G70" s="264"/>
      <c r="H70" s="273"/>
      <c r="I70" s="268"/>
      <c r="J70" s="268"/>
      <c r="K70" s="273"/>
      <c r="L70" s="268"/>
      <c r="M70" s="114"/>
      <c r="N70" s="9"/>
      <c r="O70" s="9"/>
      <c r="P70" s="9"/>
      <c r="Q70" s="9"/>
      <c r="R70" s="9"/>
      <c r="S70" s="44"/>
      <c r="T70" s="44"/>
      <c r="U70" s="44"/>
      <c r="V70" s="44"/>
      <c r="W70" s="44"/>
      <c r="X70" s="44"/>
      <c r="Y70" s="44"/>
      <c r="Z70" s="44"/>
    </row>
    <row r="71" spans="1:26">
      <c r="A71" s="9"/>
      <c r="B71" s="9"/>
      <c r="C71" s="9"/>
      <c r="D71" s="9"/>
      <c r="E71" s="35"/>
      <c r="F71" s="35"/>
      <c r="G71" s="264"/>
      <c r="H71" s="273"/>
      <c r="I71" s="268"/>
      <c r="J71" s="268"/>
      <c r="K71" s="273"/>
      <c r="L71" s="268"/>
      <c r="M71" s="114"/>
      <c r="N71" s="9"/>
      <c r="O71" s="9"/>
      <c r="P71" s="9"/>
      <c r="Q71" s="9"/>
      <c r="R71" s="9"/>
      <c r="S71" s="44"/>
      <c r="T71" s="44"/>
      <c r="U71" s="44"/>
      <c r="V71" s="44"/>
      <c r="W71" s="44"/>
      <c r="X71" s="44"/>
      <c r="Y71" s="44"/>
      <c r="Z71" s="44"/>
    </row>
    <row r="72" spans="1:26">
      <c r="A72" s="9"/>
      <c r="B72" s="9"/>
      <c r="C72" s="9"/>
      <c r="D72" s="9"/>
      <c r="E72" s="35"/>
      <c r="F72" s="35"/>
      <c r="G72" s="264"/>
      <c r="H72" s="273"/>
      <c r="I72" s="268"/>
      <c r="J72" s="268"/>
      <c r="K72" s="273"/>
      <c r="L72" s="268"/>
      <c r="M72" s="114"/>
      <c r="N72" s="9"/>
      <c r="O72" s="9"/>
      <c r="P72" s="9"/>
      <c r="Q72" s="9"/>
      <c r="R72" s="9"/>
      <c r="S72" s="44"/>
      <c r="T72" s="44"/>
      <c r="U72" s="44"/>
      <c r="V72" s="44"/>
      <c r="W72" s="44"/>
      <c r="X72" s="44"/>
      <c r="Y72" s="44"/>
      <c r="Z72" s="44"/>
    </row>
    <row r="73" spans="1:26">
      <c r="A73" s="9"/>
      <c r="B73" s="9"/>
      <c r="C73" s="9"/>
      <c r="D73" s="9"/>
      <c r="E73" s="35"/>
      <c r="F73" s="35"/>
      <c r="G73" s="264"/>
      <c r="H73" s="273"/>
      <c r="I73" s="268"/>
      <c r="J73" s="268"/>
      <c r="K73" s="273"/>
      <c r="L73" s="268"/>
      <c r="M73" s="114"/>
      <c r="N73" s="9"/>
      <c r="O73" s="9"/>
      <c r="P73" s="9"/>
      <c r="Q73" s="9"/>
      <c r="R73" s="9"/>
      <c r="S73" s="44"/>
      <c r="T73" s="44"/>
      <c r="U73" s="44"/>
      <c r="V73" s="44"/>
      <c r="W73" s="44"/>
      <c r="X73" s="44"/>
      <c r="Y73" s="44"/>
      <c r="Z73" s="44"/>
    </row>
    <row r="74" spans="1:26">
      <c r="A74" s="9"/>
      <c r="B74" s="9"/>
      <c r="C74" s="9"/>
      <c r="D74" s="9"/>
      <c r="E74" s="35"/>
      <c r="F74" s="35"/>
      <c r="G74" s="264"/>
      <c r="H74" s="273"/>
      <c r="I74" s="268"/>
      <c r="J74" s="268"/>
      <c r="K74" s="273"/>
      <c r="L74" s="268"/>
      <c r="M74" s="114"/>
      <c r="N74" s="9"/>
      <c r="O74" s="9"/>
      <c r="P74" s="9"/>
      <c r="Q74" s="9"/>
      <c r="R74" s="9"/>
      <c r="S74" s="44"/>
      <c r="T74" s="44"/>
      <c r="U74" s="44"/>
      <c r="V74" s="44"/>
      <c r="W74" s="44"/>
      <c r="X74" s="44"/>
      <c r="Y74" s="44"/>
      <c r="Z74" s="44"/>
    </row>
    <row r="75" spans="1:26">
      <c r="A75" s="9"/>
      <c r="B75" s="9"/>
      <c r="C75" s="9"/>
      <c r="D75" s="9"/>
      <c r="E75" s="35"/>
      <c r="F75" s="35"/>
      <c r="G75" s="264"/>
      <c r="H75" s="273"/>
      <c r="I75" s="268"/>
      <c r="J75" s="268"/>
      <c r="K75" s="273"/>
      <c r="L75" s="268"/>
      <c r="M75" s="114"/>
      <c r="N75" s="9"/>
      <c r="O75" s="9"/>
      <c r="P75" s="9"/>
      <c r="Q75" s="9"/>
      <c r="R75" s="9"/>
      <c r="S75" s="44"/>
      <c r="T75" s="44"/>
      <c r="U75" s="44"/>
      <c r="V75" s="44"/>
      <c r="W75" s="44"/>
      <c r="X75" s="44"/>
      <c r="Y75" s="44"/>
      <c r="Z75" s="44"/>
    </row>
    <row r="76" spans="1:26">
      <c r="A76" s="9"/>
      <c r="B76" s="9"/>
      <c r="C76" s="9"/>
      <c r="D76" s="9"/>
      <c r="E76" s="35"/>
      <c r="F76" s="35"/>
      <c r="G76" s="264"/>
      <c r="H76" s="273"/>
      <c r="I76" s="268"/>
      <c r="J76" s="268"/>
      <c r="K76" s="273"/>
      <c r="L76" s="268"/>
      <c r="M76" s="114"/>
      <c r="N76" s="9"/>
      <c r="O76" s="9"/>
      <c r="P76" s="9"/>
      <c r="Q76" s="9"/>
      <c r="R76" s="9"/>
      <c r="S76" s="44"/>
      <c r="T76" s="44"/>
      <c r="U76" s="44"/>
      <c r="V76" s="44"/>
      <c r="W76" s="44"/>
      <c r="X76" s="44"/>
      <c r="Y76" s="44"/>
      <c r="Z76" s="44"/>
    </row>
    <row r="77" spans="1:26">
      <c r="A77" s="9"/>
      <c r="B77" s="9"/>
      <c r="C77" s="9"/>
      <c r="D77" s="9"/>
      <c r="E77" s="35"/>
      <c r="F77" s="35"/>
      <c r="G77" s="264"/>
      <c r="H77" s="273"/>
      <c r="I77" s="268"/>
      <c r="J77" s="268"/>
      <c r="K77" s="273"/>
      <c r="L77" s="268"/>
      <c r="M77" s="114"/>
      <c r="N77" s="9"/>
      <c r="O77" s="9"/>
      <c r="P77" s="9"/>
      <c r="Q77" s="9"/>
      <c r="R77" s="9"/>
      <c r="S77" s="44"/>
      <c r="T77" s="44"/>
      <c r="U77" s="44"/>
      <c r="V77" s="44"/>
      <c r="W77" s="44"/>
      <c r="X77" s="44"/>
      <c r="Y77" s="44"/>
      <c r="Z77" s="44"/>
    </row>
    <row r="78" spans="1:26">
      <c r="A78" s="9"/>
      <c r="B78" s="9"/>
      <c r="C78" s="9"/>
      <c r="D78" s="9"/>
      <c r="E78" s="35"/>
      <c r="F78" s="35"/>
      <c r="G78" s="264"/>
      <c r="H78" s="273"/>
      <c r="I78" s="268"/>
      <c r="J78" s="268"/>
      <c r="K78" s="273"/>
      <c r="L78" s="268"/>
      <c r="M78" s="114"/>
      <c r="N78" s="9"/>
      <c r="O78" s="9"/>
      <c r="P78" s="9"/>
      <c r="Q78" s="9"/>
      <c r="R78" s="9"/>
      <c r="S78" s="44"/>
      <c r="T78" s="44"/>
      <c r="U78" s="44"/>
      <c r="V78" s="44"/>
      <c r="W78" s="44"/>
      <c r="X78" s="44"/>
      <c r="Y78" s="44"/>
      <c r="Z78" s="44"/>
    </row>
    <row r="79" spans="1:26">
      <c r="A79" s="9"/>
      <c r="B79" s="9"/>
      <c r="C79" s="9"/>
      <c r="D79" s="9"/>
      <c r="E79" s="35"/>
      <c r="F79" s="35"/>
      <c r="G79" s="264"/>
      <c r="H79" s="273"/>
      <c r="I79" s="268"/>
      <c r="J79" s="268"/>
      <c r="K79" s="273"/>
      <c r="L79" s="268"/>
      <c r="M79" s="114"/>
      <c r="N79" s="9"/>
      <c r="O79" s="9"/>
      <c r="P79" s="9"/>
      <c r="Q79" s="9"/>
      <c r="R79" s="9"/>
      <c r="S79" s="44"/>
      <c r="T79" s="44"/>
      <c r="U79" s="44"/>
      <c r="V79" s="44"/>
      <c r="W79" s="44"/>
      <c r="X79" s="44"/>
      <c r="Y79" s="44"/>
      <c r="Z79" s="44"/>
    </row>
    <row r="80" spans="1:26">
      <c r="A80" s="9"/>
      <c r="B80" s="9"/>
      <c r="C80" s="9"/>
      <c r="D80" s="9"/>
      <c r="E80" s="35"/>
      <c r="F80" s="35"/>
      <c r="G80" s="264"/>
      <c r="H80" s="273"/>
      <c r="I80" s="268"/>
      <c r="J80" s="268"/>
      <c r="K80" s="273"/>
      <c r="L80" s="268"/>
      <c r="M80" s="114"/>
      <c r="N80" s="9"/>
      <c r="O80" s="9"/>
      <c r="P80" s="9"/>
      <c r="Q80" s="9"/>
      <c r="R80" s="9"/>
      <c r="S80" s="44"/>
      <c r="T80" s="44"/>
      <c r="U80" s="44"/>
      <c r="V80" s="44"/>
      <c r="W80" s="44"/>
      <c r="X80" s="44"/>
      <c r="Y80" s="44"/>
      <c r="Z80" s="44"/>
    </row>
    <row r="81" spans="1:26">
      <c r="A81" s="9"/>
      <c r="B81" s="9"/>
      <c r="C81" s="9"/>
      <c r="D81" s="9"/>
      <c r="E81" s="35"/>
      <c r="F81" s="35"/>
      <c r="G81" s="264"/>
      <c r="H81" s="273"/>
      <c r="I81" s="268"/>
      <c r="J81" s="268"/>
      <c r="K81" s="273"/>
      <c r="L81" s="268"/>
      <c r="M81" s="114"/>
      <c r="N81" s="9"/>
      <c r="O81" s="9"/>
      <c r="P81" s="9"/>
      <c r="Q81" s="9"/>
      <c r="R81" s="9"/>
      <c r="S81" s="44"/>
      <c r="T81" s="44"/>
      <c r="U81" s="44"/>
      <c r="V81" s="44"/>
      <c r="W81" s="44"/>
      <c r="X81" s="44"/>
      <c r="Y81" s="44"/>
      <c r="Z81" s="44"/>
    </row>
    <row r="82" spans="1:26">
      <c r="A82" s="9"/>
      <c r="B82" s="9"/>
      <c r="C82" s="9"/>
      <c r="D82" s="9"/>
      <c r="E82" s="35"/>
      <c r="F82" s="35"/>
      <c r="G82" s="264"/>
      <c r="H82" s="273"/>
      <c r="I82" s="268"/>
      <c r="J82" s="268"/>
      <c r="K82" s="273"/>
      <c r="L82" s="268"/>
      <c r="M82" s="114"/>
      <c r="N82" s="9"/>
      <c r="O82" s="9"/>
      <c r="P82" s="9"/>
      <c r="Q82" s="9"/>
      <c r="R82" s="9"/>
      <c r="S82" s="44"/>
      <c r="T82" s="44"/>
      <c r="U82" s="44"/>
      <c r="V82" s="44"/>
      <c r="W82" s="44"/>
      <c r="X82" s="44"/>
      <c r="Y82" s="44"/>
      <c r="Z82" s="44"/>
    </row>
    <row r="83" spans="1:26">
      <c r="A83" s="9"/>
      <c r="B83" s="9"/>
      <c r="C83" s="9"/>
      <c r="D83" s="9"/>
      <c r="E83" s="35"/>
      <c r="F83" s="35"/>
      <c r="G83" s="264"/>
      <c r="H83" s="273"/>
      <c r="I83" s="268"/>
      <c r="J83" s="268"/>
      <c r="K83" s="273"/>
      <c r="L83" s="268"/>
      <c r="M83" s="114"/>
      <c r="N83" s="9"/>
      <c r="O83" s="9"/>
      <c r="P83" s="9"/>
      <c r="Q83" s="9"/>
      <c r="R83" s="9"/>
      <c r="S83" s="44"/>
      <c r="T83" s="44"/>
      <c r="U83" s="44"/>
      <c r="V83" s="44"/>
      <c r="W83" s="44"/>
      <c r="X83" s="44"/>
      <c r="Y83" s="44"/>
      <c r="Z83" s="44"/>
    </row>
    <row r="84" spans="1:26">
      <c r="A84" s="9"/>
      <c r="B84" s="9"/>
      <c r="C84" s="9"/>
      <c r="D84" s="9"/>
      <c r="E84" s="35"/>
      <c r="F84" s="35"/>
      <c r="G84" s="264"/>
      <c r="H84" s="273"/>
      <c r="I84" s="268"/>
      <c r="J84" s="268"/>
      <c r="K84" s="273"/>
      <c r="L84" s="268"/>
      <c r="M84" s="114"/>
      <c r="N84" s="9"/>
      <c r="O84" s="9"/>
      <c r="P84" s="9"/>
      <c r="Q84" s="9"/>
      <c r="R84" s="9"/>
      <c r="S84" s="44"/>
      <c r="T84" s="44"/>
      <c r="U84" s="44"/>
      <c r="V84" s="44"/>
      <c r="W84" s="44"/>
      <c r="X84" s="44"/>
      <c r="Y84" s="44"/>
      <c r="Z84" s="44"/>
    </row>
    <row r="85" spans="1:26">
      <c r="A85" s="9"/>
      <c r="B85" s="9"/>
      <c r="C85" s="9"/>
      <c r="D85" s="9"/>
      <c r="E85" s="35"/>
      <c r="F85" s="35"/>
      <c r="G85" s="264"/>
      <c r="H85" s="273"/>
      <c r="I85" s="268"/>
      <c r="J85" s="268"/>
      <c r="K85" s="273"/>
      <c r="L85" s="268"/>
      <c r="M85" s="114"/>
      <c r="N85" s="9"/>
      <c r="O85" s="9"/>
      <c r="P85" s="9"/>
      <c r="Q85" s="9"/>
      <c r="R85" s="9"/>
      <c r="S85" s="44"/>
      <c r="T85" s="44"/>
      <c r="U85" s="44"/>
      <c r="V85" s="44"/>
      <c r="W85" s="44"/>
      <c r="X85" s="44"/>
      <c r="Y85" s="44"/>
      <c r="Z85" s="44"/>
    </row>
    <row r="86" spans="1:26">
      <c r="A86" s="9"/>
      <c r="B86" s="9"/>
      <c r="C86" s="9"/>
      <c r="D86" s="9"/>
      <c r="E86" s="35"/>
      <c r="F86" s="35"/>
      <c r="G86" s="264"/>
      <c r="H86" s="273"/>
      <c r="I86" s="268"/>
      <c r="J86" s="268"/>
      <c r="K86" s="273"/>
      <c r="L86" s="268"/>
      <c r="M86" s="114"/>
      <c r="N86" s="9"/>
      <c r="O86" s="9"/>
      <c r="P86" s="9"/>
      <c r="Q86" s="9"/>
      <c r="R86" s="9"/>
      <c r="S86" s="44"/>
      <c r="T86" s="44"/>
      <c r="U86" s="44"/>
      <c r="V86" s="44"/>
      <c r="W86" s="44"/>
      <c r="X86" s="44"/>
      <c r="Y86" s="44"/>
      <c r="Z86" s="44"/>
    </row>
    <row r="87" spans="1:26">
      <c r="A87" s="9"/>
      <c r="B87" s="9"/>
      <c r="C87" s="9"/>
      <c r="D87" s="9"/>
      <c r="E87" s="35"/>
      <c r="F87" s="35"/>
      <c r="G87" s="264"/>
      <c r="H87" s="273"/>
      <c r="I87" s="268"/>
      <c r="J87" s="268"/>
      <c r="K87" s="273"/>
      <c r="L87" s="268"/>
      <c r="M87" s="114"/>
      <c r="N87" s="9"/>
      <c r="O87" s="9"/>
      <c r="P87" s="9"/>
      <c r="Q87" s="9"/>
      <c r="R87" s="9"/>
      <c r="S87" s="44"/>
      <c r="T87" s="44"/>
      <c r="U87" s="44"/>
      <c r="V87" s="44"/>
      <c r="W87" s="44"/>
      <c r="X87" s="44"/>
      <c r="Y87" s="44"/>
      <c r="Z87" s="44"/>
    </row>
    <row r="88" spans="1:26">
      <c r="A88" s="9"/>
      <c r="B88" s="9"/>
      <c r="C88" s="9"/>
      <c r="D88" s="9"/>
      <c r="E88" s="35"/>
      <c r="F88" s="35"/>
      <c r="G88" s="264"/>
      <c r="H88" s="273"/>
      <c r="I88" s="268"/>
      <c r="J88" s="268"/>
      <c r="K88" s="273"/>
      <c r="L88" s="268"/>
      <c r="M88" s="114"/>
      <c r="N88" s="9"/>
      <c r="O88" s="9"/>
      <c r="P88" s="9"/>
      <c r="Q88" s="9"/>
      <c r="R88" s="9"/>
      <c r="S88" s="44"/>
      <c r="T88" s="44"/>
      <c r="U88" s="44"/>
      <c r="V88" s="44"/>
      <c r="W88" s="44"/>
      <c r="X88" s="44"/>
      <c r="Y88" s="44"/>
      <c r="Z88" s="44"/>
    </row>
    <row r="89" spans="1:26">
      <c r="A89" s="9"/>
      <c r="B89" s="9"/>
      <c r="C89" s="9"/>
      <c r="D89" s="9"/>
      <c r="E89" s="35"/>
      <c r="F89" s="35"/>
      <c r="G89" s="264"/>
      <c r="H89" s="273"/>
      <c r="I89" s="268"/>
      <c r="J89" s="268"/>
      <c r="K89" s="273"/>
      <c r="L89" s="268"/>
      <c r="M89" s="114"/>
      <c r="N89" s="9"/>
      <c r="O89" s="9"/>
      <c r="P89" s="9"/>
      <c r="Q89" s="9"/>
      <c r="R89" s="9"/>
      <c r="S89" s="44"/>
      <c r="T89" s="44"/>
      <c r="U89" s="44"/>
      <c r="V89" s="44"/>
      <c r="W89" s="44"/>
      <c r="X89" s="44"/>
      <c r="Y89" s="44"/>
      <c r="Z89" s="44"/>
    </row>
    <row r="90" spans="1:26">
      <c r="A90" s="9"/>
      <c r="B90" s="9"/>
      <c r="C90" s="9"/>
      <c r="D90" s="9"/>
      <c r="E90" s="35"/>
      <c r="F90" s="35"/>
      <c r="G90" s="264"/>
      <c r="H90" s="273"/>
      <c r="I90" s="268"/>
      <c r="J90" s="268"/>
      <c r="K90" s="273"/>
      <c r="L90" s="268"/>
      <c r="M90" s="114"/>
      <c r="N90" s="9"/>
      <c r="O90" s="9"/>
      <c r="P90" s="9"/>
      <c r="Q90" s="9"/>
      <c r="R90" s="9"/>
      <c r="S90" s="44"/>
      <c r="T90" s="44"/>
      <c r="U90" s="44"/>
      <c r="V90" s="44"/>
      <c r="W90" s="44"/>
      <c r="X90" s="44"/>
      <c r="Y90" s="44"/>
      <c r="Z90" s="44"/>
    </row>
    <row r="91" spans="1:26">
      <c r="A91" s="9"/>
      <c r="B91" s="9"/>
      <c r="C91" s="9"/>
      <c r="D91" s="9"/>
      <c r="E91" s="35"/>
      <c r="F91" s="35"/>
      <c r="G91" s="264"/>
      <c r="H91" s="273"/>
      <c r="I91" s="268"/>
      <c r="J91" s="268"/>
      <c r="K91" s="273"/>
      <c r="L91" s="268"/>
      <c r="M91" s="114"/>
      <c r="N91" s="9"/>
      <c r="O91" s="9"/>
      <c r="P91" s="9"/>
      <c r="Q91" s="9"/>
      <c r="R91" s="9"/>
      <c r="S91" s="44"/>
      <c r="T91" s="44"/>
      <c r="U91" s="44"/>
      <c r="V91" s="44"/>
      <c r="W91" s="44"/>
      <c r="X91" s="44"/>
      <c r="Y91" s="44"/>
      <c r="Z91" s="44"/>
    </row>
    <row r="92" spans="1:26">
      <c r="A92" s="9"/>
      <c r="B92" s="9"/>
      <c r="C92" s="9"/>
      <c r="D92" s="9"/>
      <c r="E92" s="35"/>
      <c r="F92" s="35"/>
      <c r="G92" s="264"/>
      <c r="H92" s="273"/>
      <c r="I92" s="268"/>
      <c r="J92" s="268"/>
      <c r="K92" s="273"/>
      <c r="L92" s="268"/>
      <c r="M92" s="114"/>
      <c r="N92" s="9"/>
      <c r="O92" s="9"/>
      <c r="P92" s="9"/>
      <c r="Q92" s="9"/>
      <c r="R92" s="9"/>
      <c r="S92" s="44"/>
      <c r="T92" s="44"/>
      <c r="U92" s="44"/>
      <c r="V92" s="44"/>
      <c r="W92" s="44"/>
      <c r="X92" s="44"/>
      <c r="Y92" s="44"/>
      <c r="Z92" s="44"/>
    </row>
    <row r="93" spans="1:26">
      <c r="A93" s="9"/>
      <c r="B93" s="9"/>
      <c r="C93" s="9"/>
      <c r="D93" s="9"/>
      <c r="E93" s="35"/>
      <c r="F93" s="35"/>
      <c r="G93" s="264"/>
      <c r="H93" s="273"/>
      <c r="I93" s="268"/>
      <c r="J93" s="268"/>
      <c r="K93" s="273"/>
      <c r="L93" s="268"/>
      <c r="M93" s="114"/>
      <c r="N93" s="9"/>
      <c r="O93" s="9"/>
      <c r="P93" s="9"/>
      <c r="Q93" s="9"/>
      <c r="R93" s="9"/>
      <c r="S93" s="44"/>
      <c r="T93" s="44"/>
      <c r="U93" s="44"/>
      <c r="V93" s="44"/>
      <c r="W93" s="44"/>
      <c r="X93" s="44"/>
      <c r="Y93" s="44"/>
      <c r="Z93" s="44"/>
    </row>
    <row r="94" spans="1:26">
      <c r="A94" s="9"/>
      <c r="B94" s="9"/>
      <c r="C94" s="9"/>
      <c r="D94" s="9"/>
      <c r="E94" s="35"/>
      <c r="F94" s="35"/>
      <c r="G94" s="264"/>
      <c r="H94" s="273"/>
      <c r="I94" s="268"/>
      <c r="J94" s="268"/>
      <c r="K94" s="273"/>
      <c r="L94" s="268"/>
      <c r="M94" s="114"/>
      <c r="N94" s="9"/>
      <c r="O94" s="9"/>
      <c r="P94" s="9"/>
      <c r="Q94" s="9"/>
      <c r="R94" s="9"/>
      <c r="S94" s="44"/>
      <c r="T94" s="44"/>
      <c r="U94" s="44"/>
      <c r="V94" s="44"/>
      <c r="W94" s="44"/>
      <c r="X94" s="44"/>
      <c r="Y94" s="44"/>
      <c r="Z94" s="44"/>
    </row>
    <row r="95" spans="1:26">
      <c r="A95" s="9"/>
      <c r="B95" s="9"/>
      <c r="C95" s="9"/>
      <c r="D95" s="9"/>
      <c r="E95" s="35"/>
      <c r="F95" s="35"/>
      <c r="G95" s="264"/>
      <c r="H95" s="273"/>
      <c r="I95" s="268"/>
      <c r="J95" s="268"/>
      <c r="K95" s="273"/>
      <c r="L95" s="268"/>
      <c r="M95" s="114"/>
      <c r="N95" s="9"/>
      <c r="O95" s="9"/>
      <c r="P95" s="9"/>
      <c r="Q95" s="9"/>
      <c r="R95" s="9"/>
      <c r="S95" s="44"/>
      <c r="T95" s="44"/>
      <c r="U95" s="44"/>
      <c r="V95" s="44"/>
      <c r="W95" s="44"/>
      <c r="X95" s="44"/>
      <c r="Y95" s="44"/>
      <c r="Z95" s="44"/>
    </row>
    <row r="96" spans="1:26">
      <c r="A96" s="9"/>
      <c r="B96" s="9"/>
      <c r="C96" s="9"/>
      <c r="D96" s="9"/>
      <c r="E96" s="35"/>
      <c r="F96" s="35"/>
      <c r="G96" s="264"/>
      <c r="H96" s="273"/>
      <c r="I96" s="268"/>
      <c r="J96" s="268"/>
      <c r="K96" s="273"/>
      <c r="L96" s="268"/>
      <c r="M96" s="114"/>
      <c r="N96" s="9"/>
      <c r="O96" s="9"/>
      <c r="P96" s="9"/>
      <c r="Q96" s="9"/>
      <c r="R96" s="9"/>
      <c r="S96" s="44"/>
      <c r="T96" s="44"/>
      <c r="U96" s="44"/>
      <c r="V96" s="44"/>
      <c r="W96" s="44"/>
      <c r="X96" s="44"/>
      <c r="Y96" s="44"/>
      <c r="Z96" s="44"/>
    </row>
    <row r="97" spans="1:26">
      <c r="A97" s="9"/>
      <c r="B97" s="9"/>
      <c r="C97" s="9"/>
      <c r="D97" s="9"/>
      <c r="E97" s="35"/>
      <c r="F97" s="35"/>
      <c r="G97" s="264"/>
      <c r="H97" s="273"/>
      <c r="I97" s="268"/>
      <c r="J97" s="268"/>
      <c r="K97" s="273"/>
      <c r="L97" s="268"/>
      <c r="M97" s="114"/>
      <c r="N97" s="9"/>
      <c r="O97" s="9"/>
      <c r="P97" s="9"/>
      <c r="Q97" s="9"/>
      <c r="R97" s="9"/>
      <c r="S97" s="44"/>
      <c r="T97" s="44"/>
      <c r="U97" s="44"/>
      <c r="V97" s="44"/>
      <c r="W97" s="44"/>
      <c r="X97" s="44"/>
      <c r="Y97" s="44"/>
      <c r="Z97" s="44"/>
    </row>
    <row r="98" spans="1:26">
      <c r="A98" s="9"/>
      <c r="B98" s="9"/>
      <c r="C98" s="9"/>
      <c r="D98" s="9"/>
      <c r="E98" s="35"/>
      <c r="F98" s="35"/>
      <c r="G98" s="264"/>
      <c r="H98" s="273"/>
      <c r="I98" s="268"/>
      <c r="J98" s="268"/>
      <c r="K98" s="273"/>
      <c r="L98" s="268"/>
      <c r="M98" s="114"/>
      <c r="N98" s="9"/>
      <c r="O98" s="9"/>
      <c r="P98" s="9"/>
      <c r="Q98" s="9"/>
      <c r="R98" s="9"/>
      <c r="S98" s="44"/>
      <c r="T98" s="44"/>
      <c r="U98" s="44"/>
      <c r="V98" s="44"/>
      <c r="W98" s="44"/>
      <c r="X98" s="44"/>
      <c r="Y98" s="44"/>
      <c r="Z98" s="44"/>
    </row>
    <row r="99" spans="1:26">
      <c r="A99" s="9"/>
      <c r="B99" s="9"/>
      <c r="C99" s="9"/>
      <c r="D99" s="9"/>
      <c r="E99" s="35"/>
      <c r="F99" s="35"/>
      <c r="G99" s="264"/>
      <c r="H99" s="273"/>
      <c r="I99" s="268"/>
      <c r="J99" s="268"/>
      <c r="K99" s="273"/>
      <c r="L99" s="268"/>
      <c r="M99" s="114"/>
      <c r="N99" s="9"/>
      <c r="O99" s="9"/>
      <c r="P99" s="9"/>
      <c r="Q99" s="9"/>
      <c r="R99" s="9"/>
      <c r="S99" s="44"/>
      <c r="T99" s="44"/>
      <c r="U99" s="44"/>
      <c r="V99" s="44"/>
      <c r="W99" s="44"/>
      <c r="X99" s="44"/>
      <c r="Y99" s="44"/>
      <c r="Z99" s="44"/>
    </row>
    <row r="100" spans="1:26">
      <c r="A100" s="9"/>
      <c r="B100" s="9"/>
      <c r="C100" s="9"/>
      <c r="D100" s="9"/>
      <c r="E100" s="35"/>
      <c r="F100" s="35"/>
      <c r="G100" s="264"/>
      <c r="H100" s="273"/>
      <c r="I100" s="268"/>
      <c r="J100" s="268"/>
      <c r="K100" s="273"/>
      <c r="L100" s="268"/>
      <c r="M100" s="114"/>
      <c r="N100" s="9"/>
      <c r="O100" s="9"/>
      <c r="P100" s="9"/>
      <c r="Q100" s="9"/>
      <c r="R100" s="9"/>
      <c r="S100" s="44"/>
      <c r="T100" s="44"/>
      <c r="U100" s="44"/>
      <c r="V100" s="44"/>
      <c r="W100" s="44"/>
      <c r="X100" s="44"/>
      <c r="Y100" s="44"/>
      <c r="Z100" s="44"/>
    </row>
    <row r="101" spans="1:26">
      <c r="A101" s="9"/>
      <c r="B101" s="9"/>
      <c r="C101" s="9"/>
      <c r="D101" s="9"/>
      <c r="E101" s="35"/>
      <c r="F101" s="35"/>
      <c r="G101" s="264"/>
      <c r="H101" s="273"/>
      <c r="I101" s="268"/>
      <c r="J101" s="268"/>
      <c r="K101" s="273"/>
      <c r="L101" s="268"/>
      <c r="M101" s="114"/>
      <c r="N101" s="9"/>
      <c r="O101" s="9"/>
      <c r="P101" s="9"/>
      <c r="Q101" s="9"/>
      <c r="R101" s="9"/>
      <c r="S101" s="44"/>
      <c r="T101" s="44"/>
      <c r="U101" s="44"/>
      <c r="V101" s="44"/>
      <c r="W101" s="44"/>
      <c r="X101" s="44"/>
      <c r="Y101" s="44"/>
      <c r="Z101" s="44"/>
    </row>
    <row r="102" spans="1:26">
      <c r="A102" s="9"/>
      <c r="B102" s="9"/>
      <c r="C102" s="9"/>
      <c r="D102" s="9"/>
      <c r="E102" s="35"/>
      <c r="F102" s="35"/>
      <c r="G102" s="264"/>
      <c r="H102" s="273"/>
      <c r="I102" s="268"/>
      <c r="J102" s="268"/>
      <c r="K102" s="273"/>
      <c r="L102" s="268"/>
      <c r="M102" s="114"/>
      <c r="N102" s="9"/>
      <c r="O102" s="9"/>
      <c r="P102" s="9"/>
      <c r="Q102" s="9"/>
      <c r="R102" s="9"/>
      <c r="S102" s="44"/>
      <c r="T102" s="44"/>
      <c r="U102" s="44"/>
      <c r="V102" s="44"/>
      <c r="W102" s="44"/>
      <c r="X102" s="44"/>
      <c r="Y102" s="44"/>
      <c r="Z102" s="44"/>
    </row>
    <row r="103" spans="1:26">
      <c r="A103" s="9"/>
      <c r="B103" s="9"/>
      <c r="C103" s="9"/>
      <c r="D103" s="9"/>
      <c r="E103" s="35"/>
      <c r="F103" s="35"/>
      <c r="G103" s="264"/>
      <c r="H103" s="273"/>
      <c r="I103" s="268"/>
      <c r="J103" s="268"/>
      <c r="K103" s="273"/>
      <c r="L103" s="268"/>
      <c r="M103" s="114"/>
      <c r="N103" s="9"/>
      <c r="O103" s="9"/>
      <c r="P103" s="9"/>
      <c r="Q103" s="9"/>
      <c r="R103" s="9"/>
      <c r="S103" s="44"/>
      <c r="T103" s="44"/>
      <c r="U103" s="44"/>
      <c r="V103" s="44"/>
      <c r="W103" s="44"/>
      <c r="X103" s="44"/>
      <c r="Y103" s="44"/>
      <c r="Z103" s="44"/>
    </row>
    <row r="104" spans="1:26">
      <c r="A104" s="9"/>
      <c r="B104" s="9"/>
      <c r="C104" s="9"/>
      <c r="D104" s="9"/>
      <c r="E104" s="35"/>
      <c r="F104" s="35"/>
      <c r="G104" s="264"/>
      <c r="H104" s="273"/>
      <c r="I104" s="268"/>
      <c r="J104" s="268"/>
      <c r="K104" s="273"/>
      <c r="L104" s="268"/>
      <c r="M104" s="114"/>
      <c r="N104" s="9"/>
      <c r="O104" s="9"/>
      <c r="P104" s="9"/>
      <c r="Q104" s="9"/>
      <c r="R104" s="9"/>
      <c r="S104" s="44"/>
      <c r="T104" s="44"/>
      <c r="U104" s="44"/>
      <c r="V104" s="44"/>
      <c r="W104" s="44"/>
      <c r="X104" s="44"/>
      <c r="Y104" s="44"/>
      <c r="Z104" s="44"/>
    </row>
    <row r="105" spans="1:26">
      <c r="A105" s="9"/>
      <c r="B105" s="9"/>
      <c r="C105" s="9"/>
      <c r="D105" s="9"/>
      <c r="E105" s="35"/>
      <c r="F105" s="35"/>
      <c r="G105" s="264"/>
      <c r="H105" s="273"/>
      <c r="I105" s="268"/>
      <c r="J105" s="268"/>
      <c r="K105" s="273"/>
      <c r="L105" s="268"/>
      <c r="M105" s="114"/>
      <c r="N105" s="9"/>
      <c r="O105" s="9"/>
      <c r="P105" s="9"/>
      <c r="Q105" s="9"/>
      <c r="R105" s="9"/>
      <c r="S105" s="44"/>
      <c r="T105" s="44"/>
      <c r="U105" s="44"/>
      <c r="V105" s="44"/>
      <c r="W105" s="44"/>
      <c r="X105" s="44"/>
      <c r="Y105" s="44"/>
      <c r="Z105" s="44"/>
    </row>
    <row r="106" spans="1:26">
      <c r="A106" s="9"/>
      <c r="B106" s="9"/>
      <c r="C106" s="9"/>
      <c r="D106" s="9"/>
      <c r="E106" s="35"/>
      <c r="F106" s="35"/>
      <c r="G106" s="264"/>
      <c r="H106" s="273"/>
      <c r="I106" s="268"/>
      <c r="J106" s="268"/>
      <c r="K106" s="273"/>
      <c r="L106" s="268"/>
      <c r="M106" s="114"/>
      <c r="N106" s="9"/>
      <c r="O106" s="9"/>
      <c r="P106" s="9"/>
      <c r="Q106" s="9"/>
      <c r="R106" s="9"/>
      <c r="S106" s="44"/>
      <c r="T106" s="44"/>
      <c r="U106" s="44"/>
      <c r="V106" s="44"/>
      <c r="W106" s="44"/>
      <c r="X106" s="44"/>
      <c r="Y106" s="44"/>
      <c r="Z106" s="44"/>
    </row>
    <row r="107" spans="1:26">
      <c r="A107" s="9"/>
      <c r="B107" s="9"/>
      <c r="C107" s="9"/>
      <c r="D107" s="9"/>
      <c r="E107" s="35"/>
      <c r="F107" s="35"/>
      <c r="G107" s="264"/>
      <c r="H107" s="273"/>
      <c r="I107" s="268"/>
      <c r="J107" s="268"/>
      <c r="K107" s="273"/>
      <c r="L107" s="268"/>
      <c r="M107" s="114"/>
      <c r="N107" s="9"/>
      <c r="O107" s="9"/>
      <c r="P107" s="9"/>
      <c r="Q107" s="9"/>
      <c r="R107" s="9"/>
      <c r="S107" s="44"/>
      <c r="T107" s="44"/>
      <c r="U107" s="44"/>
      <c r="V107" s="44"/>
      <c r="W107" s="44"/>
      <c r="X107" s="44"/>
      <c r="Y107" s="44"/>
      <c r="Z107" s="44"/>
    </row>
    <row r="108" spans="1:26">
      <c r="A108" s="9"/>
      <c r="B108" s="9"/>
      <c r="C108" s="9"/>
      <c r="D108" s="9"/>
      <c r="E108" s="35"/>
      <c r="F108" s="35"/>
      <c r="G108" s="264"/>
      <c r="H108" s="273"/>
      <c r="I108" s="268"/>
      <c r="J108" s="268"/>
      <c r="K108" s="273"/>
      <c r="L108" s="268"/>
      <c r="M108" s="114"/>
      <c r="N108" s="9"/>
      <c r="O108" s="9"/>
      <c r="P108" s="9"/>
      <c r="Q108" s="9"/>
      <c r="R108" s="9"/>
      <c r="S108" s="44"/>
      <c r="T108" s="44"/>
      <c r="U108" s="44"/>
      <c r="V108" s="44"/>
      <c r="W108" s="44"/>
      <c r="X108" s="44"/>
      <c r="Y108" s="44"/>
      <c r="Z108" s="44"/>
    </row>
    <row r="109" spans="1:26">
      <c r="A109" s="9"/>
      <c r="B109" s="9"/>
      <c r="C109" s="9"/>
      <c r="D109" s="9"/>
      <c r="E109" s="35"/>
      <c r="F109" s="35"/>
      <c r="G109" s="264"/>
      <c r="H109" s="273"/>
      <c r="I109" s="268"/>
      <c r="J109" s="268"/>
      <c r="K109" s="273"/>
      <c r="L109" s="268"/>
      <c r="M109" s="114"/>
      <c r="N109" s="9"/>
      <c r="O109" s="9"/>
      <c r="P109" s="9"/>
      <c r="Q109" s="9"/>
      <c r="R109" s="9"/>
      <c r="S109" s="44"/>
      <c r="T109" s="44"/>
      <c r="U109" s="44"/>
      <c r="V109" s="44"/>
      <c r="W109" s="44"/>
      <c r="X109" s="44"/>
      <c r="Y109" s="44"/>
      <c r="Z109" s="44"/>
    </row>
    <row r="110" spans="1:26">
      <c r="A110" s="9"/>
      <c r="B110" s="9"/>
      <c r="C110" s="9"/>
      <c r="D110" s="9"/>
      <c r="E110" s="35"/>
      <c r="F110" s="35"/>
      <c r="G110" s="264"/>
      <c r="H110" s="273"/>
      <c r="I110" s="268"/>
      <c r="J110" s="268"/>
      <c r="K110" s="273"/>
      <c r="L110" s="268"/>
      <c r="M110" s="114"/>
      <c r="N110" s="9"/>
      <c r="O110" s="9"/>
      <c r="P110" s="9"/>
      <c r="Q110" s="9"/>
      <c r="R110" s="9"/>
      <c r="S110" s="44"/>
      <c r="T110" s="44"/>
      <c r="U110" s="44"/>
      <c r="V110" s="44"/>
      <c r="W110" s="44"/>
      <c r="X110" s="44"/>
      <c r="Y110" s="44"/>
      <c r="Z110" s="44"/>
    </row>
    <row r="111" spans="1:26">
      <c r="A111" s="9"/>
      <c r="B111" s="9"/>
      <c r="C111" s="9"/>
      <c r="D111" s="9"/>
      <c r="E111" s="35"/>
      <c r="F111" s="35"/>
      <c r="G111" s="264"/>
      <c r="H111" s="273"/>
      <c r="I111" s="268"/>
      <c r="J111" s="268"/>
      <c r="K111" s="273"/>
      <c r="L111" s="268"/>
      <c r="M111" s="114"/>
      <c r="N111" s="9"/>
      <c r="O111" s="9"/>
      <c r="P111" s="9"/>
      <c r="Q111" s="9"/>
      <c r="R111" s="9"/>
      <c r="S111" s="44"/>
      <c r="T111" s="44"/>
      <c r="U111" s="44"/>
      <c r="V111" s="44"/>
      <c r="W111" s="44"/>
      <c r="X111" s="44"/>
      <c r="Y111" s="44"/>
      <c r="Z111" s="44"/>
    </row>
    <row r="112" spans="1:26">
      <c r="A112" s="9"/>
      <c r="B112" s="9"/>
      <c r="C112" s="9"/>
      <c r="D112" s="9"/>
      <c r="E112" s="35"/>
      <c r="F112" s="35"/>
      <c r="G112" s="264"/>
      <c r="H112" s="273"/>
      <c r="I112" s="268"/>
      <c r="J112" s="268"/>
      <c r="K112" s="273"/>
      <c r="L112" s="268"/>
      <c r="M112" s="114"/>
      <c r="N112" s="9"/>
      <c r="O112" s="9"/>
      <c r="P112" s="9"/>
      <c r="Q112" s="9"/>
      <c r="R112" s="9"/>
      <c r="S112" s="44"/>
      <c r="T112" s="44"/>
      <c r="U112" s="44"/>
      <c r="V112" s="44"/>
      <c r="W112" s="44"/>
      <c r="X112" s="44"/>
      <c r="Y112" s="44"/>
      <c r="Z112" s="44"/>
    </row>
    <row r="113" spans="1:26">
      <c r="A113" s="9"/>
      <c r="B113" s="9"/>
      <c r="C113" s="9"/>
      <c r="D113" s="9"/>
      <c r="E113" s="35"/>
      <c r="F113" s="35"/>
      <c r="G113" s="264"/>
      <c r="H113" s="273"/>
      <c r="I113" s="268"/>
      <c r="J113" s="268"/>
      <c r="K113" s="273"/>
      <c r="L113" s="268"/>
      <c r="M113" s="114"/>
      <c r="N113" s="9"/>
      <c r="O113" s="9"/>
      <c r="P113" s="9"/>
      <c r="Q113" s="9"/>
      <c r="R113" s="9"/>
      <c r="S113" s="44"/>
      <c r="T113" s="44"/>
      <c r="U113" s="44"/>
      <c r="V113" s="44"/>
      <c r="W113" s="44"/>
      <c r="X113" s="44"/>
      <c r="Y113" s="44"/>
      <c r="Z113" s="44"/>
    </row>
    <row r="114" spans="1:26">
      <c r="A114" s="9"/>
      <c r="B114" s="9"/>
      <c r="C114" s="9"/>
      <c r="D114" s="9"/>
      <c r="E114" s="35"/>
      <c r="F114" s="35"/>
      <c r="G114" s="264"/>
      <c r="H114" s="273"/>
      <c r="I114" s="268"/>
      <c r="J114" s="268"/>
      <c r="K114" s="273"/>
      <c r="L114" s="268"/>
      <c r="M114" s="114"/>
      <c r="N114" s="9"/>
      <c r="O114" s="9"/>
      <c r="P114" s="9"/>
      <c r="Q114" s="9"/>
      <c r="R114" s="9"/>
      <c r="S114" s="44"/>
      <c r="T114" s="44"/>
      <c r="U114" s="44"/>
      <c r="V114" s="44"/>
      <c r="W114" s="44"/>
      <c r="X114" s="44"/>
      <c r="Y114" s="44"/>
      <c r="Z114" s="44"/>
    </row>
    <row r="115" spans="1:26">
      <c r="A115" s="9"/>
      <c r="B115" s="9"/>
      <c r="C115" s="9"/>
      <c r="D115" s="9"/>
      <c r="E115" s="35"/>
      <c r="F115" s="35"/>
      <c r="G115" s="264"/>
      <c r="H115" s="273"/>
      <c r="I115" s="268"/>
      <c r="J115" s="268"/>
      <c r="K115" s="273"/>
      <c r="L115" s="268"/>
      <c r="M115" s="114"/>
      <c r="N115" s="9"/>
      <c r="O115" s="9"/>
      <c r="P115" s="9"/>
      <c r="Q115" s="9"/>
      <c r="R115" s="9"/>
      <c r="S115" s="44"/>
      <c r="T115" s="44"/>
      <c r="U115" s="44"/>
      <c r="V115" s="44"/>
      <c r="W115" s="44"/>
      <c r="X115" s="44"/>
      <c r="Y115" s="44"/>
      <c r="Z115" s="44"/>
    </row>
    <row r="116" spans="1:26">
      <c r="A116" s="9"/>
      <c r="B116" s="9"/>
      <c r="C116" s="9"/>
      <c r="D116" s="9"/>
      <c r="E116" s="35"/>
      <c r="F116" s="35"/>
      <c r="G116" s="264"/>
      <c r="H116" s="273"/>
      <c r="I116" s="268"/>
      <c r="J116" s="268"/>
      <c r="K116" s="273"/>
      <c r="L116" s="268"/>
      <c r="M116" s="114"/>
      <c r="N116" s="9"/>
      <c r="O116" s="9"/>
      <c r="P116" s="9"/>
      <c r="Q116" s="9"/>
      <c r="R116" s="9"/>
      <c r="S116" s="44"/>
      <c r="T116" s="44"/>
      <c r="U116" s="44"/>
      <c r="V116" s="44"/>
      <c r="W116" s="44"/>
      <c r="X116" s="44"/>
      <c r="Y116" s="44"/>
      <c r="Z116" s="44"/>
    </row>
    <row r="117" spans="1:26">
      <c r="A117" s="9"/>
      <c r="B117" s="9"/>
      <c r="C117" s="9"/>
      <c r="D117" s="9"/>
      <c r="E117" s="35"/>
      <c r="F117" s="35"/>
      <c r="G117" s="264"/>
      <c r="H117" s="273"/>
      <c r="I117" s="268"/>
      <c r="J117" s="268"/>
      <c r="K117" s="273"/>
      <c r="L117" s="268"/>
      <c r="M117" s="114"/>
      <c r="N117" s="9"/>
      <c r="O117" s="9"/>
      <c r="P117" s="9"/>
      <c r="Q117" s="9"/>
      <c r="R117" s="9"/>
      <c r="S117" s="44"/>
      <c r="T117" s="44"/>
      <c r="U117" s="44"/>
      <c r="V117" s="44"/>
      <c r="W117" s="44"/>
      <c r="X117" s="44"/>
      <c r="Y117" s="44"/>
      <c r="Z117" s="44"/>
    </row>
    <row r="118" spans="1:26">
      <c r="A118" s="9"/>
      <c r="B118" s="9"/>
      <c r="C118" s="9"/>
      <c r="D118" s="9"/>
      <c r="E118" s="35"/>
      <c r="F118" s="35"/>
      <c r="G118" s="264"/>
      <c r="H118" s="273"/>
      <c r="I118" s="268"/>
      <c r="J118" s="268"/>
      <c r="K118" s="273"/>
      <c r="L118" s="268"/>
      <c r="M118" s="114"/>
      <c r="N118" s="9"/>
      <c r="O118" s="9"/>
      <c r="P118" s="9"/>
      <c r="Q118" s="9"/>
      <c r="R118" s="9"/>
      <c r="S118" s="44"/>
      <c r="T118" s="44"/>
      <c r="U118" s="44"/>
      <c r="V118" s="44"/>
      <c r="W118" s="44"/>
      <c r="X118" s="44"/>
      <c r="Y118" s="44"/>
      <c r="Z118" s="44"/>
    </row>
    <row r="119" spans="1:26">
      <c r="A119" s="9"/>
      <c r="B119" s="9"/>
      <c r="C119" s="9"/>
      <c r="D119" s="9"/>
      <c r="E119" s="35"/>
      <c r="F119" s="35"/>
      <c r="G119" s="264"/>
      <c r="H119" s="273"/>
      <c r="I119" s="268"/>
      <c r="J119" s="268"/>
      <c r="K119" s="273"/>
      <c r="L119" s="268"/>
      <c r="M119" s="114"/>
      <c r="N119" s="9"/>
      <c r="O119" s="9"/>
      <c r="P119" s="9"/>
      <c r="Q119" s="9"/>
      <c r="R119" s="9"/>
      <c r="S119" s="44"/>
      <c r="T119" s="44"/>
      <c r="U119" s="44"/>
      <c r="V119" s="44"/>
      <c r="W119" s="44"/>
      <c r="X119" s="44"/>
      <c r="Y119" s="44"/>
      <c r="Z119" s="44"/>
    </row>
    <row r="120" spans="1:26">
      <c r="A120" s="9"/>
      <c r="B120" s="9"/>
      <c r="C120" s="9"/>
      <c r="D120" s="9"/>
      <c r="E120" s="35"/>
      <c r="F120" s="35"/>
      <c r="G120" s="264"/>
      <c r="H120" s="273"/>
      <c r="I120" s="268"/>
      <c r="J120" s="268"/>
      <c r="K120" s="273"/>
      <c r="L120" s="268"/>
      <c r="M120" s="114"/>
      <c r="N120" s="9"/>
      <c r="O120" s="9"/>
      <c r="P120" s="9"/>
      <c r="Q120" s="9"/>
      <c r="R120" s="9"/>
      <c r="S120" s="44"/>
      <c r="T120" s="44"/>
      <c r="U120" s="44"/>
      <c r="V120" s="44"/>
      <c r="W120" s="44"/>
      <c r="X120" s="44"/>
      <c r="Y120" s="44"/>
      <c r="Z120" s="44"/>
    </row>
    <row r="121" spans="1:26">
      <c r="A121" s="9"/>
      <c r="B121" s="9"/>
      <c r="C121" s="9"/>
      <c r="D121" s="9"/>
      <c r="E121" s="35"/>
      <c r="F121" s="35"/>
      <c r="G121" s="264"/>
      <c r="H121" s="273"/>
      <c r="I121" s="268"/>
      <c r="J121" s="268"/>
      <c r="K121" s="273"/>
      <c r="L121" s="268"/>
      <c r="M121" s="114"/>
      <c r="N121" s="9"/>
      <c r="O121" s="9"/>
      <c r="P121" s="9"/>
      <c r="Q121" s="9"/>
      <c r="R121" s="9"/>
      <c r="S121" s="44"/>
      <c r="T121" s="44"/>
      <c r="U121" s="44"/>
      <c r="V121" s="44"/>
      <c r="W121" s="44"/>
      <c r="X121" s="44"/>
      <c r="Y121" s="44"/>
      <c r="Z121" s="44"/>
    </row>
    <row r="122" spans="1:26">
      <c r="A122" s="9"/>
      <c r="B122" s="9"/>
      <c r="C122" s="9"/>
      <c r="D122" s="9"/>
      <c r="E122" s="35"/>
      <c r="F122" s="35"/>
      <c r="G122" s="264"/>
      <c r="H122" s="273"/>
      <c r="I122" s="268"/>
      <c r="J122" s="268"/>
      <c r="K122" s="273"/>
      <c r="L122" s="268"/>
      <c r="M122" s="114"/>
      <c r="N122" s="9"/>
      <c r="O122" s="9"/>
      <c r="P122" s="9"/>
      <c r="Q122" s="9"/>
      <c r="R122" s="9"/>
      <c r="S122" s="44"/>
      <c r="T122" s="44"/>
      <c r="U122" s="44"/>
      <c r="V122" s="44"/>
      <c r="W122" s="44"/>
      <c r="X122" s="44"/>
      <c r="Y122" s="44"/>
      <c r="Z122" s="44"/>
    </row>
    <row r="123" spans="1:26">
      <c r="A123" s="9"/>
      <c r="B123" s="9"/>
      <c r="C123" s="9"/>
      <c r="D123" s="9"/>
      <c r="E123" s="35"/>
      <c r="F123" s="35"/>
      <c r="G123" s="264"/>
      <c r="H123" s="273"/>
      <c r="I123" s="268"/>
      <c r="J123" s="268"/>
      <c r="K123" s="273"/>
      <c r="L123" s="268"/>
      <c r="M123" s="114"/>
      <c r="N123" s="9"/>
      <c r="O123" s="9"/>
      <c r="P123" s="9"/>
      <c r="Q123" s="9"/>
      <c r="R123" s="9"/>
      <c r="S123" s="44"/>
      <c r="T123" s="44"/>
      <c r="U123" s="44"/>
      <c r="V123" s="44"/>
      <c r="W123" s="44"/>
      <c r="X123" s="44"/>
      <c r="Y123" s="44"/>
      <c r="Z123" s="44"/>
    </row>
    <row r="124" spans="1:26">
      <c r="A124" s="9"/>
      <c r="B124" s="9"/>
      <c r="C124" s="9"/>
      <c r="D124" s="9"/>
      <c r="E124" s="35"/>
      <c r="F124" s="35"/>
      <c r="G124" s="264"/>
      <c r="H124" s="273"/>
      <c r="I124" s="268"/>
      <c r="J124" s="268"/>
      <c r="K124" s="273"/>
      <c r="L124" s="268"/>
      <c r="M124" s="114"/>
      <c r="N124" s="9"/>
      <c r="O124" s="9"/>
      <c r="P124" s="9"/>
      <c r="Q124" s="9"/>
      <c r="R124" s="9"/>
      <c r="S124" s="44"/>
      <c r="T124" s="44"/>
      <c r="U124" s="44"/>
      <c r="V124" s="44"/>
      <c r="W124" s="44"/>
      <c r="X124" s="44"/>
      <c r="Y124" s="44"/>
      <c r="Z124" s="44"/>
    </row>
    <row r="125" spans="1:26">
      <c r="A125" s="9"/>
      <c r="B125" s="9"/>
      <c r="C125" s="9"/>
      <c r="D125" s="9"/>
      <c r="E125" s="35"/>
      <c r="F125" s="35"/>
      <c r="G125" s="264"/>
      <c r="H125" s="273"/>
      <c r="I125" s="268"/>
      <c r="J125" s="268"/>
      <c r="K125" s="273"/>
      <c r="L125" s="268"/>
      <c r="M125" s="114"/>
      <c r="N125" s="9"/>
      <c r="O125" s="9"/>
      <c r="P125" s="9"/>
      <c r="Q125" s="9"/>
      <c r="R125" s="9"/>
      <c r="S125" s="44"/>
      <c r="T125" s="44"/>
      <c r="U125" s="44"/>
      <c r="V125" s="44"/>
      <c r="W125" s="44"/>
      <c r="X125" s="44"/>
      <c r="Y125" s="44"/>
      <c r="Z125" s="44"/>
    </row>
    <row r="126" spans="1:26">
      <c r="A126" s="9"/>
      <c r="B126" s="9"/>
      <c r="C126" s="9"/>
      <c r="D126" s="9"/>
      <c r="E126" s="35"/>
      <c r="F126" s="35"/>
      <c r="G126" s="264"/>
      <c r="H126" s="273"/>
      <c r="I126" s="268"/>
      <c r="J126" s="268"/>
      <c r="K126" s="273"/>
      <c r="L126" s="268"/>
      <c r="M126" s="114"/>
      <c r="N126" s="9"/>
      <c r="O126" s="9"/>
      <c r="P126" s="9"/>
      <c r="Q126" s="9"/>
      <c r="R126" s="9"/>
      <c r="S126" s="44"/>
      <c r="T126" s="44"/>
      <c r="U126" s="44"/>
      <c r="V126" s="44"/>
      <c r="W126" s="44"/>
      <c r="X126" s="44"/>
      <c r="Y126" s="44"/>
      <c r="Z126" s="44"/>
    </row>
    <row r="127" spans="1:26">
      <c r="A127" s="9"/>
      <c r="B127" s="9"/>
      <c r="C127" s="9"/>
      <c r="D127" s="9"/>
      <c r="E127" s="35"/>
      <c r="F127" s="35"/>
      <c r="G127" s="264"/>
      <c r="H127" s="273"/>
      <c r="I127" s="268"/>
      <c r="J127" s="268"/>
      <c r="K127" s="273"/>
      <c r="L127" s="268"/>
      <c r="M127" s="114"/>
      <c r="N127" s="9"/>
      <c r="O127" s="9"/>
      <c r="P127" s="9"/>
      <c r="Q127" s="9"/>
      <c r="R127" s="9"/>
      <c r="S127" s="44"/>
      <c r="T127" s="44"/>
      <c r="U127" s="44"/>
      <c r="V127" s="44"/>
      <c r="W127" s="44"/>
      <c r="X127" s="44"/>
      <c r="Y127" s="44"/>
      <c r="Z127" s="44"/>
    </row>
    <row r="128" spans="1:26">
      <c r="A128" s="9"/>
      <c r="B128" s="9"/>
      <c r="C128" s="9"/>
      <c r="D128" s="9"/>
      <c r="E128" s="35"/>
      <c r="F128" s="35"/>
      <c r="G128" s="264"/>
      <c r="H128" s="273"/>
      <c r="I128" s="268"/>
      <c r="J128" s="268"/>
      <c r="K128" s="273"/>
      <c r="L128" s="268"/>
      <c r="M128" s="114"/>
      <c r="N128" s="9"/>
      <c r="O128" s="9"/>
      <c r="P128" s="9"/>
      <c r="Q128" s="9"/>
      <c r="R128" s="9"/>
      <c r="S128" s="44"/>
      <c r="T128" s="44"/>
      <c r="U128" s="44"/>
      <c r="V128" s="44"/>
      <c r="W128" s="44"/>
      <c r="X128" s="44"/>
      <c r="Y128" s="44"/>
      <c r="Z128" s="44"/>
    </row>
    <row r="129" spans="1:26">
      <c r="A129" s="9"/>
      <c r="B129" s="9"/>
      <c r="C129" s="9"/>
      <c r="D129" s="9"/>
      <c r="E129" s="35"/>
      <c r="F129" s="35"/>
      <c r="G129" s="264"/>
      <c r="H129" s="273"/>
      <c r="I129" s="268"/>
      <c r="J129" s="268"/>
      <c r="K129" s="273"/>
      <c r="L129" s="268"/>
      <c r="M129" s="114"/>
      <c r="N129" s="9"/>
      <c r="O129" s="9"/>
      <c r="P129" s="9"/>
      <c r="Q129" s="9"/>
      <c r="R129" s="9"/>
      <c r="S129" s="44"/>
      <c r="T129" s="44"/>
      <c r="U129" s="44"/>
      <c r="V129" s="44"/>
      <c r="W129" s="44"/>
      <c r="X129" s="44"/>
      <c r="Y129" s="44"/>
      <c r="Z129" s="44"/>
    </row>
    <row r="130" spans="1:26">
      <c r="A130" s="9"/>
      <c r="B130" s="9"/>
      <c r="C130" s="9"/>
      <c r="D130" s="9"/>
      <c r="E130" s="35"/>
      <c r="F130" s="35"/>
      <c r="G130" s="264"/>
      <c r="H130" s="273"/>
      <c r="I130" s="268"/>
      <c r="J130" s="268"/>
      <c r="K130" s="273"/>
      <c r="L130" s="268"/>
      <c r="M130" s="114"/>
      <c r="N130" s="9"/>
      <c r="O130" s="9"/>
      <c r="P130" s="9"/>
      <c r="Q130" s="9"/>
      <c r="R130" s="9"/>
      <c r="S130" s="44"/>
      <c r="T130" s="44"/>
      <c r="U130" s="44"/>
      <c r="V130" s="44"/>
      <c r="W130" s="44"/>
      <c r="X130" s="44"/>
      <c r="Y130" s="44"/>
      <c r="Z130" s="44"/>
    </row>
    <row r="131" spans="1:26">
      <c r="A131" s="9"/>
      <c r="B131" s="9"/>
      <c r="C131" s="9"/>
      <c r="D131" s="9"/>
      <c r="E131" s="35"/>
      <c r="F131" s="35"/>
      <c r="G131" s="264"/>
      <c r="H131" s="273"/>
      <c r="I131" s="268"/>
      <c r="J131" s="268"/>
      <c r="K131" s="273"/>
      <c r="L131" s="268"/>
      <c r="M131" s="114"/>
      <c r="N131" s="9"/>
      <c r="O131" s="9"/>
      <c r="P131" s="9"/>
      <c r="Q131" s="9"/>
      <c r="R131" s="9"/>
      <c r="S131" s="44"/>
      <c r="T131" s="44"/>
      <c r="U131" s="44"/>
      <c r="V131" s="44"/>
      <c r="W131" s="44"/>
      <c r="X131" s="44"/>
      <c r="Y131" s="44"/>
      <c r="Z131" s="44"/>
    </row>
    <row r="132" spans="1:26">
      <c r="A132" s="9"/>
      <c r="B132" s="9"/>
      <c r="C132" s="9"/>
      <c r="D132" s="9"/>
      <c r="E132" s="35"/>
      <c r="F132" s="35"/>
      <c r="G132" s="264"/>
      <c r="H132" s="273"/>
      <c r="I132" s="268"/>
      <c r="J132" s="268"/>
      <c r="K132" s="273"/>
      <c r="L132" s="268"/>
      <c r="M132" s="114"/>
      <c r="N132" s="9"/>
      <c r="O132" s="9"/>
      <c r="P132" s="9"/>
      <c r="Q132" s="9"/>
      <c r="R132" s="9"/>
      <c r="S132" s="44"/>
      <c r="T132" s="44"/>
      <c r="U132" s="44"/>
      <c r="V132" s="44"/>
      <c r="W132" s="44"/>
      <c r="X132" s="44"/>
      <c r="Y132" s="44"/>
      <c r="Z132" s="44"/>
    </row>
    <row r="133" spans="1:26">
      <c r="A133" s="9"/>
      <c r="B133" s="9"/>
      <c r="C133" s="9"/>
      <c r="D133" s="9"/>
      <c r="E133" s="35"/>
      <c r="F133" s="35"/>
      <c r="G133" s="264"/>
      <c r="H133" s="273"/>
      <c r="I133" s="268"/>
      <c r="J133" s="268"/>
      <c r="K133" s="273"/>
      <c r="L133" s="268"/>
      <c r="M133" s="114"/>
      <c r="N133" s="9"/>
      <c r="O133" s="9"/>
      <c r="P133" s="9"/>
      <c r="Q133" s="9"/>
      <c r="R133" s="9"/>
      <c r="S133" s="44"/>
      <c r="T133" s="44"/>
      <c r="U133" s="44"/>
      <c r="V133" s="44"/>
      <c r="W133" s="44"/>
      <c r="X133" s="44"/>
      <c r="Y133" s="44"/>
      <c r="Z133" s="44"/>
    </row>
    <row r="134" spans="1:26">
      <c r="A134" s="9"/>
      <c r="B134" s="9"/>
      <c r="C134" s="9"/>
      <c r="D134" s="9"/>
      <c r="E134" s="35"/>
      <c r="F134" s="35"/>
      <c r="G134" s="264"/>
      <c r="H134" s="273"/>
      <c r="I134" s="268"/>
      <c r="J134" s="268"/>
      <c r="K134" s="273"/>
      <c r="L134" s="268"/>
      <c r="M134" s="114"/>
      <c r="N134" s="9"/>
      <c r="O134" s="9"/>
      <c r="P134" s="9"/>
      <c r="Q134" s="9"/>
      <c r="R134" s="9"/>
      <c r="S134" s="44"/>
      <c r="T134" s="44"/>
      <c r="U134" s="44"/>
      <c r="V134" s="44"/>
      <c r="W134" s="44"/>
      <c r="X134" s="44"/>
      <c r="Y134" s="44"/>
      <c r="Z134" s="44"/>
    </row>
    <row r="135" spans="1:26">
      <c r="A135" s="9"/>
      <c r="B135" s="9"/>
      <c r="C135" s="9"/>
      <c r="D135" s="9"/>
      <c r="E135" s="35"/>
      <c r="F135" s="35"/>
      <c r="G135" s="264"/>
      <c r="H135" s="273"/>
      <c r="I135" s="268"/>
      <c r="J135" s="268"/>
      <c r="K135" s="273"/>
      <c r="L135" s="268"/>
      <c r="M135" s="114"/>
      <c r="N135" s="9"/>
      <c r="O135" s="9"/>
      <c r="P135" s="9"/>
      <c r="Q135" s="9"/>
      <c r="R135" s="9"/>
      <c r="S135" s="44"/>
      <c r="T135" s="44"/>
      <c r="U135" s="44"/>
      <c r="V135" s="44"/>
      <c r="W135" s="44"/>
      <c r="X135" s="44"/>
      <c r="Y135" s="44"/>
      <c r="Z135" s="44"/>
    </row>
    <row r="136" spans="1:26">
      <c r="A136" s="9"/>
      <c r="B136" s="9"/>
      <c r="C136" s="9"/>
      <c r="D136" s="9"/>
      <c r="E136" s="35"/>
      <c r="F136" s="35"/>
      <c r="G136" s="264"/>
      <c r="H136" s="273"/>
      <c r="I136" s="268"/>
      <c r="J136" s="268"/>
      <c r="K136" s="273"/>
      <c r="L136" s="268"/>
      <c r="M136" s="114"/>
      <c r="N136" s="9"/>
      <c r="O136" s="9"/>
      <c r="P136" s="9"/>
      <c r="Q136" s="9"/>
      <c r="R136" s="9"/>
      <c r="S136" s="44"/>
      <c r="T136" s="44"/>
      <c r="U136" s="44"/>
      <c r="V136" s="44"/>
      <c r="W136" s="44"/>
      <c r="X136" s="44"/>
      <c r="Y136" s="44"/>
      <c r="Z136" s="44"/>
    </row>
    <row r="137" spans="1:26">
      <c r="A137" s="9"/>
      <c r="B137" s="9"/>
      <c r="C137" s="9"/>
      <c r="D137" s="9"/>
      <c r="E137" s="35"/>
      <c r="F137" s="35"/>
      <c r="G137" s="264"/>
      <c r="H137" s="273"/>
      <c r="I137" s="268"/>
      <c r="J137" s="268"/>
      <c r="K137" s="273"/>
      <c r="L137" s="268"/>
      <c r="M137" s="114"/>
      <c r="N137" s="9"/>
      <c r="O137" s="9"/>
      <c r="P137" s="9"/>
      <c r="Q137" s="9"/>
      <c r="R137" s="9"/>
      <c r="S137" s="44"/>
      <c r="T137" s="44"/>
      <c r="U137" s="44"/>
      <c r="V137" s="44"/>
      <c r="W137" s="44"/>
      <c r="X137" s="44"/>
      <c r="Y137" s="44"/>
      <c r="Z137" s="44"/>
    </row>
    <row r="138" spans="1:26">
      <c r="A138" s="9"/>
      <c r="B138" s="9"/>
      <c r="C138" s="9"/>
      <c r="D138" s="9"/>
      <c r="E138" s="35"/>
      <c r="F138" s="35"/>
      <c r="G138" s="264"/>
      <c r="H138" s="273"/>
      <c r="I138" s="268"/>
      <c r="J138" s="268"/>
      <c r="K138" s="273"/>
      <c r="L138" s="268"/>
      <c r="M138" s="114"/>
      <c r="N138" s="9"/>
      <c r="O138" s="9"/>
      <c r="P138" s="9"/>
      <c r="Q138" s="9"/>
      <c r="R138" s="9"/>
      <c r="S138" s="44"/>
      <c r="T138" s="44"/>
      <c r="U138" s="44"/>
      <c r="V138" s="44"/>
      <c r="W138" s="44"/>
      <c r="X138" s="44"/>
      <c r="Y138" s="44"/>
      <c r="Z138" s="44"/>
    </row>
    <row r="139" spans="1:26">
      <c r="A139" s="9"/>
      <c r="B139" s="9"/>
      <c r="C139" s="9"/>
      <c r="D139" s="9"/>
      <c r="E139" s="35"/>
      <c r="F139" s="35"/>
      <c r="G139" s="264"/>
      <c r="H139" s="273"/>
      <c r="I139" s="268"/>
      <c r="J139" s="268"/>
      <c r="K139" s="273"/>
      <c r="L139" s="268"/>
      <c r="M139" s="114"/>
      <c r="N139" s="9"/>
      <c r="O139" s="9"/>
      <c r="P139" s="9"/>
      <c r="Q139" s="9"/>
      <c r="R139" s="9"/>
      <c r="S139" s="44"/>
      <c r="T139" s="44"/>
      <c r="U139" s="44"/>
      <c r="V139" s="44"/>
      <c r="W139" s="44"/>
      <c r="X139" s="44"/>
      <c r="Y139" s="44"/>
      <c r="Z139" s="44"/>
    </row>
    <row r="140" spans="1:26">
      <c r="A140" s="9"/>
      <c r="B140" s="9"/>
      <c r="C140" s="9"/>
      <c r="D140" s="9"/>
      <c r="E140" s="35"/>
      <c r="F140" s="35"/>
      <c r="G140" s="264"/>
      <c r="H140" s="273"/>
      <c r="I140" s="268"/>
      <c r="J140" s="268"/>
      <c r="K140" s="273"/>
      <c r="L140" s="268"/>
      <c r="M140" s="114"/>
      <c r="N140" s="9"/>
      <c r="O140" s="9"/>
      <c r="P140" s="9"/>
      <c r="Q140" s="9"/>
      <c r="R140" s="9"/>
      <c r="S140" s="44"/>
      <c r="T140" s="44"/>
      <c r="U140" s="44"/>
      <c r="V140" s="44"/>
      <c r="W140" s="44"/>
      <c r="X140" s="44"/>
      <c r="Y140" s="44"/>
      <c r="Z140" s="44"/>
    </row>
    <row r="141" spans="1:26">
      <c r="A141" s="9"/>
      <c r="B141" s="9"/>
      <c r="C141" s="9"/>
      <c r="D141" s="9"/>
      <c r="E141" s="35"/>
      <c r="F141" s="35"/>
      <c r="G141" s="264"/>
      <c r="H141" s="273"/>
      <c r="I141" s="268"/>
      <c r="J141" s="268"/>
      <c r="K141" s="273"/>
      <c r="L141" s="268"/>
      <c r="M141" s="114"/>
      <c r="N141" s="9"/>
      <c r="O141" s="9"/>
      <c r="P141" s="9"/>
      <c r="Q141" s="9"/>
      <c r="R141" s="9"/>
      <c r="S141" s="44"/>
      <c r="T141" s="44"/>
      <c r="U141" s="44"/>
      <c r="V141" s="44"/>
      <c r="W141" s="44"/>
      <c r="X141" s="44"/>
      <c r="Y141" s="44"/>
      <c r="Z141" s="44"/>
    </row>
    <row r="142" spans="1:26">
      <c r="A142" s="9"/>
      <c r="B142" s="9"/>
      <c r="C142" s="9"/>
      <c r="D142" s="9"/>
      <c r="E142" s="35"/>
      <c r="F142" s="35"/>
      <c r="G142" s="264"/>
      <c r="H142" s="273"/>
      <c r="I142" s="268"/>
      <c r="J142" s="268"/>
      <c r="K142" s="273"/>
      <c r="L142" s="268"/>
      <c r="M142" s="114"/>
      <c r="N142" s="9"/>
      <c r="O142" s="9"/>
      <c r="P142" s="9"/>
      <c r="Q142" s="9"/>
      <c r="R142" s="9"/>
      <c r="S142" s="44"/>
      <c r="T142" s="44"/>
      <c r="U142" s="44"/>
      <c r="V142" s="44"/>
      <c r="W142" s="44"/>
      <c r="X142" s="44"/>
      <c r="Y142" s="44"/>
      <c r="Z142" s="44"/>
    </row>
    <row r="143" spans="1:26">
      <c r="A143" s="9"/>
      <c r="B143" s="9"/>
      <c r="C143" s="9"/>
      <c r="D143" s="9"/>
      <c r="E143" s="35"/>
      <c r="F143" s="35"/>
      <c r="G143" s="264"/>
      <c r="H143" s="273"/>
      <c r="I143" s="268"/>
      <c r="J143" s="268"/>
      <c r="K143" s="273"/>
      <c r="L143" s="268"/>
      <c r="M143" s="114"/>
      <c r="N143" s="9"/>
      <c r="O143" s="9"/>
      <c r="P143" s="9"/>
      <c r="Q143" s="9"/>
      <c r="R143" s="9"/>
      <c r="S143" s="44"/>
      <c r="T143" s="44"/>
      <c r="U143" s="44"/>
      <c r="V143" s="44"/>
      <c r="W143" s="44"/>
      <c r="X143" s="44"/>
      <c r="Y143" s="44"/>
      <c r="Z143" s="44"/>
    </row>
    <row r="144" spans="1:26">
      <c r="A144" s="9"/>
      <c r="B144" s="9"/>
      <c r="C144" s="9"/>
      <c r="D144" s="9"/>
      <c r="E144" s="35"/>
      <c r="F144" s="35"/>
      <c r="G144" s="264"/>
      <c r="H144" s="273"/>
      <c r="I144" s="268"/>
      <c r="J144" s="268"/>
      <c r="K144" s="273"/>
      <c r="L144" s="268"/>
      <c r="M144" s="114"/>
      <c r="N144" s="9"/>
      <c r="O144" s="9"/>
      <c r="P144" s="9"/>
      <c r="Q144" s="9"/>
      <c r="R144" s="9"/>
      <c r="S144" s="44"/>
      <c r="T144" s="44"/>
      <c r="U144" s="44"/>
      <c r="V144" s="44"/>
      <c r="W144" s="44"/>
      <c r="X144" s="44"/>
      <c r="Y144" s="44"/>
      <c r="Z144" s="44"/>
    </row>
    <row r="145" spans="1:26">
      <c r="A145" s="9"/>
      <c r="B145" s="9"/>
      <c r="C145" s="9"/>
      <c r="D145" s="9"/>
      <c r="E145" s="35"/>
      <c r="F145" s="35"/>
      <c r="G145" s="264"/>
      <c r="H145" s="273"/>
      <c r="I145" s="268"/>
      <c r="J145" s="268"/>
      <c r="K145" s="273"/>
      <c r="L145" s="268"/>
      <c r="M145" s="114"/>
      <c r="N145" s="9"/>
      <c r="O145" s="9"/>
      <c r="P145" s="9"/>
      <c r="Q145" s="9"/>
      <c r="R145" s="9"/>
      <c r="S145" s="44"/>
      <c r="T145" s="44"/>
      <c r="U145" s="44"/>
      <c r="V145" s="44"/>
      <c r="W145" s="44"/>
      <c r="X145" s="44"/>
      <c r="Y145" s="44"/>
      <c r="Z145" s="44"/>
    </row>
    <row r="146" spans="1:26">
      <c r="A146" s="9"/>
      <c r="B146" s="9"/>
      <c r="C146" s="9"/>
      <c r="D146" s="9"/>
      <c r="E146" s="35"/>
      <c r="F146" s="35"/>
      <c r="G146" s="264"/>
      <c r="H146" s="273"/>
      <c r="I146" s="268"/>
      <c r="J146" s="268"/>
      <c r="K146" s="273"/>
      <c r="L146" s="268"/>
      <c r="M146" s="114"/>
      <c r="N146" s="9"/>
      <c r="O146" s="9"/>
      <c r="P146" s="9"/>
      <c r="Q146" s="9"/>
      <c r="R146" s="9"/>
      <c r="S146" s="44"/>
      <c r="T146" s="44"/>
      <c r="U146" s="44"/>
      <c r="V146" s="44"/>
      <c r="W146" s="44"/>
      <c r="X146" s="44"/>
      <c r="Y146" s="44"/>
      <c r="Z146" s="44"/>
    </row>
    <row r="147" spans="1:26">
      <c r="A147" s="9"/>
      <c r="B147" s="9"/>
      <c r="C147" s="9"/>
      <c r="D147" s="9"/>
      <c r="E147" s="35"/>
      <c r="F147" s="35"/>
      <c r="G147" s="264"/>
      <c r="H147" s="273"/>
      <c r="I147" s="268"/>
      <c r="J147" s="268"/>
      <c r="K147" s="273"/>
      <c r="L147" s="268"/>
      <c r="M147" s="114"/>
      <c r="N147" s="9"/>
      <c r="O147" s="9"/>
      <c r="P147" s="9"/>
      <c r="Q147" s="9"/>
      <c r="R147" s="9"/>
      <c r="S147" s="44"/>
      <c r="T147" s="44"/>
      <c r="U147" s="44"/>
      <c r="V147" s="44"/>
      <c r="W147" s="44"/>
      <c r="X147" s="44"/>
      <c r="Y147" s="44"/>
      <c r="Z147" s="44"/>
    </row>
    <row r="148" spans="1:26">
      <c r="A148" s="9"/>
      <c r="B148" s="9"/>
      <c r="C148" s="9"/>
      <c r="D148" s="9"/>
      <c r="E148" s="35"/>
      <c r="F148" s="35"/>
      <c r="G148" s="264"/>
      <c r="H148" s="273"/>
      <c r="I148" s="268"/>
      <c r="J148" s="268"/>
      <c r="K148" s="273"/>
      <c r="L148" s="268"/>
      <c r="M148" s="114"/>
      <c r="N148" s="9"/>
      <c r="O148" s="9"/>
      <c r="P148" s="9"/>
      <c r="Q148" s="9"/>
      <c r="R148" s="9"/>
      <c r="S148" s="44"/>
      <c r="T148" s="44"/>
      <c r="U148" s="44"/>
      <c r="V148" s="44"/>
      <c r="W148" s="44"/>
      <c r="X148" s="44"/>
      <c r="Y148" s="44"/>
      <c r="Z148" s="44"/>
    </row>
    <row r="149" spans="1:26">
      <c r="A149" s="9"/>
      <c r="B149" s="9"/>
      <c r="C149" s="9"/>
      <c r="D149" s="9"/>
      <c r="E149" s="35"/>
      <c r="F149" s="35"/>
      <c r="G149" s="264"/>
      <c r="H149" s="273"/>
      <c r="I149" s="268"/>
      <c r="J149" s="268"/>
      <c r="K149" s="273"/>
      <c r="L149" s="268"/>
      <c r="M149" s="114"/>
      <c r="N149" s="9"/>
      <c r="O149" s="9"/>
      <c r="P149" s="9"/>
      <c r="Q149" s="9"/>
      <c r="R149" s="9"/>
      <c r="S149" s="44"/>
      <c r="T149" s="44"/>
      <c r="U149" s="44"/>
      <c r="V149" s="44"/>
      <c r="W149" s="44"/>
      <c r="X149" s="44"/>
      <c r="Y149" s="44"/>
      <c r="Z149" s="44"/>
    </row>
    <row r="150" spans="1:26">
      <c r="A150" s="9"/>
      <c r="B150" s="9"/>
      <c r="C150" s="9"/>
      <c r="D150" s="9"/>
      <c r="E150" s="35"/>
      <c r="F150" s="35"/>
      <c r="G150" s="264"/>
      <c r="H150" s="273"/>
      <c r="I150" s="268"/>
      <c r="J150" s="268"/>
      <c r="K150" s="273"/>
      <c r="L150" s="268"/>
      <c r="M150" s="114"/>
      <c r="N150" s="9"/>
      <c r="O150" s="9"/>
      <c r="P150" s="9"/>
      <c r="Q150" s="9"/>
      <c r="R150" s="9"/>
      <c r="S150" s="44"/>
      <c r="T150" s="44"/>
      <c r="U150" s="44"/>
      <c r="V150" s="44"/>
      <c r="W150" s="44"/>
      <c r="X150" s="44"/>
      <c r="Y150" s="44"/>
      <c r="Z150" s="44"/>
    </row>
    <row r="151" spans="1:26">
      <c r="A151" s="9"/>
      <c r="B151" s="9"/>
      <c r="C151" s="9"/>
      <c r="D151" s="9"/>
      <c r="E151" s="35"/>
      <c r="F151" s="35"/>
      <c r="G151" s="264"/>
      <c r="H151" s="273"/>
      <c r="I151" s="268"/>
      <c r="J151" s="268"/>
      <c r="K151" s="273"/>
      <c r="L151" s="268"/>
      <c r="M151" s="114"/>
      <c r="N151" s="9"/>
      <c r="O151" s="9"/>
      <c r="P151" s="9"/>
      <c r="Q151" s="9"/>
      <c r="R151" s="9"/>
      <c r="S151" s="44"/>
      <c r="T151" s="44"/>
      <c r="U151" s="44"/>
      <c r="V151" s="44"/>
      <c r="W151" s="44"/>
      <c r="X151" s="44"/>
      <c r="Y151" s="44"/>
      <c r="Z151" s="44"/>
    </row>
    <row r="152" spans="1:26">
      <c r="A152" s="9"/>
      <c r="B152" s="9"/>
      <c r="C152" s="9"/>
      <c r="D152" s="9"/>
      <c r="E152" s="35"/>
      <c r="F152" s="35"/>
      <c r="G152" s="264"/>
      <c r="H152" s="273"/>
      <c r="I152" s="268"/>
      <c r="J152" s="268"/>
      <c r="K152" s="273"/>
      <c r="L152" s="268"/>
      <c r="M152" s="114"/>
      <c r="N152" s="9"/>
      <c r="O152" s="9"/>
      <c r="P152" s="9"/>
      <c r="Q152" s="9"/>
      <c r="R152" s="9"/>
      <c r="S152" s="44"/>
      <c r="T152" s="44"/>
      <c r="U152" s="44"/>
      <c r="V152" s="44"/>
      <c r="W152" s="44"/>
      <c r="X152" s="44"/>
      <c r="Y152" s="44"/>
      <c r="Z152" s="44"/>
    </row>
    <row r="153" spans="1:26">
      <c r="A153" s="9"/>
      <c r="B153" s="9"/>
      <c r="C153" s="9"/>
      <c r="D153" s="9"/>
      <c r="E153" s="35"/>
      <c r="F153" s="35"/>
      <c r="G153" s="264"/>
      <c r="H153" s="273"/>
      <c r="I153" s="268"/>
      <c r="J153" s="268"/>
      <c r="K153" s="273"/>
      <c r="L153" s="268"/>
      <c r="M153" s="114"/>
      <c r="N153" s="9"/>
      <c r="O153" s="9"/>
      <c r="P153" s="9"/>
      <c r="Q153" s="9"/>
      <c r="R153" s="9"/>
      <c r="S153" s="44"/>
      <c r="T153" s="44"/>
      <c r="U153" s="44"/>
      <c r="V153" s="44"/>
      <c r="W153" s="44"/>
      <c r="X153" s="44"/>
      <c r="Y153" s="44"/>
      <c r="Z153" s="44"/>
    </row>
    <row r="154" spans="1:26">
      <c r="A154" s="9"/>
      <c r="B154" s="9"/>
      <c r="C154" s="9"/>
      <c r="D154" s="9"/>
      <c r="E154" s="35"/>
      <c r="F154" s="35"/>
      <c r="G154" s="264"/>
      <c r="H154" s="273"/>
      <c r="I154" s="268"/>
      <c r="J154" s="268"/>
      <c r="K154" s="273"/>
      <c r="L154" s="268"/>
      <c r="M154" s="114"/>
      <c r="N154" s="9"/>
      <c r="O154" s="9"/>
      <c r="P154" s="9"/>
      <c r="Q154" s="9"/>
      <c r="R154" s="9"/>
      <c r="S154" s="44"/>
      <c r="T154" s="44"/>
      <c r="U154" s="44"/>
      <c r="V154" s="44"/>
      <c r="W154" s="44"/>
      <c r="X154" s="44"/>
      <c r="Y154" s="44"/>
      <c r="Z154" s="44"/>
    </row>
    <row r="155" spans="1:26">
      <c r="A155" s="9"/>
      <c r="B155" s="9"/>
      <c r="C155" s="9"/>
      <c r="D155" s="9"/>
      <c r="E155" s="35"/>
      <c r="F155" s="35"/>
      <c r="G155" s="264"/>
      <c r="H155" s="273"/>
      <c r="I155" s="268"/>
      <c r="J155" s="268"/>
      <c r="K155" s="273"/>
      <c r="L155" s="268"/>
      <c r="M155" s="114"/>
      <c r="N155" s="9"/>
      <c r="O155" s="9"/>
      <c r="P155" s="9"/>
      <c r="Q155" s="9"/>
      <c r="R155" s="9"/>
      <c r="S155" s="44"/>
      <c r="T155" s="44"/>
      <c r="U155" s="44"/>
      <c r="V155" s="44"/>
      <c r="W155" s="44"/>
      <c r="X155" s="44"/>
      <c r="Y155" s="44"/>
      <c r="Z155" s="44"/>
    </row>
    <row r="156" spans="1:26">
      <c r="A156" s="9"/>
      <c r="B156" s="9"/>
      <c r="C156" s="9"/>
      <c r="D156" s="9"/>
      <c r="E156" s="35"/>
      <c r="F156" s="35"/>
      <c r="G156" s="264"/>
      <c r="H156" s="273"/>
      <c r="I156" s="268"/>
      <c r="J156" s="268"/>
      <c r="K156" s="273"/>
      <c r="L156" s="268"/>
      <c r="M156" s="114"/>
      <c r="N156" s="9"/>
      <c r="O156" s="9"/>
      <c r="P156" s="9"/>
      <c r="Q156" s="9"/>
      <c r="R156" s="9"/>
      <c r="S156" s="44"/>
      <c r="T156" s="44"/>
      <c r="U156" s="44"/>
      <c r="V156" s="44"/>
      <c r="W156" s="44"/>
      <c r="X156" s="44"/>
      <c r="Y156" s="44"/>
      <c r="Z156" s="44"/>
    </row>
    <row r="157" spans="1:26">
      <c r="A157" s="9"/>
      <c r="B157" s="9"/>
      <c r="C157" s="9"/>
      <c r="D157" s="9"/>
      <c r="E157" s="35"/>
      <c r="F157" s="35"/>
      <c r="G157" s="264"/>
      <c r="H157" s="273"/>
      <c r="I157" s="268"/>
      <c r="J157" s="268"/>
      <c r="K157" s="273"/>
      <c r="L157" s="268"/>
      <c r="M157" s="114"/>
      <c r="N157" s="9"/>
      <c r="O157" s="9"/>
      <c r="P157" s="9"/>
      <c r="Q157" s="9"/>
      <c r="R157" s="9"/>
      <c r="S157" s="44"/>
      <c r="T157" s="44"/>
      <c r="U157" s="44"/>
      <c r="V157" s="44"/>
      <c r="W157" s="44"/>
      <c r="X157" s="44"/>
      <c r="Y157" s="44"/>
      <c r="Z157" s="44"/>
    </row>
    <row r="158" spans="1:26">
      <c r="A158" s="9"/>
      <c r="B158" s="9"/>
      <c r="C158" s="9"/>
      <c r="D158" s="9"/>
      <c r="E158" s="35"/>
      <c r="F158" s="35"/>
      <c r="G158" s="264"/>
      <c r="H158" s="273"/>
      <c r="I158" s="268"/>
      <c r="J158" s="268"/>
      <c r="K158" s="273"/>
      <c r="L158" s="268"/>
      <c r="M158" s="114"/>
      <c r="N158" s="9"/>
      <c r="O158" s="9"/>
      <c r="P158" s="9"/>
      <c r="Q158" s="9"/>
      <c r="R158" s="9"/>
      <c r="S158" s="44"/>
      <c r="T158" s="44"/>
      <c r="U158" s="44"/>
      <c r="V158" s="44"/>
      <c r="W158" s="44"/>
      <c r="X158" s="44"/>
      <c r="Y158" s="44"/>
      <c r="Z158" s="44"/>
    </row>
    <row r="159" spans="1:26">
      <c r="A159" s="9"/>
      <c r="B159" s="9"/>
      <c r="C159" s="9"/>
      <c r="D159" s="9"/>
      <c r="E159" s="35"/>
      <c r="F159" s="35"/>
      <c r="G159" s="264"/>
      <c r="H159" s="273"/>
      <c r="I159" s="268"/>
      <c r="J159" s="268"/>
      <c r="K159" s="273"/>
      <c r="L159" s="268"/>
      <c r="M159" s="114"/>
      <c r="N159" s="9"/>
      <c r="O159" s="9"/>
      <c r="P159" s="9"/>
      <c r="Q159" s="9"/>
      <c r="R159" s="9"/>
      <c r="S159" s="44"/>
      <c r="T159" s="44"/>
      <c r="U159" s="44"/>
      <c r="V159" s="44"/>
      <c r="W159" s="44"/>
      <c r="X159" s="44"/>
      <c r="Y159" s="44"/>
      <c r="Z159" s="44"/>
    </row>
    <row r="160" spans="1:26">
      <c r="A160" s="9"/>
      <c r="B160" s="9"/>
      <c r="C160" s="9"/>
      <c r="D160" s="9"/>
      <c r="E160" s="35"/>
      <c r="F160" s="35"/>
      <c r="G160" s="264"/>
      <c r="H160" s="273"/>
      <c r="I160" s="268"/>
      <c r="J160" s="268"/>
      <c r="K160" s="273"/>
      <c r="L160" s="268"/>
      <c r="M160" s="114"/>
      <c r="N160" s="9"/>
      <c r="O160" s="9"/>
      <c r="P160" s="9"/>
      <c r="Q160" s="9"/>
      <c r="R160" s="9"/>
      <c r="S160" s="44"/>
      <c r="T160" s="44"/>
      <c r="U160" s="44"/>
      <c r="V160" s="44"/>
      <c r="W160" s="44"/>
      <c r="X160" s="44"/>
      <c r="Y160" s="44"/>
      <c r="Z160" s="44"/>
    </row>
    <row r="161" spans="1:26">
      <c r="A161" s="9"/>
      <c r="B161" s="9"/>
      <c r="C161" s="9"/>
      <c r="D161" s="9"/>
      <c r="E161" s="35"/>
      <c r="F161" s="35"/>
      <c r="G161" s="264"/>
      <c r="H161" s="273"/>
      <c r="I161" s="268"/>
      <c r="J161" s="268"/>
      <c r="K161" s="273"/>
      <c r="L161" s="268"/>
      <c r="M161" s="114"/>
      <c r="N161" s="9"/>
      <c r="O161" s="9"/>
      <c r="P161" s="9"/>
      <c r="Q161" s="9"/>
      <c r="R161" s="9"/>
      <c r="S161" s="44"/>
      <c r="T161" s="44"/>
      <c r="U161" s="44"/>
      <c r="V161" s="44"/>
      <c r="W161" s="44"/>
      <c r="X161" s="44"/>
      <c r="Y161" s="44"/>
      <c r="Z161" s="44"/>
    </row>
    <row r="162" spans="1:26">
      <c r="A162" s="9"/>
      <c r="B162" s="9"/>
      <c r="C162" s="9"/>
      <c r="D162" s="9"/>
      <c r="E162" s="35"/>
      <c r="F162" s="35"/>
      <c r="G162" s="264"/>
      <c r="H162" s="273"/>
      <c r="I162" s="268"/>
      <c r="J162" s="268"/>
      <c r="K162" s="273"/>
      <c r="L162" s="268"/>
      <c r="M162" s="114"/>
      <c r="N162" s="9"/>
      <c r="O162" s="9"/>
      <c r="P162" s="9"/>
      <c r="Q162" s="9"/>
      <c r="R162" s="9"/>
      <c r="S162" s="44"/>
      <c r="T162" s="44"/>
      <c r="U162" s="44"/>
      <c r="V162" s="44"/>
      <c r="W162" s="44"/>
      <c r="X162" s="44"/>
      <c r="Y162" s="44"/>
      <c r="Z162" s="44"/>
    </row>
    <row r="163" spans="1:26">
      <c r="A163" s="9"/>
      <c r="B163" s="9"/>
      <c r="C163" s="9"/>
      <c r="D163" s="9"/>
      <c r="E163" s="35"/>
      <c r="F163" s="35"/>
      <c r="G163" s="264"/>
      <c r="H163" s="273"/>
      <c r="I163" s="268"/>
      <c r="J163" s="268"/>
      <c r="K163" s="273"/>
      <c r="L163" s="268"/>
      <c r="M163" s="114"/>
      <c r="N163" s="9"/>
      <c r="O163" s="9"/>
      <c r="P163" s="9"/>
      <c r="Q163" s="9"/>
      <c r="R163" s="9"/>
      <c r="S163" s="44"/>
      <c r="T163" s="44"/>
      <c r="U163" s="44"/>
      <c r="V163" s="44"/>
      <c r="W163" s="44"/>
      <c r="X163" s="44"/>
      <c r="Y163" s="44"/>
      <c r="Z163" s="44"/>
    </row>
    <row r="164" spans="1:26">
      <c r="A164" s="9"/>
      <c r="B164" s="9"/>
      <c r="C164" s="9"/>
      <c r="D164" s="9"/>
      <c r="E164" s="35"/>
      <c r="F164" s="35"/>
      <c r="G164" s="264"/>
      <c r="H164" s="273"/>
      <c r="I164" s="268"/>
      <c r="J164" s="268"/>
      <c r="K164" s="273"/>
      <c r="L164" s="268"/>
      <c r="M164" s="114"/>
      <c r="N164" s="9"/>
      <c r="O164" s="9"/>
      <c r="P164" s="9"/>
      <c r="Q164" s="9"/>
      <c r="R164" s="9"/>
      <c r="S164" s="44"/>
      <c r="T164" s="44"/>
      <c r="U164" s="44"/>
      <c r="V164" s="44"/>
      <c r="W164" s="44"/>
      <c r="X164" s="44"/>
      <c r="Y164" s="44"/>
      <c r="Z164" s="44"/>
    </row>
    <row r="165" spans="1:26">
      <c r="A165" s="9"/>
      <c r="B165" s="9"/>
      <c r="C165" s="9"/>
      <c r="D165" s="9"/>
      <c r="E165" s="35"/>
      <c r="F165" s="35"/>
      <c r="G165" s="264"/>
      <c r="H165" s="273"/>
      <c r="I165" s="268"/>
      <c r="J165" s="268"/>
      <c r="K165" s="273"/>
      <c r="L165" s="268"/>
      <c r="M165" s="114"/>
      <c r="N165" s="9"/>
      <c r="O165" s="9"/>
      <c r="P165" s="9"/>
      <c r="Q165" s="9"/>
      <c r="R165" s="9"/>
      <c r="S165" s="44"/>
      <c r="T165" s="44"/>
      <c r="U165" s="44"/>
      <c r="V165" s="44"/>
      <c r="W165" s="44"/>
      <c r="X165" s="44"/>
      <c r="Y165" s="44"/>
      <c r="Z165" s="44"/>
    </row>
    <row r="166" spans="1:26">
      <c r="A166" s="9"/>
      <c r="B166" s="9"/>
      <c r="C166" s="9"/>
      <c r="D166" s="9"/>
      <c r="E166" s="35"/>
      <c r="F166" s="35"/>
      <c r="G166" s="264"/>
      <c r="H166" s="273"/>
      <c r="I166" s="268"/>
      <c r="J166" s="268"/>
      <c r="K166" s="273"/>
      <c r="L166" s="268"/>
      <c r="M166" s="114"/>
      <c r="N166" s="9"/>
      <c r="O166" s="9"/>
      <c r="P166" s="9"/>
      <c r="Q166" s="9"/>
      <c r="R166" s="9"/>
      <c r="S166" s="44"/>
      <c r="T166" s="44"/>
      <c r="U166" s="44"/>
      <c r="V166" s="44"/>
      <c r="W166" s="44"/>
      <c r="X166" s="44"/>
      <c r="Y166" s="44"/>
      <c r="Z166" s="44"/>
    </row>
    <row r="167" spans="1:26">
      <c r="A167" s="9"/>
      <c r="B167" s="9"/>
      <c r="C167" s="9"/>
      <c r="D167" s="9"/>
      <c r="E167" s="35"/>
      <c r="F167" s="35"/>
      <c r="G167" s="264"/>
      <c r="H167" s="273"/>
      <c r="I167" s="268"/>
      <c r="J167" s="268"/>
      <c r="K167" s="273"/>
      <c r="L167" s="268"/>
      <c r="M167" s="114"/>
      <c r="N167" s="9"/>
      <c r="O167" s="9"/>
      <c r="P167" s="9"/>
      <c r="Q167" s="9"/>
      <c r="R167" s="9"/>
      <c r="S167" s="44"/>
      <c r="T167" s="44"/>
      <c r="U167" s="44"/>
      <c r="V167" s="44"/>
      <c r="W167" s="44"/>
      <c r="X167" s="44"/>
      <c r="Y167" s="44"/>
      <c r="Z167" s="44"/>
    </row>
    <row r="168" spans="1:26">
      <c r="A168" s="9"/>
      <c r="B168" s="9"/>
      <c r="C168" s="9"/>
      <c r="D168" s="9"/>
      <c r="E168" s="35"/>
      <c r="F168" s="35"/>
      <c r="G168" s="264"/>
      <c r="H168" s="273"/>
      <c r="I168" s="268"/>
      <c r="J168" s="268"/>
      <c r="K168" s="273"/>
      <c r="L168" s="268"/>
      <c r="M168" s="114"/>
      <c r="N168" s="9"/>
      <c r="O168" s="9"/>
      <c r="P168" s="9"/>
      <c r="Q168" s="9"/>
      <c r="R168" s="9"/>
      <c r="S168" s="44"/>
      <c r="T168" s="44"/>
      <c r="U168" s="44"/>
      <c r="V168" s="44"/>
      <c r="W168" s="44"/>
      <c r="X168" s="44"/>
      <c r="Y168" s="44"/>
      <c r="Z168" s="44"/>
    </row>
    <row r="169" spans="1:26">
      <c r="A169" s="9"/>
      <c r="B169" s="9"/>
      <c r="C169" s="9"/>
      <c r="D169" s="9"/>
      <c r="E169" s="35"/>
      <c r="F169" s="35"/>
      <c r="G169" s="264"/>
      <c r="H169" s="273"/>
      <c r="I169" s="268"/>
      <c r="J169" s="268"/>
      <c r="K169" s="273"/>
      <c r="L169" s="268"/>
      <c r="M169" s="114"/>
      <c r="N169" s="9"/>
      <c r="O169" s="9"/>
      <c r="P169" s="9"/>
      <c r="Q169" s="9"/>
      <c r="R169" s="9"/>
      <c r="S169" s="44"/>
      <c r="T169" s="44"/>
      <c r="U169" s="44"/>
      <c r="V169" s="44"/>
      <c r="W169" s="44"/>
      <c r="X169" s="44"/>
      <c r="Y169" s="44"/>
      <c r="Z169" s="44"/>
    </row>
    <row r="170" spans="1:26">
      <c r="A170" s="9"/>
      <c r="B170" s="9"/>
      <c r="C170" s="9"/>
      <c r="D170" s="9"/>
      <c r="E170" s="35"/>
      <c r="F170" s="35"/>
      <c r="G170" s="264"/>
      <c r="H170" s="273"/>
      <c r="I170" s="268"/>
      <c r="J170" s="268"/>
      <c r="K170" s="273"/>
      <c r="L170" s="268"/>
      <c r="M170" s="114"/>
      <c r="N170" s="9"/>
      <c r="O170" s="9"/>
      <c r="P170" s="9"/>
      <c r="Q170" s="9"/>
      <c r="R170" s="9"/>
      <c r="S170" s="44"/>
      <c r="T170" s="44"/>
      <c r="U170" s="44"/>
      <c r="V170" s="44"/>
      <c r="W170" s="44"/>
      <c r="X170" s="44"/>
      <c r="Y170" s="44"/>
      <c r="Z170" s="44"/>
    </row>
    <row r="171" spans="1:26">
      <c r="A171" s="9"/>
      <c r="B171" s="9"/>
      <c r="C171" s="9"/>
      <c r="D171" s="9"/>
      <c r="E171" s="35"/>
      <c r="F171" s="35"/>
      <c r="G171" s="264"/>
      <c r="H171" s="273"/>
      <c r="I171" s="268"/>
      <c r="J171" s="268"/>
      <c r="K171" s="273"/>
      <c r="L171" s="268"/>
      <c r="M171" s="114"/>
      <c r="N171" s="9"/>
      <c r="O171" s="9"/>
      <c r="P171" s="9"/>
      <c r="Q171" s="9"/>
      <c r="R171" s="9"/>
      <c r="S171" s="44"/>
      <c r="T171" s="44"/>
      <c r="U171" s="44"/>
      <c r="V171" s="44"/>
      <c r="W171" s="44"/>
      <c r="X171" s="44"/>
      <c r="Y171" s="44"/>
      <c r="Z171" s="44"/>
    </row>
    <row r="172" spans="1:26">
      <c r="A172" s="9"/>
      <c r="B172" s="9"/>
      <c r="C172" s="9"/>
      <c r="D172" s="9"/>
      <c r="E172" s="35"/>
      <c r="F172" s="35"/>
      <c r="G172" s="264"/>
      <c r="H172" s="273"/>
      <c r="I172" s="268"/>
      <c r="J172" s="268"/>
      <c r="K172" s="273"/>
      <c r="L172" s="268"/>
      <c r="M172" s="114"/>
      <c r="N172" s="9"/>
      <c r="O172" s="9"/>
      <c r="P172" s="9"/>
      <c r="Q172" s="9"/>
      <c r="R172" s="9"/>
      <c r="S172" s="44"/>
      <c r="T172" s="44"/>
      <c r="U172" s="44"/>
      <c r="V172" s="44"/>
      <c r="W172" s="44"/>
      <c r="X172" s="44"/>
      <c r="Y172" s="44"/>
      <c r="Z172" s="44"/>
    </row>
    <row r="173" spans="1:26">
      <c r="A173" s="9"/>
      <c r="B173" s="9"/>
      <c r="C173" s="9"/>
      <c r="D173" s="9"/>
      <c r="E173" s="35"/>
      <c r="F173" s="35"/>
      <c r="G173" s="264"/>
      <c r="H173" s="273"/>
      <c r="I173" s="268"/>
      <c r="J173" s="268"/>
      <c r="K173" s="273"/>
      <c r="L173" s="268"/>
      <c r="M173" s="114"/>
      <c r="N173" s="9"/>
      <c r="O173" s="9"/>
      <c r="P173" s="9"/>
      <c r="Q173" s="9"/>
      <c r="R173" s="9"/>
      <c r="S173" s="44"/>
      <c r="T173" s="44"/>
      <c r="U173" s="44"/>
      <c r="V173" s="44"/>
      <c r="W173" s="44"/>
      <c r="X173" s="44"/>
      <c r="Y173" s="44"/>
      <c r="Z173" s="44"/>
    </row>
    <row r="174" spans="1:26">
      <c r="A174" s="9"/>
      <c r="B174" s="9"/>
      <c r="C174" s="9"/>
      <c r="D174" s="9"/>
      <c r="E174" s="35"/>
      <c r="F174" s="35"/>
      <c r="G174" s="264"/>
      <c r="H174" s="273"/>
      <c r="I174" s="268"/>
      <c r="J174" s="268"/>
      <c r="K174" s="273"/>
      <c r="L174" s="268"/>
      <c r="M174" s="114"/>
      <c r="N174" s="9"/>
      <c r="O174" s="9"/>
      <c r="P174" s="9"/>
      <c r="Q174" s="9"/>
      <c r="R174" s="9"/>
      <c r="S174" s="44"/>
      <c r="T174" s="44"/>
      <c r="U174" s="44"/>
      <c r="V174" s="44"/>
      <c r="W174" s="44"/>
      <c r="X174" s="44"/>
      <c r="Y174" s="44"/>
      <c r="Z174" s="44"/>
    </row>
    <row r="175" spans="1:26">
      <c r="A175" s="9"/>
      <c r="B175" s="9"/>
      <c r="C175" s="9"/>
      <c r="D175" s="9"/>
      <c r="E175" s="35"/>
      <c r="F175" s="35"/>
      <c r="G175" s="264"/>
      <c r="H175" s="273"/>
      <c r="I175" s="268"/>
      <c r="J175" s="268"/>
      <c r="K175" s="273"/>
      <c r="L175" s="268"/>
      <c r="M175" s="114"/>
      <c r="N175" s="9"/>
      <c r="O175" s="9"/>
      <c r="P175" s="9"/>
      <c r="Q175" s="9"/>
      <c r="R175" s="9"/>
      <c r="S175" s="44"/>
      <c r="T175" s="44"/>
      <c r="U175" s="44"/>
      <c r="V175" s="44"/>
      <c r="W175" s="44"/>
      <c r="X175" s="44"/>
      <c r="Y175" s="44"/>
      <c r="Z175" s="44"/>
    </row>
    <row r="176" spans="1:26">
      <c r="A176" s="9"/>
      <c r="B176" s="9"/>
      <c r="C176" s="9"/>
      <c r="D176" s="9"/>
      <c r="E176" s="35"/>
      <c r="F176" s="35"/>
      <c r="G176" s="264"/>
      <c r="H176" s="273"/>
      <c r="I176" s="268"/>
      <c r="J176" s="268"/>
      <c r="K176" s="273"/>
      <c r="L176" s="268"/>
      <c r="M176" s="114"/>
      <c r="N176" s="9"/>
      <c r="O176" s="9"/>
      <c r="P176" s="9"/>
      <c r="Q176" s="9"/>
      <c r="R176" s="9"/>
      <c r="S176" s="44"/>
      <c r="T176" s="44"/>
      <c r="U176" s="44"/>
      <c r="V176" s="44"/>
      <c r="W176" s="44"/>
      <c r="X176" s="44"/>
      <c r="Y176" s="44"/>
      <c r="Z176" s="44"/>
    </row>
    <row r="177" spans="1:26">
      <c r="A177" s="9"/>
      <c r="B177" s="9"/>
      <c r="C177" s="9"/>
      <c r="D177" s="9"/>
      <c r="E177" s="35"/>
      <c r="F177" s="35"/>
      <c r="G177" s="264"/>
      <c r="H177" s="273"/>
      <c r="I177" s="268"/>
      <c r="J177" s="268"/>
      <c r="K177" s="273"/>
      <c r="L177" s="268"/>
      <c r="M177" s="114"/>
      <c r="N177" s="9"/>
      <c r="O177" s="9"/>
      <c r="P177" s="9"/>
      <c r="Q177" s="9"/>
      <c r="R177" s="9"/>
      <c r="S177" s="44"/>
      <c r="T177" s="44"/>
      <c r="U177" s="44"/>
      <c r="V177" s="44"/>
      <c r="W177" s="44"/>
      <c r="X177" s="44"/>
      <c r="Y177" s="44"/>
      <c r="Z177" s="44"/>
    </row>
    <row r="178" spans="1:26">
      <c r="A178" s="9"/>
      <c r="B178" s="9"/>
      <c r="C178" s="9"/>
      <c r="D178" s="9"/>
      <c r="E178" s="35"/>
      <c r="F178" s="35"/>
      <c r="G178" s="264"/>
      <c r="H178" s="273"/>
      <c r="I178" s="268"/>
      <c r="J178" s="268"/>
      <c r="K178" s="273"/>
      <c r="L178" s="268"/>
      <c r="M178" s="114"/>
      <c r="N178" s="9"/>
      <c r="O178" s="9"/>
      <c r="P178" s="9"/>
      <c r="Q178" s="9"/>
      <c r="R178" s="9"/>
      <c r="S178" s="44"/>
      <c r="T178" s="44"/>
      <c r="U178" s="44"/>
      <c r="V178" s="44"/>
      <c r="W178" s="44"/>
      <c r="X178" s="44"/>
      <c r="Y178" s="44"/>
      <c r="Z178" s="44"/>
    </row>
    <row r="179" spans="1:26">
      <c r="A179" s="9"/>
      <c r="B179" s="9"/>
      <c r="C179" s="9"/>
      <c r="D179" s="9"/>
      <c r="E179" s="35"/>
      <c r="F179" s="35"/>
      <c r="G179" s="264"/>
      <c r="H179" s="273"/>
      <c r="I179" s="268"/>
      <c r="J179" s="268"/>
      <c r="K179" s="273"/>
      <c r="L179" s="268"/>
      <c r="M179" s="114"/>
      <c r="N179" s="9"/>
      <c r="O179" s="9"/>
      <c r="P179" s="9"/>
      <c r="Q179" s="9"/>
      <c r="R179" s="9"/>
      <c r="S179" s="44"/>
      <c r="T179" s="44"/>
      <c r="U179" s="44"/>
      <c r="V179" s="44"/>
      <c r="W179" s="44"/>
      <c r="X179" s="44"/>
      <c r="Y179" s="44"/>
      <c r="Z179" s="44"/>
    </row>
    <row r="180" spans="1:26">
      <c r="A180" s="9"/>
      <c r="B180" s="9"/>
      <c r="C180" s="9"/>
      <c r="D180" s="9"/>
      <c r="E180" s="35"/>
      <c r="F180" s="35"/>
      <c r="G180" s="264"/>
      <c r="H180" s="273"/>
      <c r="I180" s="268"/>
      <c r="J180" s="268"/>
      <c r="K180" s="273"/>
      <c r="L180" s="268"/>
      <c r="M180" s="114"/>
      <c r="N180" s="9"/>
      <c r="O180" s="9"/>
      <c r="P180" s="9"/>
      <c r="Q180" s="9"/>
      <c r="R180" s="9"/>
      <c r="S180" s="44"/>
      <c r="T180" s="44"/>
      <c r="U180" s="44"/>
      <c r="V180" s="44"/>
      <c r="W180" s="44"/>
      <c r="X180" s="44"/>
      <c r="Y180" s="44"/>
      <c r="Z180" s="44"/>
    </row>
    <row r="181" spans="1:26">
      <c r="A181" s="9"/>
      <c r="B181" s="9"/>
      <c r="C181" s="9"/>
      <c r="D181" s="9"/>
      <c r="E181" s="35"/>
      <c r="F181" s="35"/>
      <c r="G181" s="264"/>
      <c r="H181" s="273"/>
      <c r="I181" s="268"/>
      <c r="J181" s="268"/>
      <c r="K181" s="273"/>
      <c r="L181" s="268"/>
      <c r="M181" s="114"/>
      <c r="N181" s="9"/>
      <c r="O181" s="9"/>
      <c r="P181" s="9"/>
      <c r="Q181" s="9"/>
      <c r="R181" s="9"/>
      <c r="S181" s="44"/>
      <c r="T181" s="44"/>
      <c r="U181" s="44"/>
      <c r="V181" s="44"/>
      <c r="W181" s="44"/>
      <c r="X181" s="44"/>
      <c r="Y181" s="44"/>
      <c r="Z181" s="44"/>
    </row>
    <row r="182" spans="1:26">
      <c r="A182" s="9"/>
      <c r="B182" s="9"/>
      <c r="C182" s="9"/>
      <c r="D182" s="9"/>
      <c r="E182" s="35"/>
      <c r="F182" s="35"/>
      <c r="G182" s="264"/>
      <c r="H182" s="273"/>
      <c r="I182" s="268"/>
      <c r="J182" s="268"/>
      <c r="K182" s="273"/>
      <c r="L182" s="268"/>
      <c r="M182" s="114"/>
      <c r="N182" s="9"/>
      <c r="O182" s="9"/>
      <c r="P182" s="9"/>
      <c r="Q182" s="9"/>
      <c r="R182" s="9"/>
      <c r="S182" s="44"/>
      <c r="T182" s="44"/>
      <c r="U182" s="44"/>
      <c r="V182" s="44"/>
      <c r="W182" s="44"/>
      <c r="X182" s="44"/>
      <c r="Y182" s="44"/>
      <c r="Z182" s="44"/>
    </row>
    <row r="183" spans="1:26">
      <c r="A183" s="9"/>
      <c r="B183" s="9"/>
      <c r="C183" s="9"/>
      <c r="D183" s="9"/>
      <c r="E183" s="35"/>
      <c r="F183" s="35"/>
      <c r="G183" s="264"/>
      <c r="H183" s="273"/>
      <c r="I183" s="268"/>
      <c r="J183" s="268"/>
      <c r="K183" s="273"/>
      <c r="L183" s="268"/>
      <c r="M183" s="114"/>
      <c r="N183" s="9"/>
      <c r="O183" s="9"/>
      <c r="P183" s="9"/>
      <c r="Q183" s="9"/>
      <c r="R183" s="9"/>
      <c r="S183" s="44"/>
      <c r="T183" s="44"/>
      <c r="U183" s="44"/>
      <c r="V183" s="44"/>
      <c r="W183" s="44"/>
      <c r="X183" s="44"/>
      <c r="Y183" s="44"/>
      <c r="Z183" s="44"/>
    </row>
    <row r="184" spans="1:26">
      <c r="A184" s="9"/>
      <c r="B184" s="9"/>
      <c r="C184" s="9"/>
      <c r="D184" s="9"/>
      <c r="E184" s="35"/>
      <c r="F184" s="35"/>
      <c r="G184" s="264"/>
      <c r="H184" s="273"/>
      <c r="I184" s="268"/>
      <c r="J184" s="268"/>
      <c r="K184" s="273"/>
      <c r="L184" s="268"/>
      <c r="M184" s="114"/>
      <c r="N184" s="9"/>
      <c r="O184" s="9"/>
      <c r="P184" s="9"/>
      <c r="Q184" s="9"/>
      <c r="R184" s="9"/>
      <c r="S184" s="44"/>
      <c r="T184" s="44"/>
      <c r="U184" s="44"/>
      <c r="V184" s="44"/>
      <c r="W184" s="44"/>
      <c r="X184" s="44"/>
      <c r="Y184" s="44"/>
      <c r="Z184" s="44"/>
    </row>
    <row r="185" spans="1:26">
      <c r="A185" s="9"/>
      <c r="B185" s="9"/>
      <c r="C185" s="9"/>
      <c r="D185" s="9"/>
      <c r="E185" s="35"/>
      <c r="F185" s="35"/>
      <c r="G185" s="264"/>
      <c r="H185" s="273"/>
      <c r="I185" s="268"/>
      <c r="J185" s="268"/>
      <c r="K185" s="273"/>
      <c r="L185" s="268"/>
      <c r="M185" s="114"/>
      <c r="N185" s="9"/>
      <c r="O185" s="9"/>
      <c r="P185" s="9"/>
      <c r="Q185" s="9"/>
      <c r="R185" s="9"/>
      <c r="S185" s="44"/>
      <c r="T185" s="44"/>
      <c r="U185" s="44"/>
      <c r="V185" s="44"/>
      <c r="W185" s="44"/>
      <c r="X185" s="44"/>
      <c r="Y185" s="44"/>
      <c r="Z185" s="44"/>
    </row>
    <row r="186" spans="1:26">
      <c r="A186" s="9"/>
      <c r="B186" s="9"/>
      <c r="C186" s="9"/>
      <c r="D186" s="9"/>
      <c r="E186" s="35"/>
      <c r="F186" s="35"/>
      <c r="G186" s="264"/>
      <c r="H186" s="273"/>
      <c r="I186" s="268"/>
      <c r="J186" s="268"/>
      <c r="K186" s="273"/>
      <c r="L186" s="268"/>
      <c r="M186" s="114"/>
      <c r="N186" s="9"/>
      <c r="O186" s="9"/>
      <c r="P186" s="9"/>
      <c r="Q186" s="9"/>
      <c r="R186" s="9"/>
      <c r="S186" s="44"/>
      <c r="T186" s="44"/>
      <c r="U186" s="44"/>
      <c r="V186" s="44"/>
      <c r="W186" s="44"/>
      <c r="X186" s="44"/>
      <c r="Y186" s="44"/>
      <c r="Z186" s="44"/>
    </row>
    <row r="187" spans="1:26">
      <c r="A187" s="9"/>
      <c r="B187" s="9"/>
      <c r="C187" s="9"/>
      <c r="D187" s="9"/>
      <c r="E187" s="35"/>
      <c r="F187" s="35"/>
      <c r="G187" s="264"/>
      <c r="H187" s="273"/>
      <c r="I187" s="268"/>
      <c r="J187" s="268"/>
      <c r="K187" s="273"/>
      <c r="L187" s="268"/>
      <c r="M187" s="114"/>
      <c r="N187" s="9"/>
      <c r="O187" s="9"/>
      <c r="P187" s="9"/>
      <c r="Q187" s="9"/>
      <c r="R187" s="9"/>
      <c r="S187" s="44"/>
      <c r="T187" s="44"/>
      <c r="U187" s="44"/>
      <c r="V187" s="44"/>
      <c r="W187" s="44"/>
      <c r="X187" s="44"/>
      <c r="Y187" s="44"/>
      <c r="Z187" s="44"/>
    </row>
    <row r="188" spans="1:26">
      <c r="A188" s="9"/>
      <c r="B188" s="9"/>
      <c r="C188" s="9"/>
      <c r="D188" s="9"/>
      <c r="E188" s="35"/>
      <c r="F188" s="35"/>
      <c r="G188" s="264"/>
      <c r="H188" s="273"/>
      <c r="I188" s="268"/>
      <c r="J188" s="268"/>
      <c r="K188" s="273"/>
      <c r="L188" s="268"/>
      <c r="M188" s="114"/>
      <c r="N188" s="9"/>
      <c r="O188" s="9"/>
      <c r="P188" s="9"/>
      <c r="Q188" s="9"/>
      <c r="R188" s="9"/>
      <c r="S188" s="44"/>
      <c r="T188" s="44"/>
      <c r="U188" s="44"/>
      <c r="V188" s="44"/>
      <c r="W188" s="44"/>
      <c r="X188" s="44"/>
      <c r="Y188" s="44"/>
      <c r="Z188" s="44"/>
    </row>
    <row r="189" spans="1:26">
      <c r="A189" s="9"/>
      <c r="B189" s="9"/>
      <c r="C189" s="9"/>
      <c r="D189" s="9"/>
      <c r="E189" s="35"/>
      <c r="F189" s="35"/>
      <c r="G189" s="264"/>
      <c r="H189" s="273"/>
      <c r="I189" s="268"/>
      <c r="J189" s="268"/>
      <c r="K189" s="273"/>
      <c r="L189" s="268"/>
      <c r="M189" s="114"/>
      <c r="N189" s="9"/>
      <c r="O189" s="9"/>
      <c r="P189" s="9"/>
      <c r="Q189" s="9"/>
      <c r="R189" s="9"/>
      <c r="S189" s="44"/>
      <c r="T189" s="44"/>
      <c r="U189" s="44"/>
      <c r="V189" s="44"/>
      <c r="W189" s="44"/>
      <c r="X189" s="44"/>
      <c r="Y189" s="44"/>
      <c r="Z189" s="44"/>
    </row>
    <row r="190" spans="1:26">
      <c r="A190" s="9"/>
      <c r="B190" s="9"/>
      <c r="C190" s="9"/>
      <c r="D190" s="9"/>
      <c r="E190" s="35"/>
      <c r="F190" s="35"/>
      <c r="G190" s="264"/>
      <c r="H190" s="273"/>
      <c r="I190" s="268"/>
      <c r="J190" s="268"/>
      <c r="K190" s="273"/>
      <c r="L190" s="268"/>
      <c r="M190" s="114"/>
      <c r="N190" s="9"/>
      <c r="O190" s="9"/>
      <c r="P190" s="9"/>
      <c r="Q190" s="9"/>
      <c r="R190" s="9"/>
      <c r="S190" s="44"/>
      <c r="T190" s="44"/>
      <c r="U190" s="44"/>
      <c r="V190" s="44"/>
      <c r="W190" s="44"/>
      <c r="X190" s="44"/>
      <c r="Y190" s="44"/>
      <c r="Z190" s="44"/>
    </row>
    <row r="191" spans="1:26">
      <c r="A191" s="9"/>
      <c r="B191" s="9"/>
      <c r="C191" s="9"/>
      <c r="D191" s="9"/>
      <c r="E191" s="35"/>
      <c r="F191" s="35"/>
      <c r="G191" s="264"/>
      <c r="H191" s="273"/>
      <c r="I191" s="268"/>
      <c r="J191" s="268"/>
      <c r="K191" s="273"/>
      <c r="L191" s="268"/>
      <c r="M191" s="114"/>
      <c r="N191" s="9"/>
      <c r="O191" s="9"/>
      <c r="P191" s="9"/>
      <c r="Q191" s="9"/>
      <c r="R191" s="9"/>
      <c r="S191" s="44"/>
      <c r="T191" s="44"/>
      <c r="U191" s="44"/>
      <c r="V191" s="44"/>
      <c r="W191" s="44"/>
      <c r="X191" s="44"/>
      <c r="Y191" s="44"/>
      <c r="Z191" s="44"/>
    </row>
    <row r="192" spans="1:26">
      <c r="A192" s="9"/>
      <c r="B192" s="9"/>
      <c r="C192" s="9"/>
      <c r="D192" s="9"/>
      <c r="E192" s="35"/>
      <c r="F192" s="35"/>
      <c r="G192" s="264"/>
      <c r="H192" s="273"/>
      <c r="I192" s="268"/>
      <c r="J192" s="268"/>
      <c r="K192" s="273"/>
      <c r="L192" s="268"/>
      <c r="M192" s="114"/>
      <c r="N192" s="9"/>
      <c r="O192" s="9"/>
      <c r="P192" s="9"/>
      <c r="Q192" s="9"/>
      <c r="R192" s="9"/>
      <c r="S192" s="44"/>
      <c r="T192" s="44"/>
      <c r="U192" s="44"/>
      <c r="V192" s="44"/>
      <c r="W192" s="44"/>
      <c r="X192" s="44"/>
      <c r="Y192" s="44"/>
      <c r="Z192" s="44"/>
    </row>
    <row r="193" spans="1:26">
      <c r="A193" s="9"/>
      <c r="B193" s="9"/>
      <c r="C193" s="9"/>
      <c r="D193" s="9"/>
      <c r="E193" s="35"/>
      <c r="F193" s="35"/>
      <c r="G193" s="264"/>
      <c r="H193" s="273"/>
      <c r="I193" s="268"/>
      <c r="J193" s="268"/>
      <c r="K193" s="273"/>
      <c r="L193" s="268"/>
      <c r="M193" s="114"/>
      <c r="N193" s="9"/>
      <c r="O193" s="9"/>
      <c r="P193" s="9"/>
      <c r="Q193" s="9"/>
      <c r="R193" s="9"/>
      <c r="S193" s="44"/>
      <c r="T193" s="44"/>
      <c r="U193" s="44"/>
      <c r="V193" s="44"/>
      <c r="W193" s="44"/>
      <c r="X193" s="44"/>
      <c r="Y193" s="44"/>
      <c r="Z193" s="44"/>
    </row>
    <row r="194" spans="1:26">
      <c r="A194" s="9"/>
      <c r="B194" s="9"/>
      <c r="C194" s="9"/>
      <c r="D194" s="9"/>
      <c r="E194" s="35"/>
      <c r="F194" s="35"/>
      <c r="G194" s="264"/>
      <c r="H194" s="273"/>
      <c r="I194" s="268"/>
      <c r="J194" s="268"/>
      <c r="K194" s="273"/>
      <c r="L194" s="268"/>
      <c r="M194" s="114"/>
      <c r="N194" s="9"/>
      <c r="O194" s="9"/>
      <c r="P194" s="9"/>
      <c r="Q194" s="9"/>
      <c r="R194" s="9"/>
      <c r="S194" s="44"/>
      <c r="T194" s="44"/>
      <c r="U194" s="44"/>
      <c r="V194" s="44"/>
      <c r="W194" s="44"/>
      <c r="X194" s="44"/>
      <c r="Y194" s="44"/>
      <c r="Z194" s="44"/>
    </row>
    <row r="195" spans="1:26">
      <c r="A195" s="9"/>
      <c r="B195" s="9"/>
      <c r="C195" s="9"/>
      <c r="D195" s="9"/>
      <c r="E195" s="35"/>
      <c r="F195" s="35"/>
      <c r="G195" s="264"/>
      <c r="H195" s="273"/>
      <c r="I195" s="268"/>
      <c r="J195" s="268"/>
      <c r="K195" s="273"/>
      <c r="L195" s="268"/>
      <c r="M195" s="114"/>
      <c r="N195" s="9"/>
      <c r="O195" s="9"/>
      <c r="P195" s="9"/>
      <c r="Q195" s="9"/>
      <c r="R195" s="9"/>
      <c r="S195" s="44"/>
      <c r="T195" s="44"/>
      <c r="U195" s="44"/>
      <c r="V195" s="44"/>
      <c r="W195" s="44"/>
      <c r="X195" s="44"/>
      <c r="Y195" s="44"/>
      <c r="Z195" s="44"/>
    </row>
    <row r="196" spans="1:26">
      <c r="A196" s="9"/>
      <c r="B196" s="9"/>
      <c r="C196" s="9"/>
      <c r="D196" s="9"/>
      <c r="E196" s="35"/>
      <c r="F196" s="35"/>
      <c r="G196" s="264"/>
      <c r="H196" s="273"/>
      <c r="I196" s="268"/>
      <c r="J196" s="268"/>
      <c r="K196" s="273"/>
      <c r="L196" s="268"/>
      <c r="M196" s="114"/>
      <c r="N196" s="9"/>
      <c r="O196" s="9"/>
      <c r="P196" s="9"/>
      <c r="Q196" s="9"/>
      <c r="R196" s="9"/>
      <c r="S196" s="44"/>
      <c r="T196" s="44"/>
      <c r="U196" s="44"/>
      <c r="V196" s="44"/>
      <c r="W196" s="44"/>
      <c r="X196" s="44"/>
      <c r="Y196" s="44"/>
      <c r="Z196" s="44"/>
    </row>
    <row r="197" spans="1:26">
      <c r="A197" s="9"/>
      <c r="B197" s="9"/>
      <c r="C197" s="9"/>
      <c r="D197" s="9"/>
      <c r="E197" s="35"/>
      <c r="F197" s="35"/>
      <c r="G197" s="264"/>
      <c r="H197" s="273"/>
      <c r="I197" s="268"/>
      <c r="J197" s="268"/>
      <c r="K197" s="273"/>
      <c r="L197" s="268"/>
      <c r="M197" s="114"/>
      <c r="N197" s="9"/>
      <c r="O197" s="9"/>
      <c r="P197" s="9"/>
      <c r="Q197" s="9"/>
      <c r="R197" s="9"/>
      <c r="S197" s="44"/>
      <c r="T197" s="44"/>
      <c r="U197" s="44"/>
      <c r="V197" s="44"/>
      <c r="W197" s="44"/>
      <c r="X197" s="44"/>
      <c r="Y197" s="44"/>
      <c r="Z197" s="44"/>
    </row>
    <row r="198" spans="1:26">
      <c r="A198" s="9"/>
      <c r="B198" s="9"/>
      <c r="C198" s="9"/>
      <c r="D198" s="9"/>
      <c r="E198" s="35"/>
      <c r="F198" s="35"/>
      <c r="G198" s="264"/>
      <c r="H198" s="273"/>
      <c r="I198" s="268"/>
      <c r="J198" s="268"/>
      <c r="K198" s="273"/>
      <c r="L198" s="268"/>
      <c r="M198" s="114"/>
      <c r="N198" s="9"/>
      <c r="O198" s="9"/>
      <c r="P198" s="9"/>
      <c r="Q198" s="9"/>
      <c r="R198" s="9"/>
      <c r="S198" s="44"/>
      <c r="T198" s="44"/>
      <c r="U198" s="44"/>
      <c r="V198" s="44"/>
      <c r="W198" s="44"/>
      <c r="X198" s="44"/>
      <c r="Y198" s="44"/>
      <c r="Z198" s="44"/>
    </row>
    <row r="199" spans="1:26">
      <c r="A199" s="9"/>
      <c r="B199" s="9"/>
      <c r="C199" s="9"/>
      <c r="D199" s="9"/>
      <c r="E199" s="35"/>
      <c r="F199" s="35"/>
      <c r="G199" s="264"/>
      <c r="H199" s="273"/>
      <c r="I199" s="268"/>
      <c r="J199" s="268"/>
      <c r="K199" s="273"/>
      <c r="L199" s="268"/>
      <c r="M199" s="114"/>
      <c r="N199" s="9"/>
      <c r="O199" s="9"/>
      <c r="P199" s="9"/>
      <c r="Q199" s="9"/>
      <c r="R199" s="9"/>
      <c r="S199" s="44"/>
      <c r="T199" s="44"/>
      <c r="U199" s="44"/>
      <c r="V199" s="44"/>
      <c r="W199" s="44"/>
      <c r="X199" s="44"/>
      <c r="Y199" s="44"/>
      <c r="Z199" s="44"/>
    </row>
    <row r="200" spans="1:26">
      <c r="A200" s="9"/>
      <c r="B200" s="9"/>
      <c r="C200" s="9"/>
      <c r="D200" s="9"/>
      <c r="E200" s="35"/>
      <c r="F200" s="35"/>
      <c r="G200" s="264"/>
      <c r="H200" s="273"/>
      <c r="I200" s="268"/>
      <c r="J200" s="268"/>
      <c r="K200" s="273"/>
      <c r="L200" s="268"/>
      <c r="M200" s="114"/>
      <c r="N200" s="9"/>
      <c r="O200" s="9"/>
      <c r="P200" s="9"/>
      <c r="Q200" s="9"/>
      <c r="R200" s="9"/>
      <c r="S200" s="44"/>
      <c r="T200" s="44"/>
      <c r="U200" s="44"/>
      <c r="V200" s="44"/>
      <c r="W200" s="44"/>
      <c r="X200" s="44"/>
      <c r="Y200" s="44"/>
      <c r="Z200" s="44"/>
    </row>
    <row r="201" spans="1:26">
      <c r="A201" s="9"/>
      <c r="B201" s="9"/>
      <c r="C201" s="9"/>
      <c r="D201" s="9"/>
      <c r="E201" s="35"/>
      <c r="F201" s="35"/>
      <c r="G201" s="264"/>
      <c r="H201" s="273"/>
      <c r="I201" s="268"/>
      <c r="J201" s="268"/>
      <c r="K201" s="273"/>
      <c r="L201" s="268"/>
      <c r="M201" s="114"/>
      <c r="N201" s="9"/>
      <c r="O201" s="9"/>
      <c r="P201" s="9"/>
      <c r="Q201" s="9"/>
      <c r="R201" s="9"/>
      <c r="S201" s="44"/>
      <c r="T201" s="44"/>
      <c r="U201" s="44"/>
      <c r="V201" s="44"/>
      <c r="W201" s="44"/>
      <c r="X201" s="44"/>
      <c r="Y201" s="44"/>
      <c r="Z201" s="44"/>
    </row>
    <row r="202" spans="1:26">
      <c r="A202" s="9"/>
      <c r="B202" s="9"/>
      <c r="C202" s="9"/>
      <c r="D202" s="9"/>
      <c r="E202" s="35"/>
      <c r="F202" s="35"/>
      <c r="G202" s="264"/>
      <c r="H202" s="273"/>
      <c r="I202" s="268"/>
      <c r="J202" s="268"/>
      <c r="K202" s="273"/>
      <c r="L202" s="268"/>
      <c r="M202" s="114"/>
      <c r="N202" s="9"/>
      <c r="O202" s="9"/>
      <c r="P202" s="9"/>
      <c r="Q202" s="9"/>
      <c r="R202" s="9"/>
      <c r="S202" s="44"/>
      <c r="T202" s="44"/>
      <c r="U202" s="44"/>
      <c r="V202" s="44"/>
      <c r="W202" s="44"/>
      <c r="X202" s="44"/>
      <c r="Y202" s="44"/>
      <c r="Z202" s="44"/>
    </row>
    <row r="203" spans="1:26">
      <c r="A203" s="9"/>
      <c r="B203" s="9"/>
      <c r="C203" s="9"/>
      <c r="D203" s="9"/>
      <c r="E203" s="35"/>
      <c r="F203" s="35"/>
      <c r="G203" s="264"/>
      <c r="H203" s="273"/>
      <c r="I203" s="268"/>
      <c r="J203" s="268"/>
      <c r="K203" s="273"/>
      <c r="L203" s="268"/>
      <c r="M203" s="114"/>
      <c r="N203" s="9"/>
      <c r="O203" s="9"/>
      <c r="P203" s="9"/>
      <c r="Q203" s="9"/>
      <c r="R203" s="9"/>
      <c r="S203" s="44"/>
      <c r="T203" s="44"/>
      <c r="U203" s="44"/>
      <c r="V203" s="44"/>
      <c r="W203" s="44"/>
      <c r="X203" s="44"/>
      <c r="Y203" s="44"/>
      <c r="Z203" s="44"/>
    </row>
    <row r="204" spans="1:26">
      <c r="A204" s="9"/>
      <c r="B204" s="9"/>
      <c r="C204" s="9"/>
      <c r="D204" s="9"/>
      <c r="E204" s="35"/>
      <c r="F204" s="35"/>
      <c r="G204" s="264"/>
      <c r="H204" s="273"/>
      <c r="I204" s="268"/>
      <c r="J204" s="268"/>
      <c r="K204" s="273"/>
      <c r="L204" s="268"/>
      <c r="M204" s="114"/>
      <c r="N204" s="9"/>
      <c r="O204" s="9"/>
      <c r="P204" s="9"/>
      <c r="Q204" s="9"/>
      <c r="R204" s="9"/>
      <c r="S204" s="44"/>
      <c r="T204" s="44"/>
      <c r="U204" s="44"/>
      <c r="V204" s="44"/>
      <c r="W204" s="44"/>
      <c r="X204" s="44"/>
      <c r="Y204" s="44"/>
      <c r="Z204" s="44"/>
    </row>
    <row r="205" spans="1:26">
      <c r="A205" s="9"/>
      <c r="B205" s="9"/>
      <c r="C205" s="9"/>
      <c r="D205" s="9"/>
      <c r="E205" s="35"/>
      <c r="F205" s="35"/>
      <c r="G205" s="264"/>
      <c r="H205" s="273"/>
      <c r="I205" s="268"/>
      <c r="J205" s="268"/>
      <c r="K205" s="273"/>
      <c r="L205" s="268"/>
      <c r="M205" s="114"/>
      <c r="N205" s="9"/>
      <c r="O205" s="9"/>
      <c r="P205" s="9"/>
      <c r="Q205" s="9"/>
      <c r="R205" s="9"/>
      <c r="S205" s="44"/>
      <c r="T205" s="44"/>
      <c r="U205" s="44"/>
      <c r="V205" s="44"/>
      <c r="W205" s="44"/>
      <c r="X205" s="44"/>
      <c r="Y205" s="44"/>
      <c r="Z205" s="44"/>
    </row>
    <row r="206" spans="1:26">
      <c r="A206" s="9"/>
      <c r="B206" s="9"/>
      <c r="C206" s="9"/>
      <c r="D206" s="9"/>
      <c r="E206" s="35"/>
      <c r="F206" s="35"/>
      <c r="G206" s="264"/>
      <c r="H206" s="273"/>
      <c r="I206" s="268"/>
      <c r="J206" s="268"/>
      <c r="K206" s="273"/>
      <c r="L206" s="268"/>
      <c r="M206" s="114"/>
      <c r="N206" s="9"/>
      <c r="O206" s="9"/>
      <c r="P206" s="9"/>
      <c r="Q206" s="9"/>
      <c r="R206" s="9"/>
      <c r="S206" s="44"/>
      <c r="T206" s="44"/>
      <c r="U206" s="44"/>
      <c r="V206" s="44"/>
      <c r="W206" s="44"/>
      <c r="X206" s="44"/>
      <c r="Y206" s="44"/>
      <c r="Z206" s="44"/>
    </row>
    <row r="207" spans="1:26">
      <c r="A207" s="9"/>
      <c r="B207" s="9"/>
      <c r="C207" s="9"/>
      <c r="D207" s="9"/>
      <c r="E207" s="35"/>
      <c r="F207" s="35"/>
      <c r="G207" s="264"/>
      <c r="H207" s="273"/>
      <c r="I207" s="268"/>
      <c r="J207" s="268"/>
      <c r="K207" s="273"/>
      <c r="L207" s="268"/>
      <c r="M207" s="114"/>
      <c r="N207" s="9"/>
      <c r="O207" s="9"/>
      <c r="P207" s="9"/>
      <c r="Q207" s="9"/>
      <c r="R207" s="9"/>
      <c r="S207" s="44"/>
      <c r="T207" s="44"/>
      <c r="U207" s="44"/>
      <c r="V207" s="44"/>
      <c r="W207" s="44"/>
      <c r="X207" s="44"/>
      <c r="Y207" s="44"/>
      <c r="Z207" s="44"/>
    </row>
    <row r="208" spans="1:26">
      <c r="A208" s="9"/>
      <c r="B208" s="9"/>
      <c r="C208" s="9"/>
      <c r="D208" s="9"/>
      <c r="E208" s="35"/>
      <c r="F208" s="35"/>
      <c r="G208" s="264"/>
      <c r="H208" s="273"/>
      <c r="I208" s="268"/>
      <c r="J208" s="268"/>
      <c r="K208" s="273"/>
      <c r="L208" s="268"/>
      <c r="M208" s="114"/>
      <c r="N208" s="9"/>
      <c r="O208" s="9"/>
      <c r="P208" s="9"/>
      <c r="Q208" s="9"/>
      <c r="R208" s="9"/>
      <c r="S208" s="44"/>
      <c r="T208" s="44"/>
      <c r="U208" s="44"/>
      <c r="V208" s="44"/>
      <c r="W208" s="44"/>
      <c r="X208" s="44"/>
      <c r="Y208" s="44"/>
      <c r="Z208" s="44"/>
    </row>
    <row r="209" spans="1:26">
      <c r="A209" s="9"/>
      <c r="B209" s="9"/>
      <c r="C209" s="9"/>
      <c r="D209" s="9"/>
      <c r="E209" s="35"/>
      <c r="F209" s="35"/>
      <c r="G209" s="264"/>
      <c r="H209" s="273"/>
      <c r="I209" s="268"/>
      <c r="J209" s="268"/>
      <c r="K209" s="273"/>
      <c r="L209" s="268"/>
      <c r="M209" s="114"/>
      <c r="N209" s="9"/>
      <c r="O209" s="9"/>
      <c r="P209" s="9"/>
      <c r="Q209" s="9"/>
      <c r="R209" s="9"/>
      <c r="S209" s="44"/>
      <c r="T209" s="44"/>
      <c r="U209" s="44"/>
      <c r="V209" s="44"/>
      <c r="W209" s="44"/>
      <c r="X209" s="44"/>
      <c r="Y209" s="44"/>
      <c r="Z209" s="44"/>
    </row>
    <row r="210" spans="1:26">
      <c r="A210" s="9"/>
      <c r="B210" s="9"/>
      <c r="C210" s="9"/>
      <c r="D210" s="9"/>
      <c r="E210" s="35"/>
      <c r="F210" s="35"/>
      <c r="G210" s="264"/>
      <c r="H210" s="273"/>
      <c r="I210" s="268"/>
      <c r="J210" s="268"/>
      <c r="K210" s="273"/>
      <c r="L210" s="268"/>
      <c r="M210" s="114"/>
      <c r="N210" s="9"/>
      <c r="O210" s="9"/>
      <c r="P210" s="9"/>
      <c r="Q210" s="9"/>
      <c r="R210" s="9"/>
      <c r="S210" s="44"/>
      <c r="T210" s="44"/>
      <c r="U210" s="44"/>
      <c r="V210" s="44"/>
      <c r="W210" s="44"/>
      <c r="X210" s="44"/>
      <c r="Y210" s="44"/>
      <c r="Z210" s="44"/>
    </row>
    <row r="211" spans="1:26">
      <c r="A211" s="9"/>
      <c r="B211" s="9"/>
      <c r="C211" s="9"/>
      <c r="D211" s="9"/>
      <c r="E211" s="35"/>
      <c r="F211" s="35"/>
      <c r="G211" s="264"/>
      <c r="H211" s="273"/>
      <c r="I211" s="268"/>
      <c r="J211" s="268"/>
      <c r="K211" s="273"/>
      <c r="L211" s="268"/>
      <c r="M211" s="114"/>
      <c r="N211" s="9"/>
      <c r="O211" s="9"/>
      <c r="P211" s="9"/>
      <c r="Q211" s="9"/>
      <c r="R211" s="9"/>
      <c r="S211" s="44"/>
      <c r="T211" s="44"/>
      <c r="U211" s="44"/>
      <c r="V211" s="44"/>
      <c r="W211" s="44"/>
      <c r="X211" s="44"/>
      <c r="Y211" s="44"/>
      <c r="Z211" s="44"/>
    </row>
    <row r="212" spans="1:26">
      <c r="A212" s="9"/>
      <c r="B212" s="9"/>
      <c r="C212" s="9"/>
      <c r="D212" s="9"/>
      <c r="E212" s="35"/>
      <c r="F212" s="35"/>
      <c r="G212" s="264"/>
      <c r="H212" s="273"/>
      <c r="I212" s="268"/>
      <c r="J212" s="268"/>
      <c r="K212" s="273"/>
      <c r="L212" s="268"/>
      <c r="M212" s="114"/>
      <c r="N212" s="9"/>
      <c r="O212" s="9"/>
      <c r="P212" s="9"/>
      <c r="Q212" s="9"/>
      <c r="R212" s="9"/>
      <c r="S212" s="44"/>
      <c r="T212" s="44"/>
      <c r="U212" s="44"/>
      <c r="V212" s="44"/>
      <c r="W212" s="44"/>
      <c r="X212" s="44"/>
      <c r="Y212" s="44"/>
      <c r="Z212" s="44"/>
    </row>
    <row r="213" spans="1:26">
      <c r="A213" s="9"/>
      <c r="B213" s="9"/>
      <c r="C213" s="9"/>
      <c r="D213" s="9"/>
      <c r="E213" s="35"/>
      <c r="F213" s="35"/>
      <c r="G213" s="264"/>
      <c r="H213" s="273"/>
      <c r="I213" s="268"/>
      <c r="J213" s="268"/>
      <c r="K213" s="273"/>
      <c r="L213" s="268"/>
      <c r="M213" s="114"/>
      <c r="N213" s="9"/>
      <c r="O213" s="9"/>
      <c r="P213" s="9"/>
      <c r="Q213" s="9"/>
      <c r="R213" s="9"/>
      <c r="S213" s="44"/>
      <c r="T213" s="44"/>
      <c r="U213" s="44"/>
      <c r="V213" s="44"/>
      <c r="W213" s="44"/>
      <c r="X213" s="44"/>
      <c r="Y213" s="44"/>
      <c r="Z213" s="44"/>
    </row>
    <row r="214" spans="1:26">
      <c r="A214" s="9"/>
      <c r="B214" s="9"/>
      <c r="C214" s="9"/>
      <c r="D214" s="9"/>
      <c r="E214" s="35"/>
      <c r="F214" s="35"/>
      <c r="G214" s="264"/>
      <c r="H214" s="273"/>
      <c r="I214" s="268"/>
      <c r="J214" s="268"/>
      <c r="K214" s="273"/>
      <c r="L214" s="268"/>
      <c r="M214" s="114"/>
      <c r="N214" s="9"/>
      <c r="O214" s="9"/>
      <c r="P214" s="9"/>
      <c r="Q214" s="9"/>
      <c r="R214" s="9"/>
      <c r="S214" s="44"/>
      <c r="T214" s="44"/>
      <c r="U214" s="44"/>
      <c r="V214" s="44"/>
      <c r="W214" s="44"/>
      <c r="X214" s="44"/>
      <c r="Y214" s="44"/>
      <c r="Z214" s="44"/>
    </row>
    <row r="215" spans="1:26">
      <c r="A215" s="9"/>
      <c r="B215" s="9"/>
      <c r="C215" s="9"/>
      <c r="D215" s="9"/>
      <c r="E215" s="35"/>
      <c r="F215" s="35"/>
      <c r="G215" s="264"/>
      <c r="H215" s="273"/>
      <c r="I215" s="268"/>
      <c r="J215" s="268"/>
      <c r="K215" s="273"/>
      <c r="L215" s="268"/>
      <c r="M215" s="114"/>
      <c r="N215" s="9"/>
      <c r="O215" s="9"/>
      <c r="P215" s="9"/>
      <c r="Q215" s="9"/>
      <c r="R215" s="9"/>
      <c r="S215" s="44"/>
      <c r="T215" s="44"/>
      <c r="U215" s="44"/>
      <c r="V215" s="44"/>
      <c r="W215" s="44"/>
      <c r="X215" s="44"/>
      <c r="Y215" s="44"/>
      <c r="Z215" s="44"/>
    </row>
    <row r="216" spans="1:26">
      <c r="A216" s="9"/>
      <c r="B216" s="9"/>
      <c r="C216" s="9"/>
      <c r="D216" s="9"/>
      <c r="E216" s="35"/>
      <c r="F216" s="35"/>
      <c r="G216" s="264"/>
      <c r="H216" s="273"/>
      <c r="I216" s="268"/>
      <c r="J216" s="268"/>
      <c r="K216" s="273"/>
      <c r="L216" s="268"/>
      <c r="M216" s="114"/>
      <c r="N216" s="9"/>
      <c r="O216" s="9"/>
      <c r="P216" s="9"/>
      <c r="Q216" s="9"/>
      <c r="R216" s="9"/>
      <c r="S216" s="44"/>
      <c r="T216" s="44"/>
      <c r="U216" s="44"/>
      <c r="V216" s="44"/>
      <c r="W216" s="44"/>
      <c r="X216" s="44"/>
      <c r="Y216" s="44"/>
      <c r="Z216" s="44"/>
    </row>
    <row r="217" spans="1:26">
      <c r="A217" s="9"/>
      <c r="B217" s="9"/>
      <c r="C217" s="9"/>
      <c r="D217" s="9"/>
      <c r="E217" s="35"/>
      <c r="F217" s="35"/>
      <c r="G217" s="264"/>
      <c r="H217" s="273"/>
      <c r="I217" s="268"/>
      <c r="J217" s="268"/>
      <c r="K217" s="273"/>
      <c r="L217" s="268"/>
      <c r="M217" s="114"/>
      <c r="N217" s="9"/>
      <c r="O217" s="9"/>
      <c r="P217" s="9"/>
      <c r="Q217" s="9"/>
      <c r="R217" s="9"/>
      <c r="S217" s="44"/>
      <c r="T217" s="44"/>
      <c r="U217" s="44"/>
      <c r="V217" s="44"/>
      <c r="W217" s="44"/>
      <c r="X217" s="44"/>
      <c r="Y217" s="44"/>
      <c r="Z217" s="44"/>
    </row>
    <row r="218" spans="1:26">
      <c r="A218" s="9"/>
      <c r="B218" s="9"/>
      <c r="C218" s="9"/>
      <c r="D218" s="9"/>
      <c r="E218" s="35"/>
      <c r="F218" s="35"/>
      <c r="G218" s="264"/>
      <c r="H218" s="273"/>
      <c r="I218" s="268"/>
      <c r="J218" s="268"/>
      <c r="K218" s="273"/>
      <c r="L218" s="268"/>
      <c r="M218" s="114"/>
      <c r="N218" s="9"/>
      <c r="O218" s="9"/>
      <c r="P218" s="9"/>
      <c r="Q218" s="9"/>
      <c r="R218" s="9"/>
      <c r="S218" s="44"/>
      <c r="T218" s="44"/>
      <c r="U218" s="44"/>
      <c r="V218" s="44"/>
      <c r="W218" s="44"/>
      <c r="X218" s="44"/>
      <c r="Y218" s="44"/>
      <c r="Z218" s="44"/>
    </row>
    <row r="219" spans="1:26">
      <c r="A219" s="9"/>
      <c r="B219" s="9"/>
      <c r="C219" s="9"/>
      <c r="D219" s="9"/>
      <c r="E219" s="35"/>
      <c r="F219" s="35"/>
      <c r="G219" s="264"/>
      <c r="H219" s="273"/>
      <c r="I219" s="268"/>
      <c r="J219" s="268"/>
      <c r="K219" s="273"/>
      <c r="L219" s="268"/>
      <c r="M219" s="114"/>
      <c r="N219" s="9"/>
      <c r="O219" s="9"/>
      <c r="P219" s="9"/>
      <c r="Q219" s="9"/>
      <c r="R219" s="9"/>
      <c r="S219" s="44"/>
      <c r="T219" s="44"/>
      <c r="U219" s="44"/>
      <c r="V219" s="44"/>
      <c r="W219" s="44"/>
      <c r="X219" s="44"/>
      <c r="Y219" s="44"/>
      <c r="Z219" s="44"/>
    </row>
    <row r="220" spans="1:26">
      <c r="A220" s="9"/>
      <c r="B220" s="9"/>
      <c r="C220" s="9"/>
      <c r="D220" s="9"/>
      <c r="E220" s="35"/>
      <c r="F220" s="35"/>
      <c r="G220" s="264"/>
      <c r="H220" s="273"/>
      <c r="I220" s="268"/>
      <c r="J220" s="268"/>
      <c r="K220" s="273"/>
      <c r="L220" s="268"/>
      <c r="M220" s="114"/>
      <c r="N220" s="9"/>
      <c r="O220" s="9"/>
      <c r="P220" s="9"/>
      <c r="Q220" s="9"/>
      <c r="R220" s="9"/>
      <c r="S220" s="44"/>
      <c r="T220" s="44"/>
      <c r="U220" s="44"/>
      <c r="V220" s="44"/>
      <c r="W220" s="44"/>
      <c r="X220" s="44"/>
      <c r="Y220" s="44"/>
      <c r="Z220" s="44"/>
    </row>
    <row r="221" spans="1:26">
      <c r="A221" s="9"/>
      <c r="B221" s="9"/>
      <c r="C221" s="9"/>
      <c r="D221" s="9"/>
      <c r="E221" s="35"/>
      <c r="F221" s="35"/>
      <c r="G221" s="264"/>
      <c r="H221" s="273"/>
      <c r="I221" s="268"/>
      <c r="J221" s="268"/>
      <c r="K221" s="273"/>
      <c r="L221" s="268"/>
      <c r="M221" s="114"/>
      <c r="N221" s="9"/>
      <c r="O221" s="9"/>
      <c r="P221" s="9"/>
      <c r="Q221" s="9"/>
      <c r="R221" s="9"/>
      <c r="S221" s="9"/>
      <c r="T221" s="9"/>
      <c r="U221" s="9"/>
      <c r="V221" s="9"/>
      <c r="W221" s="9"/>
      <c r="X221" s="9"/>
      <c r="Y221" s="9"/>
      <c r="Z221" s="9"/>
    </row>
    <row r="222" spans="1:26">
      <c r="A222" s="9"/>
      <c r="B222" s="9"/>
      <c r="C222" s="9"/>
      <c r="D222" s="9"/>
      <c r="E222" s="35"/>
      <c r="F222" s="35"/>
      <c r="G222" s="264"/>
      <c r="H222" s="273"/>
      <c r="I222" s="268"/>
      <c r="J222" s="268"/>
      <c r="K222" s="273"/>
      <c r="L222" s="268"/>
      <c r="M222" s="114"/>
      <c r="N222" s="9"/>
      <c r="O222" s="9"/>
      <c r="P222" s="9"/>
      <c r="Q222" s="9"/>
      <c r="R222" s="9"/>
      <c r="S222" s="9"/>
      <c r="T222" s="9"/>
      <c r="U222" s="9"/>
      <c r="V222" s="9"/>
      <c r="W222" s="9"/>
      <c r="X222" s="9"/>
      <c r="Y222" s="9"/>
      <c r="Z222" s="9"/>
    </row>
    <row r="223" spans="1:26">
      <c r="A223" s="9"/>
      <c r="B223" s="9"/>
      <c r="C223" s="9"/>
      <c r="D223" s="9"/>
      <c r="E223" s="35"/>
      <c r="F223" s="35"/>
      <c r="G223" s="264"/>
      <c r="H223" s="273"/>
      <c r="I223" s="268"/>
      <c r="J223" s="268"/>
      <c r="K223" s="273"/>
      <c r="L223" s="268"/>
      <c r="M223" s="114"/>
      <c r="N223" s="9"/>
      <c r="O223" s="9"/>
      <c r="P223" s="9"/>
      <c r="Q223" s="9"/>
      <c r="R223" s="9"/>
      <c r="S223" s="9"/>
      <c r="T223" s="9"/>
      <c r="U223" s="9"/>
      <c r="V223" s="9"/>
      <c r="W223" s="9"/>
      <c r="X223" s="9"/>
      <c r="Y223" s="9"/>
      <c r="Z223" s="9"/>
    </row>
    <row r="224" spans="1:26">
      <c r="A224" s="9"/>
      <c r="B224" s="9"/>
      <c r="C224" s="9"/>
      <c r="D224" s="9"/>
      <c r="E224" s="35"/>
      <c r="F224" s="35"/>
      <c r="G224" s="264"/>
      <c r="H224" s="273"/>
      <c r="I224" s="268"/>
      <c r="J224" s="268"/>
      <c r="K224" s="273"/>
      <c r="L224" s="268"/>
      <c r="M224" s="114"/>
      <c r="N224" s="9"/>
      <c r="O224" s="9"/>
      <c r="P224" s="9"/>
      <c r="Q224" s="9"/>
      <c r="R224" s="9"/>
      <c r="S224" s="9"/>
      <c r="T224" s="9"/>
      <c r="U224" s="9"/>
      <c r="V224" s="9"/>
      <c r="W224" s="9"/>
      <c r="X224" s="9"/>
      <c r="Y224" s="9"/>
      <c r="Z224" s="9"/>
    </row>
    <row r="225" spans="1:26">
      <c r="A225" s="9"/>
      <c r="B225" s="9"/>
      <c r="C225" s="9"/>
      <c r="D225" s="9"/>
      <c r="E225" s="35"/>
      <c r="F225" s="35"/>
      <c r="G225" s="264"/>
      <c r="H225" s="273"/>
      <c r="I225" s="268"/>
      <c r="J225" s="268"/>
      <c r="K225" s="273"/>
      <c r="L225" s="268"/>
      <c r="M225" s="114"/>
      <c r="N225" s="9"/>
      <c r="O225" s="9"/>
      <c r="P225" s="9"/>
      <c r="Q225" s="9"/>
      <c r="R225" s="9"/>
      <c r="S225" s="9"/>
      <c r="T225" s="9"/>
      <c r="U225" s="9"/>
      <c r="V225" s="9"/>
      <c r="W225" s="9"/>
      <c r="X225" s="9"/>
      <c r="Y225" s="9"/>
      <c r="Z225" s="9"/>
    </row>
    <row r="226" spans="1:26">
      <c r="A226" s="9"/>
      <c r="B226" s="9"/>
      <c r="C226" s="9"/>
      <c r="D226" s="9"/>
      <c r="E226" s="35"/>
      <c r="F226" s="35"/>
      <c r="G226" s="264"/>
      <c r="H226" s="273"/>
      <c r="I226" s="268"/>
      <c r="J226" s="268"/>
      <c r="K226" s="273"/>
      <c r="L226" s="268"/>
      <c r="M226" s="114"/>
      <c r="N226" s="9"/>
      <c r="O226" s="9"/>
      <c r="P226" s="9"/>
      <c r="Q226" s="9"/>
      <c r="R226" s="9"/>
      <c r="S226" s="9"/>
      <c r="T226" s="9"/>
      <c r="U226" s="9"/>
      <c r="V226" s="9"/>
      <c r="W226" s="9"/>
      <c r="X226" s="9"/>
      <c r="Y226" s="9"/>
      <c r="Z226" s="9"/>
    </row>
    <row r="227" spans="1:26">
      <c r="A227" s="9"/>
      <c r="B227" s="9"/>
      <c r="C227" s="9"/>
      <c r="D227" s="9"/>
      <c r="E227" s="35"/>
      <c r="F227" s="35"/>
      <c r="G227" s="264"/>
      <c r="H227" s="273"/>
      <c r="I227" s="268"/>
      <c r="J227" s="268"/>
      <c r="K227" s="273"/>
      <c r="L227" s="268"/>
      <c r="M227" s="114"/>
      <c r="N227" s="9"/>
      <c r="O227" s="9"/>
      <c r="P227" s="9"/>
      <c r="Q227" s="9"/>
      <c r="R227" s="9"/>
      <c r="S227" s="9"/>
      <c r="T227" s="9"/>
      <c r="U227" s="9"/>
      <c r="V227" s="9"/>
      <c r="W227" s="9"/>
      <c r="X227" s="9"/>
      <c r="Y227" s="9"/>
      <c r="Z227" s="9"/>
    </row>
    <row r="228" spans="1:26">
      <c r="A228" s="9"/>
      <c r="B228" s="9"/>
      <c r="C228" s="9"/>
      <c r="D228" s="9"/>
      <c r="E228" s="35"/>
      <c r="F228" s="35"/>
      <c r="G228" s="264"/>
      <c r="H228" s="273"/>
      <c r="I228" s="268"/>
      <c r="J228" s="268"/>
      <c r="K228" s="273"/>
      <c r="L228" s="268"/>
      <c r="M228" s="114"/>
      <c r="N228" s="9"/>
      <c r="O228" s="9"/>
      <c r="P228" s="9"/>
      <c r="Q228" s="9"/>
      <c r="R228" s="9"/>
      <c r="S228" s="9"/>
      <c r="T228" s="9"/>
      <c r="U228" s="9"/>
      <c r="V228" s="9"/>
      <c r="W228" s="9"/>
      <c r="X228" s="9"/>
      <c r="Y228" s="9"/>
      <c r="Z228" s="9"/>
    </row>
    <row r="229" spans="1:26">
      <c r="A229" s="9"/>
      <c r="B229" s="9"/>
      <c r="C229" s="9"/>
      <c r="D229" s="9"/>
      <c r="E229" s="35"/>
      <c r="F229" s="35"/>
      <c r="G229" s="264"/>
      <c r="H229" s="273"/>
      <c r="I229" s="268"/>
      <c r="J229" s="268"/>
      <c r="K229" s="273"/>
      <c r="L229" s="268"/>
      <c r="M229" s="114"/>
      <c r="N229" s="9"/>
      <c r="O229" s="9"/>
      <c r="P229" s="9"/>
      <c r="Q229" s="9"/>
      <c r="R229" s="9"/>
      <c r="S229" s="9"/>
      <c r="T229" s="9"/>
      <c r="U229" s="9"/>
      <c r="V229" s="9"/>
      <c r="W229" s="9"/>
      <c r="X229" s="9"/>
      <c r="Y229" s="9"/>
      <c r="Z229" s="9"/>
    </row>
    <row r="230" spans="1:26">
      <c r="A230" s="9"/>
      <c r="B230" s="9"/>
      <c r="C230" s="9"/>
      <c r="D230" s="9"/>
      <c r="E230" s="35"/>
      <c r="F230" s="35"/>
      <c r="G230" s="264"/>
      <c r="H230" s="273"/>
      <c r="I230" s="268"/>
      <c r="J230" s="268"/>
      <c r="K230" s="273"/>
      <c r="L230" s="268"/>
      <c r="M230" s="114"/>
      <c r="N230" s="9"/>
      <c r="O230" s="9"/>
      <c r="P230" s="9"/>
      <c r="Q230" s="9"/>
      <c r="R230" s="9"/>
      <c r="S230" s="9"/>
      <c r="T230" s="9"/>
      <c r="U230" s="9"/>
      <c r="V230" s="9"/>
      <c r="W230" s="9"/>
      <c r="X230" s="9"/>
      <c r="Y230" s="9"/>
      <c r="Z230" s="9"/>
    </row>
    <row r="231" spans="1:26">
      <c r="A231" s="9"/>
      <c r="B231" s="9"/>
      <c r="C231" s="9"/>
      <c r="D231" s="9"/>
      <c r="E231" s="35"/>
      <c r="F231" s="35"/>
      <c r="G231" s="264"/>
      <c r="H231" s="273"/>
      <c r="I231" s="268"/>
      <c r="J231" s="268"/>
      <c r="K231" s="273"/>
      <c r="L231" s="268"/>
      <c r="M231" s="114"/>
      <c r="N231" s="9"/>
      <c r="O231" s="9"/>
      <c r="P231" s="9"/>
      <c r="Q231" s="9"/>
      <c r="R231" s="9"/>
      <c r="S231" s="9"/>
      <c r="T231" s="9"/>
      <c r="U231" s="9"/>
      <c r="V231" s="9"/>
      <c r="W231" s="9"/>
      <c r="X231" s="9"/>
      <c r="Y231" s="9"/>
      <c r="Z231" s="9"/>
    </row>
    <row r="232" spans="1:26">
      <c r="A232" s="9"/>
      <c r="B232" s="9"/>
      <c r="C232" s="9"/>
      <c r="D232" s="9"/>
      <c r="E232" s="35"/>
      <c r="F232" s="35"/>
      <c r="G232" s="264"/>
      <c r="H232" s="273"/>
      <c r="I232" s="268"/>
      <c r="J232" s="268"/>
      <c r="K232" s="273"/>
      <c r="L232" s="268"/>
      <c r="M232" s="114"/>
      <c r="N232" s="9"/>
      <c r="O232" s="9"/>
      <c r="P232" s="9"/>
      <c r="Q232" s="9"/>
      <c r="R232" s="9"/>
      <c r="S232" s="9"/>
      <c r="T232" s="9"/>
      <c r="U232" s="9"/>
      <c r="V232" s="9"/>
      <c r="W232" s="9"/>
      <c r="X232" s="9"/>
      <c r="Y232" s="9"/>
      <c r="Z232" s="9"/>
    </row>
    <row r="233" spans="1:26">
      <c r="A233" s="9"/>
      <c r="B233" s="9"/>
      <c r="C233" s="9"/>
      <c r="D233" s="9"/>
      <c r="E233" s="35"/>
      <c r="F233" s="35"/>
      <c r="G233" s="264"/>
      <c r="H233" s="273"/>
      <c r="I233" s="268"/>
      <c r="J233" s="268"/>
      <c r="K233" s="273"/>
      <c r="L233" s="268"/>
      <c r="M233" s="114"/>
      <c r="N233" s="9"/>
      <c r="O233" s="9"/>
      <c r="P233" s="9"/>
      <c r="Q233" s="9"/>
      <c r="R233" s="9"/>
      <c r="S233" s="9"/>
      <c r="T233" s="9"/>
      <c r="U233" s="9"/>
      <c r="V233" s="9"/>
      <c r="W233" s="9"/>
      <c r="X233" s="9"/>
      <c r="Y233" s="9"/>
      <c r="Z233" s="9"/>
    </row>
    <row r="234" spans="1:26">
      <c r="A234" s="9"/>
      <c r="B234" s="9"/>
      <c r="C234" s="9"/>
      <c r="D234" s="9"/>
      <c r="E234" s="35"/>
      <c r="F234" s="35"/>
      <c r="G234" s="264"/>
      <c r="H234" s="273"/>
      <c r="I234" s="268"/>
      <c r="J234" s="268"/>
      <c r="K234" s="273"/>
      <c r="L234" s="268"/>
      <c r="M234" s="114"/>
      <c r="N234" s="9"/>
      <c r="O234" s="9"/>
      <c r="P234" s="9"/>
      <c r="Q234" s="9"/>
      <c r="R234" s="9"/>
      <c r="S234" s="9"/>
      <c r="T234" s="9"/>
      <c r="U234" s="9"/>
      <c r="V234" s="9"/>
      <c r="W234" s="9"/>
      <c r="X234" s="9"/>
      <c r="Y234" s="9"/>
      <c r="Z234" s="9"/>
    </row>
    <row r="235" spans="1:26">
      <c r="A235" s="9"/>
      <c r="B235" s="9"/>
      <c r="C235" s="9"/>
      <c r="D235" s="9"/>
      <c r="E235" s="35"/>
      <c r="F235" s="35"/>
      <c r="G235" s="264"/>
      <c r="H235" s="273"/>
      <c r="I235" s="268"/>
      <c r="J235" s="268"/>
      <c r="K235" s="273"/>
      <c r="L235" s="268"/>
      <c r="M235" s="114"/>
      <c r="N235" s="9"/>
      <c r="O235" s="9"/>
      <c r="P235" s="9"/>
      <c r="Q235" s="9"/>
      <c r="R235" s="9"/>
      <c r="S235" s="9"/>
      <c r="T235" s="9"/>
      <c r="U235" s="9"/>
      <c r="V235" s="9"/>
      <c r="W235" s="9"/>
      <c r="X235" s="9"/>
      <c r="Y235" s="9"/>
      <c r="Z235" s="9"/>
    </row>
    <row r="236" spans="1:26">
      <c r="A236" s="9"/>
      <c r="B236" s="9"/>
      <c r="C236" s="9"/>
      <c r="D236" s="9"/>
      <c r="E236" s="35"/>
      <c r="F236" s="35"/>
      <c r="G236" s="264"/>
      <c r="H236" s="273"/>
      <c r="I236" s="268"/>
      <c r="J236" s="268"/>
      <c r="K236" s="273"/>
      <c r="L236" s="268"/>
      <c r="M236" s="114"/>
      <c r="N236" s="9"/>
      <c r="O236" s="9"/>
      <c r="P236" s="9"/>
      <c r="Q236" s="9"/>
      <c r="R236" s="9"/>
      <c r="S236" s="9"/>
      <c r="T236" s="9"/>
      <c r="U236" s="9"/>
      <c r="V236" s="9"/>
      <c r="W236" s="9"/>
      <c r="X236" s="9"/>
      <c r="Y236" s="9"/>
      <c r="Z236" s="9"/>
    </row>
    <row r="237" spans="1:26">
      <c r="A237" s="9"/>
      <c r="B237" s="9"/>
      <c r="C237" s="9"/>
      <c r="D237" s="9"/>
      <c r="E237" s="35"/>
      <c r="F237" s="35"/>
      <c r="G237" s="264"/>
      <c r="H237" s="273"/>
      <c r="I237" s="268"/>
      <c r="J237" s="268"/>
      <c r="K237" s="273"/>
      <c r="L237" s="268"/>
      <c r="M237" s="114"/>
      <c r="N237" s="9"/>
      <c r="O237" s="9"/>
      <c r="P237" s="9"/>
      <c r="Q237" s="9"/>
      <c r="R237" s="9"/>
      <c r="S237" s="9"/>
      <c r="T237" s="9"/>
      <c r="U237" s="9"/>
      <c r="V237" s="9"/>
      <c r="W237" s="9"/>
      <c r="X237" s="9"/>
      <c r="Y237" s="9"/>
      <c r="Z237" s="9"/>
    </row>
    <row r="238" spans="1:26">
      <c r="A238" s="9"/>
      <c r="B238" s="9"/>
      <c r="C238" s="9"/>
      <c r="D238" s="9"/>
      <c r="E238" s="35"/>
      <c r="F238" s="35"/>
      <c r="G238" s="264"/>
      <c r="H238" s="273"/>
      <c r="I238" s="268"/>
      <c r="J238" s="268"/>
      <c r="K238" s="273"/>
      <c r="L238" s="268"/>
      <c r="M238" s="114"/>
      <c r="N238" s="9"/>
      <c r="O238" s="9"/>
      <c r="P238" s="9"/>
      <c r="Q238" s="9"/>
      <c r="R238" s="9"/>
      <c r="S238" s="9"/>
      <c r="T238" s="9"/>
      <c r="U238" s="9"/>
      <c r="V238" s="9"/>
      <c r="W238" s="9"/>
      <c r="X238" s="9"/>
      <c r="Y238" s="9"/>
      <c r="Z238" s="9"/>
    </row>
    <row r="239" spans="1:26">
      <c r="A239" s="9"/>
      <c r="B239" s="9"/>
      <c r="C239" s="9"/>
      <c r="D239" s="9"/>
      <c r="E239" s="35"/>
      <c r="F239" s="35"/>
      <c r="G239" s="264"/>
      <c r="H239" s="273"/>
      <c r="I239" s="268"/>
      <c r="J239" s="268"/>
      <c r="K239" s="273"/>
      <c r="L239" s="268"/>
      <c r="M239" s="114"/>
      <c r="N239" s="9"/>
      <c r="O239" s="9"/>
      <c r="P239" s="9"/>
      <c r="Q239" s="9"/>
      <c r="R239" s="9"/>
      <c r="S239" s="9"/>
      <c r="T239" s="9"/>
      <c r="U239" s="9"/>
      <c r="V239" s="9"/>
      <c r="W239" s="9"/>
      <c r="X239" s="9"/>
      <c r="Y239" s="9"/>
      <c r="Z239" s="9"/>
    </row>
    <row r="240" spans="1:26">
      <c r="A240" s="9"/>
      <c r="B240" s="9"/>
      <c r="C240" s="9"/>
      <c r="D240" s="9"/>
      <c r="E240" s="35"/>
      <c r="F240" s="35"/>
      <c r="G240" s="264"/>
      <c r="H240" s="273"/>
      <c r="I240" s="268"/>
      <c r="J240" s="268"/>
      <c r="K240" s="273"/>
      <c r="L240" s="268"/>
      <c r="M240" s="114"/>
      <c r="N240" s="9"/>
      <c r="O240" s="9"/>
      <c r="P240" s="9"/>
      <c r="Q240" s="9"/>
      <c r="R240" s="9"/>
      <c r="S240" s="9"/>
      <c r="T240" s="9"/>
      <c r="U240" s="9"/>
      <c r="V240" s="9"/>
      <c r="W240" s="9"/>
      <c r="X240" s="9"/>
      <c r="Y240" s="9"/>
      <c r="Z240" s="9"/>
    </row>
    <row r="241" spans="1:26">
      <c r="A241" s="9"/>
      <c r="B241" s="9"/>
      <c r="C241" s="9"/>
      <c r="D241" s="9"/>
      <c r="E241" s="35"/>
      <c r="F241" s="35"/>
      <c r="G241" s="264"/>
      <c r="H241" s="273"/>
      <c r="I241" s="268"/>
      <c r="J241" s="268"/>
      <c r="K241" s="273"/>
      <c r="L241" s="268"/>
      <c r="M241" s="114"/>
      <c r="N241" s="9"/>
      <c r="O241" s="9"/>
      <c r="P241" s="9"/>
      <c r="Q241" s="9"/>
      <c r="R241" s="9"/>
      <c r="S241" s="9"/>
      <c r="T241" s="9"/>
      <c r="U241" s="9"/>
      <c r="V241" s="9"/>
      <c r="W241" s="9"/>
      <c r="X241" s="9"/>
      <c r="Y241" s="9"/>
      <c r="Z241" s="9"/>
    </row>
    <row r="242" spans="1:26">
      <c r="A242" s="9"/>
      <c r="B242" s="9"/>
      <c r="C242" s="9"/>
      <c r="D242" s="9"/>
      <c r="E242" s="35"/>
      <c r="F242" s="35"/>
      <c r="G242" s="264"/>
      <c r="H242" s="273"/>
      <c r="I242" s="268"/>
      <c r="J242" s="268"/>
      <c r="K242" s="273"/>
      <c r="L242" s="268"/>
      <c r="M242" s="114"/>
      <c r="N242" s="9"/>
      <c r="O242" s="9"/>
      <c r="P242" s="9"/>
      <c r="Q242" s="9"/>
      <c r="R242" s="9"/>
      <c r="S242" s="9"/>
      <c r="T242" s="9"/>
      <c r="U242" s="9"/>
      <c r="V242" s="9"/>
      <c r="W242" s="9"/>
      <c r="X242" s="9"/>
      <c r="Y242" s="9"/>
      <c r="Z242" s="9"/>
    </row>
    <row r="243" spans="1:26">
      <c r="A243" s="9"/>
      <c r="B243" s="9"/>
      <c r="C243" s="9"/>
      <c r="D243" s="9"/>
      <c r="E243" s="35"/>
      <c r="F243" s="35"/>
      <c r="G243" s="264"/>
      <c r="H243" s="273"/>
      <c r="I243" s="268"/>
      <c r="J243" s="268"/>
      <c r="K243" s="273"/>
      <c r="L243" s="268"/>
      <c r="M243" s="114"/>
      <c r="N243" s="9"/>
      <c r="O243" s="9"/>
      <c r="P243" s="9"/>
      <c r="Q243" s="9"/>
      <c r="R243" s="9"/>
      <c r="S243" s="9"/>
      <c r="T243" s="9"/>
      <c r="U243" s="9"/>
      <c r="V243" s="9"/>
      <c r="W243" s="9"/>
      <c r="X243" s="9"/>
      <c r="Y243" s="9"/>
      <c r="Z243" s="9"/>
    </row>
    <row r="244" spans="1:26">
      <c r="A244" s="9"/>
      <c r="B244" s="9"/>
      <c r="C244" s="9"/>
      <c r="D244" s="9"/>
      <c r="E244" s="35"/>
      <c r="F244" s="35"/>
      <c r="G244" s="264"/>
      <c r="H244" s="273"/>
      <c r="I244" s="268"/>
      <c r="J244" s="268"/>
      <c r="K244" s="273"/>
      <c r="L244" s="268"/>
      <c r="M244" s="114"/>
      <c r="N244" s="9"/>
      <c r="O244" s="9"/>
      <c r="P244" s="9"/>
      <c r="Q244" s="9"/>
      <c r="R244" s="9"/>
      <c r="S244" s="9"/>
      <c r="T244" s="9"/>
      <c r="U244" s="9"/>
      <c r="V244" s="9"/>
      <c r="W244" s="9"/>
      <c r="X244" s="9"/>
      <c r="Y244" s="9"/>
      <c r="Z244" s="9"/>
    </row>
    <row r="245" spans="1:26">
      <c r="A245" s="9"/>
      <c r="B245" s="9"/>
      <c r="C245" s="9"/>
      <c r="D245" s="9"/>
      <c r="E245" s="35"/>
      <c r="F245" s="35"/>
      <c r="G245" s="264"/>
      <c r="H245" s="273"/>
      <c r="I245" s="268"/>
      <c r="J245" s="268"/>
      <c r="K245" s="273"/>
      <c r="L245" s="268"/>
      <c r="M245" s="114"/>
      <c r="N245" s="9"/>
      <c r="O245" s="9"/>
      <c r="P245" s="9"/>
      <c r="Q245" s="9"/>
      <c r="R245" s="9"/>
      <c r="S245" s="9"/>
      <c r="T245" s="9"/>
      <c r="U245" s="9"/>
      <c r="V245" s="9"/>
      <c r="W245" s="9"/>
      <c r="X245" s="9"/>
      <c r="Y245" s="9"/>
      <c r="Z245" s="9"/>
    </row>
    <row r="246" spans="1:26">
      <c r="A246" s="9"/>
      <c r="B246" s="9"/>
      <c r="C246" s="9"/>
      <c r="D246" s="9"/>
      <c r="E246" s="35"/>
      <c r="F246" s="35"/>
      <c r="G246" s="264"/>
      <c r="H246" s="273"/>
      <c r="I246" s="268"/>
      <c r="J246" s="268"/>
      <c r="K246" s="273"/>
      <c r="L246" s="268"/>
      <c r="M246" s="114"/>
      <c r="N246" s="9"/>
      <c r="O246" s="9"/>
      <c r="P246" s="9"/>
      <c r="Q246" s="9"/>
      <c r="R246" s="9"/>
      <c r="S246" s="9"/>
      <c r="T246" s="9"/>
      <c r="U246" s="9"/>
      <c r="V246" s="9"/>
      <c r="W246" s="9"/>
      <c r="X246" s="9"/>
      <c r="Y246" s="9"/>
      <c r="Z246" s="9"/>
    </row>
    <row r="247" spans="1:26">
      <c r="A247" s="9"/>
      <c r="B247" s="9"/>
      <c r="C247" s="9"/>
      <c r="D247" s="9"/>
      <c r="E247" s="35"/>
      <c r="F247" s="35"/>
      <c r="G247" s="264"/>
      <c r="H247" s="273"/>
      <c r="I247" s="268"/>
      <c r="J247" s="268"/>
      <c r="K247" s="273"/>
      <c r="L247" s="268"/>
      <c r="M247" s="114"/>
      <c r="N247" s="9"/>
      <c r="O247" s="9"/>
      <c r="P247" s="9"/>
      <c r="Q247" s="9"/>
      <c r="R247" s="9"/>
      <c r="S247" s="9"/>
      <c r="T247" s="9"/>
      <c r="U247" s="9"/>
      <c r="V247" s="9"/>
      <c r="W247" s="9"/>
      <c r="X247" s="9"/>
      <c r="Y247" s="9"/>
      <c r="Z247" s="9"/>
    </row>
    <row r="248" spans="1:26">
      <c r="A248" s="9"/>
      <c r="B248" s="9"/>
      <c r="C248" s="9"/>
      <c r="D248" s="9"/>
      <c r="E248" s="35"/>
      <c r="F248" s="35"/>
      <c r="G248" s="264"/>
      <c r="H248" s="273"/>
      <c r="I248" s="268"/>
      <c r="J248" s="268"/>
      <c r="K248" s="273"/>
      <c r="L248" s="268"/>
      <c r="M248" s="114"/>
      <c r="N248" s="9"/>
      <c r="O248" s="9"/>
      <c r="P248" s="9"/>
      <c r="Q248" s="9"/>
      <c r="R248" s="9"/>
      <c r="S248" s="9"/>
      <c r="T248" s="9"/>
      <c r="U248" s="9"/>
      <c r="V248" s="9"/>
      <c r="W248" s="9"/>
      <c r="X248" s="9"/>
      <c r="Y248" s="9"/>
      <c r="Z248" s="9"/>
    </row>
    <row r="249" spans="1:26">
      <c r="A249" s="9"/>
      <c r="B249" s="9"/>
      <c r="C249" s="9"/>
      <c r="D249" s="9"/>
      <c r="E249" s="35"/>
      <c r="F249" s="35"/>
      <c r="G249" s="264"/>
      <c r="H249" s="273"/>
      <c r="I249" s="268"/>
      <c r="J249" s="268"/>
      <c r="K249" s="273"/>
      <c r="L249" s="268"/>
      <c r="M249" s="114"/>
      <c r="N249" s="9"/>
      <c r="O249" s="9"/>
      <c r="P249" s="9"/>
      <c r="Q249" s="9"/>
      <c r="R249" s="9"/>
      <c r="S249" s="9"/>
      <c r="T249" s="9"/>
      <c r="U249" s="9"/>
      <c r="V249" s="9"/>
      <c r="W249" s="9"/>
      <c r="X249" s="9"/>
      <c r="Y249" s="9"/>
      <c r="Z249" s="9"/>
    </row>
    <row r="250" spans="1:26">
      <c r="A250" s="9"/>
      <c r="B250" s="9"/>
      <c r="C250" s="9"/>
      <c r="D250" s="9"/>
      <c r="E250" s="35"/>
      <c r="F250" s="35"/>
      <c r="G250" s="264"/>
      <c r="H250" s="273"/>
      <c r="I250" s="268"/>
      <c r="J250" s="268"/>
      <c r="K250" s="273"/>
      <c r="L250" s="268"/>
      <c r="M250" s="114"/>
      <c r="N250" s="9"/>
      <c r="O250" s="9"/>
      <c r="P250" s="9"/>
      <c r="Q250" s="9"/>
      <c r="R250" s="9"/>
      <c r="S250" s="9"/>
      <c r="T250" s="9"/>
      <c r="U250" s="9"/>
      <c r="V250" s="9"/>
      <c r="W250" s="9"/>
      <c r="X250" s="9"/>
      <c r="Y250" s="9"/>
      <c r="Z250" s="9"/>
    </row>
    <row r="251" spans="1:26">
      <c r="A251" s="9"/>
      <c r="B251" s="9"/>
      <c r="C251" s="9"/>
      <c r="D251" s="9"/>
      <c r="E251" s="35"/>
      <c r="F251" s="35"/>
      <c r="G251" s="264"/>
      <c r="H251" s="273"/>
      <c r="I251" s="268"/>
      <c r="J251" s="268"/>
      <c r="K251" s="273"/>
      <c r="L251" s="268"/>
      <c r="M251" s="114"/>
      <c r="N251" s="9"/>
      <c r="O251" s="9"/>
      <c r="P251" s="9"/>
      <c r="Q251" s="9"/>
      <c r="R251" s="9"/>
      <c r="S251" s="9"/>
      <c r="T251" s="9"/>
      <c r="U251" s="9"/>
      <c r="V251" s="9"/>
      <c r="W251" s="9"/>
      <c r="X251" s="9"/>
      <c r="Y251" s="9"/>
      <c r="Z251" s="9"/>
    </row>
    <row r="252" spans="1:26">
      <c r="A252" s="9"/>
      <c r="B252" s="9"/>
      <c r="C252" s="9"/>
      <c r="D252" s="9"/>
      <c r="E252" s="35"/>
      <c r="F252" s="35"/>
      <c r="G252" s="264"/>
      <c r="H252" s="273"/>
      <c r="I252" s="268"/>
      <c r="J252" s="268"/>
      <c r="K252" s="273"/>
      <c r="L252" s="268"/>
      <c r="M252" s="114"/>
      <c r="N252" s="9"/>
      <c r="O252" s="9"/>
      <c r="P252" s="9"/>
      <c r="Q252" s="9"/>
      <c r="R252" s="9"/>
      <c r="S252" s="9"/>
      <c r="T252" s="9"/>
      <c r="U252" s="9"/>
      <c r="V252" s="9"/>
      <c r="W252" s="9"/>
      <c r="X252" s="9"/>
      <c r="Y252" s="9"/>
      <c r="Z252" s="9"/>
    </row>
    <row r="253" spans="1:26">
      <c r="A253" s="9"/>
      <c r="B253" s="9"/>
      <c r="C253" s="9"/>
      <c r="D253" s="9"/>
      <c r="E253" s="35"/>
      <c r="F253" s="35"/>
      <c r="G253" s="264"/>
      <c r="H253" s="273"/>
      <c r="I253" s="268"/>
      <c r="J253" s="268"/>
      <c r="K253" s="273"/>
      <c r="L253" s="268"/>
      <c r="M253" s="114"/>
      <c r="N253" s="9"/>
      <c r="O253" s="9"/>
      <c r="P253" s="9"/>
      <c r="Q253" s="9"/>
      <c r="R253" s="9"/>
      <c r="S253" s="9"/>
      <c r="T253" s="9"/>
      <c r="U253" s="9"/>
      <c r="V253" s="9"/>
      <c r="W253" s="9"/>
      <c r="X253" s="9"/>
      <c r="Y253" s="9"/>
      <c r="Z253" s="9"/>
    </row>
    <row r="254" spans="1:26">
      <c r="A254" s="9"/>
      <c r="B254" s="9"/>
      <c r="C254" s="9"/>
      <c r="D254" s="9"/>
      <c r="E254" s="35"/>
      <c r="F254" s="35"/>
      <c r="G254" s="264"/>
      <c r="H254" s="273"/>
      <c r="I254" s="268"/>
      <c r="J254" s="268"/>
      <c r="K254" s="273"/>
      <c r="L254" s="268"/>
      <c r="M254" s="114"/>
      <c r="N254" s="9"/>
      <c r="O254" s="9"/>
      <c r="P254" s="9"/>
      <c r="Q254" s="9"/>
      <c r="R254" s="9"/>
      <c r="S254" s="9"/>
      <c r="T254" s="9"/>
      <c r="U254" s="9"/>
      <c r="V254" s="9"/>
      <c r="W254" s="9"/>
      <c r="X254" s="9"/>
      <c r="Y254" s="9"/>
      <c r="Z254" s="9"/>
    </row>
    <row r="255" spans="1:26">
      <c r="A255" s="9"/>
      <c r="B255" s="9"/>
      <c r="C255" s="9"/>
      <c r="D255" s="9"/>
      <c r="E255" s="35"/>
      <c r="F255" s="35"/>
      <c r="G255" s="264"/>
      <c r="H255" s="273"/>
      <c r="I255" s="268"/>
      <c r="J255" s="268"/>
      <c r="K255" s="273"/>
      <c r="L255" s="268"/>
      <c r="M255" s="114"/>
      <c r="N255" s="9"/>
      <c r="O255" s="9"/>
      <c r="P255" s="9"/>
      <c r="Q255" s="9"/>
      <c r="R255" s="9"/>
      <c r="S255" s="9"/>
      <c r="T255" s="9"/>
      <c r="U255" s="9"/>
      <c r="V255" s="9"/>
      <c r="W255" s="9"/>
      <c r="X255" s="9"/>
      <c r="Y255" s="9"/>
      <c r="Z255" s="9"/>
    </row>
    <row r="256" spans="1:26">
      <c r="A256" s="9"/>
      <c r="B256" s="9"/>
      <c r="C256" s="9"/>
      <c r="D256" s="9"/>
      <c r="E256" s="35"/>
      <c r="F256" s="35"/>
      <c r="G256" s="264"/>
      <c r="H256" s="273"/>
      <c r="I256" s="268"/>
      <c r="J256" s="268"/>
      <c r="K256" s="273"/>
      <c r="L256" s="268"/>
      <c r="M256" s="114"/>
      <c r="N256" s="9"/>
      <c r="O256" s="9"/>
      <c r="P256" s="9"/>
      <c r="Q256" s="9"/>
      <c r="R256" s="9"/>
      <c r="S256" s="9"/>
      <c r="T256" s="9"/>
      <c r="U256" s="9"/>
      <c r="V256" s="9"/>
      <c r="W256" s="9"/>
      <c r="X256" s="9"/>
      <c r="Y256" s="9"/>
      <c r="Z256" s="9"/>
    </row>
    <row r="257" spans="1:26">
      <c r="A257" s="9"/>
      <c r="B257" s="9"/>
      <c r="C257" s="9"/>
      <c r="D257" s="9"/>
      <c r="E257" s="35"/>
      <c r="F257" s="35"/>
      <c r="G257" s="264"/>
      <c r="H257" s="273"/>
      <c r="I257" s="268"/>
      <c r="J257" s="268"/>
      <c r="K257" s="273"/>
      <c r="L257" s="268"/>
      <c r="M257" s="114"/>
      <c r="N257" s="9"/>
      <c r="O257" s="9"/>
      <c r="P257" s="9"/>
      <c r="Q257" s="9"/>
      <c r="R257" s="9"/>
      <c r="S257" s="9"/>
      <c r="T257" s="9"/>
      <c r="U257" s="9"/>
      <c r="V257" s="9"/>
      <c r="W257" s="9"/>
      <c r="X257" s="9"/>
      <c r="Y257" s="9"/>
      <c r="Z257" s="9"/>
    </row>
    <row r="258" spans="1:26">
      <c r="A258" s="9"/>
      <c r="B258" s="9"/>
      <c r="C258" s="9"/>
      <c r="D258" s="9"/>
      <c r="E258" s="35"/>
      <c r="F258" s="35"/>
      <c r="G258" s="264"/>
      <c r="H258" s="273"/>
      <c r="I258" s="268"/>
      <c r="J258" s="268"/>
      <c r="K258" s="273"/>
      <c r="L258" s="268"/>
      <c r="M258" s="114"/>
      <c r="N258" s="9"/>
      <c r="O258" s="9"/>
      <c r="P258" s="9"/>
      <c r="Q258" s="9"/>
      <c r="R258" s="9"/>
      <c r="S258" s="9"/>
      <c r="T258" s="9"/>
      <c r="U258" s="9"/>
      <c r="V258" s="9"/>
      <c r="W258" s="9"/>
      <c r="X258" s="9"/>
      <c r="Y258" s="9"/>
      <c r="Z258" s="9"/>
    </row>
    <row r="259" spans="1:26">
      <c r="A259" s="9"/>
      <c r="B259" s="9"/>
      <c r="C259" s="9"/>
      <c r="D259" s="9"/>
      <c r="E259" s="35"/>
      <c r="F259" s="35"/>
      <c r="G259" s="264"/>
      <c r="H259" s="273"/>
      <c r="I259" s="268"/>
      <c r="J259" s="268"/>
      <c r="K259" s="273"/>
      <c r="L259" s="268"/>
      <c r="M259" s="114"/>
      <c r="N259" s="9"/>
      <c r="O259" s="9"/>
      <c r="P259" s="9"/>
      <c r="Q259" s="9"/>
      <c r="R259" s="9"/>
      <c r="S259" s="9"/>
      <c r="T259" s="9"/>
      <c r="U259" s="9"/>
      <c r="V259" s="9"/>
      <c r="W259" s="9"/>
      <c r="X259" s="9"/>
      <c r="Y259" s="9"/>
      <c r="Z259" s="9"/>
    </row>
    <row r="260" spans="1:26">
      <c r="A260" s="9"/>
      <c r="B260" s="9"/>
      <c r="C260" s="9"/>
      <c r="D260" s="9"/>
      <c r="E260" s="35"/>
      <c r="F260" s="35"/>
      <c r="G260" s="264"/>
      <c r="H260" s="273"/>
      <c r="I260" s="268"/>
      <c r="J260" s="268"/>
      <c r="K260" s="273"/>
      <c r="L260" s="268"/>
      <c r="M260" s="114"/>
      <c r="N260" s="9"/>
      <c r="O260" s="9"/>
      <c r="P260" s="9"/>
      <c r="Q260" s="9"/>
      <c r="R260" s="9"/>
      <c r="S260" s="9"/>
      <c r="T260" s="9"/>
      <c r="U260" s="9"/>
      <c r="V260" s="9"/>
      <c r="W260" s="9"/>
      <c r="X260" s="9"/>
      <c r="Y260" s="9"/>
      <c r="Z260" s="9"/>
    </row>
  </sheetData>
  <dataConsolidate/>
  <mergeCells count="62">
    <mergeCell ref="E25:F25"/>
    <mergeCell ref="E26:F26"/>
    <mergeCell ref="E21:F21"/>
    <mergeCell ref="E22:F22"/>
    <mergeCell ref="E23:F23"/>
    <mergeCell ref="E24:F24"/>
    <mergeCell ref="E19:F19"/>
    <mergeCell ref="E20:F20"/>
    <mergeCell ref="E13:F13"/>
    <mergeCell ref="E14:F14"/>
    <mergeCell ref="E15:F15"/>
    <mergeCell ref="E16:F16"/>
    <mergeCell ref="E17:F17"/>
    <mergeCell ref="E18:F18"/>
    <mergeCell ref="G25:I25"/>
    <mergeCell ref="G26:I26"/>
    <mergeCell ref="G21:I21"/>
    <mergeCell ref="G22:I22"/>
    <mergeCell ref="G23:I23"/>
    <mergeCell ref="G24:I24"/>
    <mergeCell ref="G17:I17"/>
    <mergeCell ref="G18:I18"/>
    <mergeCell ref="G9:I9"/>
    <mergeCell ref="G10:I10"/>
    <mergeCell ref="E9:F9"/>
    <mergeCell ref="E10:F10"/>
    <mergeCell ref="E11:F11"/>
    <mergeCell ref="E12:F12"/>
    <mergeCell ref="G11:I11"/>
    <mergeCell ref="G12:I12"/>
    <mergeCell ref="E27:F27"/>
    <mergeCell ref="E28:F28"/>
    <mergeCell ref="E29:F29"/>
    <mergeCell ref="E30:F30"/>
    <mergeCell ref="E5:H5"/>
    <mergeCell ref="G6:I6"/>
    <mergeCell ref="G7:I7"/>
    <mergeCell ref="G8:I8"/>
    <mergeCell ref="E7:F7"/>
    <mergeCell ref="E8:F8"/>
    <mergeCell ref="G19:I19"/>
    <mergeCell ref="G20:I20"/>
    <mergeCell ref="G13:I13"/>
    <mergeCell ref="G14:I14"/>
    <mergeCell ref="G15:I15"/>
    <mergeCell ref="G16:I16"/>
    <mergeCell ref="G35:I35"/>
    <mergeCell ref="G36:I36"/>
    <mergeCell ref="E35:F35"/>
    <mergeCell ref="E36:F36"/>
    <mergeCell ref="G27:I27"/>
    <mergeCell ref="G28:I28"/>
    <mergeCell ref="G29:I29"/>
    <mergeCell ref="G30:I30"/>
    <mergeCell ref="G33:I33"/>
    <mergeCell ref="G34:I34"/>
    <mergeCell ref="E31:F31"/>
    <mergeCell ref="E32:F32"/>
    <mergeCell ref="E33:F33"/>
    <mergeCell ref="E34:F34"/>
    <mergeCell ref="G31:I31"/>
    <mergeCell ref="G32:I32"/>
  </mergeCells>
  <phoneticPr fontId="11" type="noConversion"/>
  <pageMargins left="0.7" right="0.7" top="0.75" bottom="0.75" header="0.3" footer="0.3"/>
  <pageSetup paperSize="9" scale="59" orientation="portrait" r:id="rId1"/>
  <headerFooter alignWithMargins="0"/>
  <colBreaks count="1" manualBreakCount="1">
    <brk id="16" max="51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230</vt:i4>
      </vt:variant>
    </vt:vector>
  </HeadingPairs>
  <TitlesOfParts>
    <vt:vector size="240" baseType="lpstr">
      <vt:lpstr>Intro</vt:lpstr>
      <vt:lpstr>Code and Input changes</vt:lpstr>
      <vt:lpstr>Tables</vt:lpstr>
      <vt:lpstr>Input</vt:lpstr>
      <vt:lpstr>Adjustment for previous period</vt:lpstr>
      <vt:lpstr>Actual RAB roll forward</vt:lpstr>
      <vt:lpstr>Total actual RAB roll forward</vt:lpstr>
      <vt:lpstr>Tax value roll forward</vt:lpstr>
      <vt:lpstr>Asset lives roll forward</vt:lpstr>
      <vt:lpstr>Output summary</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'Asset lives roll forward'!Print_Area</vt:lpstr>
      <vt:lpstr>Input!Print_Area</vt:lpstr>
      <vt:lpstr>Intro!Print_Area</vt:lpstr>
      <vt:lpstr>'Output summary'!Print_Area</vt:lpstr>
      <vt:lpstr>'Tax value roll forward'!Print_Area</vt:lpstr>
      <vt:lpstr>'Total actual RAB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swardm</cp:lastModifiedBy>
  <cp:lastPrinted>2010-07-16T04:46:24Z</cp:lastPrinted>
  <dcterms:created xsi:type="dcterms:W3CDTF">2000-02-13T23:07:37Z</dcterms:created>
  <dcterms:modified xsi:type="dcterms:W3CDTF">2014-01-30T02:57:03Z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ý</vt:lpwstr>
  </property>
</Properties>
</file>