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6450"/>
  </bookViews>
  <sheets>
    <sheet name="Change Control Summary" sheetId="15" r:id="rId1"/>
    <sheet name="Base Year" sheetId="1" r:id="rId2"/>
    <sheet name="Supporting Forecasts" sheetId="4" r:id="rId3"/>
    <sheet name="CPI - Index" sheetId="3" r:id="rId4"/>
    <sheet name="Opex forecast" sheetId="10" r:id="rId5"/>
    <sheet name="Step changes" sheetId="11" r:id="rId6"/>
    <sheet name="Category forecasts" sheetId="5" r:id="rId7"/>
    <sheet name="Economies of Scale" sheetId="7" r:id="rId8"/>
    <sheet name="Labour composition" sheetId="8" r:id="rId9"/>
  </sheets>
  <externalReferences>
    <externalReference r:id="rId10"/>
  </externalReferences>
  <definedNames>
    <definedName name="CRCP_y1">'[1]Business &amp; other details'!$C$38</definedName>
    <definedName name="CRCP_y2">'[1]Business &amp; other details'!$D$38</definedName>
    <definedName name="CRCP_y3">'[1]Business &amp; other details'!$E$38</definedName>
    <definedName name="CRCP_y4">'[1]Business &amp; other details'!$F$38</definedName>
    <definedName name="CRCP_y5">'[1]Business &amp; other details'!$G$38</definedName>
    <definedName name="dms_DollarReal">'[1]Business &amp; other details'!$C$63</definedName>
    <definedName name="dms_FRCPlength_Num">'[1]Business &amp; other details'!$C$74</definedName>
    <definedName name="dms_Model">'[1]Business &amp; other details'!$C$59</definedName>
    <definedName name="dms_Model_List">'[1]AER only'!$B$48:$B$55</definedName>
    <definedName name="dms_MultiYear_FinalYear_Result">'[1]Business &amp; other details'!$C$76</definedName>
    <definedName name="dms_SingleYear_Model">'[1]Business &amp; other details'!$C$69:$C$71</definedName>
    <definedName name="dms_TradingName">'[1]Business &amp; other details'!$C$14</definedName>
    <definedName name="dms_TradingName_List">'[1]AER only'!$B$8:$B$42</definedName>
    <definedName name="dms_TradingNameFull_List">'[1]AER only'!$C$8:$C$42</definedName>
    <definedName name="dms_Worksheet_List">'[1]AER only'!$C$48:$C$55</definedName>
    <definedName name="FRCP_y1">'[1]Business &amp; other details'!$C$35</definedName>
    <definedName name="FRCP_y2">'[1]Business &amp; other details'!$D$35</definedName>
    <definedName name="FRCP_y3">'[1]Business &amp; other details'!$E$35</definedName>
    <definedName name="FRCP_y4">'[1]Business &amp; other details'!$F$35</definedName>
    <definedName name="FRCP_y5">'[1]Business &amp; other details'!$G$35</definedName>
    <definedName name="PRCP_y1">'[1]Business &amp; other details'!$C$41</definedName>
    <definedName name="PRCP_y2">'[1]Business &amp; other details'!$D$41</definedName>
    <definedName name="PRCP_y3">'[1]Business &amp; other details'!$E$41</definedName>
    <definedName name="PRCP_y4">'[1]Business &amp; other details'!$F$41</definedName>
    <definedName name="PRCP_y5">'[1]Business &amp; other details'!$G$41</definedName>
    <definedName name="_xlnm.Print_Area" localSheetId="1">'Base Year'!$B$1:$X$39</definedName>
    <definedName name="_xlnm.Print_Area" localSheetId="6">'Category forecasts'!$A$1:$J$94</definedName>
    <definedName name="_xlnm.Print_Area" localSheetId="0">'Change Control Summary'!$A$1:$E$6</definedName>
    <definedName name="_xlnm.Print_Area" localSheetId="3">'CPI - Index'!$A$1:$T$15</definedName>
    <definedName name="_xlnm.Print_Area" localSheetId="7">'Economies of Scale'!$B$5:$AH$35</definedName>
    <definedName name="_xlnm.Print_Area" localSheetId="8">'Labour composition'!$A$1:$J$29</definedName>
    <definedName name="_xlnm.Print_Area" localSheetId="4">'Opex forecast'!$A$1:$K$19</definedName>
    <definedName name="_xlnm.Print_Area" localSheetId="5">'Step changes'!$A$1:$J$14</definedName>
    <definedName name="_xlnm.Print_Area" localSheetId="2">'Supporting Forecasts'!$A$1:$U$28</definedName>
  </definedNames>
  <calcPr calcId="145621"/>
</workbook>
</file>

<file path=xl/calcChain.xml><?xml version="1.0" encoding="utf-8"?>
<calcChain xmlns="http://schemas.openxmlformats.org/spreadsheetml/2006/main">
  <c r="D14" i="4" l="1"/>
  <c r="E14" i="4"/>
  <c r="F14" i="4"/>
  <c r="G14" i="4"/>
  <c r="H14" i="4"/>
  <c r="I14" i="4"/>
  <c r="C14" i="4"/>
  <c r="C8" i="11" l="1"/>
  <c r="M8" i="1"/>
  <c r="C7" i="11"/>
  <c r="C32" i="5" s="1"/>
  <c r="D35" i="1"/>
  <c r="C8" i="8"/>
  <c r="C15" i="8" s="1"/>
  <c r="I9" i="4"/>
  <c r="H9" i="4"/>
  <c r="G9" i="4"/>
  <c r="F9" i="4"/>
  <c r="E9" i="4"/>
  <c r="D9" i="4"/>
  <c r="C9" i="4"/>
  <c r="M6" i="3"/>
  <c r="N6" i="3" l="1"/>
  <c r="C27" i="5"/>
  <c r="C88" i="5" s="1"/>
  <c r="C26" i="8"/>
  <c r="C14" i="8"/>
  <c r="C11" i="8"/>
  <c r="C25" i="8"/>
  <c r="C21" i="8"/>
  <c r="C17" i="8"/>
  <c r="C13" i="8"/>
  <c r="C18" i="8"/>
  <c r="C28" i="8"/>
  <c r="C24" i="8"/>
  <c r="C20" i="8"/>
  <c r="C16" i="8"/>
  <c r="C12" i="8"/>
  <c r="C22" i="8"/>
  <c r="C27" i="8"/>
  <c r="C23" i="8"/>
  <c r="C19" i="8"/>
  <c r="C11" i="11"/>
  <c r="C9" i="3" l="1"/>
  <c r="O6" i="3"/>
  <c r="P6" i="3" s="1"/>
  <c r="X10" i="1" l="1"/>
  <c r="D13" i="1"/>
  <c r="I7" i="11"/>
  <c r="T13" i="1"/>
  <c r="N14" i="1"/>
  <c r="D8" i="11"/>
  <c r="D21" i="1"/>
  <c r="T35" i="1"/>
  <c r="T20" i="1"/>
  <c r="D28" i="1"/>
  <c r="D16" i="1"/>
  <c r="T30" i="1"/>
  <c r="N9" i="1"/>
  <c r="D9" i="1"/>
  <c r="D15" i="1"/>
  <c r="T19" i="1"/>
  <c r="T12" i="1"/>
  <c r="I8" i="11"/>
  <c r="D18" i="1"/>
  <c r="T16" i="1"/>
  <c r="N10" i="1"/>
  <c r="D17" i="1"/>
  <c r="T14" i="1"/>
  <c r="T25" i="1"/>
  <c r="D22" i="1"/>
  <c r="D32" i="1"/>
  <c r="D7" i="11"/>
  <c r="T18" i="1"/>
  <c r="N11" i="1"/>
  <c r="F8" i="11"/>
  <c r="F7" i="11"/>
  <c r="T8" i="1"/>
  <c r="T29" i="1"/>
  <c r="X8" i="1"/>
  <c r="E8" i="11"/>
  <c r="D14" i="1"/>
  <c r="T26" i="1"/>
  <c r="N12" i="1"/>
  <c r="D19" i="1"/>
  <c r="D10" i="1"/>
  <c r="E7" i="11"/>
  <c r="T24" i="1"/>
  <c r="T33" i="1"/>
  <c r="D25" i="1"/>
  <c r="T17" i="1"/>
  <c r="T10" i="1"/>
  <c r="D24" i="1"/>
  <c r="H7" i="11"/>
  <c r="T28" i="1"/>
  <c r="D12" i="1"/>
  <c r="X9" i="1"/>
  <c r="D11" i="1"/>
  <c r="G7" i="11"/>
  <c r="T34" i="1"/>
  <c r="N13" i="1"/>
  <c r="H8" i="11"/>
  <c r="D8" i="1"/>
  <c r="T27" i="1"/>
  <c r="T32" i="1"/>
  <c r="G8" i="11"/>
  <c r="D20" i="1"/>
  <c r="T9" i="1"/>
  <c r="N15" i="1"/>
  <c r="D23" i="1"/>
  <c r="T31" i="1"/>
  <c r="T23" i="1"/>
  <c r="Q6" i="3"/>
  <c r="G32" i="5" l="1"/>
  <c r="E27" i="5"/>
  <c r="N8" i="1"/>
  <c r="C77" i="5"/>
  <c r="F26" i="7" s="1"/>
  <c r="C76" i="5"/>
  <c r="C81" i="5"/>
  <c r="C80" i="5"/>
  <c r="E32" i="5"/>
  <c r="E88" i="5" s="1"/>
  <c r="C68" i="5"/>
  <c r="C69" i="5"/>
  <c r="C53" i="5"/>
  <c r="C52" i="5"/>
  <c r="C41" i="5"/>
  <c r="C40" i="5"/>
  <c r="C44" i="5"/>
  <c r="C45" i="5"/>
  <c r="C72" i="5"/>
  <c r="C73" i="5"/>
  <c r="C61" i="5"/>
  <c r="C60" i="5"/>
  <c r="C26" i="5"/>
  <c r="C25" i="5"/>
  <c r="C17" i="5"/>
  <c r="C18" i="5"/>
  <c r="C35" i="5"/>
  <c r="C36" i="5"/>
  <c r="I27" i="5"/>
  <c r="C13" i="5"/>
  <c r="C14" i="5"/>
  <c r="C65" i="5"/>
  <c r="C64" i="5"/>
  <c r="I32" i="5"/>
  <c r="I88" i="5" s="1"/>
  <c r="G27" i="5"/>
  <c r="C10" i="5"/>
  <c r="C9" i="5"/>
  <c r="C57" i="5"/>
  <c r="C56" i="5"/>
  <c r="F32" i="5"/>
  <c r="D32" i="5"/>
  <c r="D27" i="5"/>
  <c r="C31" i="5"/>
  <c r="C30" i="5"/>
  <c r="H27" i="5"/>
  <c r="C21" i="5"/>
  <c r="C22" i="5"/>
  <c r="H32" i="5"/>
  <c r="F27" i="5"/>
  <c r="C7" i="8"/>
  <c r="C15" i="10"/>
  <c r="C7" i="10" s="1"/>
  <c r="C48" i="5"/>
  <c r="C49" i="5"/>
  <c r="R6" i="3"/>
  <c r="D88" i="5" l="1"/>
  <c r="H88" i="5"/>
  <c r="F88" i="5"/>
  <c r="G88" i="5"/>
  <c r="F18" i="7"/>
  <c r="D45" i="5"/>
  <c r="C51" i="5"/>
  <c r="D52" i="5"/>
  <c r="E20" i="7"/>
  <c r="E26" i="7"/>
  <c r="D76" i="5"/>
  <c r="C75" i="5"/>
  <c r="D22" i="5"/>
  <c r="F13" i="7"/>
  <c r="E11" i="11"/>
  <c r="E12" i="10" s="1"/>
  <c r="D56" i="5"/>
  <c r="E21" i="7"/>
  <c r="C55" i="5"/>
  <c r="E23" i="7"/>
  <c r="C63" i="5"/>
  <c r="D64" i="5"/>
  <c r="C16" i="5"/>
  <c r="E12" i="7"/>
  <c r="D17" i="5"/>
  <c r="D11" i="11"/>
  <c r="D12" i="10" s="1"/>
  <c r="D61" i="5"/>
  <c r="F22" i="7"/>
  <c r="E19" i="7"/>
  <c r="D48" i="5"/>
  <c r="C47" i="5"/>
  <c r="C29" i="5"/>
  <c r="E15" i="7"/>
  <c r="D30" i="5"/>
  <c r="G11" i="11"/>
  <c r="G12" i="10" s="1"/>
  <c r="E10" i="7"/>
  <c r="D9" i="5"/>
  <c r="C8" i="5"/>
  <c r="C86" i="5"/>
  <c r="C85" i="5"/>
  <c r="D14" i="5"/>
  <c r="F11" i="7"/>
  <c r="H11" i="11"/>
  <c r="H12" i="10" s="1"/>
  <c r="C34" i="5"/>
  <c r="D35" i="5"/>
  <c r="E16" i="7"/>
  <c r="I11" i="11"/>
  <c r="I12" i="10" s="1"/>
  <c r="F14" i="7"/>
  <c r="D26" i="5"/>
  <c r="C71" i="5"/>
  <c r="E25" i="7"/>
  <c r="D72" i="5"/>
  <c r="E17" i="7"/>
  <c r="D40" i="5"/>
  <c r="C39" i="5"/>
  <c r="F24" i="7"/>
  <c r="D69" i="5"/>
  <c r="E27" i="7"/>
  <c r="C79" i="5"/>
  <c r="D80" i="5"/>
  <c r="D7" i="10"/>
  <c r="D31" i="5"/>
  <c r="F15" i="7"/>
  <c r="C87" i="5"/>
  <c r="D10" i="5"/>
  <c r="F10" i="7"/>
  <c r="C12" i="5"/>
  <c r="E11" i="7"/>
  <c r="D13" i="5"/>
  <c r="D18" i="5"/>
  <c r="F12" i="7"/>
  <c r="D60" i="5"/>
  <c r="E22" i="7"/>
  <c r="C59" i="5"/>
  <c r="F17" i="7"/>
  <c r="D41" i="5"/>
  <c r="C67" i="5"/>
  <c r="E24" i="7"/>
  <c r="D68" i="5"/>
  <c r="D81" i="5"/>
  <c r="F27" i="7"/>
  <c r="F11" i="11"/>
  <c r="F12" i="10" s="1"/>
  <c r="F19" i="7"/>
  <c r="D49" i="5"/>
  <c r="D21" i="5"/>
  <c r="E13" i="7"/>
  <c r="C20" i="5"/>
  <c r="F21" i="7"/>
  <c r="D57" i="5"/>
  <c r="F23" i="7"/>
  <c r="D65" i="5"/>
  <c r="D36" i="5"/>
  <c r="F16" i="7"/>
  <c r="C24" i="5"/>
  <c r="E14" i="7"/>
  <c r="D25" i="5"/>
  <c r="F25" i="7"/>
  <c r="D73" i="5"/>
  <c r="C43" i="5"/>
  <c r="E18" i="7"/>
  <c r="D44" i="5"/>
  <c r="D53" i="5"/>
  <c r="F20" i="7"/>
  <c r="D77" i="5"/>
  <c r="S6" i="3"/>
  <c r="G17" i="7" l="1"/>
  <c r="G21" i="7"/>
  <c r="G26" i="7"/>
  <c r="G16" i="7"/>
  <c r="C84" i="5"/>
  <c r="C89" i="5" s="1"/>
  <c r="G18" i="7"/>
  <c r="G24" i="7"/>
  <c r="G11" i="7"/>
  <c r="G25" i="7"/>
  <c r="G23" i="7"/>
  <c r="K25" i="7"/>
  <c r="E73" i="5"/>
  <c r="K27" i="7"/>
  <c r="E81" i="5"/>
  <c r="J12" i="10"/>
  <c r="K26" i="7"/>
  <c r="E77" i="5"/>
  <c r="D24" i="5"/>
  <c r="E25" i="5"/>
  <c r="J14" i="7"/>
  <c r="K21" i="7"/>
  <c r="E57" i="5"/>
  <c r="E21" i="5"/>
  <c r="D20" i="5"/>
  <c r="J13" i="7"/>
  <c r="K11" i="7"/>
  <c r="E14" i="5"/>
  <c r="E9" i="5"/>
  <c r="D85" i="5"/>
  <c r="D86" i="5"/>
  <c r="D8" i="5"/>
  <c r="J10" i="7"/>
  <c r="E30" i="5"/>
  <c r="J15" i="7"/>
  <c r="D29" i="5"/>
  <c r="J19" i="7"/>
  <c r="D47" i="5"/>
  <c r="E48" i="5"/>
  <c r="E61" i="5"/>
  <c r="K22" i="7"/>
  <c r="G12" i="7"/>
  <c r="J20" i="7"/>
  <c r="D51" i="5"/>
  <c r="E52" i="5"/>
  <c r="G14" i="7"/>
  <c r="K16" i="7"/>
  <c r="E36" i="5"/>
  <c r="E49" i="5"/>
  <c r="K19" i="7"/>
  <c r="G22" i="7"/>
  <c r="K12" i="7"/>
  <c r="E18" i="5"/>
  <c r="G27" i="7"/>
  <c r="J17" i="7"/>
  <c r="D39" i="5"/>
  <c r="E40" i="5"/>
  <c r="G10" i="7"/>
  <c r="E28" i="7"/>
  <c r="G15" i="7"/>
  <c r="G19" i="7"/>
  <c r="E76" i="5"/>
  <c r="J26" i="7"/>
  <c r="D75" i="5"/>
  <c r="E53" i="5"/>
  <c r="K20" i="7"/>
  <c r="E65" i="5"/>
  <c r="K23" i="7"/>
  <c r="E41" i="5"/>
  <c r="K17" i="7"/>
  <c r="D59" i="5"/>
  <c r="E60" i="5"/>
  <c r="J22" i="7"/>
  <c r="L22" i="7" s="1"/>
  <c r="F28" i="7"/>
  <c r="D8" i="10"/>
  <c r="D10" i="10"/>
  <c r="D11" i="10"/>
  <c r="E69" i="5"/>
  <c r="K24" i="7"/>
  <c r="K14" i="7"/>
  <c r="E26" i="5"/>
  <c r="E64" i="5"/>
  <c r="D63" i="5"/>
  <c r="J23" i="7"/>
  <c r="K18" i="7"/>
  <c r="E45" i="5"/>
  <c r="D43" i="5"/>
  <c r="E44" i="5"/>
  <c r="J18" i="7"/>
  <c r="G13" i="7"/>
  <c r="J24" i="7"/>
  <c r="E68" i="5"/>
  <c r="D67" i="5"/>
  <c r="J11" i="7"/>
  <c r="D12" i="5"/>
  <c r="E13" i="5"/>
  <c r="E10" i="5"/>
  <c r="K10" i="7"/>
  <c r="D87" i="5"/>
  <c r="K15" i="7"/>
  <c r="E31" i="5"/>
  <c r="D79" i="5"/>
  <c r="J27" i="7"/>
  <c r="E80" i="5"/>
  <c r="J25" i="7"/>
  <c r="D71" i="5"/>
  <c r="E72" i="5"/>
  <c r="E35" i="5"/>
  <c r="J16" i="7"/>
  <c r="D34" i="5"/>
  <c r="D16" i="5"/>
  <c r="J12" i="7"/>
  <c r="E17" i="5"/>
  <c r="D55" i="5"/>
  <c r="E56" i="5"/>
  <c r="J21" i="7"/>
  <c r="L21" i="7" s="1"/>
  <c r="E22" i="5"/>
  <c r="K13" i="7"/>
  <c r="G20" i="7"/>
  <c r="D24" i="8" l="1"/>
  <c r="L25" i="7"/>
  <c r="L27" i="7"/>
  <c r="L18" i="7"/>
  <c r="L17" i="7"/>
  <c r="L20" i="7"/>
  <c r="L15" i="7"/>
  <c r="L24" i="7"/>
  <c r="L23" i="7"/>
  <c r="L19" i="7"/>
  <c r="L11" i="7"/>
  <c r="L16" i="7"/>
  <c r="L14" i="7"/>
  <c r="L12" i="7"/>
  <c r="K28" i="7"/>
  <c r="L13" i="7"/>
  <c r="H26" i="7"/>
  <c r="H17" i="7"/>
  <c r="I15" i="7"/>
  <c r="D22" i="8"/>
  <c r="E34" i="5"/>
  <c r="O16" i="7"/>
  <c r="F35" i="5"/>
  <c r="E79" i="5"/>
  <c r="O27" i="7"/>
  <c r="F80" i="5"/>
  <c r="O11" i="7"/>
  <c r="E12" i="5"/>
  <c r="F13" i="5"/>
  <c r="O24" i="7"/>
  <c r="F68" i="5"/>
  <c r="E67" i="5"/>
  <c r="O18" i="7"/>
  <c r="F44" i="5"/>
  <c r="E43" i="5"/>
  <c r="H16" i="7"/>
  <c r="F41" i="5"/>
  <c r="P17" i="7"/>
  <c r="F53" i="5"/>
  <c r="P20" i="7"/>
  <c r="F40" i="5"/>
  <c r="E39" i="5"/>
  <c r="O17" i="7"/>
  <c r="P12" i="7"/>
  <c r="F18" i="5"/>
  <c r="D21" i="8"/>
  <c r="H21" i="7"/>
  <c r="D20" i="8"/>
  <c r="O15" i="7"/>
  <c r="E29" i="5"/>
  <c r="F30" i="5"/>
  <c r="O13" i="7"/>
  <c r="E20" i="5"/>
  <c r="F21" i="5"/>
  <c r="F25" i="5"/>
  <c r="O14" i="7"/>
  <c r="E24" i="5"/>
  <c r="I25" i="7"/>
  <c r="F22" i="5"/>
  <c r="P13" i="7"/>
  <c r="D13" i="8"/>
  <c r="O25" i="7"/>
  <c r="F72" i="5"/>
  <c r="E71" i="5"/>
  <c r="D12" i="8"/>
  <c r="O22" i="7"/>
  <c r="F60" i="5"/>
  <c r="E59" i="5"/>
  <c r="F76" i="5"/>
  <c r="E75" i="5"/>
  <c r="O26" i="7"/>
  <c r="D18" i="8"/>
  <c r="F52" i="5"/>
  <c r="E51" i="5"/>
  <c r="O20" i="7"/>
  <c r="J28" i="7"/>
  <c r="L10" i="7"/>
  <c r="O10" i="7"/>
  <c r="E85" i="5"/>
  <c r="E86" i="5"/>
  <c r="E8" i="5"/>
  <c r="F9" i="5"/>
  <c r="P21" i="7"/>
  <c r="F57" i="5"/>
  <c r="D15" i="8"/>
  <c r="P27" i="7"/>
  <c r="F81" i="5"/>
  <c r="D19" i="8"/>
  <c r="D17" i="8"/>
  <c r="D26" i="8"/>
  <c r="D28" i="8"/>
  <c r="H25" i="7"/>
  <c r="F45" i="5"/>
  <c r="P18" i="7"/>
  <c r="E63" i="5"/>
  <c r="F64" i="5"/>
  <c r="O23" i="7"/>
  <c r="P24" i="7"/>
  <c r="F69" i="5"/>
  <c r="D23" i="8"/>
  <c r="F65" i="5"/>
  <c r="P23" i="7"/>
  <c r="P19" i="7"/>
  <c r="F49" i="5"/>
  <c r="H24" i="7"/>
  <c r="F61" i="5"/>
  <c r="P22" i="7"/>
  <c r="D16" i="8"/>
  <c r="D11" i="8"/>
  <c r="F14" i="5"/>
  <c r="P11" i="7"/>
  <c r="P26" i="7"/>
  <c r="F77" i="5"/>
  <c r="I12" i="7"/>
  <c r="O21" i="7"/>
  <c r="F56" i="5"/>
  <c r="E55" i="5"/>
  <c r="F17" i="5"/>
  <c r="E16" i="5"/>
  <c r="O12" i="7"/>
  <c r="P15" i="7"/>
  <c r="F31" i="5"/>
  <c r="E87" i="5"/>
  <c r="F10" i="5"/>
  <c r="P10" i="7"/>
  <c r="D25" i="8"/>
  <c r="F26" i="5"/>
  <c r="P14" i="7"/>
  <c r="D27" i="8"/>
  <c r="I26" i="7"/>
  <c r="I17" i="7"/>
  <c r="I23" i="7"/>
  <c r="I22" i="7"/>
  <c r="H10" i="7"/>
  <c r="G28" i="7"/>
  <c r="H14" i="7"/>
  <c r="H15" i="7"/>
  <c r="H27" i="7"/>
  <c r="I21" i="7"/>
  <c r="H22" i="7"/>
  <c r="I24" i="7"/>
  <c r="H12" i="7"/>
  <c r="H19" i="7"/>
  <c r="H20" i="7"/>
  <c r="I11" i="7"/>
  <c r="I27" i="7"/>
  <c r="H23" i="7"/>
  <c r="I13" i="7"/>
  <c r="I18" i="7"/>
  <c r="H11" i="7"/>
  <c r="H13" i="7"/>
  <c r="H18" i="7"/>
  <c r="I20" i="7"/>
  <c r="I10" i="7"/>
  <c r="I14" i="7"/>
  <c r="P16" i="7"/>
  <c r="F36" i="5"/>
  <c r="F48" i="5"/>
  <c r="O19" i="7"/>
  <c r="E47" i="5"/>
  <c r="D7" i="8"/>
  <c r="D84" i="5"/>
  <c r="D8" i="8"/>
  <c r="D14" i="8"/>
  <c r="L26" i="7"/>
  <c r="F73" i="5"/>
  <c r="P25" i="7"/>
  <c r="I16" i="7"/>
  <c r="I19" i="7"/>
  <c r="Q12" i="7" l="1"/>
  <c r="Q17" i="7"/>
  <c r="Q18" i="7"/>
  <c r="Q19" i="7"/>
  <c r="Q27" i="7"/>
  <c r="Q21" i="7"/>
  <c r="Q26" i="7"/>
  <c r="Q23" i="7"/>
  <c r="Q22" i="7"/>
  <c r="Q14" i="7"/>
  <c r="Q13" i="7"/>
  <c r="Q11" i="7"/>
  <c r="P28" i="7"/>
  <c r="Q25" i="7"/>
  <c r="Q24" i="7"/>
  <c r="Q16" i="7"/>
  <c r="N13" i="7"/>
  <c r="M12" i="7"/>
  <c r="N10" i="7"/>
  <c r="M18" i="7"/>
  <c r="N27" i="7"/>
  <c r="N16" i="7"/>
  <c r="U22" i="7"/>
  <c r="G61" i="5"/>
  <c r="U24" i="7"/>
  <c r="G69" i="5"/>
  <c r="E24" i="8"/>
  <c r="Q20" i="7"/>
  <c r="E23" i="8"/>
  <c r="F47" i="5"/>
  <c r="T19" i="7"/>
  <c r="G48" i="5"/>
  <c r="G31" i="5"/>
  <c r="U15" i="7"/>
  <c r="F16" i="5"/>
  <c r="T12" i="7"/>
  <c r="G17" i="5"/>
  <c r="E15" i="8"/>
  <c r="E14" i="8"/>
  <c r="Q15" i="7"/>
  <c r="E18" i="8"/>
  <c r="E25" i="8"/>
  <c r="E12" i="8"/>
  <c r="E28" i="8"/>
  <c r="I28" i="7"/>
  <c r="H28" i="7"/>
  <c r="E22" i="8"/>
  <c r="U23" i="7"/>
  <c r="G65" i="5"/>
  <c r="F85" i="5"/>
  <c r="F8" i="5"/>
  <c r="G9" i="5"/>
  <c r="T10" i="7"/>
  <c r="F86" i="5"/>
  <c r="O28" i="7"/>
  <c r="Q10" i="7"/>
  <c r="E21" i="8"/>
  <c r="T22" i="7"/>
  <c r="F59" i="5"/>
  <c r="G60" i="5"/>
  <c r="E26" i="8"/>
  <c r="U12" i="7"/>
  <c r="G18" i="5"/>
  <c r="F39" i="5"/>
  <c r="T17" i="7"/>
  <c r="G40" i="5"/>
  <c r="G41" i="5"/>
  <c r="U17" i="7"/>
  <c r="E19" i="8"/>
  <c r="T24" i="7"/>
  <c r="G68" i="5"/>
  <c r="F67" i="5"/>
  <c r="F34" i="5"/>
  <c r="T16" i="7"/>
  <c r="G35" i="5"/>
  <c r="E20" i="8"/>
  <c r="U16" i="7"/>
  <c r="G36" i="5"/>
  <c r="G26" i="5"/>
  <c r="U14" i="7"/>
  <c r="U10" i="7"/>
  <c r="G10" i="5"/>
  <c r="F87" i="5"/>
  <c r="G56" i="5"/>
  <c r="F55" i="5"/>
  <c r="T21" i="7"/>
  <c r="U11" i="7"/>
  <c r="G14" i="5"/>
  <c r="G49" i="5"/>
  <c r="U19" i="7"/>
  <c r="U18" i="7"/>
  <c r="G45" i="5"/>
  <c r="E11" i="8"/>
  <c r="N18" i="7"/>
  <c r="M19" i="7"/>
  <c r="M25" i="7"/>
  <c r="M27" i="7"/>
  <c r="N11" i="7"/>
  <c r="M23" i="7"/>
  <c r="N23" i="7"/>
  <c r="M14" i="7"/>
  <c r="M22" i="7"/>
  <c r="N19" i="7"/>
  <c r="N12" i="7"/>
  <c r="N20" i="7"/>
  <c r="M10" i="7"/>
  <c r="M15" i="7"/>
  <c r="M16" i="7"/>
  <c r="M20" i="7"/>
  <c r="L28" i="7"/>
  <c r="N17" i="7"/>
  <c r="M24" i="7"/>
  <c r="M13" i="7"/>
  <c r="N26" i="7"/>
  <c r="N24" i="7"/>
  <c r="M17" i="7"/>
  <c r="M26" i="7"/>
  <c r="N22" i="7"/>
  <c r="N21" i="7"/>
  <c r="N15" i="7"/>
  <c r="N25" i="7"/>
  <c r="M11" i="7"/>
  <c r="G52" i="5"/>
  <c r="F51" i="5"/>
  <c r="T20" i="7"/>
  <c r="E27" i="8"/>
  <c r="F71" i="5"/>
  <c r="T25" i="7"/>
  <c r="G72" i="5"/>
  <c r="G25" i="5"/>
  <c r="F24" i="5"/>
  <c r="T14" i="7"/>
  <c r="T15" i="7"/>
  <c r="F29" i="5"/>
  <c r="G30" i="5"/>
  <c r="F43" i="5"/>
  <c r="T18" i="7"/>
  <c r="G44" i="5"/>
  <c r="G80" i="5"/>
  <c r="T27" i="7"/>
  <c r="F79" i="5"/>
  <c r="M21" i="7"/>
  <c r="N14" i="7"/>
  <c r="U25" i="7"/>
  <c r="G73" i="5"/>
  <c r="E13" i="8"/>
  <c r="G77" i="5"/>
  <c r="U26" i="7"/>
  <c r="F63" i="5"/>
  <c r="G64" i="5"/>
  <c r="T23" i="7"/>
  <c r="G81" i="5"/>
  <c r="U27" i="7"/>
  <c r="U21" i="7"/>
  <c r="G57" i="5"/>
  <c r="E7" i="8"/>
  <c r="E8" i="8"/>
  <c r="E84" i="5"/>
  <c r="T26" i="7"/>
  <c r="G76" i="5"/>
  <c r="F75" i="5"/>
  <c r="U13" i="7"/>
  <c r="G22" i="5"/>
  <c r="T13" i="7"/>
  <c r="G21" i="5"/>
  <c r="F20" i="5"/>
  <c r="E16" i="8"/>
  <c r="U20" i="7"/>
  <c r="G53" i="5"/>
  <c r="F12" i="5"/>
  <c r="T11" i="7"/>
  <c r="G13" i="5"/>
  <c r="E17" i="8"/>
  <c r="V15" i="7" l="1"/>
  <c r="V17" i="7"/>
  <c r="V22" i="7"/>
  <c r="V24" i="7"/>
  <c r="F13" i="8"/>
  <c r="V18" i="7"/>
  <c r="R20" i="7"/>
  <c r="V27" i="7"/>
  <c r="V25" i="7"/>
  <c r="V11" i="7"/>
  <c r="V13" i="7"/>
  <c r="V20" i="7"/>
  <c r="V21" i="7"/>
  <c r="V12" i="7"/>
  <c r="V14" i="7"/>
  <c r="V26" i="7"/>
  <c r="V23" i="7"/>
  <c r="U28" i="7"/>
  <c r="V16" i="7"/>
  <c r="V19" i="7"/>
  <c r="M28" i="7"/>
  <c r="F17" i="8"/>
  <c r="N28" i="7"/>
  <c r="E30" i="7"/>
  <c r="C15" i="4" s="1"/>
  <c r="R15" i="7"/>
  <c r="F23" i="8"/>
  <c r="S22" i="7"/>
  <c r="H21" i="5"/>
  <c r="Y13" i="7"/>
  <c r="G20" i="5"/>
  <c r="F24" i="8"/>
  <c r="F19" i="8"/>
  <c r="Z14" i="7"/>
  <c r="H26" i="5"/>
  <c r="Y24" i="7"/>
  <c r="H68" i="5"/>
  <c r="G67" i="5"/>
  <c r="F8" i="8"/>
  <c r="F84" i="5"/>
  <c r="F7" i="8"/>
  <c r="Z22" i="7"/>
  <c r="H61" i="5"/>
  <c r="Y15" i="7"/>
  <c r="G29" i="5"/>
  <c r="H30" i="5"/>
  <c r="F26" i="8"/>
  <c r="H36" i="5"/>
  <c r="Z16" i="7"/>
  <c r="Z17" i="7"/>
  <c r="H41" i="5"/>
  <c r="H18" i="5"/>
  <c r="Z12" i="7"/>
  <c r="H60" i="5"/>
  <c r="G59" i="5"/>
  <c r="Y22" i="7"/>
  <c r="T28" i="7"/>
  <c r="V10" i="7"/>
  <c r="H65" i="5"/>
  <c r="Z23" i="7"/>
  <c r="Y12" i="7"/>
  <c r="AA12" i="7" s="1"/>
  <c r="H17" i="5"/>
  <c r="G16" i="5"/>
  <c r="H31" i="5"/>
  <c r="Z15" i="7"/>
  <c r="H69" i="5"/>
  <c r="Z24" i="7"/>
  <c r="F12" i="8"/>
  <c r="Z13" i="7"/>
  <c r="H22" i="5"/>
  <c r="H57" i="5"/>
  <c r="Z21" i="7"/>
  <c r="G43" i="5"/>
  <c r="H44" i="5"/>
  <c r="Y18" i="7"/>
  <c r="F16" i="8"/>
  <c r="H25" i="5"/>
  <c r="G24" i="5"/>
  <c r="Y14" i="7"/>
  <c r="F21" i="8"/>
  <c r="H49" i="5"/>
  <c r="Z19" i="7"/>
  <c r="F22" i="8"/>
  <c r="G39" i="5"/>
  <c r="Y17" i="7"/>
  <c r="H40" i="5"/>
  <c r="R26" i="7"/>
  <c r="S20" i="7"/>
  <c r="R21" i="7"/>
  <c r="S18" i="7"/>
  <c r="R16" i="7"/>
  <c r="Q28" i="7"/>
  <c r="R24" i="7"/>
  <c r="S25" i="7"/>
  <c r="R23" i="7"/>
  <c r="R19" i="7"/>
  <c r="R13" i="7"/>
  <c r="R22" i="7"/>
  <c r="R17" i="7"/>
  <c r="S12" i="7"/>
  <c r="R25" i="7"/>
  <c r="R27" i="7"/>
  <c r="R12" i="7"/>
  <c r="S11" i="7"/>
  <c r="R18" i="7"/>
  <c r="R11" i="7"/>
  <c r="S21" i="7"/>
  <c r="S14" i="7"/>
  <c r="S13" i="7"/>
  <c r="R14" i="7"/>
  <c r="S24" i="7"/>
  <c r="S10" i="7"/>
  <c r="S19" i="7"/>
  <c r="S17" i="7"/>
  <c r="S15" i="7"/>
  <c r="R10" i="7"/>
  <c r="H9" i="5"/>
  <c r="G86" i="5"/>
  <c r="Y10" i="7"/>
  <c r="G8" i="5"/>
  <c r="G85" i="5"/>
  <c r="F20" i="8"/>
  <c r="S27" i="7"/>
  <c r="S26" i="7"/>
  <c r="Y11" i="7"/>
  <c r="G12" i="5"/>
  <c r="H13" i="5"/>
  <c r="F27" i="8"/>
  <c r="H77" i="5"/>
  <c r="Z26" i="7"/>
  <c r="G34" i="5"/>
  <c r="Y16" i="7"/>
  <c r="H35" i="5"/>
  <c r="H76" i="5"/>
  <c r="Y26" i="7"/>
  <c r="G75" i="5"/>
  <c r="Z27" i="7"/>
  <c r="H81" i="5"/>
  <c r="G79" i="5"/>
  <c r="Y27" i="7"/>
  <c r="H80" i="5"/>
  <c r="F15" i="8"/>
  <c r="Z10" i="7"/>
  <c r="H10" i="5"/>
  <c r="G87" i="5"/>
  <c r="Z20" i="7"/>
  <c r="H53" i="5"/>
  <c r="F14" i="8"/>
  <c r="Y23" i="7"/>
  <c r="G63" i="5"/>
  <c r="H64" i="5"/>
  <c r="H73" i="5"/>
  <c r="Z25" i="7"/>
  <c r="F28" i="8"/>
  <c r="G71" i="5"/>
  <c r="H72" i="5"/>
  <c r="Y25" i="7"/>
  <c r="Y20" i="7"/>
  <c r="G51" i="5"/>
  <c r="H52" i="5"/>
  <c r="Z18" i="7"/>
  <c r="H45" i="5"/>
  <c r="H14" i="5"/>
  <c r="Z11" i="7"/>
  <c r="H56" i="5"/>
  <c r="G55" i="5"/>
  <c r="Y21" i="7"/>
  <c r="F18" i="8"/>
  <c r="F25" i="8"/>
  <c r="F11" i="8"/>
  <c r="H48" i="5"/>
  <c r="G47" i="5"/>
  <c r="Y19" i="7"/>
  <c r="S23" i="7"/>
  <c r="S16" i="7"/>
  <c r="AA19" i="7" l="1"/>
  <c r="AA21" i="7"/>
  <c r="AA16" i="7"/>
  <c r="AA17" i="7"/>
  <c r="W25" i="7"/>
  <c r="W24" i="7"/>
  <c r="AA26" i="7"/>
  <c r="AA11" i="7"/>
  <c r="AA22" i="7"/>
  <c r="AA20" i="7"/>
  <c r="AA15" i="7"/>
  <c r="AA27" i="7"/>
  <c r="S28" i="7"/>
  <c r="AA24" i="7"/>
  <c r="AA13" i="7"/>
  <c r="AA25" i="7"/>
  <c r="AA14" i="7"/>
  <c r="X20" i="7"/>
  <c r="R28" i="7"/>
  <c r="AA23" i="7"/>
  <c r="Z28" i="7"/>
  <c r="AA18" i="7"/>
  <c r="G28" i="8"/>
  <c r="W16" i="7"/>
  <c r="G14" i="8"/>
  <c r="W20" i="7"/>
  <c r="X15" i="7"/>
  <c r="J30" i="7"/>
  <c r="D15" i="4" s="1"/>
  <c r="D16" i="4"/>
  <c r="AE18" i="7"/>
  <c r="I45" i="5"/>
  <c r="H63" i="5"/>
  <c r="I64" i="5"/>
  <c r="AD23" i="7"/>
  <c r="H51" i="5"/>
  <c r="I52" i="5"/>
  <c r="AD20" i="7"/>
  <c r="AD25" i="7"/>
  <c r="H71" i="5"/>
  <c r="I72" i="5"/>
  <c r="H87" i="5"/>
  <c r="I10" i="5"/>
  <c r="AE10" i="7"/>
  <c r="H79" i="5"/>
  <c r="I80" i="5"/>
  <c r="AD27" i="7"/>
  <c r="I35" i="5"/>
  <c r="AD16" i="7"/>
  <c r="H34" i="5"/>
  <c r="AE26" i="7"/>
  <c r="I77" i="5"/>
  <c r="I13" i="5"/>
  <c r="AD11" i="7"/>
  <c r="H12" i="5"/>
  <c r="Y28" i="7"/>
  <c r="AA10" i="7"/>
  <c r="I69" i="5"/>
  <c r="AE24" i="7"/>
  <c r="H16" i="5"/>
  <c r="AD12" i="7"/>
  <c r="I17" i="5"/>
  <c r="W15" i="7"/>
  <c r="W12" i="7"/>
  <c r="X21" i="7"/>
  <c r="X14" i="7"/>
  <c r="X13" i="7"/>
  <c r="W26" i="7"/>
  <c r="W18" i="7"/>
  <c r="V28" i="7"/>
  <c r="W10" i="7"/>
  <c r="X23" i="7"/>
  <c r="X12" i="7"/>
  <c r="X24" i="7"/>
  <c r="X11" i="7"/>
  <c r="X26" i="7"/>
  <c r="X10" i="7"/>
  <c r="W22" i="7"/>
  <c r="W17" i="7"/>
  <c r="X19" i="7"/>
  <c r="X16" i="7"/>
  <c r="W23" i="7"/>
  <c r="W21" i="7"/>
  <c r="W13" i="7"/>
  <c r="X27" i="7"/>
  <c r="X22" i="7"/>
  <c r="I60" i="5"/>
  <c r="H59" i="5"/>
  <c r="AD22" i="7"/>
  <c r="W19" i="7"/>
  <c r="X18" i="7"/>
  <c r="AE11" i="7"/>
  <c r="I14" i="5"/>
  <c r="G21" i="8"/>
  <c r="G26" i="8"/>
  <c r="I73" i="5"/>
  <c r="AE25" i="7"/>
  <c r="W11" i="7"/>
  <c r="G25" i="8"/>
  <c r="G27" i="8"/>
  <c r="G8" i="8"/>
  <c r="G7" i="8"/>
  <c r="G84" i="5"/>
  <c r="I40" i="5"/>
  <c r="AD17" i="7"/>
  <c r="H39" i="5"/>
  <c r="G15" i="8"/>
  <c r="I57" i="5"/>
  <c r="AE21" i="7"/>
  <c r="W14" i="7"/>
  <c r="I30" i="5"/>
  <c r="AD15" i="7"/>
  <c r="H29" i="5"/>
  <c r="AE22" i="7"/>
  <c r="I61" i="5"/>
  <c r="I26" i="5"/>
  <c r="AE14" i="7"/>
  <c r="H20" i="5"/>
  <c r="I21" i="5"/>
  <c r="AD13" i="7"/>
  <c r="X25" i="7"/>
  <c r="G20" i="8"/>
  <c r="G22" i="8"/>
  <c r="G17" i="8"/>
  <c r="I9" i="5"/>
  <c r="AD10" i="7"/>
  <c r="H86" i="5"/>
  <c r="H85" i="5"/>
  <c r="H8" i="5"/>
  <c r="I25" i="5"/>
  <c r="AD14" i="7"/>
  <c r="H24" i="5"/>
  <c r="H43" i="5"/>
  <c r="I44" i="5"/>
  <c r="AD18" i="7"/>
  <c r="I22" i="5"/>
  <c r="AE13" i="7"/>
  <c r="I31" i="5"/>
  <c r="AE15" i="7"/>
  <c r="AE12" i="7"/>
  <c r="I18" i="5"/>
  <c r="AE16" i="7"/>
  <c r="I36" i="5"/>
  <c r="H47" i="5"/>
  <c r="AD19" i="7"/>
  <c r="I48" i="5"/>
  <c r="H55" i="5"/>
  <c r="I56" i="5"/>
  <c r="AD21" i="7"/>
  <c r="G24" i="8"/>
  <c r="AE20" i="7"/>
  <c r="I53" i="5"/>
  <c r="G16" i="8"/>
  <c r="AE27" i="7"/>
  <c r="I81" i="5"/>
  <c r="H75" i="5"/>
  <c r="I76" i="5"/>
  <c r="AD26" i="7"/>
  <c r="G11" i="8"/>
  <c r="G18" i="8"/>
  <c r="AE19" i="7"/>
  <c r="I49" i="5"/>
  <c r="G19" i="8"/>
  <c r="W27" i="7"/>
  <c r="G13" i="8"/>
  <c r="AE23" i="7"/>
  <c r="I65" i="5"/>
  <c r="G23" i="8"/>
  <c r="I41" i="5"/>
  <c r="AE17" i="7"/>
  <c r="I68" i="5"/>
  <c r="H67" i="5"/>
  <c r="AD24" i="7"/>
  <c r="X17" i="7"/>
  <c r="G12" i="8"/>
  <c r="I43" i="5" l="1"/>
  <c r="H21" i="8"/>
  <c r="I29" i="5"/>
  <c r="O30" i="7"/>
  <c r="E15" i="4" s="1"/>
  <c r="F16" i="4" s="1"/>
  <c r="I19" i="8"/>
  <c r="I75" i="5"/>
  <c r="I47" i="5"/>
  <c r="H28" i="8"/>
  <c r="AF25" i="7"/>
  <c r="I39" i="5"/>
  <c r="I16" i="5"/>
  <c r="I79" i="5"/>
  <c r="AF20" i="7"/>
  <c r="I67" i="5"/>
  <c r="AF21" i="7"/>
  <c r="AF19" i="7"/>
  <c r="AF14" i="7"/>
  <c r="AF27" i="7"/>
  <c r="AF23" i="7"/>
  <c r="I59" i="5"/>
  <c r="W28" i="7"/>
  <c r="AF18" i="7"/>
  <c r="AF11" i="7"/>
  <c r="I55" i="5"/>
  <c r="AF22" i="7"/>
  <c r="X28" i="7"/>
  <c r="AF12" i="7"/>
  <c r="AC14" i="7"/>
  <c r="I12" i="5"/>
  <c r="AF16" i="7"/>
  <c r="I71" i="5"/>
  <c r="I51" i="5"/>
  <c r="I20" i="5"/>
  <c r="AF24" i="7"/>
  <c r="AF26" i="7"/>
  <c r="AF13" i="7"/>
  <c r="AF15" i="7"/>
  <c r="AF17" i="7"/>
  <c r="H12" i="8"/>
  <c r="I34" i="5"/>
  <c r="AE28" i="7"/>
  <c r="AB22" i="7"/>
  <c r="E16" i="4"/>
  <c r="AC20" i="7"/>
  <c r="AB23" i="7"/>
  <c r="AB13" i="7"/>
  <c r="D9" i="10"/>
  <c r="AC27" i="7"/>
  <c r="I8" i="5"/>
  <c r="I85" i="5"/>
  <c r="I86" i="5"/>
  <c r="H22" i="8"/>
  <c r="H27" i="8"/>
  <c r="H11" i="8"/>
  <c r="H84" i="5"/>
  <c r="H8" i="8"/>
  <c r="H7" i="8"/>
  <c r="H14" i="8"/>
  <c r="H23" i="8"/>
  <c r="H13" i="8"/>
  <c r="H26" i="8"/>
  <c r="H24" i="8"/>
  <c r="H15" i="8"/>
  <c r="AB11" i="7"/>
  <c r="I24" i="5"/>
  <c r="AD28" i="7"/>
  <c r="AF10" i="7"/>
  <c r="H16" i="8"/>
  <c r="H18" i="8"/>
  <c r="I87" i="5"/>
  <c r="AB20" i="7"/>
  <c r="AC19" i="7"/>
  <c r="H25" i="8"/>
  <c r="H17" i="8"/>
  <c r="AC16" i="7"/>
  <c r="AC12" i="7"/>
  <c r="AC17" i="7"/>
  <c r="AC15" i="7"/>
  <c r="AC23" i="7"/>
  <c r="AC18" i="7"/>
  <c r="AB26" i="7"/>
  <c r="AB10" i="7"/>
  <c r="AB18" i="7"/>
  <c r="AB15" i="7"/>
  <c r="AB27" i="7"/>
  <c r="AB12" i="7"/>
  <c r="AC24" i="7"/>
  <c r="AB21" i="7"/>
  <c r="AB14" i="7"/>
  <c r="AB19" i="7"/>
  <c r="AB24" i="7"/>
  <c r="AC26" i="7"/>
  <c r="AC25" i="7"/>
  <c r="AA28" i="7"/>
  <c r="AB25" i="7"/>
  <c r="AC22" i="7"/>
  <c r="AB16" i="7"/>
  <c r="AC13" i="7"/>
  <c r="AB17" i="7"/>
  <c r="AC21" i="7"/>
  <c r="AC10" i="7"/>
  <c r="I63" i="5"/>
  <c r="H19" i="8"/>
  <c r="H20" i="8"/>
  <c r="AC11" i="7"/>
  <c r="I16" i="8" l="1"/>
  <c r="I21" i="8"/>
  <c r="I26" i="8"/>
  <c r="I17" i="8"/>
  <c r="I20" i="8"/>
  <c r="I27" i="8"/>
  <c r="I18" i="8"/>
  <c r="I25" i="8"/>
  <c r="AG26" i="7"/>
  <c r="I28" i="8"/>
  <c r="I13" i="8"/>
  <c r="AC28" i="7"/>
  <c r="I12" i="8"/>
  <c r="AG15" i="7"/>
  <c r="T30" i="7"/>
  <c r="F15" i="4" s="1"/>
  <c r="I22" i="8"/>
  <c r="I23" i="8"/>
  <c r="AB28" i="7"/>
  <c r="AH23" i="7"/>
  <c r="AG24" i="7"/>
  <c r="I14" i="8"/>
  <c r="AG23" i="7"/>
  <c r="AH13" i="7"/>
  <c r="AG11" i="7"/>
  <c r="I24" i="8"/>
  <c r="I15" i="8"/>
  <c r="AG18" i="7"/>
  <c r="AH27" i="7"/>
  <c r="D15" i="10"/>
  <c r="AG17" i="7"/>
  <c r="AG19" i="7"/>
  <c r="I8" i="8"/>
  <c r="I84" i="5"/>
  <c r="I7" i="8"/>
  <c r="AG27" i="7"/>
  <c r="AF28" i="7"/>
  <c r="AH22" i="7"/>
  <c r="AH19" i="7"/>
  <c r="AH16" i="7"/>
  <c r="AH10" i="7"/>
  <c r="AG20" i="7"/>
  <c r="AH26" i="7"/>
  <c r="AH18" i="7"/>
  <c r="AH17" i="7"/>
  <c r="AH14" i="7"/>
  <c r="AG12" i="7"/>
  <c r="AH11" i="7"/>
  <c r="AH21" i="7"/>
  <c r="AG21" i="7"/>
  <c r="AH24" i="7"/>
  <c r="AG16" i="7"/>
  <c r="AG25" i="7"/>
  <c r="AH25" i="7"/>
  <c r="AG10" i="7"/>
  <c r="AH15" i="7"/>
  <c r="AG22" i="7"/>
  <c r="AH20" i="7"/>
  <c r="AG14" i="7"/>
  <c r="AG13" i="7"/>
  <c r="I11" i="8"/>
  <c r="AH12" i="7"/>
  <c r="Y30" i="7" l="1"/>
  <c r="G15" i="4" s="1"/>
  <c r="AH28" i="7"/>
  <c r="G16" i="4"/>
  <c r="AG28" i="7"/>
  <c r="D89" i="5"/>
  <c r="E7" i="10"/>
  <c r="AD30" i="7" l="1"/>
  <c r="H15" i="4" s="1"/>
  <c r="H16" i="4"/>
  <c r="E11" i="10"/>
  <c r="E9" i="10"/>
  <c r="E10" i="10"/>
  <c r="E8" i="10"/>
  <c r="I16" i="4" l="1"/>
  <c r="E15" i="10"/>
  <c r="F7" i="10" l="1"/>
  <c r="F10" i="10" s="1"/>
  <c r="E89" i="5"/>
  <c r="F8" i="10" l="1"/>
  <c r="F9" i="10"/>
  <c r="F11" i="10"/>
  <c r="F15" i="10" l="1"/>
  <c r="G7" i="10" l="1"/>
  <c r="F89" i="5"/>
  <c r="G11" i="10" l="1"/>
  <c r="G10" i="10"/>
  <c r="G8" i="10"/>
  <c r="G9" i="10"/>
  <c r="G15" i="10" l="1"/>
  <c r="G89" i="5" s="1"/>
  <c r="H7" i="10" l="1"/>
  <c r="H10" i="10" s="1"/>
  <c r="H11" i="10" l="1"/>
  <c r="H9" i="10"/>
  <c r="H8" i="10"/>
  <c r="H15" i="10" l="1"/>
  <c r="H89" i="5" s="1"/>
  <c r="I7" i="10" l="1"/>
  <c r="I11" i="10" s="1"/>
  <c r="I10" i="10"/>
  <c r="I8" i="10"/>
  <c r="I9" i="10"/>
  <c r="J11" i="10"/>
  <c r="J10" i="10" l="1"/>
  <c r="J8" i="10"/>
  <c r="I15" i="10"/>
  <c r="J9" i="10"/>
  <c r="J15" i="10" l="1"/>
  <c r="I89" i="5"/>
</calcChain>
</file>

<file path=xl/sharedStrings.xml><?xml version="1.0" encoding="utf-8"?>
<sst xmlns="http://schemas.openxmlformats.org/spreadsheetml/2006/main" count="478" uniqueCount="170">
  <si>
    <t>$m nominal</t>
  </si>
  <si>
    <t>Maintenance - Lines and Cable</t>
  </si>
  <si>
    <t>Maintenance - Substations</t>
  </si>
  <si>
    <t>Maintenance - Communications</t>
  </si>
  <si>
    <t>Maintenance - Secondary Systems</t>
  </si>
  <si>
    <t>Maintenance - Land and Easements</t>
  </si>
  <si>
    <t>Maintenance Support and Asset Management</t>
  </si>
  <si>
    <t>Operations / Control Room</t>
  </si>
  <si>
    <t>Grid Planning</t>
  </si>
  <si>
    <t>Insurance</t>
  </si>
  <si>
    <t>Rates &amp; Taxes</t>
  </si>
  <si>
    <t xml:space="preserve">Property Management </t>
  </si>
  <si>
    <t>Environmental</t>
  </si>
  <si>
    <t>Corporate Governance</t>
  </si>
  <si>
    <t>Customer Relations</t>
  </si>
  <si>
    <t>Regulatory</t>
  </si>
  <si>
    <t>Finance</t>
  </si>
  <si>
    <t>Information Technology</t>
  </si>
  <si>
    <t>HR &amp; Payroll</t>
  </si>
  <si>
    <t>Totals</t>
  </si>
  <si>
    <t>$m June 18</t>
  </si>
  <si>
    <t>ABS CPI June Quarter Index</t>
  </si>
  <si>
    <t>Actual</t>
  </si>
  <si>
    <t>Forecast</t>
  </si>
  <si>
    <t>CPI</t>
  </si>
  <si>
    <t>Network growth forecast</t>
  </si>
  <si>
    <t>Internal labour composition</t>
  </si>
  <si>
    <t>Labour</t>
  </si>
  <si>
    <t>Non-labour</t>
  </si>
  <si>
    <t xml:space="preserve">Labour </t>
  </si>
  <si>
    <t xml:space="preserve">Non-labour </t>
  </si>
  <si>
    <t>Total</t>
  </si>
  <si>
    <t>Expenditure category</t>
  </si>
  <si>
    <t>2017-18</t>
  </si>
  <si>
    <t>Industry productivity forecast</t>
  </si>
  <si>
    <t>Price forecasts</t>
  </si>
  <si>
    <t>RIT-T rule changes</t>
  </si>
  <si>
    <t>2018-19</t>
  </si>
  <si>
    <t>2019-20</t>
  </si>
  <si>
    <t>Other adjustments</t>
  </si>
  <si>
    <t>2020-21</t>
  </si>
  <si>
    <t>2021-22</t>
  </si>
  <si>
    <t>2022-23</t>
  </si>
  <si>
    <t>Regulatory year:</t>
  </si>
  <si>
    <t xml:space="preserve">Category forecasts </t>
  </si>
  <si>
    <t>Category</t>
  </si>
  <si>
    <t>Estimated percentage of prescribed opex attributable to internal labour</t>
  </si>
  <si>
    <t>N/a</t>
  </si>
  <si>
    <t>RAB priced in $m June 18</t>
  </si>
  <si>
    <t>Debt raising costs</t>
  </si>
  <si>
    <t>% of prescribed opex as internal labour</t>
  </si>
  <si>
    <t>Internal labour opex</t>
  </si>
  <si>
    <t>$ conversion factors</t>
  </si>
  <si>
    <t>Total prescribed operating expenditure</t>
  </si>
  <si>
    <t>Price changes</t>
  </si>
  <si>
    <t>Industry productivity adjustment</t>
  </si>
  <si>
    <t>Final phase of TransGrid transformation programme in 2017-18</t>
  </si>
  <si>
    <t>Forecast components</t>
  </si>
  <si>
    <t>Step changes</t>
  </si>
  <si>
    <t>Network changes</t>
  </si>
  <si>
    <t>RCP1 Forecast</t>
  </si>
  <si>
    <t>RCP2 Forecast</t>
  </si>
  <si>
    <t>2016-17</t>
  </si>
  <si>
    <t xml:space="preserve"> RCP2 Totals</t>
  </si>
  <si>
    <t>Same for all years</t>
  </si>
  <si>
    <t>Effective Economy of Scale :</t>
  </si>
  <si>
    <t>Targeted  prescribed opex</t>
  </si>
  <si>
    <t>Proposed base year: 2016-17</t>
  </si>
  <si>
    <t>Unweighted Economy of Scale, %</t>
  </si>
  <si>
    <t>Weighted Economy of Scale, %</t>
  </si>
  <si>
    <t xml:space="preserve">Total </t>
  </si>
  <si>
    <t>Individual step changes</t>
  </si>
  <si>
    <t>Base or previous year's prescribed operating expenditure, excluding step changes</t>
  </si>
  <si>
    <t xml:space="preserve">Internal labour   </t>
  </si>
  <si>
    <t xml:space="preserve">Source of input data: </t>
  </si>
  <si>
    <t>Effective economy of scale</t>
  </si>
  <si>
    <t>Annual % efficiency improvement in 2017/18</t>
  </si>
  <si>
    <t>Summary of supporting forecasts</t>
  </si>
  <si>
    <t>Details about the proposed base-year</t>
  </si>
  <si>
    <t>CPI Index</t>
  </si>
  <si>
    <t>Summary of prescribed opex forecast</t>
  </si>
  <si>
    <t>Step Changes</t>
  </si>
  <si>
    <t>Economies of scale</t>
  </si>
  <si>
    <t>Property Management</t>
  </si>
  <si>
    <t>Estimated labour composition</t>
  </si>
  <si>
    <t>Category Estimates</t>
  </si>
  <si>
    <t>Version release</t>
  </si>
  <si>
    <t>1a</t>
  </si>
  <si>
    <t>Date</t>
  </si>
  <si>
    <t>Change Control Summary</t>
  </si>
  <si>
    <t>Total IT and communications</t>
  </si>
  <si>
    <t>Car</t>
  </si>
  <si>
    <t>Light commercial vehicle</t>
  </si>
  <si>
    <t xml:space="preserve">Elevated work platform (LCV)  </t>
  </si>
  <si>
    <t>Elevated work platform (HCV)</t>
  </si>
  <si>
    <t>Heavy commercial vehicle</t>
  </si>
  <si>
    <t>Total buildings and property expenditure</t>
  </si>
  <si>
    <t>CAR</t>
  </si>
  <si>
    <t xml:space="preserve">Average kilometres travelled </t>
  </si>
  <si>
    <t>0's</t>
  </si>
  <si>
    <t>Number purchased</t>
  </si>
  <si>
    <t>Number leased</t>
  </si>
  <si>
    <t>Number in fleet</t>
  </si>
  <si>
    <t>Proportion of total fleet expenditure allocated as regulatory expenditure</t>
  </si>
  <si>
    <t>%</t>
  </si>
  <si>
    <t>LIGHT COMMERCIAL VEHICLE</t>
  </si>
  <si>
    <t xml:space="preserve">ELEVATED WORK PLATFORM (LCV) </t>
  </si>
  <si>
    <t>ELEVATED WORK PLATFORM (HCV)</t>
  </si>
  <si>
    <t xml:space="preserve">HEAVY COMMERCIAL VEHICLE </t>
  </si>
  <si>
    <t>MAINTENANCE SUPPORT</t>
  </si>
  <si>
    <t>ASSET MANAGEMENT SUPPORT</t>
  </si>
  <si>
    <t>CORPORATE OVERHEADS</t>
  </si>
  <si>
    <t>Release One</t>
  </si>
  <si>
    <t>Step change</t>
  </si>
  <si>
    <t>Change author</t>
  </si>
  <si>
    <t>Checker</t>
  </si>
  <si>
    <r>
      <t>Opex,</t>
    </r>
    <r>
      <rPr>
        <i/>
        <sz val="11"/>
        <color theme="0"/>
        <rFont val="Calibri"/>
        <family val="2"/>
        <scheme val="minor"/>
      </rPr>
      <t xml:space="preserve"> $m June 18</t>
    </r>
  </si>
  <si>
    <t>Total (exc. step change)</t>
  </si>
  <si>
    <t>Metric</t>
  </si>
  <si>
    <t>Unit</t>
  </si>
  <si>
    <t>Total (exc. Step Changes)</t>
  </si>
  <si>
    <t xml:space="preserve">Annual descriptor metrics </t>
  </si>
  <si>
    <t>Special category</t>
  </si>
  <si>
    <t>Base year estimated</t>
  </si>
  <si>
    <t>Total Overhead Expenditure - Prescribed Services</t>
  </si>
  <si>
    <t>Expenditure categories currently reported under annual Information Guidelines</t>
  </si>
  <si>
    <t>Maintenance Support</t>
  </si>
  <si>
    <t>Total Overhead Expenditure - Negotiated Services</t>
  </si>
  <si>
    <t>Total Overhead Expenditure - Unregulated Services</t>
  </si>
  <si>
    <t xml:space="preserve"> NETWORK MONITORING &amp; CONTROL</t>
  </si>
  <si>
    <t>Operations</t>
  </si>
  <si>
    <t>Asset Management</t>
  </si>
  <si>
    <t>Network Support</t>
  </si>
  <si>
    <t>Expected opex in base year</t>
  </si>
  <si>
    <t>$ Nominal</t>
  </si>
  <si>
    <t>Rates, Taxes &amp; Charges</t>
  </si>
  <si>
    <t>Information technology</t>
  </si>
  <si>
    <t>Self Insurance</t>
  </si>
  <si>
    <t>Network Overheads</t>
  </si>
  <si>
    <t>Corporate Overheads</t>
  </si>
  <si>
    <t xml:space="preserve"> Overheads</t>
  </si>
  <si>
    <t>-</t>
  </si>
  <si>
    <t>Special category opex estimated in base year</t>
  </si>
  <si>
    <t>Other expenditure (TNSP nominated)</t>
  </si>
  <si>
    <t xml:space="preserve">Economies of Scale </t>
  </si>
  <si>
    <t>$m nominal 2016/17</t>
  </si>
  <si>
    <r>
      <t xml:space="preserve">Conversion factor from </t>
    </r>
    <r>
      <rPr>
        <i/>
        <sz val="11"/>
        <color theme="1"/>
        <rFont val="Calibri"/>
        <family val="2"/>
        <scheme val="minor"/>
      </rPr>
      <t>$ nominal 2016/17</t>
    </r>
    <r>
      <rPr>
        <sz val="11"/>
        <color theme="1"/>
        <rFont val="Calibri"/>
        <family val="2"/>
        <scheme val="minor"/>
      </rPr>
      <t xml:space="preserve"> to</t>
    </r>
    <r>
      <rPr>
        <i/>
        <sz val="11"/>
        <color theme="1"/>
        <rFont val="Calibri"/>
        <family val="2"/>
        <scheme val="minor"/>
      </rPr>
      <t xml:space="preserve"> $ June 18</t>
    </r>
  </si>
  <si>
    <t>EGWWS - WPI (nominal)</t>
  </si>
  <si>
    <t>EGWWS - WPI (real)</t>
  </si>
  <si>
    <t>Hazard trees</t>
  </si>
  <si>
    <t>$ June 18</t>
  </si>
  <si>
    <t>Adjustment for movement in provisions</t>
  </si>
  <si>
    <t>Capitalised overheads</t>
  </si>
  <si>
    <t>Network</t>
  </si>
  <si>
    <t>Corporate</t>
  </si>
  <si>
    <t>Replacement cost of network (end of year)</t>
  </si>
  <si>
    <t>Annual % change in opex requirement</t>
  </si>
  <si>
    <r>
      <t xml:space="preserve">Cells C6-L6: Australian Bureau of Statistics: </t>
    </r>
    <r>
      <rPr>
        <i/>
        <sz val="11"/>
        <color theme="1"/>
        <rFont val="Calibri"/>
        <family val="2"/>
        <scheme val="minor"/>
      </rPr>
      <t>CPI, Weighted Average of Eight Capital Cities, All Groups,  Series ID A2325846C</t>
    </r>
    <r>
      <rPr>
        <sz val="11"/>
        <color theme="1"/>
        <rFont val="Calibri"/>
        <family val="2"/>
        <scheme val="minor"/>
      </rPr>
      <t xml:space="preserve"> {Retrieved 17 October 2016}.</t>
    </r>
  </si>
  <si>
    <t>Commissioned augex</t>
  </si>
  <si>
    <t>Commissioned augex as a % of network</t>
  </si>
  <si>
    <t>Annual % change in industry productivity</t>
  </si>
  <si>
    <t>TransGrid</t>
  </si>
  <si>
    <t>Not applicable</t>
  </si>
  <si>
    <t>TransGrid, 31 January 2017.</t>
  </si>
  <si>
    <r>
      <t xml:space="preserve">C8-I8: BIS Shrapnel: </t>
    </r>
    <r>
      <rPr>
        <i/>
        <sz val="11"/>
        <color theme="1"/>
        <rFont val="Calibri"/>
        <family val="2"/>
        <scheme val="minor"/>
      </rPr>
      <t>Report on expected wage changes to 2022/23</t>
    </r>
    <r>
      <rPr>
        <sz val="11"/>
        <color theme="1"/>
        <rFont val="Calibri"/>
        <family val="2"/>
        <scheme val="minor"/>
      </rPr>
      <t>, November 2016.</t>
    </r>
  </si>
  <si>
    <t>TransGrid efficiency savings in 2017/18</t>
  </si>
  <si>
    <t>Cells C8-C12: TransGrid, 31 January 2017.</t>
  </si>
  <si>
    <t>Cells C10-D28: TransGrid, 31 January 2017.</t>
  </si>
  <si>
    <t>All other inputs: TransGrid, 31 January 2017.</t>
  </si>
  <si>
    <t>Off Easement Risk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</si>
</sst>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0.0"/>
    <numFmt numFmtId="165" formatCode="0.0%"/>
    <numFmt numFmtId="166" formatCode="&quot;$&quot;#,##0.0"/>
    <numFmt numFmtId="167" formatCode="0.00000000"/>
    <numFmt numFmtId="168" formatCode="&quot;$&quot;#,##0.00"/>
    <numFmt numFmtId="169" formatCode="&quot;$&quot;#,##0.0000000000"/>
    <numFmt numFmtId="170" formatCode="_(&quot;$&quot;* #,##0.00_);_(&quot;$&quot;* \(#,##0.00\);_(&quot;$&quot;* &quot;-&quot;??_);_(@_)"/>
    <numFmt numFmtId="171" formatCode="&quot;$&quot;#,##0.000"/>
    <numFmt numFmtId="172" formatCode="&quot;$&quot;#,##0.0000000"/>
    <numFmt numFmtId="173" formatCode="&quot;$&quot;#,##0.000000000"/>
    <numFmt numFmtId="174" formatCode="0.00000000%"/>
  </numFmts>
  <fonts count="3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 Narrow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sz val="11"/>
      <name val="Arial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theme="4" tint="-0.24994659260841701"/>
        <bgColor theme="4" tint="0.399945066682943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hair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double">
        <color theme="0"/>
      </top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 style="dotted">
        <color theme="0"/>
      </left>
      <right/>
      <top/>
      <bottom/>
      <diagonal/>
    </border>
    <border>
      <left/>
      <right/>
      <top/>
      <bottom style="double">
        <color theme="0"/>
      </bottom>
      <diagonal/>
    </border>
    <border>
      <left style="thin">
        <color theme="0"/>
      </left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hair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theme="0"/>
      </left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70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Fill="0"/>
    <xf numFmtId="0" fontId="13" fillId="0" borderId="0"/>
    <xf numFmtId="0" fontId="15" fillId="11" borderId="0">
      <alignment vertical="center"/>
      <protection locked="0"/>
    </xf>
    <xf numFmtId="0" fontId="13" fillId="0" borderId="0" applyFill="0"/>
    <xf numFmtId="170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" fillId="11" borderId="0">
      <alignment vertical="center"/>
      <protection locked="0"/>
    </xf>
    <xf numFmtId="0" fontId="14" fillId="10" borderId="0">
      <alignment horizontal="left" vertical="center"/>
      <protection locked="0"/>
    </xf>
    <xf numFmtId="43" fontId="13" fillId="0" borderId="0" applyFont="0" applyFill="0" applyBorder="0" applyAlignment="0" applyProtection="0"/>
    <xf numFmtId="0" fontId="13" fillId="0" borderId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30" borderId="0" applyNumberFormat="0" applyBorder="0" applyAlignment="0" applyProtection="0"/>
    <xf numFmtId="0" fontId="23" fillId="14" borderId="0" applyNumberFormat="0" applyBorder="0" applyAlignment="0" applyProtection="0"/>
    <xf numFmtId="0" fontId="24" fillId="31" borderId="24" applyNumberFormat="0" applyAlignment="0" applyProtection="0"/>
    <xf numFmtId="0" fontId="25" fillId="32" borderId="25" applyNumberFormat="0" applyAlignment="0" applyProtection="0"/>
    <xf numFmtId="0" fontId="26" fillId="0" borderId="0" applyNumberFormat="0" applyFill="0" applyBorder="0" applyAlignment="0" applyProtection="0"/>
    <xf numFmtId="0" fontId="27" fillId="15" borderId="0" applyNumberFormat="0" applyBorder="0" applyAlignment="0" applyProtection="0"/>
    <xf numFmtId="0" fontId="28" fillId="0" borderId="26" applyNumberFormat="0" applyFill="0" applyAlignment="0" applyProtection="0"/>
    <xf numFmtId="0" fontId="29" fillId="0" borderId="27" applyNumberFormat="0" applyFill="0" applyAlignment="0" applyProtection="0"/>
    <xf numFmtId="0" fontId="30" fillId="0" borderId="28" applyNumberFormat="0" applyFill="0" applyAlignment="0" applyProtection="0"/>
    <xf numFmtId="0" fontId="30" fillId="0" borderId="0" applyNumberFormat="0" applyFill="0" applyBorder="0" applyAlignment="0" applyProtection="0"/>
    <xf numFmtId="0" fontId="31" fillId="18" borderId="24" applyNumberFormat="0" applyAlignment="0" applyProtection="0"/>
    <xf numFmtId="0" fontId="32" fillId="0" borderId="29" applyNumberFormat="0" applyFill="0" applyAlignment="0" applyProtection="0"/>
    <xf numFmtId="0" fontId="33" fillId="33" borderId="0" applyNumberFormat="0" applyBorder="0" applyAlignment="0" applyProtection="0"/>
    <xf numFmtId="0" fontId="34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3" fillId="0" borderId="0"/>
    <xf numFmtId="0" fontId="13" fillId="0" borderId="0"/>
    <xf numFmtId="0" fontId="34" fillId="0" borderId="0"/>
    <xf numFmtId="0" fontId="34" fillId="34" borderId="30" applyNumberFormat="0" applyFont="0" applyAlignment="0" applyProtection="0"/>
    <xf numFmtId="0" fontId="36" fillId="31" borderId="31" applyNumberFormat="0" applyAlignment="0" applyProtection="0"/>
    <xf numFmtId="0" fontId="37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38" fillId="0" borderId="0" applyNumberFormat="0" applyFill="0" applyBorder="0" applyAlignment="0" applyProtection="0"/>
    <xf numFmtId="0" fontId="30" fillId="0" borderId="33" applyNumberFormat="0" applyFill="0" applyAlignment="0" applyProtection="0"/>
  </cellStyleXfs>
  <cellXfs count="217">
    <xf numFmtId="0" fontId="0" fillId="0" borderId="0" xfId="0"/>
    <xf numFmtId="0" fontId="0" fillId="2" borderId="0" xfId="0" applyFill="1"/>
    <xf numFmtId="0" fontId="3" fillId="3" borderId="0" xfId="0" applyFont="1" applyFill="1"/>
    <xf numFmtId="0" fontId="3" fillId="3" borderId="0" xfId="0" applyFont="1" applyFill="1" applyBorder="1"/>
    <xf numFmtId="17" fontId="3" fillId="3" borderId="0" xfId="0" applyNumberFormat="1" applyFont="1" applyFill="1" applyBorder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5" fillId="2" borderId="0" xfId="0" applyFont="1" applyFill="1"/>
    <xf numFmtId="0" fontId="2" fillId="0" borderId="0" xfId="0" applyFont="1"/>
    <xf numFmtId="17" fontId="3" fillId="3" borderId="2" xfId="0" applyNumberFormat="1" applyFont="1" applyFill="1" applyBorder="1"/>
    <xf numFmtId="0" fontId="0" fillId="4" borderId="0" xfId="0" applyFill="1"/>
    <xf numFmtId="0" fontId="2" fillId="4" borderId="0" xfId="0" applyFont="1" applyFill="1"/>
    <xf numFmtId="9" fontId="0" fillId="4" borderId="2" xfId="0" applyNumberFormat="1" applyFill="1" applyBorder="1"/>
    <xf numFmtId="9" fontId="0" fillId="4" borderId="0" xfId="0" applyNumberFormat="1" applyFill="1" applyBorder="1"/>
    <xf numFmtId="0" fontId="0" fillId="4" borderId="0" xfId="0" applyFill="1" applyBorder="1"/>
    <xf numFmtId="0" fontId="0" fillId="4" borderId="2" xfId="0" applyFill="1" applyBorder="1"/>
    <xf numFmtId="0" fontId="1" fillId="3" borderId="0" xfId="0" applyFont="1" applyFill="1" applyAlignment="1">
      <alignment horizontal="left"/>
    </xf>
    <xf numFmtId="164" fontId="0" fillId="4" borderId="0" xfId="0" applyNumberFormat="1" applyFill="1"/>
    <xf numFmtId="0" fontId="0" fillId="4" borderId="0" xfId="0" applyFill="1" applyAlignment="1">
      <alignment horizontal="right"/>
    </xf>
    <xf numFmtId="0" fontId="0" fillId="4" borderId="0" xfId="0" applyFont="1" applyFill="1" applyAlignment="1">
      <alignment horizontal="right"/>
    </xf>
    <xf numFmtId="0" fontId="2" fillId="2" borderId="0" xfId="0" applyFont="1" applyFill="1" applyBorder="1" applyAlignment="1"/>
    <xf numFmtId="0" fontId="2" fillId="4" borderId="7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164" fontId="2" fillId="2" borderId="2" xfId="0" applyNumberFormat="1" applyFont="1" applyFill="1" applyBorder="1"/>
    <xf numFmtId="164" fontId="2" fillId="2" borderId="0" xfId="0" applyNumberFormat="1" applyFont="1" applyFill="1" applyBorder="1"/>
    <xf numFmtId="0" fontId="2" fillId="2" borderId="2" xfId="0" applyFont="1" applyFill="1" applyBorder="1"/>
    <xf numFmtId="0" fontId="5" fillId="2" borderId="0" xfId="0" applyFont="1" applyFill="1" applyBorder="1" applyAlignment="1"/>
    <xf numFmtId="0" fontId="0" fillId="4" borderId="0" xfId="0" applyFont="1" applyFill="1" applyAlignment="1">
      <alignment horizontal="left"/>
    </xf>
    <xf numFmtId="0" fontId="0" fillId="4" borderId="0" xfId="0" applyFont="1" applyFill="1"/>
    <xf numFmtId="0" fontId="2" fillId="2" borderId="0" xfId="0" applyFont="1" applyFill="1" applyAlignment="1"/>
    <xf numFmtId="164" fontId="0" fillId="5" borderId="0" xfId="0" applyNumberFormat="1" applyFill="1"/>
    <xf numFmtId="0" fontId="0" fillId="5" borderId="0" xfId="0" applyFill="1" applyBorder="1"/>
    <xf numFmtId="0" fontId="0" fillId="5" borderId="2" xfId="0" applyFill="1" applyBorder="1"/>
    <xf numFmtId="2" fontId="4" fillId="5" borderId="0" xfId="0" applyNumberFormat="1" applyFont="1" applyFill="1" applyBorder="1" applyAlignment="1"/>
    <xf numFmtId="0" fontId="0" fillId="5" borderId="0" xfId="0" applyFill="1"/>
    <xf numFmtId="164" fontId="0" fillId="5" borderId="2" xfId="0" applyNumberFormat="1" applyFill="1" applyBorder="1"/>
    <xf numFmtId="164" fontId="0" fillId="5" borderId="0" xfId="0" applyNumberFormat="1" applyFill="1" applyBorder="1"/>
    <xf numFmtId="0" fontId="0" fillId="3" borderId="0" xfId="0" applyFill="1" applyBorder="1"/>
    <xf numFmtId="166" fontId="0" fillId="4" borderId="0" xfId="0" applyNumberFormat="1" applyFill="1" applyBorder="1"/>
    <xf numFmtId="166" fontId="0" fillId="4" borderId="2" xfId="0" applyNumberFormat="1" applyFill="1" applyBorder="1"/>
    <xf numFmtId="166" fontId="2" fillId="4" borderId="8" xfId="0" applyNumberFormat="1" applyFont="1" applyFill="1" applyBorder="1"/>
    <xf numFmtId="166" fontId="2" fillId="4" borderId="7" xfId="0" applyNumberFormat="1" applyFont="1" applyFill="1" applyBorder="1"/>
    <xf numFmtId="166" fontId="6" fillId="4" borderId="2" xfId="0" applyNumberFormat="1" applyFont="1" applyFill="1" applyBorder="1"/>
    <xf numFmtId="166" fontId="6" fillId="4" borderId="0" xfId="0" applyNumberFormat="1" applyFont="1" applyFill="1" applyBorder="1"/>
    <xf numFmtId="166" fontId="0" fillId="4" borderId="9" xfId="0" applyNumberFormat="1" applyFill="1" applyBorder="1"/>
    <xf numFmtId="0" fontId="6" fillId="2" borderId="2" xfId="0" applyFont="1" applyFill="1" applyBorder="1" applyAlignment="1"/>
    <xf numFmtId="0" fontId="6" fillId="2" borderId="0" xfId="0" applyFont="1" applyFill="1" applyBorder="1" applyAlignment="1"/>
    <xf numFmtId="0" fontId="2" fillId="2" borderId="0" xfId="0" applyFont="1" applyFill="1" applyBorder="1"/>
    <xf numFmtId="166" fontId="0" fillId="4" borderId="2" xfId="0" applyNumberFormat="1" applyFont="1" applyFill="1" applyBorder="1"/>
    <xf numFmtId="166" fontId="0" fillId="4" borderId="0" xfId="0" applyNumberFormat="1" applyFont="1" applyFill="1" applyBorder="1"/>
    <xf numFmtId="0" fontId="2" fillId="2" borderId="10" xfId="0" applyFont="1" applyFill="1" applyBorder="1"/>
    <xf numFmtId="0" fontId="6" fillId="2" borderId="11" xfId="0" applyFont="1" applyFill="1" applyBorder="1" applyAlignment="1"/>
    <xf numFmtId="0" fontId="0" fillId="2" borderId="10" xfId="0" applyFill="1" applyBorder="1"/>
    <xf numFmtId="0" fontId="6" fillId="2" borderId="10" xfId="0" applyFont="1" applyFill="1" applyBorder="1"/>
    <xf numFmtId="166" fontId="0" fillId="4" borderId="2" xfId="0" applyNumberFormat="1" applyFill="1" applyBorder="1" applyAlignment="1">
      <alignment horizontal="right"/>
    </xf>
    <xf numFmtId="17" fontId="3" fillId="6" borderId="2" xfId="0" applyNumberFormat="1" applyFont="1" applyFill="1" applyBorder="1"/>
    <xf numFmtId="17" fontId="3" fillId="6" borderId="0" xfId="0" applyNumberFormat="1" applyFont="1" applyFill="1" applyBorder="1"/>
    <xf numFmtId="17" fontId="3" fillId="6" borderId="5" xfId="0" applyNumberFormat="1" applyFont="1" applyFill="1" applyBorder="1"/>
    <xf numFmtId="2" fontId="2" fillId="4" borderId="12" xfId="0" applyNumberFormat="1" applyFont="1" applyFill="1" applyBorder="1" applyAlignment="1"/>
    <xf numFmtId="2" fontId="2" fillId="4" borderId="13" xfId="0" applyNumberFormat="1" applyFont="1" applyFill="1" applyBorder="1" applyAlignment="1"/>
    <xf numFmtId="2" fontId="2" fillId="4" borderId="14" xfId="0" applyNumberFormat="1" applyFont="1" applyFill="1" applyBorder="1" applyAlignment="1"/>
    <xf numFmtId="0" fontId="2" fillId="4" borderId="12" xfId="0" applyFont="1" applyFill="1" applyBorder="1"/>
    <xf numFmtId="0" fontId="0" fillId="4" borderId="13" xfId="0" applyFill="1" applyBorder="1"/>
    <xf numFmtId="10" fontId="0" fillId="4" borderId="0" xfId="0" applyNumberFormat="1" applyFill="1" applyBorder="1"/>
    <xf numFmtId="164" fontId="0" fillId="4" borderId="0" xfId="0" applyNumberFormat="1" applyFill="1" applyBorder="1"/>
    <xf numFmtId="10" fontId="0" fillId="4" borderId="2" xfId="0" applyNumberFormat="1" applyFill="1" applyBorder="1"/>
    <xf numFmtId="164" fontId="0" fillId="4" borderId="2" xfId="0" applyNumberFormat="1" applyFill="1" applyBorder="1"/>
    <xf numFmtId="0" fontId="2" fillId="4" borderId="0" xfId="0" applyFont="1" applyFill="1" applyAlignment="1">
      <alignment horizontal="right"/>
    </xf>
    <xf numFmtId="166" fontId="2" fillId="4" borderId="2" xfId="0" applyNumberFormat="1" applyFont="1" applyFill="1" applyBorder="1"/>
    <xf numFmtId="166" fontId="2" fillId="4" borderId="0" xfId="0" applyNumberFormat="1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164" fontId="2" fillId="2" borderId="10" xfId="0" applyNumberFormat="1" applyFont="1" applyFill="1" applyBorder="1"/>
    <xf numFmtId="164" fontId="2" fillId="4" borderId="7" xfId="0" applyNumberFormat="1" applyFont="1" applyFill="1" applyBorder="1"/>
    <xf numFmtId="17" fontId="0" fillId="5" borderId="0" xfId="0" applyNumberFormat="1" applyFill="1"/>
    <xf numFmtId="2" fontId="0" fillId="4" borderId="2" xfId="0" applyNumberFormat="1" applyFill="1" applyBorder="1"/>
    <xf numFmtId="2" fontId="0" fillId="4" borderId="0" xfId="0" applyNumberFormat="1" applyFill="1" applyBorder="1"/>
    <xf numFmtId="2" fontId="2" fillId="4" borderId="2" xfId="0" applyNumberFormat="1" applyFont="1" applyFill="1" applyBorder="1"/>
    <xf numFmtId="2" fontId="2" fillId="4" borderId="0" xfId="0" applyNumberFormat="1" applyFont="1" applyFill="1" applyBorder="1"/>
    <xf numFmtId="17" fontId="1" fillId="3" borderId="15" xfId="0" applyNumberFormat="1" applyFont="1" applyFill="1" applyBorder="1" applyAlignment="1">
      <alignment horizontal="center"/>
    </xf>
    <xf numFmtId="0" fontId="2" fillId="2" borderId="10" xfId="0" applyFont="1" applyFill="1" applyBorder="1" applyAlignment="1"/>
    <xf numFmtId="166" fontId="0" fillId="4" borderId="8" xfId="0" applyNumberFormat="1" applyFill="1" applyBorder="1"/>
    <xf numFmtId="0" fontId="6" fillId="5" borderId="0" xfId="0" applyFont="1" applyFill="1"/>
    <xf numFmtId="0" fontId="11" fillId="5" borderId="0" xfId="0" applyFont="1" applyFill="1"/>
    <xf numFmtId="0" fontId="2" fillId="5" borderId="0" xfId="0" applyFont="1" applyFill="1"/>
    <xf numFmtId="0" fontId="12" fillId="5" borderId="0" xfId="0" applyFont="1" applyFill="1"/>
    <xf numFmtId="164" fontId="0" fillId="7" borderId="2" xfId="0" applyNumberFormat="1" applyFill="1" applyBorder="1"/>
    <xf numFmtId="164" fontId="2" fillId="7" borderId="8" xfId="0" applyNumberFormat="1" applyFont="1" applyFill="1" applyBorder="1"/>
    <xf numFmtId="10" fontId="0" fillId="7" borderId="0" xfId="0" applyNumberFormat="1" applyFill="1"/>
    <xf numFmtId="10" fontId="0" fillId="4" borderId="0" xfId="0" applyNumberFormat="1" applyFill="1"/>
    <xf numFmtId="0" fontId="0" fillId="5" borderId="0" xfId="0" applyFont="1" applyFill="1"/>
    <xf numFmtId="2" fontId="0" fillId="4" borderId="0" xfId="0" applyNumberFormat="1" applyFont="1" applyFill="1" applyBorder="1"/>
    <xf numFmtId="2" fontId="0" fillId="4" borderId="2" xfId="0" applyNumberFormat="1" applyFont="1" applyFill="1" applyBorder="1"/>
    <xf numFmtId="10" fontId="0" fillId="4" borderId="0" xfId="0" applyNumberFormat="1" applyFont="1" applyFill="1" applyBorder="1"/>
    <xf numFmtId="10" fontId="0" fillId="4" borderId="2" xfId="0" applyNumberFormat="1" applyFont="1" applyFill="1" applyBorder="1"/>
    <xf numFmtId="9" fontId="0" fillId="7" borderId="2" xfId="0" applyNumberFormat="1" applyFill="1" applyBorder="1"/>
    <xf numFmtId="9" fontId="0" fillId="7" borderId="0" xfId="0" applyNumberFormat="1" applyFill="1"/>
    <xf numFmtId="9" fontId="0" fillId="7" borderId="0" xfId="0" applyNumberFormat="1" applyFill="1" applyBorder="1"/>
    <xf numFmtId="10" fontId="0" fillId="7" borderId="2" xfId="0" applyNumberFormat="1" applyFill="1" applyBorder="1"/>
    <xf numFmtId="10" fontId="0" fillId="7" borderId="0" xfId="0" applyNumberFormat="1" applyFill="1" applyBorder="1"/>
    <xf numFmtId="165" fontId="0" fillId="7" borderId="2" xfId="0" applyNumberFormat="1" applyFill="1" applyBorder="1"/>
    <xf numFmtId="165" fontId="0" fillId="7" borderId="0" xfId="0" applyNumberFormat="1" applyFill="1"/>
    <xf numFmtId="165" fontId="0" fillId="7" borderId="0" xfId="0" applyNumberFormat="1" applyFill="1" applyBorder="1"/>
    <xf numFmtId="0" fontId="6" fillId="7" borderId="17" xfId="0" applyFont="1" applyFill="1" applyBorder="1"/>
    <xf numFmtId="169" fontId="0" fillId="5" borderId="0" xfId="0" applyNumberFormat="1" applyFill="1"/>
    <xf numFmtId="166" fontId="0" fillId="5" borderId="0" xfId="0" applyNumberFormat="1" applyFill="1"/>
    <xf numFmtId="168" fontId="0" fillId="5" borderId="0" xfId="0" applyNumberFormat="1" applyFill="1"/>
    <xf numFmtId="0" fontId="0" fillId="7" borderId="2" xfId="0" applyFill="1" applyBorder="1"/>
    <xf numFmtId="0" fontId="0" fillId="7" borderId="0" xfId="0" applyFill="1" applyBorder="1"/>
    <xf numFmtId="0" fontId="0" fillId="7" borderId="5" xfId="0" applyFill="1" applyBorder="1"/>
    <xf numFmtId="166" fontId="0" fillId="7" borderId="2" xfId="0" applyNumberFormat="1" applyFill="1" applyBorder="1"/>
    <xf numFmtId="0" fontId="2" fillId="7" borderId="2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right"/>
    </xf>
    <xf numFmtId="167" fontId="0" fillId="5" borderId="0" xfId="0" applyNumberFormat="1" applyFill="1"/>
    <xf numFmtId="0" fontId="0" fillId="7" borderId="0" xfId="0" applyFill="1"/>
    <xf numFmtId="0" fontId="0" fillId="9" borderId="0" xfId="0" applyFill="1"/>
    <xf numFmtId="0" fontId="5" fillId="9" borderId="0" xfId="0" applyFont="1" applyFill="1"/>
    <xf numFmtId="0" fontId="1" fillId="3" borderId="0" xfId="0" applyFont="1" applyFill="1"/>
    <xf numFmtId="0" fontId="1" fillId="3" borderId="2" xfId="0" applyFont="1" applyFill="1" applyBorder="1" applyAlignment="1"/>
    <xf numFmtId="0" fontId="0" fillId="5" borderId="0" xfId="0" applyFill="1" applyAlignment="1"/>
    <xf numFmtId="171" fontId="0" fillId="5" borderId="0" xfId="0" applyNumberFormat="1" applyFill="1"/>
    <xf numFmtId="172" fontId="0" fillId="5" borderId="0" xfId="0" applyNumberFormat="1" applyFill="1"/>
    <xf numFmtId="0" fontId="0" fillId="2" borderId="0" xfId="0" applyFill="1" applyBorder="1"/>
    <xf numFmtId="0" fontId="6" fillId="2" borderId="0" xfId="0" applyFont="1" applyFill="1" applyBorder="1"/>
    <xf numFmtId="10" fontId="0" fillId="5" borderId="0" xfId="0" applyNumberFormat="1" applyFill="1"/>
    <xf numFmtId="0" fontId="3" fillId="3" borderId="0" xfId="0" applyFont="1" applyFill="1" applyBorder="1" applyAlignment="1"/>
    <xf numFmtId="0" fontId="0" fillId="2" borderId="2" xfId="0" applyFill="1" applyBorder="1"/>
    <xf numFmtId="164" fontId="0" fillId="4" borderId="0" xfId="0" applyNumberFormat="1" applyFill="1" applyBorder="1" applyAlignment="1">
      <alignment horizontal="right"/>
    </xf>
    <xf numFmtId="0" fontId="3" fillId="3" borderId="15" xfId="0" applyFont="1" applyFill="1" applyBorder="1" applyAlignment="1"/>
    <xf numFmtId="0" fontId="3" fillId="3" borderId="16" xfId="0" applyFont="1" applyFill="1" applyBorder="1" applyAlignment="1"/>
    <xf numFmtId="0" fontId="0" fillId="2" borderId="0" xfId="0" applyFill="1" applyAlignment="1"/>
    <xf numFmtId="0" fontId="1" fillId="5" borderId="0" xfId="0" applyFont="1" applyFill="1" applyBorder="1" applyAlignment="1"/>
    <xf numFmtId="0" fontId="3" fillId="5" borderId="0" xfId="0" applyFont="1" applyFill="1" applyBorder="1" applyAlignment="1"/>
    <xf numFmtId="0" fontId="0" fillId="4" borderId="0" xfId="0" applyFill="1" applyAlignment="1"/>
    <xf numFmtId="166" fontId="0" fillId="5" borderId="0" xfId="0" applyNumberFormat="1" applyFill="1" applyBorder="1"/>
    <xf numFmtId="166" fontId="2" fillId="5" borderId="0" xfId="0" applyNumberFormat="1" applyFont="1" applyFill="1" applyBorder="1"/>
    <xf numFmtId="0" fontId="6" fillId="5" borderId="0" xfId="0" applyFont="1" applyFill="1" applyBorder="1" applyAlignment="1">
      <alignment vertical="center"/>
    </xf>
    <xf numFmtId="0" fontId="9" fillId="7" borderId="2" xfId="0" applyFont="1" applyFill="1" applyBorder="1" applyAlignment="1">
      <alignment horizontal="right"/>
    </xf>
    <xf numFmtId="0" fontId="9" fillId="7" borderId="0" xfId="0" applyFont="1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7" borderId="0" xfId="0" applyFill="1" applyBorder="1" applyAlignment="1">
      <alignment horizontal="right"/>
    </xf>
    <xf numFmtId="0" fontId="9" fillId="5" borderId="0" xfId="0" applyFont="1" applyFill="1" applyBorder="1" applyAlignment="1">
      <alignment vertical="center" wrapText="1"/>
    </xf>
    <xf numFmtId="0" fontId="9" fillId="4" borderId="0" xfId="0" applyFont="1" applyFill="1" applyBorder="1" applyAlignment="1"/>
    <xf numFmtId="0" fontId="16" fillId="5" borderId="0" xfId="0" applyFont="1" applyFill="1" applyBorder="1" applyAlignment="1" applyProtection="1">
      <alignment vertical="top"/>
    </xf>
    <xf numFmtId="0" fontId="16" fillId="4" borderId="0" xfId="0" applyFont="1" applyFill="1" applyBorder="1" applyAlignment="1" applyProtection="1">
      <alignment vertical="top"/>
    </xf>
    <xf numFmtId="0" fontId="0" fillId="7" borderId="19" xfId="0" applyFill="1" applyBorder="1"/>
    <xf numFmtId="0" fontId="7" fillId="5" borderId="0" xfId="0" applyFont="1" applyFill="1" applyBorder="1" applyAlignment="1"/>
    <xf numFmtId="2" fontId="0" fillId="7" borderId="2" xfId="0" applyNumberFormat="1" applyFill="1" applyBorder="1"/>
    <xf numFmtId="2" fontId="0" fillId="4" borderId="0" xfId="0" applyNumberFormat="1" applyFill="1"/>
    <xf numFmtId="0" fontId="12" fillId="5" borderId="0" xfId="0" applyFont="1" applyFill="1" applyAlignment="1">
      <alignment horizontal="right"/>
    </xf>
    <xf numFmtId="172" fontId="12" fillId="5" borderId="0" xfId="0" applyNumberFormat="1" applyFont="1" applyFill="1"/>
    <xf numFmtId="173" fontId="12" fillId="5" borderId="0" xfId="0" applyNumberFormat="1" applyFont="1" applyFill="1"/>
    <xf numFmtId="0" fontId="0" fillId="7" borderId="0" xfId="0" applyFont="1" applyFill="1"/>
    <xf numFmtId="3" fontId="19" fillId="12" borderId="20" xfId="0" applyNumberFormat="1" applyFont="1" applyFill="1" applyBorder="1" applyAlignment="1">
      <alignment horizontal="right" vertical="center"/>
    </xf>
    <xf numFmtId="0" fontId="19" fillId="12" borderId="20" xfId="0" applyFont="1" applyFill="1" applyBorder="1" applyAlignment="1">
      <alignment horizontal="right" vertical="center"/>
    </xf>
    <xf numFmtId="9" fontId="19" fillId="12" borderId="20" xfId="0" applyNumberFormat="1" applyFont="1" applyFill="1" applyBorder="1" applyAlignment="1">
      <alignment horizontal="right" vertical="center"/>
    </xf>
    <xf numFmtId="164" fontId="0" fillId="7" borderId="2" xfId="0" applyNumberFormat="1" applyFill="1" applyBorder="1" applyAlignment="1">
      <alignment horizontal="right"/>
    </xf>
    <xf numFmtId="0" fontId="6" fillId="2" borderId="2" xfId="0" applyFont="1" applyFill="1" applyBorder="1"/>
    <xf numFmtId="0" fontId="18" fillId="12" borderId="20" xfId="0" applyFont="1" applyFill="1" applyBorder="1" applyAlignment="1">
      <alignment horizontal="right" vertical="top"/>
    </xf>
    <xf numFmtId="2" fontId="0" fillId="7" borderId="0" xfId="0" applyNumberFormat="1" applyFont="1" applyFill="1" applyBorder="1" applyAlignment="1">
      <alignment horizontal="right"/>
    </xf>
    <xf numFmtId="0" fontId="2" fillId="2" borderId="5" xfId="0" applyFont="1" applyFill="1" applyBorder="1"/>
    <xf numFmtId="2" fontId="0" fillId="4" borderId="5" xfId="0" applyNumberFormat="1" applyFill="1" applyBorder="1"/>
    <xf numFmtId="2" fontId="2" fillId="4" borderId="5" xfId="0" applyNumberFormat="1" applyFont="1" applyFill="1" applyBorder="1"/>
    <xf numFmtId="0" fontId="2" fillId="2" borderId="4" xfId="0" applyFont="1" applyFill="1" applyBorder="1"/>
    <xf numFmtId="2" fontId="0" fillId="4" borderId="4" xfId="0" applyNumberFormat="1" applyFill="1" applyBorder="1"/>
    <xf numFmtId="2" fontId="2" fillId="4" borderId="4" xfId="0" applyNumberFormat="1" applyFont="1" applyFill="1" applyBorder="1"/>
    <xf numFmtId="165" fontId="0" fillId="4" borderId="2" xfId="0" applyNumberFormat="1" applyFill="1" applyBorder="1"/>
    <xf numFmtId="165" fontId="0" fillId="4" borderId="0" xfId="0" applyNumberFormat="1" applyFill="1" applyBorder="1"/>
    <xf numFmtId="2" fontId="0" fillId="4" borderId="2" xfId="0" applyNumberFormat="1" applyFont="1" applyFill="1" applyBorder="1" applyAlignment="1">
      <alignment horizontal="right"/>
    </xf>
    <xf numFmtId="164" fontId="0" fillId="7" borderId="2" xfId="0" applyNumberFormat="1" applyFont="1" applyFill="1" applyBorder="1"/>
    <xf numFmtId="164" fontId="0" fillId="7" borderId="0" xfId="0" applyNumberFormat="1" applyFont="1" applyFill="1" applyBorder="1"/>
    <xf numFmtId="0" fontId="20" fillId="5" borderId="0" xfId="0" applyFont="1" applyFill="1"/>
    <xf numFmtId="0" fontId="20" fillId="5" borderId="0" xfId="0" applyFont="1" applyFill="1" applyBorder="1"/>
    <xf numFmtId="174" fontId="20" fillId="5" borderId="0" xfId="0" applyNumberFormat="1" applyFont="1" applyFill="1" applyBorder="1"/>
    <xf numFmtId="165" fontId="0" fillId="7" borderId="2" xfId="0" applyNumberFormat="1" applyFont="1" applyFill="1" applyBorder="1" applyAlignment="1">
      <alignment horizontal="right"/>
    </xf>
    <xf numFmtId="0" fontId="0" fillId="4" borderId="18" xfId="0" applyFill="1" applyBorder="1" applyAlignment="1">
      <alignment horizontal="left" vertical="top"/>
    </xf>
    <xf numFmtId="0" fontId="0" fillId="8" borderId="0" xfId="0" applyFill="1" applyAlignment="1">
      <alignment horizontal="right" vertical="top"/>
    </xf>
    <xf numFmtId="15" fontId="0" fillId="8" borderId="19" xfId="0" applyNumberFormat="1" applyFill="1" applyBorder="1" applyAlignment="1">
      <alignment horizontal="right" vertical="top"/>
    </xf>
    <xf numFmtId="0" fontId="0" fillId="8" borderId="2" xfId="0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6" fillId="4" borderId="0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7" fontId="1" fillId="6" borderId="3" xfId="0" applyNumberFormat="1" applyFont="1" applyFill="1" applyBorder="1" applyAlignment="1">
      <alignment horizontal="center"/>
    </xf>
    <xf numFmtId="17" fontId="1" fillId="6" borderId="1" xfId="0" applyNumberFormat="1" applyFont="1" applyFill="1" applyBorder="1" applyAlignment="1">
      <alignment horizontal="center"/>
    </xf>
    <xf numFmtId="17" fontId="3" fillId="3" borderId="3" xfId="0" applyNumberFormat="1" applyFont="1" applyFill="1" applyBorder="1" applyAlignment="1">
      <alignment horizontal="center"/>
    </xf>
    <xf numFmtId="17" fontId="3" fillId="3" borderId="1" xfId="0" applyNumberFormat="1" applyFont="1" applyFill="1" applyBorder="1" applyAlignment="1">
      <alignment horizontal="center"/>
    </xf>
    <xf numFmtId="17" fontId="3" fillId="6" borderId="3" xfId="0" applyNumberFormat="1" applyFont="1" applyFill="1" applyBorder="1" applyAlignment="1">
      <alignment horizontal="center"/>
    </xf>
    <xf numFmtId="17" fontId="3" fillId="6" borderId="1" xfId="0" applyNumberFormat="1" applyFont="1" applyFill="1" applyBorder="1" applyAlignment="1">
      <alignment horizontal="center"/>
    </xf>
    <xf numFmtId="17" fontId="3" fillId="6" borderId="6" xfId="0" applyNumberFormat="1" applyFont="1" applyFill="1" applyBorder="1" applyAlignment="1">
      <alignment horizontal="center"/>
    </xf>
    <xf numFmtId="17" fontId="1" fillId="3" borderId="3" xfId="0" applyNumberFormat="1" applyFont="1" applyFill="1" applyBorder="1" applyAlignment="1">
      <alignment horizontal="center"/>
    </xf>
    <xf numFmtId="17" fontId="1" fillId="3" borderId="1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</cellXfs>
  <cellStyles count="70">
    <cellStyle name="20% - Accent1 2" xfId="16"/>
    <cellStyle name="20% - Accent2 2" xfId="17"/>
    <cellStyle name="20% - Accent3 2" xfId="18"/>
    <cellStyle name="20% - Accent4 2" xfId="19"/>
    <cellStyle name="20% - Accent5 2" xfId="20"/>
    <cellStyle name="20% - Accent6 2" xfId="21"/>
    <cellStyle name="40% - Accent1 2" xfId="22"/>
    <cellStyle name="40% - Accent2 2" xfId="23"/>
    <cellStyle name="40% - Accent3 2" xfId="24"/>
    <cellStyle name="40% - Accent4 2" xfId="25"/>
    <cellStyle name="40% - Accent5 2" xfId="26"/>
    <cellStyle name="40% - Accent6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 2 3 18" xfId="14"/>
    <cellStyle name="Currency 11" xfId="9"/>
    <cellStyle name="Explanatory Text 2" xfId="43"/>
    <cellStyle name="Good 2" xfId="44"/>
    <cellStyle name="Heading 1 2" xfId="45"/>
    <cellStyle name="Heading 2 2" xfId="46"/>
    <cellStyle name="Heading 3 2" xfId="47"/>
    <cellStyle name="Heading 3 2 2" xfId="69"/>
    <cellStyle name="Heading 4 2" xfId="48"/>
    <cellStyle name="Input 2" xfId="49"/>
    <cellStyle name="Linked Cell 2" xfId="50"/>
    <cellStyle name="Neutral 2" xfId="51"/>
    <cellStyle name="Normal" xfId="0" builtinId="0"/>
    <cellStyle name="Normal 10" xfId="1"/>
    <cellStyle name="Normal 114" xfId="5"/>
    <cellStyle name="Normal 13" xfId="3"/>
    <cellStyle name="Normal 13 2" xfId="10"/>
    <cellStyle name="Normal 2" xfId="15"/>
    <cellStyle name="Normal 2 2" xfId="2"/>
    <cellStyle name="Normal 2 2 2" xfId="6"/>
    <cellStyle name="Normal 3" xfId="52"/>
    <cellStyle name="Normal 3 2" xfId="53"/>
    <cellStyle name="Normal 3 2 2" xfId="54"/>
    <cellStyle name="Normal 4" xfId="8"/>
    <cellStyle name="Normal 4 2" xfId="4"/>
    <cellStyle name="Normal 4 2 2" xfId="57"/>
    <cellStyle name="Normal 4 2 2 2" xfId="58"/>
    <cellStyle name="Normal 4 2 3" xfId="59"/>
    <cellStyle name="Normal 4 2 4" xfId="56"/>
    <cellStyle name="Normal 4 3" xfId="55"/>
    <cellStyle name="Normal 5" xfId="60"/>
    <cellStyle name="Normal 6" xfId="61"/>
    <cellStyle name="Normal 6 2" xfId="62"/>
    <cellStyle name="Normal 7" xfId="63"/>
    <cellStyle name="Note 2" xfId="64"/>
    <cellStyle name="Output 2" xfId="65"/>
    <cellStyle name="Percent 2" xfId="11"/>
    <cellStyle name="RIN_TB3" xfId="12"/>
    <cellStyle name="TableLvl2" xfId="13"/>
    <cellStyle name="TableLvl3" xfId="7"/>
    <cellStyle name="Title 2" xfId="66"/>
    <cellStyle name="Total 2" xfId="67"/>
    <cellStyle name="Warning Text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enue%20Strategy/REVENUE%20RESET/OPEX/RINS/RRRIN%20preparation/Transgrid%202019-23%20-%20Reset%20RIN%20template%20-%20unlocked%20-%20draft%20@%2020160825%20-%20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5 EBSS"/>
      <sheetName val="7.6 Indicative bill impact "/>
      <sheetName val="7.9 STPIS"/>
      <sheetName val="Transgrid 2019-23 - Reset RIN t"/>
    </sheetNames>
    <sheetDataSet>
      <sheetData sheetId="0">
        <row r="8">
          <cell r="B8" t="str">
            <v>ActewAGL Distribution</v>
          </cell>
          <cell r="C8" t="str">
            <v>ActewAGL Distribution</v>
          </cell>
        </row>
        <row r="9">
          <cell r="B9" t="str">
            <v>ActewAGL Distribution (Tx Assets)</v>
          </cell>
          <cell r="C9" t="str">
            <v>ActewAGL Distribution (Tx Assets)</v>
          </cell>
        </row>
        <row r="10">
          <cell r="B10" t="str">
            <v>ActewAGL Gas</v>
          </cell>
          <cell r="C10" t="str">
            <v>ActewAGL Gas</v>
          </cell>
        </row>
        <row r="11">
          <cell r="B11" t="str">
            <v>AGN (SA)</v>
          </cell>
          <cell r="C11" t="str">
            <v>AGN (SA)</v>
          </cell>
        </row>
        <row r="12">
          <cell r="B12" t="str">
            <v>AGN (Victoria)</v>
          </cell>
          <cell r="C12" t="str">
            <v>Australian Gas Networks Limited</v>
          </cell>
        </row>
        <row r="13">
          <cell r="B13" t="str">
            <v>Amadeus</v>
          </cell>
          <cell r="C13" t="str">
            <v>APT Pipelines (NT) Pty Ltd</v>
          </cell>
        </row>
        <row r="14">
          <cell r="B14" t="str">
            <v>APA GasNet</v>
          </cell>
          <cell r="C14" t="str">
            <v>APA VTS Australia Limited</v>
          </cell>
        </row>
        <row r="15">
          <cell r="B15" t="str">
            <v>Ausgrid</v>
          </cell>
          <cell r="C15" t="str">
            <v>Ausgrid</v>
          </cell>
        </row>
        <row r="16">
          <cell r="B16" t="str">
            <v>Ausgrid (Tx Assets)</v>
          </cell>
          <cell r="C16" t="str">
            <v>Ausgrid (Tx Assets)</v>
          </cell>
        </row>
        <row r="17">
          <cell r="B17" t="str">
            <v>AusNet (D)</v>
          </cell>
          <cell r="C17" t="str">
            <v>AusNet Services (D)</v>
          </cell>
        </row>
        <row r="18">
          <cell r="B18" t="str">
            <v>AusNet (Gas)</v>
          </cell>
          <cell r="C18" t="str">
            <v>AusNet Gas Services</v>
          </cell>
        </row>
        <row r="19">
          <cell r="B19" t="str">
            <v>AusNet (T)</v>
          </cell>
          <cell r="C19" t="str">
            <v>AusNet (T)</v>
          </cell>
        </row>
        <row r="20">
          <cell r="B20" t="str">
            <v>Australian Distribution Co.</v>
          </cell>
          <cell r="C20" t="str">
            <v>Australian Distribution Co.</v>
          </cell>
        </row>
        <row r="21">
          <cell r="B21" t="str">
            <v>Australian Transmission Co.</v>
          </cell>
          <cell r="C21" t="str">
            <v>Australian Transmission Co.</v>
          </cell>
        </row>
        <row r="22">
          <cell r="B22" t="str">
            <v>CitiPower</v>
          </cell>
          <cell r="C22" t="str">
            <v>CitiPower</v>
          </cell>
        </row>
        <row r="23">
          <cell r="B23" t="str">
            <v>Directlink</v>
          </cell>
          <cell r="C23" t="str">
            <v>Directlink</v>
          </cell>
        </row>
        <row r="24">
          <cell r="B24" t="str">
            <v>ElectraNet</v>
          </cell>
          <cell r="C24" t="str">
            <v>ElectraNet</v>
          </cell>
        </row>
        <row r="25">
          <cell r="B25" t="str">
            <v>Endeavour Energy</v>
          </cell>
          <cell r="C25" t="str">
            <v>Endeavour Energy</v>
          </cell>
        </row>
        <row r="26">
          <cell r="B26" t="str">
            <v>Energex</v>
          </cell>
          <cell r="C26" t="str">
            <v>Energex</v>
          </cell>
        </row>
        <row r="27">
          <cell r="B27" t="str">
            <v>Ergon Energy</v>
          </cell>
          <cell r="C27" t="str">
            <v>Ergon Energy</v>
          </cell>
        </row>
        <row r="28">
          <cell r="B28" t="str">
            <v>Essential Energy</v>
          </cell>
          <cell r="C28" t="str">
            <v>Essential Energy</v>
          </cell>
        </row>
        <row r="29">
          <cell r="B29" t="str">
            <v>Jemena Electricity</v>
          </cell>
          <cell r="C29" t="str">
            <v>Jemena Electricity</v>
          </cell>
        </row>
        <row r="30">
          <cell r="B30" t="str">
            <v>JGN</v>
          </cell>
          <cell r="C30" t="str">
            <v>Jemena Gas Networks</v>
          </cell>
        </row>
        <row r="31">
          <cell r="B31" t="str">
            <v>Multinet Gas</v>
          </cell>
          <cell r="C31" t="str">
            <v>Multinet Gas (DB No.1) Pty Ltd (ACN 086 026 986), Multinet Gas (DB No.2) Pty Ltd (ACN 086 230 122)</v>
          </cell>
        </row>
        <row r="32">
          <cell r="B32" t="str">
            <v>Murraylink</v>
          </cell>
          <cell r="C32" t="str">
            <v>Murraylink</v>
          </cell>
        </row>
        <row r="33">
          <cell r="B33" t="str">
            <v>Powercor Australia</v>
          </cell>
          <cell r="C33" t="str">
            <v>Powercor Australia</v>
          </cell>
        </row>
        <row r="34">
          <cell r="B34" t="str">
            <v>Powerlink</v>
          </cell>
          <cell r="C34" t="str">
            <v>Queensland Electricity Transmission Corporation Limited trading as Powerlink Queensland</v>
          </cell>
        </row>
        <row r="35">
          <cell r="B35" t="str">
            <v>Roma to Brisbane Pipeline</v>
          </cell>
          <cell r="C35" t="str">
            <v>APT Petroleum Pipelines Limited t/a Roma to Brisbane Pipeline</v>
          </cell>
        </row>
        <row r="36">
          <cell r="B36" t="str">
            <v>SA Power Networks</v>
          </cell>
          <cell r="C36" t="str">
            <v>SA Power Networks</v>
          </cell>
        </row>
        <row r="37">
          <cell r="B37" t="str">
            <v>TasNetworks (D)</v>
          </cell>
          <cell r="C37" t="str">
            <v>TasNetworks (D)</v>
          </cell>
        </row>
        <row r="38">
          <cell r="B38" t="str">
            <v>TasNetworks (T)</v>
          </cell>
          <cell r="C38" t="str">
            <v>TasNetworks (T)</v>
          </cell>
        </row>
        <row r="39">
          <cell r="B39" t="str">
            <v>TransGrid</v>
          </cell>
          <cell r="C39" t="str">
            <v>TransGrid</v>
          </cell>
        </row>
        <row r="40">
          <cell r="B40" t="str">
            <v>United Energy</v>
          </cell>
          <cell r="C40" t="str">
            <v>United Energy</v>
          </cell>
        </row>
        <row r="41">
          <cell r="B41" t="str">
            <v>Western Power (D)</v>
          </cell>
          <cell r="C41" t="str">
            <v>Western Power (D)</v>
          </cell>
        </row>
        <row r="42">
          <cell r="B42" t="str">
            <v>Western Power (T)</v>
          </cell>
          <cell r="C42" t="str">
            <v>Western Power (T)</v>
          </cell>
        </row>
        <row r="48">
          <cell r="B48" t="str">
            <v>ARR</v>
          </cell>
          <cell r="C48" t="str">
            <v>ANNUAL REPORTING STATEMENT</v>
          </cell>
        </row>
        <row r="49">
          <cell r="B49" t="str">
            <v>CA</v>
          </cell>
          <cell r="C49" t="str">
            <v>CATEGORY ANALYSIS</v>
          </cell>
        </row>
        <row r="50">
          <cell r="B50" t="str">
            <v>CPI</v>
          </cell>
          <cell r="C50" t="str">
            <v>CPI</v>
          </cell>
        </row>
        <row r="51">
          <cell r="B51" t="str">
            <v>EB</v>
          </cell>
          <cell r="C51" t="str">
            <v>ECONOMIC BENCHMARKING</v>
          </cell>
        </row>
        <row r="52">
          <cell r="B52" t="str">
            <v>PTRM</v>
          </cell>
          <cell r="C52" t="str">
            <v>POST TAX REVENUE MODEL</v>
          </cell>
        </row>
        <row r="53">
          <cell r="B53" t="str">
            <v>Reset</v>
          </cell>
          <cell r="C53" t="str">
            <v>REGULATORY REPORTING STATEMENT</v>
          </cell>
        </row>
        <row r="54">
          <cell r="B54" t="str">
            <v>RFM</v>
          </cell>
          <cell r="C54" t="str">
            <v>ROLL FORWARD MODEL</v>
          </cell>
        </row>
        <row r="55">
          <cell r="B55" t="str">
            <v>WACC</v>
          </cell>
          <cell r="C55" t="str">
            <v>WEIGHTED AVERAGE COST OF CAPITAL</v>
          </cell>
        </row>
      </sheetData>
      <sheetData sheetId="1"/>
      <sheetData sheetId="2"/>
      <sheetData sheetId="3">
        <row r="14">
          <cell r="C14" t="str">
            <v>TransGrid</v>
          </cell>
        </row>
        <row r="35">
          <cell r="C35" t="str">
            <v>2018-19</v>
          </cell>
          <cell r="D35" t="str">
            <v>2019-20</v>
          </cell>
          <cell r="E35" t="str">
            <v>2020-21</v>
          </cell>
          <cell r="F35" t="str">
            <v>2021-22</v>
          </cell>
          <cell r="G35" t="str">
            <v>2022-23</v>
          </cell>
        </row>
        <row r="38">
          <cell r="C38" t="str">
            <v>2013-14</v>
          </cell>
          <cell r="D38" t="str">
            <v>2014-15</v>
          </cell>
          <cell r="E38" t="str">
            <v>2015-16</v>
          </cell>
          <cell r="F38" t="str">
            <v>2016-17</v>
          </cell>
          <cell r="G38" t="str">
            <v>2017-18</v>
          </cell>
        </row>
        <row r="41">
          <cell r="C41" t="str">
            <v>2008-09</v>
          </cell>
          <cell r="D41" t="str">
            <v>2009-10</v>
          </cell>
          <cell r="E41" t="str">
            <v>2010-11</v>
          </cell>
          <cell r="F41" t="str">
            <v>2011-12</v>
          </cell>
          <cell r="G41" t="str">
            <v>2012-13</v>
          </cell>
        </row>
        <row r="59">
          <cell r="C59" t="str">
            <v>Reset</v>
          </cell>
        </row>
        <row r="63">
          <cell r="C63" t="str">
            <v>June 2018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4">
          <cell r="C74">
            <v>5</v>
          </cell>
        </row>
        <row r="76">
          <cell r="C76" t="str">
            <v>2022-23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6"/>
  <sheetViews>
    <sheetView tabSelected="1" zoomScale="85" zoomScaleNormal="85" workbookViewId="0">
      <selection activeCell="D9" sqref="D9"/>
    </sheetView>
  </sheetViews>
  <sheetFormatPr defaultRowHeight="15"/>
  <cols>
    <col min="1" max="1" width="9.140625" style="34"/>
    <col min="2" max="2" width="16.7109375" style="34" customWidth="1"/>
    <col min="3" max="3" width="18.28515625" style="34" customWidth="1"/>
    <col min="4" max="4" width="22.85546875" style="34" customWidth="1"/>
    <col min="5" max="16384" width="9.140625" style="34"/>
  </cols>
  <sheetData>
    <row r="2" spans="2:4" ht="18.75">
      <c r="B2" s="83" t="s">
        <v>89</v>
      </c>
    </row>
    <row r="4" spans="2:4" ht="31.5" customHeight="1">
      <c r="B4" s="117" t="s">
        <v>86</v>
      </c>
      <c r="C4" s="118" t="s">
        <v>88</v>
      </c>
      <c r="D4" s="118" t="s">
        <v>114</v>
      </c>
    </row>
    <row r="5" spans="2:4">
      <c r="B5" s="116" t="s">
        <v>112</v>
      </c>
      <c r="C5" s="115"/>
      <c r="D5" s="115"/>
    </row>
    <row r="6" spans="2:4">
      <c r="B6" s="176" t="s">
        <v>87</v>
      </c>
      <c r="C6" s="177">
        <v>42766</v>
      </c>
      <c r="D6" s="178" t="s">
        <v>161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35"/>
  <sheetViews>
    <sheetView zoomScale="70" zoomScaleNormal="70" zoomScaleSheetLayoutView="50" workbookViewId="0">
      <selection activeCell="D59" sqref="D59"/>
    </sheetView>
  </sheetViews>
  <sheetFormatPr defaultRowHeight="15"/>
  <cols>
    <col min="2" max="2" width="42.28515625" bestFit="1" customWidth="1"/>
    <col min="3" max="4" width="18.85546875" customWidth="1"/>
    <col min="7" max="7" width="38.85546875" customWidth="1"/>
    <col min="8" max="8" width="71.140625" customWidth="1"/>
    <col min="10" max="10" width="19.5703125" customWidth="1"/>
    <col min="12" max="12" width="40" customWidth="1"/>
    <col min="13" max="14" width="20" customWidth="1"/>
    <col min="16" max="16" width="23.28515625" customWidth="1"/>
    <col min="17" max="17" width="60.140625" bestFit="1" customWidth="1"/>
    <col min="18" max="18" width="39.85546875" customWidth="1"/>
    <col min="19" max="19" width="17.7109375" customWidth="1"/>
    <col min="20" max="20" width="16.42578125" customWidth="1"/>
    <col min="22" max="22" width="20.140625" customWidth="1"/>
    <col min="23" max="23" width="20.5703125" customWidth="1"/>
    <col min="24" max="24" width="19.7109375" customWidth="1"/>
  </cols>
  <sheetData>
    <row r="1" spans="1:4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</row>
    <row r="2" spans="1:47" ht="18.75">
      <c r="A2" s="34"/>
      <c r="B2" s="83" t="s">
        <v>78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</row>
    <row r="3" spans="1:47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</row>
    <row r="4" spans="1:47">
      <c r="A4" s="34"/>
      <c r="B4" s="188" t="s">
        <v>67</v>
      </c>
      <c r="C4" s="188"/>
      <c r="D4" s="188"/>
      <c r="E4" s="34"/>
      <c r="F4" s="34"/>
      <c r="G4" s="188" t="s">
        <v>67</v>
      </c>
      <c r="H4" s="188"/>
      <c r="I4" s="188"/>
      <c r="J4" s="188"/>
      <c r="K4" s="34"/>
      <c r="L4" s="188" t="s">
        <v>67</v>
      </c>
      <c r="M4" s="188"/>
      <c r="N4" s="188"/>
      <c r="O4" s="131"/>
      <c r="P4" s="188" t="s">
        <v>67</v>
      </c>
      <c r="Q4" s="188"/>
      <c r="R4" s="188"/>
      <c r="S4" s="188"/>
      <c r="T4" s="188"/>
      <c r="U4" s="34"/>
      <c r="V4" s="179" t="s">
        <v>67</v>
      </c>
      <c r="W4" s="179"/>
      <c r="X4" s="179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</row>
    <row r="5" spans="1:47">
      <c r="A5" s="34"/>
      <c r="B5" s="2"/>
      <c r="C5" s="190"/>
      <c r="D5" s="191"/>
      <c r="E5" s="34"/>
      <c r="F5" s="34"/>
      <c r="G5" s="186"/>
      <c r="H5" s="187"/>
      <c r="I5" s="187"/>
      <c r="J5" s="187"/>
      <c r="K5" s="34"/>
      <c r="L5" s="125"/>
      <c r="M5" s="125"/>
      <c r="N5" s="125"/>
      <c r="O5" s="132"/>
      <c r="P5" s="182" t="s">
        <v>140</v>
      </c>
      <c r="Q5" s="182"/>
      <c r="R5" s="129"/>
      <c r="S5" s="128"/>
      <c r="T5" s="129"/>
      <c r="U5" s="34"/>
      <c r="V5" s="180" t="s">
        <v>152</v>
      </c>
      <c r="W5" s="180"/>
      <c r="X5" s="180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47">
      <c r="A6" s="34"/>
      <c r="B6" s="2"/>
      <c r="C6" s="186" t="s">
        <v>66</v>
      </c>
      <c r="D6" s="187"/>
      <c r="E6" s="34"/>
      <c r="F6" s="34"/>
      <c r="G6" s="186" t="s">
        <v>121</v>
      </c>
      <c r="H6" s="187"/>
      <c r="I6" s="187"/>
      <c r="J6" s="187"/>
      <c r="K6" s="34"/>
      <c r="L6" s="187" t="s">
        <v>142</v>
      </c>
      <c r="M6" s="187"/>
      <c r="N6" s="187"/>
      <c r="O6" s="132"/>
      <c r="P6" s="183"/>
      <c r="Q6" s="183"/>
      <c r="R6" s="125"/>
      <c r="S6" s="186" t="s">
        <v>133</v>
      </c>
      <c r="T6" s="187"/>
      <c r="U6" s="34"/>
      <c r="V6" s="180"/>
      <c r="W6" s="180"/>
      <c r="X6" s="180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>
      <c r="A7" s="34"/>
      <c r="B7" s="7" t="s">
        <v>32</v>
      </c>
      <c r="C7" s="70" t="s">
        <v>0</v>
      </c>
      <c r="D7" s="71" t="s">
        <v>20</v>
      </c>
      <c r="E7" s="34"/>
      <c r="F7" s="34"/>
      <c r="G7" s="1" t="s">
        <v>118</v>
      </c>
      <c r="H7" s="1"/>
      <c r="I7" s="126" t="s">
        <v>119</v>
      </c>
      <c r="J7" s="126" t="s">
        <v>123</v>
      </c>
      <c r="K7" s="34"/>
      <c r="L7" s="130" t="s">
        <v>122</v>
      </c>
      <c r="M7" s="157" t="s">
        <v>134</v>
      </c>
      <c r="N7" s="123" t="s">
        <v>150</v>
      </c>
      <c r="O7" s="119"/>
      <c r="P7" s="1" t="s">
        <v>138</v>
      </c>
      <c r="Q7" s="122"/>
      <c r="R7" s="122"/>
      <c r="S7" s="126" t="s">
        <v>134</v>
      </c>
      <c r="T7" s="122" t="s">
        <v>150</v>
      </c>
      <c r="U7" s="34"/>
      <c r="V7" s="1"/>
      <c r="W7" s="126" t="s">
        <v>134</v>
      </c>
      <c r="X7" s="122" t="s">
        <v>150</v>
      </c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47" ht="15" customHeight="1">
      <c r="A8" s="34"/>
      <c r="B8" s="10" t="s">
        <v>1</v>
      </c>
      <c r="C8" s="86">
        <v>14.63149828181098</v>
      </c>
      <c r="D8" s="64">
        <f>C8*'CPI - Index'!$C$9</f>
        <v>15.158297160017788</v>
      </c>
      <c r="E8" s="34"/>
      <c r="F8" s="34"/>
      <c r="G8" s="10" t="s">
        <v>97</v>
      </c>
      <c r="H8" s="15" t="s">
        <v>98</v>
      </c>
      <c r="I8" s="15" t="s">
        <v>99</v>
      </c>
      <c r="J8" s="153">
        <v>18859</v>
      </c>
      <c r="K8" s="34"/>
      <c r="L8" s="133" t="s">
        <v>90</v>
      </c>
      <c r="M8" s="66">
        <f>C24*1000000</f>
        <v>16213055.179753482</v>
      </c>
      <c r="N8" s="64">
        <f>D24*1000000</f>
        <v>16796797.125827242</v>
      </c>
      <c r="O8" s="119"/>
      <c r="P8" s="189" t="s">
        <v>109</v>
      </c>
      <c r="Q8" s="142" t="s">
        <v>124</v>
      </c>
      <c r="R8" s="107" t="s">
        <v>126</v>
      </c>
      <c r="S8" s="147">
        <v>10263056.536745967</v>
      </c>
      <c r="T8" s="76">
        <f>S8*'CPI - Index'!$C$9</f>
        <v>10632572.123352155</v>
      </c>
      <c r="U8" s="34"/>
      <c r="V8" s="15" t="s">
        <v>153</v>
      </c>
      <c r="W8" s="147">
        <v>26653996.255234011</v>
      </c>
      <c r="X8" s="76">
        <f>W8*'CPI - Index'!C$9</f>
        <v>27613658.420826513</v>
      </c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</row>
    <row r="9" spans="1:47">
      <c r="A9" s="34"/>
      <c r="B9" s="10" t="s">
        <v>2</v>
      </c>
      <c r="C9" s="86">
        <v>28.938754545637423</v>
      </c>
      <c r="D9" s="64">
        <f>C9*'CPI - Index'!$C$9</f>
        <v>29.980678150296249</v>
      </c>
      <c r="E9" s="34"/>
      <c r="F9" s="34"/>
      <c r="G9" s="10"/>
      <c r="H9" s="15" t="s">
        <v>100</v>
      </c>
      <c r="I9" s="15" t="s">
        <v>99</v>
      </c>
      <c r="J9" s="154">
        <v>32</v>
      </c>
      <c r="K9" s="34"/>
      <c r="L9" s="133" t="s">
        <v>91</v>
      </c>
      <c r="M9" s="156">
        <v>294136.84182547103</v>
      </c>
      <c r="N9" s="127">
        <f>M9*'CPI - Index'!$C$9</f>
        <v>304727.07362050033</v>
      </c>
      <c r="O9" s="119"/>
      <c r="P9" s="189"/>
      <c r="Q9" s="10" t="s">
        <v>127</v>
      </c>
      <c r="R9" s="15" t="s">
        <v>31</v>
      </c>
      <c r="S9" s="147">
        <v>180551.85417082548</v>
      </c>
      <c r="T9" s="76">
        <f>S9*'CPI - Index'!$C$9</f>
        <v>187052.5222776311</v>
      </c>
      <c r="U9" s="34"/>
      <c r="V9" s="15" t="s">
        <v>154</v>
      </c>
      <c r="W9" s="147">
        <v>1915944.5947659796</v>
      </c>
      <c r="X9" s="76">
        <f>W9*'CPI - Index'!C$9</f>
        <v>1984927.1038562371</v>
      </c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</row>
    <row r="10" spans="1:47">
      <c r="A10" s="34"/>
      <c r="B10" s="10" t="s">
        <v>3</v>
      </c>
      <c r="C10" s="86">
        <v>3.6421895027016151</v>
      </c>
      <c r="D10" s="64">
        <f>C10*'CPI - Index'!$C$9</f>
        <v>3.7733244901980796</v>
      </c>
      <c r="E10" s="34"/>
      <c r="F10" s="34"/>
      <c r="G10" s="10"/>
      <c r="H10" s="15" t="s">
        <v>101</v>
      </c>
      <c r="I10" s="15" t="s">
        <v>99</v>
      </c>
      <c r="J10" s="154" t="s">
        <v>141</v>
      </c>
      <c r="K10" s="34"/>
      <c r="L10" s="133" t="s">
        <v>92</v>
      </c>
      <c r="M10" s="156">
        <v>2716525.8757779142</v>
      </c>
      <c r="N10" s="127">
        <f>M10*'CPI - Index'!$C$9</f>
        <v>2814332.8642637469</v>
      </c>
      <c r="O10" s="119"/>
      <c r="P10" s="189"/>
      <c r="Q10" s="10" t="s">
        <v>128</v>
      </c>
      <c r="R10" s="15" t="s">
        <v>31</v>
      </c>
      <c r="S10" s="147">
        <v>608800.94440965157</v>
      </c>
      <c r="T10" s="76">
        <f>S10*'CPI - Index'!$C$9</f>
        <v>630720.48049468419</v>
      </c>
      <c r="U10" s="34"/>
      <c r="V10" s="15" t="s">
        <v>31</v>
      </c>
      <c r="W10" s="147">
        <v>28569940.84999999</v>
      </c>
      <c r="X10" s="76">
        <f>W10*'CPI - Index'!C$9</f>
        <v>29598585.524682753</v>
      </c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  <row r="11" spans="1:47">
      <c r="A11" s="34"/>
      <c r="B11" s="10" t="s">
        <v>4</v>
      </c>
      <c r="C11" s="86">
        <v>4.1320666590419952</v>
      </c>
      <c r="D11" s="64">
        <f>C11*'CPI - Index'!$C$9</f>
        <v>4.2808393984247486</v>
      </c>
      <c r="E11" s="34"/>
      <c r="F11" s="34"/>
      <c r="G11" s="10"/>
      <c r="H11" s="15" t="s">
        <v>102</v>
      </c>
      <c r="I11" s="15" t="s">
        <v>99</v>
      </c>
      <c r="J11" s="154">
        <v>72</v>
      </c>
      <c r="K11" s="34"/>
      <c r="L11" s="133" t="s">
        <v>93</v>
      </c>
      <c r="M11" s="156">
        <v>150000</v>
      </c>
      <c r="N11" s="127">
        <f>M11*'CPI - Index'!$C$9</f>
        <v>155400.66575610058</v>
      </c>
      <c r="O11" s="119"/>
      <c r="P11" s="141"/>
      <c r="Q11" s="34"/>
      <c r="R11" s="34"/>
      <c r="S11" s="34"/>
      <c r="T11" s="31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</row>
    <row r="12" spans="1:47">
      <c r="A12" s="34"/>
      <c r="B12" s="10" t="s">
        <v>5</v>
      </c>
      <c r="C12" s="86">
        <v>13.903646994088012</v>
      </c>
      <c r="D12" s="64">
        <f>C12*'CPI - Index'!$C$9</f>
        <v>14.404239995460559</v>
      </c>
      <c r="E12" s="34"/>
      <c r="F12" s="34"/>
      <c r="G12" s="10"/>
      <c r="H12" s="15" t="s">
        <v>103</v>
      </c>
      <c r="I12" s="15" t="s">
        <v>104</v>
      </c>
      <c r="J12" s="155">
        <v>1</v>
      </c>
      <c r="K12" s="34"/>
      <c r="L12" s="133" t="s">
        <v>94</v>
      </c>
      <c r="M12" s="156">
        <v>28212.958850731928</v>
      </c>
      <c r="N12" s="127">
        <f>M12*'CPI - Index'!$C$9</f>
        <v>29228.750589021412</v>
      </c>
      <c r="O12" s="119"/>
      <c r="P12" s="185" t="s">
        <v>129</v>
      </c>
      <c r="Q12" s="10" t="s">
        <v>124</v>
      </c>
      <c r="R12" s="107" t="s">
        <v>130</v>
      </c>
      <c r="S12" s="147">
        <v>10274847.438648853</v>
      </c>
      <c r="T12" s="76">
        <f>S12*'CPI - Index'!$C$9</f>
        <v>10644787.550055979</v>
      </c>
      <c r="U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</row>
    <row r="13" spans="1:47">
      <c r="A13" s="34"/>
      <c r="B13" s="10" t="s">
        <v>6</v>
      </c>
      <c r="C13" s="86">
        <v>8.238417317418639</v>
      </c>
      <c r="D13" s="64">
        <f>C13*'CPI - Index'!$C$9</f>
        <v>8.5350369060229649</v>
      </c>
      <c r="E13" s="34"/>
      <c r="F13" s="34"/>
      <c r="G13" s="10" t="s">
        <v>105</v>
      </c>
      <c r="H13" s="15" t="s">
        <v>98</v>
      </c>
      <c r="I13" s="15" t="s">
        <v>99</v>
      </c>
      <c r="J13" s="153">
        <v>20956</v>
      </c>
      <c r="K13" s="34"/>
      <c r="L13" s="133" t="s">
        <v>95</v>
      </c>
      <c r="M13" s="156">
        <v>902619.74002802349</v>
      </c>
      <c r="N13" s="127">
        <f>M13*'CPI - Index'!$C$9</f>
        <v>935118.05683302192</v>
      </c>
      <c r="O13" s="119"/>
      <c r="P13" s="185"/>
      <c r="Q13" s="10" t="s">
        <v>127</v>
      </c>
      <c r="R13" s="15" t="s">
        <v>31</v>
      </c>
      <c r="S13" s="147">
        <v>180759.2845005026</v>
      </c>
      <c r="T13" s="76">
        <f>S13*'CPI - Index'!$C$9</f>
        <v>187267.42101982998</v>
      </c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</row>
    <row r="14" spans="1:47">
      <c r="A14" s="34"/>
      <c r="B14" s="10" t="s">
        <v>7</v>
      </c>
      <c r="C14" s="86">
        <v>9.7386563747254442</v>
      </c>
      <c r="D14" s="64">
        <f>C14*'CPI - Index'!$C$9</f>
        <v>10.089291228014847</v>
      </c>
      <c r="E14" s="34"/>
      <c r="F14" s="34"/>
      <c r="G14" s="10"/>
      <c r="H14" s="15" t="s">
        <v>100</v>
      </c>
      <c r="I14" s="15" t="s">
        <v>99</v>
      </c>
      <c r="J14" s="154">
        <v>123</v>
      </c>
      <c r="K14" s="34"/>
      <c r="L14" s="133" t="s">
        <v>96</v>
      </c>
      <c r="M14" s="86">
        <v>0</v>
      </c>
      <c r="N14" s="127">
        <f>M14*'CPI - Index'!$C$9</f>
        <v>0</v>
      </c>
      <c r="O14" s="119"/>
      <c r="P14" s="185"/>
      <c r="Q14" s="10" t="s">
        <v>128</v>
      </c>
      <c r="R14" s="15" t="s">
        <v>31</v>
      </c>
      <c r="S14" s="147">
        <v>609500.37660981703</v>
      </c>
      <c r="T14" s="76">
        <f>S14*'CPI - Index'!$C$9</f>
        <v>631445.09535839735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</row>
    <row r="15" spans="1:47">
      <c r="A15" s="34"/>
      <c r="B15" s="10" t="s">
        <v>8</v>
      </c>
      <c r="C15" s="86">
        <v>8.1992299122560617</v>
      </c>
      <c r="D15" s="64">
        <f>C15*'CPI - Index'!$C$9</f>
        <v>8.4944385803461753</v>
      </c>
      <c r="E15" s="34"/>
      <c r="F15" s="34"/>
      <c r="G15" s="10"/>
      <c r="H15" s="15" t="s">
        <v>101</v>
      </c>
      <c r="I15" s="15" t="s">
        <v>99</v>
      </c>
      <c r="J15" s="154" t="s">
        <v>141</v>
      </c>
      <c r="K15" s="34"/>
      <c r="L15" s="133" t="s">
        <v>143</v>
      </c>
      <c r="M15" s="86">
        <v>401773.55697242811</v>
      </c>
      <c r="N15" s="127">
        <f>M15*'CPI - Index'!$C$9</f>
        <v>416239.18824474624</v>
      </c>
      <c r="O15" s="119"/>
      <c r="P15" s="34"/>
      <c r="Q15" s="34"/>
      <c r="R15" s="34"/>
      <c r="S15" s="34"/>
      <c r="T15" s="31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</row>
    <row r="16" spans="1:47" ht="15" customHeight="1">
      <c r="A16" s="34"/>
      <c r="B16" s="10" t="s">
        <v>9</v>
      </c>
      <c r="C16" s="86">
        <v>9.1333563599999987</v>
      </c>
      <c r="D16" s="64">
        <f>C16*'CPI - Index'!$C$9</f>
        <v>9.4621977262114356</v>
      </c>
      <c r="E16" s="34"/>
      <c r="F16" s="34"/>
      <c r="G16" s="10"/>
      <c r="H16" s="15" t="s">
        <v>102</v>
      </c>
      <c r="I16" s="15" t="s">
        <v>99</v>
      </c>
      <c r="J16" s="154">
        <v>440</v>
      </c>
      <c r="K16" s="34"/>
      <c r="L16" s="34"/>
      <c r="M16" s="34"/>
      <c r="N16" s="34"/>
      <c r="O16" s="34"/>
      <c r="P16" s="185" t="s">
        <v>110</v>
      </c>
      <c r="Q16" s="184" t="s">
        <v>124</v>
      </c>
      <c r="R16" s="107" t="s">
        <v>131</v>
      </c>
      <c r="S16" s="147">
        <v>23315206.194469843</v>
      </c>
      <c r="T16" s="76">
        <f>S16*'CPI - Index'!$C$9</f>
        <v>24154657.099075828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</row>
    <row r="17" spans="1:47">
      <c r="A17" s="34"/>
      <c r="B17" s="10" t="s">
        <v>10</v>
      </c>
      <c r="C17" s="86">
        <v>4.7634310554589039</v>
      </c>
      <c r="D17" s="64">
        <f>C17*'CPI - Index'!$C$9</f>
        <v>4.9349357153439906</v>
      </c>
      <c r="E17" s="34"/>
      <c r="F17" s="34"/>
      <c r="G17" s="10"/>
      <c r="H17" s="15" t="s">
        <v>103</v>
      </c>
      <c r="I17" s="15" t="s">
        <v>104</v>
      </c>
      <c r="J17" s="155">
        <v>1</v>
      </c>
      <c r="K17" s="34"/>
      <c r="L17" s="34"/>
      <c r="M17" s="34"/>
      <c r="N17" s="34"/>
      <c r="O17" s="34"/>
      <c r="P17" s="185"/>
      <c r="Q17" s="184"/>
      <c r="R17" s="107" t="s">
        <v>8</v>
      </c>
      <c r="S17" s="147">
        <v>8977189.6897694711</v>
      </c>
      <c r="T17" s="76">
        <f>S17*'CPI - Index'!$C$9</f>
        <v>9300408.3627265189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</row>
    <row r="18" spans="1:47">
      <c r="A18" s="34"/>
      <c r="B18" s="10" t="s">
        <v>11</v>
      </c>
      <c r="C18" s="86">
        <v>1.615178511371878</v>
      </c>
      <c r="D18" s="64">
        <f>C18*'CPI - Index'!$C$9</f>
        <v>1.6733321065475821</v>
      </c>
      <c r="E18" s="34"/>
      <c r="F18" s="34"/>
      <c r="G18" s="10" t="s">
        <v>106</v>
      </c>
      <c r="H18" s="15" t="s">
        <v>98</v>
      </c>
      <c r="I18" s="15" t="s">
        <v>99</v>
      </c>
      <c r="J18" s="154" t="s">
        <v>141</v>
      </c>
      <c r="K18" s="34"/>
      <c r="L18" s="34"/>
      <c r="M18" s="34"/>
      <c r="N18" s="34"/>
      <c r="O18" s="34"/>
      <c r="P18" s="185"/>
      <c r="Q18" s="184"/>
      <c r="R18" s="107" t="s">
        <v>132</v>
      </c>
      <c r="S18" s="147">
        <v>0</v>
      </c>
      <c r="T18" s="76">
        <f>S18*'CPI - Index'!$C$9</f>
        <v>0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>
      <c r="A19" s="34"/>
      <c r="B19" s="10" t="s">
        <v>12</v>
      </c>
      <c r="C19" s="86">
        <v>3.0008145027533266</v>
      </c>
      <c r="D19" s="64">
        <f>C19*'CPI - Index'!$C$9</f>
        <v>3.108857143589526</v>
      </c>
      <c r="E19" s="34"/>
      <c r="F19" s="34"/>
      <c r="G19" s="10"/>
      <c r="H19" s="15" t="s">
        <v>100</v>
      </c>
      <c r="I19" s="15" t="s">
        <v>99</v>
      </c>
      <c r="J19" s="158" t="s">
        <v>141</v>
      </c>
      <c r="K19" s="34"/>
      <c r="L19" s="34"/>
      <c r="M19" s="34"/>
      <c r="N19" s="34"/>
      <c r="O19" s="34"/>
      <c r="P19" s="185"/>
      <c r="Q19" s="10" t="s">
        <v>127</v>
      </c>
      <c r="R19" s="15" t="s">
        <v>31</v>
      </c>
      <c r="S19" s="147">
        <v>568100.92896227574</v>
      </c>
      <c r="T19" s="76">
        <f>S19*'CPI - Index'!$C$9</f>
        <v>588555.08384931239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</row>
    <row r="20" spans="1:47">
      <c r="A20" s="34"/>
      <c r="B20" s="10" t="s">
        <v>13</v>
      </c>
      <c r="C20" s="86">
        <v>13.300666676827156</v>
      </c>
      <c r="D20" s="64">
        <f>C20*'CPI - Index'!$C$9</f>
        <v>13.779549710526146</v>
      </c>
      <c r="E20" s="34"/>
      <c r="F20" s="34"/>
      <c r="G20" s="10"/>
      <c r="H20" s="15" t="s">
        <v>101</v>
      </c>
      <c r="I20" s="15" t="s">
        <v>99</v>
      </c>
      <c r="J20" s="154" t="s">
        <v>141</v>
      </c>
      <c r="K20" s="34"/>
      <c r="L20" s="34"/>
      <c r="M20" s="34"/>
      <c r="N20" s="34"/>
      <c r="O20" s="34"/>
      <c r="P20" s="185"/>
      <c r="Q20" s="10" t="s">
        <v>128</v>
      </c>
      <c r="R20" s="15" t="s">
        <v>31</v>
      </c>
      <c r="S20" s="147">
        <v>1915573.693001264</v>
      </c>
      <c r="T20" s="76">
        <f>S20*'CPI - Index'!$C$9</f>
        <v>1984542.847981791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>
      <c r="A21" s="34"/>
      <c r="B21" s="10" t="s">
        <v>14</v>
      </c>
      <c r="C21" s="86">
        <v>5.969319568127017</v>
      </c>
      <c r="D21" s="64">
        <f>C21*'CPI - Index'!$C$9</f>
        <v>6.184241566652382</v>
      </c>
      <c r="E21" s="34"/>
      <c r="F21" s="34"/>
      <c r="G21" s="10"/>
      <c r="H21" s="15" t="s">
        <v>102</v>
      </c>
      <c r="I21" s="15" t="s">
        <v>99</v>
      </c>
      <c r="J21" s="154">
        <v>35</v>
      </c>
      <c r="K21" s="34"/>
      <c r="L21" s="34"/>
      <c r="M21" s="34"/>
      <c r="N21" s="34"/>
      <c r="O21" s="34"/>
      <c r="P21" s="119"/>
      <c r="Q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</row>
    <row r="22" spans="1:47">
      <c r="A22" s="34"/>
      <c r="B22" s="10" t="s">
        <v>15</v>
      </c>
      <c r="C22" s="86">
        <v>2.9441532515486979</v>
      </c>
      <c r="D22" s="64">
        <f>C22*'CPI - Index'!$C$9</f>
        <v>3.0501558358577063</v>
      </c>
      <c r="E22" s="34"/>
      <c r="F22" s="34"/>
      <c r="G22" s="10"/>
      <c r="H22" s="15" t="s">
        <v>103</v>
      </c>
      <c r="I22" s="15" t="s">
        <v>104</v>
      </c>
      <c r="J22" s="155">
        <v>1</v>
      </c>
      <c r="K22" s="34"/>
      <c r="L22" s="34"/>
      <c r="M22" s="34"/>
      <c r="N22" s="34"/>
      <c r="O22" s="34"/>
      <c r="P22" s="1" t="s">
        <v>139</v>
      </c>
      <c r="Q22" s="122"/>
      <c r="R22" s="122"/>
      <c r="S22" s="126" t="s">
        <v>134</v>
      </c>
      <c r="T22" s="122" t="s">
        <v>150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5" customHeight="1">
      <c r="A23" s="34"/>
      <c r="B23" s="10" t="s">
        <v>16</v>
      </c>
      <c r="C23" s="86">
        <v>9.2654418804556187</v>
      </c>
      <c r="D23" s="64">
        <f>C23*'CPI - Index'!$C$9</f>
        <v>9.5990389116483978</v>
      </c>
      <c r="E23" s="34"/>
      <c r="F23" s="34"/>
      <c r="G23" s="10" t="s">
        <v>107</v>
      </c>
      <c r="H23" s="15" t="s">
        <v>98</v>
      </c>
      <c r="I23" s="15" t="s">
        <v>99</v>
      </c>
      <c r="J23" s="154" t="s">
        <v>141</v>
      </c>
      <c r="K23" s="34"/>
      <c r="L23" s="34"/>
      <c r="M23" s="34"/>
      <c r="N23" s="34"/>
      <c r="O23" s="34"/>
      <c r="P23" s="181" t="s">
        <v>111</v>
      </c>
      <c r="Q23" s="10" t="s">
        <v>124</v>
      </c>
      <c r="R23" s="145" t="s">
        <v>9</v>
      </c>
      <c r="S23" s="147">
        <v>9133356.3600000013</v>
      </c>
      <c r="T23" s="148">
        <f>S23*'CPI - Index'!$C$9</f>
        <v>9462197.726211438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</row>
    <row r="24" spans="1:47">
      <c r="A24" s="34"/>
      <c r="B24" s="10" t="s">
        <v>17</v>
      </c>
      <c r="C24" s="86">
        <v>16.213055179753482</v>
      </c>
      <c r="D24" s="64">
        <f>C24*'CPI - Index'!$C$9</f>
        <v>16.79679712582724</v>
      </c>
      <c r="E24" s="34"/>
      <c r="F24" s="34"/>
      <c r="G24" s="10"/>
      <c r="H24" s="15" t="s">
        <v>100</v>
      </c>
      <c r="I24" s="15" t="s">
        <v>99</v>
      </c>
      <c r="J24" s="154">
        <v>2</v>
      </c>
      <c r="K24" s="34"/>
      <c r="L24" s="34"/>
      <c r="M24" s="34"/>
      <c r="N24" s="34"/>
      <c r="O24" s="34"/>
      <c r="P24" s="181"/>
      <c r="Q24" s="144"/>
      <c r="R24" s="145" t="s">
        <v>135</v>
      </c>
      <c r="S24" s="147">
        <v>4763431.0554589042</v>
      </c>
      <c r="T24" s="148">
        <f>S24*'CPI - Index'!$C$9</f>
        <v>4934935.7153439904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>
      <c r="A25" s="34"/>
      <c r="B25" s="10" t="s">
        <v>18</v>
      </c>
      <c r="C25" s="86">
        <v>10.06724893524451</v>
      </c>
      <c r="D25" s="64">
        <f>C25*'CPI - Index'!$C$9</f>
        <v>10.429714579129278</v>
      </c>
      <c r="E25" s="34"/>
      <c r="F25" s="34"/>
      <c r="G25" s="10"/>
      <c r="H25" s="15" t="s">
        <v>101</v>
      </c>
      <c r="I25" s="15" t="s">
        <v>99</v>
      </c>
      <c r="J25" s="154" t="s">
        <v>141</v>
      </c>
      <c r="K25" s="34"/>
      <c r="L25" s="34"/>
      <c r="M25" s="34"/>
      <c r="N25" s="34"/>
      <c r="O25" s="34"/>
      <c r="P25" s="181"/>
      <c r="Q25" s="144"/>
      <c r="R25" s="145" t="s">
        <v>83</v>
      </c>
      <c r="S25" s="147">
        <v>1809903.4819506898</v>
      </c>
      <c r="T25" s="148">
        <f>S25*'CPI - Index'!$C$9</f>
        <v>1875068.0403294784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</row>
    <row r="26" spans="1:47">
      <c r="A26" s="34"/>
      <c r="B26" s="34"/>
      <c r="C26" s="30"/>
      <c r="D26" s="30"/>
      <c r="E26" s="34"/>
      <c r="F26" s="34"/>
      <c r="G26" s="10"/>
      <c r="H26" s="15" t="s">
        <v>102</v>
      </c>
      <c r="I26" s="15" t="s">
        <v>99</v>
      </c>
      <c r="J26" s="154">
        <v>9</v>
      </c>
      <c r="K26" s="34"/>
      <c r="L26" s="34"/>
      <c r="M26" s="34"/>
      <c r="N26" s="34"/>
      <c r="O26" s="34"/>
      <c r="P26" s="181"/>
      <c r="Q26" s="144"/>
      <c r="R26" s="145" t="s">
        <v>12</v>
      </c>
      <c r="S26" s="147">
        <v>3588548.7161794575</v>
      </c>
      <c r="T26" s="148">
        <f>S26*'CPI - Index'!$C$9</f>
        <v>3717752.3972832514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</row>
    <row r="27" spans="1:47">
      <c r="A27" s="34"/>
      <c r="B27" s="192" t="s">
        <v>39</v>
      </c>
      <c r="C27" s="192"/>
      <c r="D27" s="192"/>
      <c r="E27" s="34"/>
      <c r="F27" s="34"/>
      <c r="G27" s="10"/>
      <c r="H27" s="15" t="s">
        <v>103</v>
      </c>
      <c r="I27" s="15" t="s">
        <v>104</v>
      </c>
      <c r="J27" s="155">
        <v>1</v>
      </c>
      <c r="K27" s="34"/>
      <c r="L27" s="34"/>
      <c r="M27" s="34"/>
      <c r="N27" s="34"/>
      <c r="O27" s="34"/>
      <c r="P27" s="181"/>
      <c r="Q27" s="144"/>
      <c r="R27" s="145" t="s">
        <v>13</v>
      </c>
      <c r="S27" s="147">
        <v>13388496.041083604</v>
      </c>
      <c r="T27" s="148">
        <f>S27*'CPI - Index'!$C$9</f>
        <v>13870541.321715394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</row>
    <row r="28" spans="1:47">
      <c r="A28" s="34"/>
      <c r="B28" s="10" t="s">
        <v>151</v>
      </c>
      <c r="C28" s="86">
        <v>0</v>
      </c>
      <c r="D28" s="64">
        <f>C28*'CPI - Index'!C9</f>
        <v>0</v>
      </c>
      <c r="E28" s="34"/>
      <c r="F28" s="34"/>
      <c r="G28" s="10" t="s">
        <v>108</v>
      </c>
      <c r="H28" s="15" t="s">
        <v>98</v>
      </c>
      <c r="I28" s="15" t="s">
        <v>99</v>
      </c>
      <c r="J28" s="153">
        <v>9749</v>
      </c>
      <c r="K28" s="34"/>
      <c r="L28" s="34"/>
      <c r="M28" s="34"/>
      <c r="N28" s="34"/>
      <c r="O28" s="34"/>
      <c r="P28" s="181"/>
      <c r="Q28" s="144"/>
      <c r="R28" s="145" t="s">
        <v>14</v>
      </c>
      <c r="S28" s="147">
        <v>5969319.5681270137</v>
      </c>
      <c r="T28" s="148">
        <f>S28*'CPI - Index'!$C$9</f>
        <v>6184241.5666523781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</row>
    <row r="29" spans="1:47">
      <c r="A29" s="34"/>
      <c r="B29" s="10" t="s">
        <v>49</v>
      </c>
      <c r="C29" s="156" t="s">
        <v>162</v>
      </c>
      <c r="D29" s="127" t="s">
        <v>162</v>
      </c>
      <c r="E29" s="34"/>
      <c r="F29" s="34"/>
      <c r="G29" s="10"/>
      <c r="H29" s="15" t="s">
        <v>100</v>
      </c>
      <c r="I29" s="15" t="s">
        <v>99</v>
      </c>
      <c r="J29" s="154">
        <v>1</v>
      </c>
      <c r="K29" s="34"/>
      <c r="L29" s="34"/>
      <c r="M29" s="34"/>
      <c r="N29" s="34"/>
      <c r="O29" s="34"/>
      <c r="P29" s="181"/>
      <c r="Q29" s="144"/>
      <c r="R29" s="145" t="s">
        <v>15</v>
      </c>
      <c r="S29" s="147">
        <v>2944153.2515486972</v>
      </c>
      <c r="T29" s="148">
        <f>S29*'CPI - Index'!$C$9</f>
        <v>3050155.8358577057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</row>
    <row r="30" spans="1:47">
      <c r="A30" s="34"/>
      <c r="B30" s="34"/>
      <c r="C30" s="30"/>
      <c r="D30" s="30"/>
      <c r="E30" s="34"/>
      <c r="F30" s="34"/>
      <c r="G30" s="10"/>
      <c r="H30" s="15" t="s">
        <v>101</v>
      </c>
      <c r="I30" s="15" t="s">
        <v>99</v>
      </c>
      <c r="J30" s="154" t="s">
        <v>141</v>
      </c>
      <c r="K30" s="34"/>
      <c r="L30" s="34"/>
      <c r="M30" s="34"/>
      <c r="N30" s="34"/>
      <c r="O30" s="34"/>
      <c r="P30" s="181"/>
      <c r="Q30" s="144"/>
      <c r="R30" s="145" t="s">
        <v>16</v>
      </c>
      <c r="S30" s="147">
        <v>9265441.8804556169</v>
      </c>
      <c r="T30" s="148">
        <f>S30*'CPI - Index'!$C$9</f>
        <v>9599038.9116483964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</row>
    <row r="31" spans="1:47" ht="15.75" thickBot="1">
      <c r="A31" s="34"/>
      <c r="B31" s="50" t="s">
        <v>19</v>
      </c>
      <c r="C31" s="72"/>
      <c r="D31" s="72"/>
      <c r="E31" s="34"/>
      <c r="F31" s="34"/>
      <c r="G31" s="10"/>
      <c r="H31" s="15" t="s">
        <v>102</v>
      </c>
      <c r="I31" s="15" t="s">
        <v>99</v>
      </c>
      <c r="J31" s="154">
        <v>60</v>
      </c>
      <c r="K31" s="34"/>
      <c r="L31" s="34"/>
      <c r="M31" s="34"/>
      <c r="N31" s="34"/>
      <c r="O31" s="34"/>
      <c r="P31" s="181"/>
      <c r="Q31" s="144"/>
      <c r="R31" s="145" t="s">
        <v>136</v>
      </c>
      <c r="S31" s="147">
        <v>17258711.226258069</v>
      </c>
      <c r="T31" s="148">
        <f>S31*'CPI - Index'!$C$9</f>
        <v>17880101.431018606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</row>
    <row r="32" spans="1:47" ht="15.75" thickTop="1">
      <c r="A32" s="34"/>
      <c r="B32" s="11" t="s">
        <v>19</v>
      </c>
      <c r="C32" s="87">
        <v>167.697125509221</v>
      </c>
      <c r="D32" s="73">
        <f>C32*'CPI - Index'!$C$9</f>
        <v>173.73496633011536</v>
      </c>
      <c r="E32" s="34"/>
      <c r="F32" s="34"/>
      <c r="G32" s="10"/>
      <c r="H32" s="15" t="s">
        <v>103</v>
      </c>
      <c r="I32" s="15" t="s">
        <v>104</v>
      </c>
      <c r="J32" s="155">
        <v>1</v>
      </c>
      <c r="K32" s="34"/>
      <c r="L32" s="34"/>
      <c r="M32" s="34"/>
      <c r="N32" s="34"/>
      <c r="O32" s="34"/>
      <c r="P32" s="181"/>
      <c r="Q32" s="144"/>
      <c r="R32" s="145" t="s">
        <v>18</v>
      </c>
      <c r="S32" s="147">
        <v>10067248.935244512</v>
      </c>
      <c r="T32" s="148">
        <f>S32*'CPI - Index'!$C$9</f>
        <v>10429714.579129279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</row>
    <row r="33" spans="1:5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181"/>
      <c r="Q33" s="144"/>
      <c r="R33" s="145" t="s">
        <v>137</v>
      </c>
      <c r="S33" s="147">
        <v>0</v>
      </c>
      <c r="T33" s="148">
        <f>S33*'CPI - Index'!$C$9</f>
        <v>0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</row>
    <row r="34" spans="1:52">
      <c r="A34" s="34"/>
      <c r="B34" s="6" t="s">
        <v>73</v>
      </c>
      <c r="C34" s="1"/>
      <c r="D34" s="1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181"/>
      <c r="Q34" s="10" t="s">
        <v>127</v>
      </c>
      <c r="R34" s="10" t="s">
        <v>31</v>
      </c>
      <c r="S34" s="147">
        <v>1375525.7562125504</v>
      </c>
      <c r="T34" s="148">
        <f>S34*'CPI - Index'!$C$9</f>
        <v>1425050.7885339602</v>
      </c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</row>
    <row r="35" spans="1:52">
      <c r="A35" s="34"/>
      <c r="B35" s="10" t="s">
        <v>26</v>
      </c>
      <c r="C35" s="88">
        <v>0.7007122719409361</v>
      </c>
      <c r="D35" s="89">
        <f>C35</f>
        <v>0.7007122719409361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181"/>
      <c r="Q35" s="10" t="s">
        <v>128</v>
      </c>
      <c r="R35" s="10" t="s">
        <v>31</v>
      </c>
      <c r="S35" s="147">
        <v>4638121.1829023464</v>
      </c>
      <c r="T35" s="148">
        <f>S35*'CPI - Index'!$C$9</f>
        <v>4805114.1312033162</v>
      </c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</row>
    <row r="36" spans="1:52">
      <c r="A36" s="34"/>
      <c r="B36" s="34"/>
      <c r="C36" s="124"/>
      <c r="D36" s="12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143"/>
      <c r="Q36" s="31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</row>
    <row r="37" spans="1:52" ht="15.75" thickBot="1">
      <c r="A37" s="34"/>
      <c r="B37" s="103" t="s">
        <v>74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146" t="s">
        <v>125</v>
      </c>
      <c r="Q37" s="31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</row>
    <row r="38" spans="1:52" ht="15.75" thickTop="1">
      <c r="A38" s="34"/>
      <c r="B38" s="34" t="s">
        <v>163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</row>
    <row r="39" spans="1:5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</row>
    <row r="40" spans="1:5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</row>
    <row r="41" spans="1:5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</row>
    <row r="42" spans="1:5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</row>
    <row r="43" spans="1:5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</row>
    <row r="44" spans="1:5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</row>
    <row r="45" spans="1:5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</row>
    <row r="46" spans="1:5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</row>
    <row r="47" spans="1:5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</row>
    <row r="48" spans="1:5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</row>
    <row r="49" spans="1:5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</row>
    <row r="50" spans="1:5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</row>
    <row r="51" spans="1:5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</row>
    <row r="52" spans="1:5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</row>
    <row r="53" spans="1:5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</row>
    <row r="54" spans="1:5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</row>
    <row r="55" spans="1:5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</row>
    <row r="56" spans="1:5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</row>
    <row r="57" spans="1:5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</row>
    <row r="58" spans="1:5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</row>
    <row r="59" spans="1:5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</row>
    <row r="60" spans="1:5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</row>
    <row r="61" spans="1:5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</row>
    <row r="62" spans="1:5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</row>
    <row r="63" spans="1:5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</row>
    <row r="64" spans="1:5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</row>
    <row r="65" spans="1:5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</row>
    <row r="66" spans="1:5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</row>
    <row r="67" spans="1:5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</row>
    <row r="68" spans="1:5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</row>
    <row r="69" spans="1:5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</row>
    <row r="70" spans="1:5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</row>
    <row r="71" spans="1:5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</row>
    <row r="72" spans="1:5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</row>
    <row r="73" spans="1:5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</row>
    <row r="74" spans="1:5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</row>
    <row r="75" spans="1:5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</row>
    <row r="76" spans="1:5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</row>
    <row r="77" spans="1:5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</row>
    <row r="78" spans="1:5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</row>
    <row r="79" spans="1:5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</row>
    <row r="80" spans="1:54">
      <c r="A80" s="34"/>
      <c r="B80" s="34"/>
      <c r="C80" s="34"/>
      <c r="D80" s="34"/>
      <c r="E80" s="34"/>
      <c r="F80" s="34"/>
      <c r="G80" s="34"/>
      <c r="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</row>
    <row r="81" spans="1:47">
      <c r="A81" s="34"/>
      <c r="B81" s="34"/>
      <c r="C81" s="34"/>
      <c r="D81" s="34"/>
      <c r="E81" s="34"/>
      <c r="F81" s="34"/>
      <c r="G81" s="34"/>
      <c r="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</row>
    <row r="82" spans="1:47">
      <c r="A82" s="34"/>
      <c r="B82" s="34"/>
      <c r="C82" s="34"/>
      <c r="D82" s="34"/>
      <c r="E82" s="34"/>
      <c r="F82" s="34"/>
      <c r="G82" s="34"/>
      <c r="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</row>
    <row r="83" spans="1:47">
      <c r="A83" s="34"/>
      <c r="B83" s="34"/>
      <c r="C83" s="34"/>
      <c r="D83" s="34"/>
      <c r="E83" s="34"/>
      <c r="F83" s="34"/>
      <c r="G83" s="34"/>
      <c r="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</row>
    <row r="84" spans="1:47">
      <c r="A84" s="34"/>
      <c r="B84" s="34"/>
      <c r="C84" s="34"/>
      <c r="D84" s="34"/>
      <c r="E84" s="34"/>
      <c r="F84" s="34"/>
      <c r="G84" s="34"/>
      <c r="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</row>
    <row r="85" spans="1:47">
      <c r="A85" s="34"/>
      <c r="B85" s="34"/>
      <c r="C85" s="34"/>
      <c r="D85" s="34"/>
      <c r="E85" s="34"/>
      <c r="F85" s="34"/>
      <c r="G85" s="34"/>
      <c r="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>
      <c r="A86" s="34"/>
      <c r="B86" s="34"/>
      <c r="C86" s="34"/>
      <c r="D86" s="34"/>
      <c r="E86" s="34"/>
      <c r="F86" s="34"/>
      <c r="G86" s="34"/>
      <c r="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>
      <c r="A87" s="34"/>
      <c r="B87" s="34"/>
      <c r="C87" s="34"/>
      <c r="D87" s="34"/>
      <c r="E87" s="34"/>
      <c r="F87" s="34"/>
      <c r="G87" s="34"/>
      <c r="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</row>
    <row r="88" spans="1:47">
      <c r="A88" s="34"/>
      <c r="B88" s="34"/>
      <c r="C88" s="34"/>
      <c r="D88" s="34"/>
      <c r="E88" s="34"/>
      <c r="F88" s="34"/>
      <c r="G88" s="34"/>
      <c r="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</row>
    <row r="89" spans="1:47">
      <c r="A89" s="34"/>
      <c r="B89" s="34"/>
      <c r="C89" s="34"/>
      <c r="D89" s="34"/>
      <c r="E89" s="34"/>
      <c r="F89" s="34"/>
      <c r="G89" s="34"/>
      <c r="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</row>
    <row r="90" spans="1:47">
      <c r="A90" s="34"/>
      <c r="B90" s="34"/>
      <c r="C90" s="34"/>
      <c r="D90" s="34"/>
      <c r="E90" s="34"/>
      <c r="F90" s="34"/>
      <c r="G90" s="34"/>
      <c r="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>
      <c r="A91" s="34"/>
      <c r="B91" s="34"/>
      <c r="C91" s="34"/>
      <c r="D91" s="34"/>
      <c r="E91" s="34"/>
      <c r="F91" s="34"/>
      <c r="G91" s="34"/>
      <c r="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</row>
    <row r="92" spans="1:47">
      <c r="A92" s="34"/>
      <c r="B92" s="34"/>
      <c r="C92" s="34"/>
      <c r="D92" s="34"/>
      <c r="E92" s="34"/>
      <c r="F92" s="34"/>
      <c r="G92" s="34"/>
      <c r="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</row>
    <row r="93" spans="1:47">
      <c r="A93" s="34"/>
      <c r="B93" s="34"/>
      <c r="C93" s="34"/>
      <c r="D93" s="34"/>
      <c r="E93" s="34"/>
      <c r="F93" s="34"/>
      <c r="G93" s="34"/>
      <c r="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</row>
    <row r="94" spans="1:47">
      <c r="A94" s="34"/>
      <c r="B94" s="34"/>
      <c r="C94" s="34"/>
      <c r="D94" s="34"/>
      <c r="E94" s="34"/>
      <c r="F94" s="34"/>
      <c r="G94" s="34"/>
      <c r="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</row>
    <row r="95" spans="1:47">
      <c r="A95" s="34"/>
      <c r="B95" s="34"/>
      <c r="C95" s="34"/>
      <c r="D95" s="34"/>
      <c r="E95" s="34"/>
      <c r="F95" s="34"/>
      <c r="G95" s="34"/>
      <c r="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</row>
    <row r="96" spans="1:47">
      <c r="A96" s="34"/>
      <c r="B96" s="34"/>
      <c r="C96" s="34"/>
      <c r="D96" s="34"/>
      <c r="E96" s="34"/>
      <c r="F96" s="34"/>
      <c r="G96" s="34"/>
      <c r="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</row>
    <row r="97" spans="1:47">
      <c r="A97" s="34"/>
      <c r="B97" s="34"/>
      <c r="C97" s="34"/>
      <c r="D97" s="34"/>
      <c r="E97" s="34"/>
      <c r="F97" s="34"/>
      <c r="G97" s="34"/>
      <c r="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</row>
    <row r="98" spans="1:47">
      <c r="A98" s="34"/>
      <c r="B98" s="34"/>
      <c r="C98" s="34"/>
      <c r="D98" s="34"/>
      <c r="E98" s="34"/>
      <c r="F98" s="34"/>
      <c r="G98" s="34"/>
      <c r="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</row>
    <row r="99" spans="1:47">
      <c r="A99" s="34"/>
      <c r="B99" s="34"/>
      <c r="C99" s="34"/>
      <c r="D99" s="34"/>
      <c r="E99" s="34"/>
      <c r="F99" s="34"/>
      <c r="G99" s="34"/>
      <c r="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</row>
    <row r="100" spans="1:47">
      <c r="A100" s="34"/>
      <c r="B100" s="34"/>
      <c r="C100" s="34"/>
      <c r="D100" s="34"/>
      <c r="E100" s="34"/>
      <c r="F100" s="34"/>
      <c r="G100" s="34"/>
      <c r="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</row>
    <row r="101" spans="1:47">
      <c r="A101" s="34"/>
      <c r="B101" s="34"/>
      <c r="C101" s="34"/>
      <c r="D101" s="34"/>
      <c r="E101" s="34"/>
      <c r="F101" s="34"/>
      <c r="G101" s="34"/>
      <c r="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</row>
    <row r="102" spans="1:47">
      <c r="A102" s="34"/>
      <c r="B102" s="34"/>
      <c r="C102" s="34"/>
      <c r="D102" s="34"/>
      <c r="E102" s="34"/>
      <c r="F102" s="34"/>
      <c r="G102" s="34"/>
      <c r="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</row>
    <row r="103" spans="1:47">
      <c r="A103" s="34"/>
      <c r="B103" s="34"/>
      <c r="C103" s="34"/>
      <c r="D103" s="34"/>
      <c r="E103" s="34"/>
      <c r="F103" s="34"/>
      <c r="G103" s="34"/>
      <c r="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</row>
    <row r="104" spans="1:47">
      <c r="A104" s="34"/>
      <c r="B104" s="34"/>
      <c r="C104" s="34"/>
      <c r="D104" s="34"/>
      <c r="E104" s="34"/>
      <c r="F104" s="34"/>
      <c r="G104" s="34"/>
      <c r="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</row>
    <row r="105" spans="1:47">
      <c r="A105" s="34"/>
      <c r="B105" s="34"/>
      <c r="C105" s="34"/>
      <c r="D105" s="34"/>
      <c r="E105" s="34"/>
      <c r="F105" s="34"/>
      <c r="G105" s="34"/>
      <c r="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</row>
    <row r="106" spans="1:47">
      <c r="A106" s="34"/>
      <c r="B106" s="34"/>
      <c r="C106" s="34"/>
      <c r="D106" s="34"/>
      <c r="E106" s="34"/>
      <c r="F106" s="34"/>
      <c r="G106" s="34"/>
      <c r="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</row>
    <row r="107" spans="1:47">
      <c r="A107" s="34"/>
      <c r="B107" s="34"/>
      <c r="C107" s="34"/>
      <c r="D107" s="34"/>
      <c r="E107" s="34"/>
      <c r="F107" s="34"/>
      <c r="G107" s="34"/>
      <c r="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</row>
    <row r="108" spans="1:47">
      <c r="A108" s="34"/>
      <c r="B108" s="34"/>
      <c r="C108" s="34"/>
      <c r="D108" s="34"/>
      <c r="E108" s="34"/>
      <c r="F108" s="34"/>
      <c r="G108" s="34"/>
      <c r="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</row>
    <row r="109" spans="1:47">
      <c r="A109" s="34"/>
      <c r="B109" s="34"/>
      <c r="C109" s="34"/>
      <c r="D109" s="34"/>
      <c r="E109" s="34"/>
      <c r="F109" s="34"/>
      <c r="G109" s="34"/>
      <c r="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</row>
    <row r="110" spans="1:47">
      <c r="A110" s="34"/>
      <c r="B110" s="34"/>
      <c r="C110" s="34"/>
      <c r="D110" s="34"/>
      <c r="E110" s="34"/>
      <c r="F110" s="34"/>
      <c r="G110" s="34"/>
      <c r="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</row>
    <row r="111" spans="1:47">
      <c r="A111" s="34"/>
      <c r="B111" s="34"/>
      <c r="C111" s="34"/>
      <c r="D111" s="34"/>
      <c r="E111" s="34"/>
      <c r="F111" s="34"/>
      <c r="G111" s="34"/>
      <c r="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</row>
    <row r="112" spans="1:47">
      <c r="A112" s="34"/>
      <c r="B112" s="34"/>
      <c r="C112" s="34"/>
      <c r="D112" s="34"/>
      <c r="E112" s="34"/>
      <c r="F112" s="34"/>
      <c r="G112" s="34"/>
      <c r="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</row>
    <row r="113" spans="1:47">
      <c r="A113" s="34"/>
      <c r="B113" s="34"/>
      <c r="C113" s="34"/>
      <c r="D113" s="34"/>
      <c r="E113" s="34"/>
      <c r="F113" s="34"/>
      <c r="G113" s="34"/>
      <c r="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</row>
    <row r="114" spans="1:47">
      <c r="A114" s="34"/>
      <c r="B114" s="34"/>
      <c r="C114" s="34"/>
      <c r="D114" s="34"/>
      <c r="E114" s="34"/>
      <c r="F114" s="34"/>
      <c r="G114" s="34"/>
      <c r="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</row>
    <row r="115" spans="1:47">
      <c r="A115" s="34"/>
      <c r="B115" s="34"/>
      <c r="C115" s="34"/>
      <c r="D115" s="34"/>
      <c r="E115" s="34"/>
      <c r="F115" s="34"/>
      <c r="G115" s="34"/>
      <c r="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</row>
    <row r="116" spans="1:47">
      <c r="A116" s="34"/>
      <c r="B116" s="34"/>
      <c r="C116" s="34"/>
      <c r="D116" s="34"/>
      <c r="E116" s="34"/>
      <c r="F116" s="34"/>
      <c r="G116" s="34"/>
      <c r="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</row>
    <row r="117" spans="1:47">
      <c r="A117" s="34"/>
      <c r="B117" s="34"/>
      <c r="C117" s="34"/>
      <c r="D117" s="34"/>
      <c r="E117" s="34"/>
      <c r="F117" s="34"/>
      <c r="G117" s="34"/>
      <c r="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</row>
    <row r="118" spans="1:47">
      <c r="A118" s="34"/>
      <c r="B118" s="34"/>
      <c r="C118" s="34"/>
      <c r="D118" s="34"/>
      <c r="E118" s="34"/>
      <c r="F118" s="34"/>
      <c r="G118" s="34"/>
      <c r="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</row>
    <row r="119" spans="1:47">
      <c r="A119" s="34"/>
      <c r="B119" s="34"/>
      <c r="C119" s="34"/>
      <c r="D119" s="34"/>
      <c r="E119" s="34"/>
      <c r="F119" s="34"/>
      <c r="G119" s="34"/>
      <c r="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</row>
    <row r="120" spans="1:47">
      <c r="A120" s="34"/>
      <c r="B120" s="34"/>
      <c r="C120" s="34"/>
      <c r="D120" s="34"/>
      <c r="E120" s="34"/>
      <c r="F120" s="34"/>
      <c r="G120" s="34"/>
      <c r="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</row>
    <row r="121" spans="1:47">
      <c r="A121" s="34"/>
      <c r="B121" s="34"/>
      <c r="C121" s="34"/>
      <c r="D121" s="34"/>
      <c r="E121" s="34"/>
      <c r="F121" s="34"/>
      <c r="G121" s="34"/>
      <c r="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</row>
    <row r="122" spans="1:47">
      <c r="A122" s="34"/>
      <c r="B122" s="34"/>
      <c r="C122" s="34"/>
      <c r="D122" s="34"/>
      <c r="E122" s="34"/>
      <c r="F122" s="34"/>
      <c r="G122" s="34"/>
      <c r="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</row>
    <row r="123" spans="1:47">
      <c r="A123" s="34"/>
      <c r="B123" s="34"/>
      <c r="C123" s="34"/>
      <c r="D123" s="34"/>
      <c r="E123" s="34"/>
      <c r="F123" s="34"/>
      <c r="G123" s="34"/>
      <c r="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</row>
    <row r="124" spans="1:47">
      <c r="A124" s="34"/>
      <c r="B124" s="34"/>
      <c r="C124" s="34"/>
      <c r="D124" s="34"/>
      <c r="E124" s="34"/>
      <c r="F124" s="34"/>
      <c r="G124" s="34"/>
      <c r="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</row>
    <row r="125" spans="1:47">
      <c r="A125" s="34"/>
      <c r="B125" s="34"/>
      <c r="C125" s="34"/>
      <c r="D125" s="34"/>
      <c r="E125" s="34"/>
      <c r="F125" s="34"/>
      <c r="G125" s="34"/>
      <c r="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</row>
    <row r="126" spans="1:47">
      <c r="A126" s="34"/>
      <c r="B126" s="34"/>
      <c r="C126" s="34"/>
      <c r="D126" s="34"/>
      <c r="E126" s="34"/>
      <c r="F126" s="34"/>
      <c r="G126" s="34"/>
      <c r="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</row>
    <row r="127" spans="1:47">
      <c r="A127" s="34"/>
      <c r="B127" s="34"/>
      <c r="C127" s="34"/>
      <c r="D127" s="34"/>
      <c r="E127" s="34"/>
      <c r="F127" s="34"/>
      <c r="G127" s="34"/>
      <c r="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</row>
    <row r="128" spans="1:47">
      <c r="A128" s="34"/>
      <c r="B128" s="34"/>
      <c r="C128" s="34"/>
      <c r="D128" s="34"/>
      <c r="E128" s="34"/>
      <c r="F128" s="34"/>
      <c r="G128" s="34"/>
      <c r="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</row>
    <row r="129" spans="1:47">
      <c r="A129" s="34"/>
      <c r="B129" s="34"/>
      <c r="C129" s="34"/>
      <c r="D129" s="34"/>
      <c r="E129" s="34"/>
      <c r="F129" s="34"/>
      <c r="G129" s="34"/>
      <c r="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</row>
    <row r="130" spans="1:47">
      <c r="A130" s="34"/>
      <c r="B130" s="34"/>
      <c r="C130" s="34"/>
      <c r="D130" s="34"/>
      <c r="E130" s="34"/>
      <c r="F130" s="34"/>
      <c r="G130" s="34"/>
      <c r="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</row>
    <row r="131" spans="1:47">
      <c r="A131" s="34"/>
      <c r="B131" s="34"/>
      <c r="C131" s="34"/>
      <c r="D131" s="34"/>
      <c r="E131" s="34"/>
      <c r="F131" s="34"/>
      <c r="G131" s="34"/>
      <c r="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</row>
    <row r="132" spans="1:47">
      <c r="A132" s="34"/>
      <c r="B132" s="34"/>
      <c r="C132" s="34"/>
      <c r="D132" s="34"/>
      <c r="E132" s="34"/>
      <c r="F132" s="34"/>
      <c r="G132" s="34"/>
      <c r="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</row>
    <row r="133" spans="1:47">
      <c r="A133" s="34"/>
      <c r="B133" s="34"/>
      <c r="C133" s="34"/>
      <c r="D133" s="34"/>
      <c r="E133" s="34"/>
      <c r="F133" s="34"/>
      <c r="G133" s="34"/>
      <c r="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</row>
    <row r="134" spans="1:47">
      <c r="A134" s="34"/>
      <c r="B134" s="34"/>
      <c r="C134" s="34"/>
      <c r="D134" s="34"/>
      <c r="E134" s="34"/>
      <c r="F134" s="34"/>
      <c r="G134" s="34"/>
      <c r="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</row>
    <row r="135" spans="1:47">
      <c r="A135" s="34"/>
      <c r="B135" s="34"/>
      <c r="C135" s="34"/>
      <c r="D135" s="34"/>
      <c r="E135" s="34"/>
      <c r="F135" s="34"/>
      <c r="G135" s="34"/>
      <c r="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</row>
    <row r="136" spans="1:47">
      <c r="A136" s="34"/>
      <c r="B136" s="34"/>
      <c r="C136" s="34"/>
      <c r="D136" s="34"/>
      <c r="E136" s="34"/>
      <c r="F136" s="34"/>
      <c r="G136" s="34"/>
      <c r="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</row>
    <row r="137" spans="1:47">
      <c r="A137" s="34"/>
      <c r="B137" s="34"/>
      <c r="C137" s="34"/>
      <c r="D137" s="34"/>
      <c r="E137" s="34"/>
      <c r="F137" s="34"/>
      <c r="G137" s="34"/>
      <c r="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</row>
    <row r="138" spans="1:47">
      <c r="A138" s="34"/>
      <c r="B138" s="34"/>
      <c r="C138" s="34"/>
      <c r="D138" s="34"/>
      <c r="E138" s="34"/>
      <c r="F138" s="34"/>
      <c r="G138" s="34"/>
      <c r="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</row>
    <row r="139" spans="1:47">
      <c r="A139" s="34"/>
      <c r="B139" s="34"/>
      <c r="C139" s="34"/>
      <c r="D139" s="34"/>
      <c r="E139" s="34"/>
      <c r="F139" s="34"/>
      <c r="G139" s="34"/>
      <c r="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</row>
    <row r="140" spans="1:47">
      <c r="A140" s="34"/>
      <c r="B140" s="34"/>
      <c r="C140" s="34"/>
      <c r="D140" s="34"/>
      <c r="E140" s="34"/>
      <c r="F140" s="34"/>
      <c r="G140" s="34"/>
      <c r="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</row>
    <row r="141" spans="1:47">
      <c r="A141" s="34"/>
      <c r="B141" s="34"/>
      <c r="C141" s="34"/>
      <c r="D141" s="34"/>
      <c r="E141" s="34"/>
      <c r="F141" s="34"/>
      <c r="G141" s="34"/>
      <c r="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</row>
    <row r="142" spans="1:47">
      <c r="A142" s="34"/>
      <c r="B142" s="34"/>
      <c r="C142" s="34"/>
      <c r="D142" s="34"/>
      <c r="E142" s="34"/>
      <c r="F142" s="34"/>
      <c r="G142" s="34"/>
      <c r="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</row>
    <row r="143" spans="1:47">
      <c r="A143" s="34"/>
      <c r="B143" s="34"/>
      <c r="C143" s="34"/>
      <c r="D143" s="34"/>
      <c r="E143" s="34"/>
      <c r="F143" s="34"/>
      <c r="G143" s="34"/>
      <c r="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</row>
    <row r="144" spans="1:47">
      <c r="A144" s="34"/>
      <c r="B144" s="34"/>
      <c r="C144" s="34"/>
      <c r="D144" s="34"/>
      <c r="E144" s="34"/>
      <c r="F144" s="34"/>
      <c r="G144" s="34"/>
      <c r="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</row>
    <row r="145" spans="1:47">
      <c r="A145" s="34"/>
      <c r="B145" s="34"/>
      <c r="C145" s="34"/>
      <c r="D145" s="34"/>
      <c r="E145" s="34"/>
      <c r="F145" s="34"/>
      <c r="G145" s="34"/>
      <c r="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</row>
    <row r="146" spans="1:47">
      <c r="A146" s="34"/>
      <c r="B146" s="34"/>
      <c r="C146" s="34"/>
      <c r="D146" s="34"/>
      <c r="E146" s="34"/>
      <c r="F146" s="34"/>
      <c r="G146" s="34"/>
      <c r="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</row>
    <row r="147" spans="1:47">
      <c r="A147" s="34"/>
      <c r="B147" s="34"/>
      <c r="C147" s="34"/>
      <c r="D147" s="34"/>
      <c r="E147" s="34"/>
      <c r="F147" s="34"/>
      <c r="G147" s="34"/>
      <c r="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</row>
    <row r="148" spans="1:47">
      <c r="A148" s="34"/>
      <c r="B148" s="34"/>
      <c r="C148" s="34"/>
      <c r="D148" s="34"/>
      <c r="E148" s="34"/>
      <c r="F148" s="34"/>
      <c r="G148" s="34"/>
      <c r="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</row>
    <row r="149" spans="1:47">
      <c r="A149" s="34"/>
      <c r="B149" s="34"/>
      <c r="C149" s="34"/>
      <c r="D149" s="34"/>
      <c r="E149" s="34"/>
      <c r="F149" s="34"/>
      <c r="G149" s="34"/>
      <c r="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</row>
    <row r="150" spans="1:47">
      <c r="A150" s="34"/>
      <c r="B150" s="34"/>
      <c r="C150" s="34"/>
      <c r="D150" s="34"/>
      <c r="E150" s="34"/>
      <c r="F150" s="34"/>
      <c r="G150" s="34"/>
      <c r="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</row>
    <row r="151" spans="1:47">
      <c r="A151" s="34"/>
      <c r="B151" s="34"/>
      <c r="C151" s="34"/>
      <c r="D151" s="34"/>
      <c r="E151" s="34"/>
      <c r="F151" s="34"/>
      <c r="G151" s="34"/>
      <c r="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</row>
    <row r="152" spans="1:47">
      <c r="A152" s="34"/>
      <c r="B152" s="34"/>
      <c r="C152" s="34"/>
      <c r="D152" s="34"/>
      <c r="E152" s="34"/>
      <c r="F152" s="34"/>
      <c r="G152" s="34"/>
      <c r="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</row>
    <row r="153" spans="1:47">
      <c r="A153" s="34"/>
      <c r="B153" s="34"/>
      <c r="C153" s="34"/>
      <c r="D153" s="34"/>
      <c r="E153" s="34"/>
      <c r="F153" s="34"/>
      <c r="G153" s="34"/>
      <c r="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</row>
    <row r="154" spans="1:47">
      <c r="A154" s="34"/>
      <c r="B154" s="34"/>
      <c r="C154" s="34"/>
      <c r="D154" s="34"/>
      <c r="E154" s="34"/>
      <c r="F154" s="34"/>
      <c r="G154" s="34"/>
      <c r="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</row>
    <row r="155" spans="1:47">
      <c r="A155" s="34"/>
      <c r="B155" s="34"/>
      <c r="C155" s="34"/>
      <c r="D155" s="34"/>
      <c r="E155" s="34"/>
      <c r="F155" s="34"/>
      <c r="G155" s="34"/>
      <c r="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</row>
    <row r="156" spans="1:47">
      <c r="A156" s="34"/>
      <c r="B156" s="34"/>
      <c r="C156" s="34"/>
      <c r="D156" s="34"/>
      <c r="E156" s="34"/>
      <c r="F156" s="34"/>
      <c r="G156" s="34"/>
      <c r="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</row>
    <row r="157" spans="1:47">
      <c r="A157" s="34"/>
      <c r="B157" s="34"/>
      <c r="C157" s="34"/>
      <c r="D157" s="34"/>
      <c r="E157" s="34"/>
      <c r="F157" s="34"/>
      <c r="G157" s="34"/>
      <c r="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</row>
    <row r="158" spans="1:47">
      <c r="A158" s="34"/>
      <c r="B158" s="34"/>
      <c r="C158" s="34"/>
      <c r="D158" s="34"/>
      <c r="E158" s="34"/>
      <c r="F158" s="34"/>
      <c r="G158" s="34"/>
      <c r="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</row>
    <row r="159" spans="1:47">
      <c r="A159" s="34"/>
      <c r="B159" s="34"/>
      <c r="C159" s="34"/>
      <c r="D159" s="34"/>
      <c r="E159" s="34"/>
      <c r="F159" s="34"/>
      <c r="G159" s="34"/>
      <c r="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</row>
    <row r="160" spans="1:47">
      <c r="A160" s="34"/>
      <c r="B160" s="34"/>
      <c r="C160" s="34"/>
      <c r="D160" s="34"/>
      <c r="E160" s="34"/>
      <c r="F160" s="34"/>
      <c r="G160" s="34"/>
      <c r="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</row>
    <row r="161" spans="1:47">
      <c r="A161" s="34"/>
      <c r="B161" s="34"/>
      <c r="C161" s="34"/>
      <c r="D161" s="34"/>
      <c r="E161" s="34"/>
      <c r="F161" s="34"/>
      <c r="G161" s="34"/>
      <c r="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</row>
    <row r="162" spans="1:47">
      <c r="A162" s="34"/>
      <c r="B162" s="34"/>
      <c r="C162" s="34"/>
      <c r="D162" s="34"/>
      <c r="E162" s="34"/>
      <c r="F162" s="34"/>
      <c r="G162" s="34"/>
      <c r="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</row>
    <row r="163" spans="1:47">
      <c r="A163" s="34"/>
      <c r="B163" s="34"/>
      <c r="C163" s="34"/>
      <c r="D163" s="34"/>
      <c r="E163" s="34"/>
      <c r="F163" s="34"/>
      <c r="G163" s="34"/>
      <c r="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</row>
    <row r="164" spans="1:47">
      <c r="A164" s="34"/>
      <c r="B164" s="34"/>
      <c r="C164" s="34"/>
      <c r="D164" s="34"/>
      <c r="E164" s="34"/>
      <c r="F164" s="34"/>
      <c r="G164" s="34"/>
      <c r="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</row>
    <row r="165" spans="1:47">
      <c r="A165" s="34"/>
      <c r="B165" s="34"/>
      <c r="C165" s="34"/>
      <c r="D165" s="34"/>
      <c r="E165" s="34"/>
      <c r="F165" s="34"/>
      <c r="G165" s="34"/>
      <c r="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</row>
    <row r="166" spans="1:47">
      <c r="A166" s="34"/>
      <c r="B166" s="34"/>
      <c r="C166" s="34"/>
      <c r="D166" s="34"/>
      <c r="E166" s="34"/>
      <c r="F166" s="34"/>
      <c r="G166" s="34"/>
      <c r="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</row>
    <row r="167" spans="1:47">
      <c r="A167" s="34"/>
      <c r="B167" s="34"/>
      <c r="C167" s="34"/>
      <c r="D167" s="34"/>
      <c r="E167" s="34"/>
      <c r="F167" s="34"/>
      <c r="G167" s="34"/>
      <c r="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</row>
    <row r="168" spans="1:47">
      <c r="A168" s="34"/>
      <c r="B168" s="34"/>
      <c r="C168" s="34"/>
      <c r="D168" s="34"/>
      <c r="E168" s="34"/>
      <c r="F168" s="34"/>
      <c r="G168" s="34"/>
      <c r="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</row>
    <row r="169" spans="1:47">
      <c r="A169" s="34"/>
      <c r="B169" s="34"/>
      <c r="C169" s="34"/>
      <c r="D169" s="34"/>
      <c r="E169" s="34"/>
      <c r="F169" s="34"/>
      <c r="G169" s="34"/>
      <c r="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</row>
    <row r="170" spans="1:47">
      <c r="A170" s="34"/>
      <c r="B170" s="34"/>
      <c r="C170" s="34"/>
      <c r="D170" s="34"/>
      <c r="E170" s="34"/>
      <c r="F170" s="34"/>
      <c r="G170" s="34"/>
      <c r="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</row>
    <row r="171" spans="1:47">
      <c r="A171" s="34"/>
      <c r="B171" s="34"/>
      <c r="C171" s="34"/>
      <c r="D171" s="34"/>
      <c r="E171" s="34"/>
      <c r="F171" s="34"/>
      <c r="G171" s="34"/>
      <c r="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</row>
    <row r="172" spans="1:47">
      <c r="A172" s="34"/>
      <c r="B172" s="34"/>
      <c r="C172" s="34"/>
      <c r="D172" s="34"/>
      <c r="E172" s="34"/>
      <c r="F172" s="34"/>
      <c r="G172" s="34"/>
      <c r="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</row>
    <row r="173" spans="1:47">
      <c r="A173" s="34"/>
      <c r="B173" s="34"/>
      <c r="C173" s="34"/>
      <c r="D173" s="34"/>
      <c r="E173" s="34"/>
      <c r="F173" s="34"/>
      <c r="G173" s="34"/>
      <c r="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</row>
    <row r="174" spans="1:47">
      <c r="A174" s="34"/>
      <c r="B174" s="34"/>
      <c r="C174" s="34"/>
      <c r="D174" s="34"/>
      <c r="E174" s="34"/>
      <c r="F174" s="34"/>
      <c r="G174" s="34"/>
      <c r="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</row>
    <row r="175" spans="1:47">
      <c r="A175" s="34"/>
      <c r="B175" s="34"/>
      <c r="C175" s="34"/>
      <c r="D175" s="34"/>
      <c r="E175" s="34"/>
      <c r="F175" s="34"/>
      <c r="G175" s="34"/>
      <c r="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</row>
    <row r="176" spans="1:47">
      <c r="A176" s="34"/>
      <c r="B176" s="34"/>
      <c r="C176" s="34"/>
      <c r="D176" s="34"/>
      <c r="E176" s="34"/>
      <c r="F176" s="34"/>
      <c r="G176" s="34"/>
      <c r="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</row>
    <row r="177" spans="1:47">
      <c r="A177" s="34"/>
      <c r="B177" s="34"/>
      <c r="C177" s="34"/>
      <c r="D177" s="34"/>
      <c r="E177" s="34"/>
      <c r="F177" s="34"/>
      <c r="G177" s="34"/>
      <c r="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</row>
    <row r="178" spans="1:47">
      <c r="A178" s="34"/>
      <c r="B178" s="34"/>
      <c r="C178" s="34"/>
      <c r="D178" s="34"/>
      <c r="E178" s="34"/>
      <c r="F178" s="34"/>
      <c r="G178" s="34"/>
      <c r="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</row>
    <row r="179" spans="1:47">
      <c r="A179" s="34"/>
      <c r="B179" s="34"/>
      <c r="C179" s="34"/>
      <c r="D179" s="34"/>
      <c r="E179" s="34"/>
      <c r="F179" s="34"/>
      <c r="G179" s="34"/>
      <c r="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</row>
    <row r="180" spans="1:47">
      <c r="A180" s="34"/>
      <c r="B180" s="34"/>
      <c r="C180" s="34"/>
      <c r="D180" s="34"/>
      <c r="E180" s="34"/>
      <c r="F180" s="34"/>
      <c r="G180" s="34"/>
      <c r="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</row>
    <row r="181" spans="1:47">
      <c r="A181" s="34"/>
      <c r="B181" s="34"/>
      <c r="C181" s="34"/>
      <c r="D181" s="34"/>
      <c r="E181" s="34"/>
      <c r="F181" s="34"/>
      <c r="G181" s="34"/>
      <c r="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</row>
    <row r="182" spans="1:47">
      <c r="A182" s="34"/>
      <c r="B182" s="34"/>
      <c r="C182" s="34"/>
      <c r="D182" s="34"/>
      <c r="E182" s="34"/>
      <c r="F182" s="34"/>
      <c r="G182" s="34"/>
      <c r="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</row>
    <row r="183" spans="1:47">
      <c r="A183" s="34"/>
      <c r="B183" s="34"/>
      <c r="C183" s="34"/>
      <c r="D183" s="34"/>
      <c r="E183" s="34"/>
      <c r="F183" s="34"/>
      <c r="G183" s="34"/>
      <c r="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</row>
    <row r="184" spans="1:47">
      <c r="A184" s="34"/>
      <c r="B184" s="34"/>
      <c r="C184" s="34"/>
      <c r="D184" s="34"/>
      <c r="E184" s="34"/>
      <c r="F184" s="34"/>
      <c r="G184" s="34"/>
      <c r="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</row>
    <row r="185" spans="1:47">
      <c r="A185" s="34"/>
      <c r="B185" s="34"/>
      <c r="C185" s="34"/>
      <c r="D185" s="34"/>
      <c r="E185" s="34"/>
      <c r="F185" s="34"/>
      <c r="G185" s="34"/>
      <c r="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</row>
    <row r="186" spans="1:47">
      <c r="A186" s="34"/>
      <c r="B186" s="34"/>
      <c r="C186" s="34"/>
      <c r="D186" s="34"/>
      <c r="E186" s="34"/>
      <c r="F186" s="34"/>
      <c r="G186" s="34"/>
      <c r="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</row>
    <row r="187" spans="1:47">
      <c r="A187" s="34"/>
      <c r="B187" s="34"/>
      <c r="C187" s="34"/>
      <c r="D187" s="34"/>
      <c r="E187" s="34"/>
      <c r="F187" s="34"/>
      <c r="G187" s="34"/>
      <c r="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</row>
    <row r="188" spans="1:47">
      <c r="A188" s="34"/>
      <c r="B188" s="34"/>
      <c r="C188" s="34"/>
      <c r="D188" s="34"/>
      <c r="E188" s="34"/>
      <c r="F188" s="34"/>
      <c r="G188" s="34"/>
      <c r="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</row>
    <row r="189" spans="1:47">
      <c r="A189" s="34"/>
      <c r="B189" s="34"/>
      <c r="C189" s="34"/>
      <c r="D189" s="34"/>
      <c r="E189" s="34"/>
      <c r="F189" s="34"/>
      <c r="G189" s="34"/>
      <c r="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</row>
    <row r="190" spans="1:47">
      <c r="A190" s="34"/>
      <c r="B190" s="34"/>
      <c r="C190" s="34"/>
      <c r="D190" s="34"/>
      <c r="E190" s="34"/>
      <c r="F190" s="34"/>
      <c r="G190" s="34"/>
      <c r="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</row>
    <row r="191" spans="1:47">
      <c r="A191" s="34"/>
      <c r="B191" s="34"/>
      <c r="C191" s="34"/>
      <c r="D191" s="34"/>
      <c r="E191" s="34"/>
      <c r="F191" s="34"/>
      <c r="G191" s="34"/>
      <c r="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</row>
    <row r="192" spans="1:47">
      <c r="A192" s="34"/>
      <c r="B192" s="34"/>
      <c r="C192" s="34"/>
      <c r="D192" s="34"/>
      <c r="E192" s="34"/>
      <c r="F192" s="34"/>
      <c r="G192" s="34"/>
      <c r="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</row>
    <row r="193" spans="1:47">
      <c r="A193" s="34"/>
      <c r="B193" s="34"/>
      <c r="C193" s="34"/>
      <c r="D193" s="34"/>
      <c r="E193" s="34"/>
      <c r="F193" s="34"/>
      <c r="G193" s="34"/>
      <c r="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</row>
    <row r="194" spans="1:47">
      <c r="A194" s="34"/>
      <c r="B194" s="34"/>
      <c r="C194" s="34"/>
      <c r="D194" s="34"/>
      <c r="E194" s="34"/>
      <c r="F194" s="34"/>
      <c r="G194" s="34"/>
      <c r="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</row>
    <row r="195" spans="1:47">
      <c r="A195" s="34"/>
      <c r="B195" s="34"/>
      <c r="C195" s="34"/>
      <c r="D195" s="34"/>
      <c r="E195" s="34"/>
      <c r="F195" s="34"/>
      <c r="G195" s="34"/>
      <c r="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</row>
    <row r="196" spans="1:47">
      <c r="A196" s="34"/>
      <c r="B196" s="34"/>
      <c r="C196" s="34"/>
      <c r="D196" s="34"/>
      <c r="E196" s="34"/>
      <c r="F196" s="34"/>
      <c r="G196" s="34"/>
      <c r="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</row>
    <row r="197" spans="1:47">
      <c r="A197" s="34"/>
      <c r="B197" s="34"/>
      <c r="C197" s="34"/>
      <c r="D197" s="34"/>
      <c r="E197" s="34"/>
      <c r="F197" s="34"/>
      <c r="G197" s="34"/>
      <c r="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</row>
    <row r="198" spans="1:47">
      <c r="A198" s="34"/>
      <c r="B198" s="34"/>
      <c r="C198" s="34"/>
      <c r="D198" s="34"/>
      <c r="E198" s="34"/>
      <c r="F198" s="34"/>
      <c r="G198" s="34"/>
      <c r="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</row>
    <row r="199" spans="1:47">
      <c r="A199" s="34"/>
      <c r="B199" s="34"/>
      <c r="C199" s="34"/>
      <c r="D199" s="34"/>
      <c r="E199" s="34"/>
      <c r="F199" s="34"/>
      <c r="G199" s="34"/>
      <c r="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</row>
    <row r="200" spans="1:47">
      <c r="A200" s="34"/>
      <c r="B200" s="34"/>
      <c r="C200" s="34"/>
      <c r="D200" s="34"/>
      <c r="E200" s="34"/>
      <c r="F200" s="34"/>
      <c r="G200" s="34"/>
      <c r="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</row>
    <row r="201" spans="1:47">
      <c r="A201" s="34"/>
      <c r="B201" s="34"/>
      <c r="C201" s="34"/>
      <c r="D201" s="34"/>
      <c r="E201" s="34"/>
      <c r="F201" s="34"/>
      <c r="G201" s="34"/>
      <c r="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</row>
    <row r="202" spans="1:47">
      <c r="A202" s="34"/>
      <c r="B202" s="34"/>
      <c r="C202" s="34"/>
      <c r="D202" s="34"/>
      <c r="E202" s="34"/>
      <c r="F202" s="34"/>
      <c r="G202" s="34"/>
      <c r="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</row>
    <row r="203" spans="1:47">
      <c r="A203" s="34"/>
      <c r="B203" s="34"/>
      <c r="C203" s="34"/>
      <c r="D203" s="34"/>
      <c r="E203" s="34"/>
      <c r="F203" s="34"/>
      <c r="G203" s="34"/>
      <c r="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</row>
    <row r="204" spans="1:47">
      <c r="A204" s="34"/>
      <c r="B204" s="34"/>
      <c r="C204" s="34"/>
      <c r="D204" s="34"/>
      <c r="E204" s="34"/>
      <c r="F204" s="34"/>
      <c r="G204" s="34"/>
      <c r="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</row>
    <row r="205" spans="1:47">
      <c r="A205" s="34"/>
      <c r="B205" s="34"/>
      <c r="C205" s="34"/>
      <c r="D205" s="34"/>
      <c r="E205" s="34"/>
      <c r="F205" s="34"/>
      <c r="G205" s="34"/>
      <c r="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</row>
    <row r="206" spans="1:47">
      <c r="A206" s="34"/>
      <c r="B206" s="34"/>
      <c r="C206" s="34"/>
      <c r="D206" s="34"/>
      <c r="E206" s="34"/>
      <c r="F206" s="34"/>
      <c r="G206" s="34"/>
      <c r="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</row>
    <row r="207" spans="1:47">
      <c r="A207" s="34"/>
      <c r="B207" s="34"/>
      <c r="C207" s="34"/>
      <c r="D207" s="34"/>
      <c r="E207" s="34"/>
      <c r="F207" s="34"/>
      <c r="G207" s="34"/>
      <c r="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</row>
    <row r="208" spans="1:47">
      <c r="A208" s="34"/>
      <c r="B208" s="34"/>
      <c r="C208" s="34"/>
      <c r="D208" s="34"/>
      <c r="E208" s="34"/>
      <c r="F208" s="34"/>
      <c r="G208" s="34"/>
      <c r="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</row>
    <row r="209" spans="1:47">
      <c r="A209" s="34"/>
      <c r="B209" s="34"/>
      <c r="C209" s="34"/>
      <c r="D209" s="34"/>
      <c r="E209" s="34"/>
      <c r="F209" s="34"/>
      <c r="G209" s="34"/>
      <c r="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</row>
    <row r="210" spans="1:47">
      <c r="A210" s="34"/>
      <c r="B210" s="34"/>
      <c r="C210" s="34"/>
      <c r="D210" s="34"/>
      <c r="E210" s="34"/>
      <c r="F210" s="34"/>
      <c r="G210" s="34"/>
      <c r="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</row>
    <row r="211" spans="1:47">
      <c r="A211" s="34"/>
      <c r="B211" s="34"/>
      <c r="C211" s="34"/>
      <c r="D211" s="34"/>
      <c r="E211" s="34"/>
      <c r="F211" s="34"/>
      <c r="G211" s="34"/>
      <c r="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</row>
    <row r="212" spans="1:47">
      <c r="A212" s="34"/>
      <c r="B212" s="34"/>
      <c r="C212" s="34"/>
      <c r="D212" s="34"/>
      <c r="E212" s="34"/>
      <c r="F212" s="34"/>
      <c r="G212" s="34"/>
      <c r="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</row>
    <row r="213" spans="1:47">
      <c r="A213" s="34"/>
      <c r="B213" s="34"/>
      <c r="C213" s="34"/>
      <c r="D213" s="34"/>
      <c r="E213" s="34"/>
      <c r="F213" s="34"/>
      <c r="G213" s="34"/>
      <c r="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</row>
    <row r="214" spans="1:47">
      <c r="A214" s="34"/>
      <c r="B214" s="34"/>
      <c r="C214" s="34"/>
      <c r="D214" s="34"/>
      <c r="E214" s="34"/>
      <c r="F214" s="34"/>
      <c r="G214" s="34"/>
      <c r="H214" s="34"/>
    </row>
    <row r="215" spans="1:47">
      <c r="A215" s="34"/>
      <c r="B215" s="34"/>
      <c r="C215" s="34"/>
      <c r="D215" s="34"/>
      <c r="E215" s="34"/>
      <c r="F215" s="34"/>
      <c r="G215" s="34"/>
      <c r="H215" s="34"/>
    </row>
    <row r="216" spans="1:47">
      <c r="A216" s="34"/>
      <c r="B216" s="34"/>
      <c r="C216" s="34"/>
      <c r="D216" s="34"/>
      <c r="E216" s="34"/>
      <c r="F216" s="34"/>
      <c r="G216" s="34"/>
      <c r="H216" s="34"/>
    </row>
    <row r="217" spans="1:47">
      <c r="A217" s="34"/>
      <c r="B217" s="34"/>
      <c r="C217" s="34"/>
      <c r="D217" s="34"/>
      <c r="E217" s="34"/>
      <c r="F217" s="34"/>
      <c r="G217" s="34"/>
      <c r="H217" s="34"/>
    </row>
    <row r="218" spans="1:47">
      <c r="A218" s="34"/>
      <c r="B218" s="34"/>
      <c r="C218" s="34"/>
      <c r="D218" s="34"/>
      <c r="E218" s="34"/>
      <c r="F218" s="34"/>
      <c r="G218" s="34"/>
      <c r="H218" s="34"/>
    </row>
    <row r="219" spans="1:47">
      <c r="A219" s="34"/>
      <c r="B219" s="34"/>
      <c r="C219" s="34"/>
      <c r="D219" s="34"/>
      <c r="E219" s="34"/>
      <c r="F219" s="34"/>
      <c r="G219" s="34"/>
      <c r="H219" s="34"/>
    </row>
    <row r="220" spans="1:47">
      <c r="A220" s="34"/>
      <c r="B220" s="34"/>
      <c r="C220" s="34"/>
      <c r="D220" s="34"/>
      <c r="E220" s="34"/>
      <c r="F220" s="34"/>
      <c r="G220" s="34"/>
      <c r="H220" s="34"/>
    </row>
    <row r="221" spans="1:47">
      <c r="A221" s="34"/>
      <c r="B221" s="34"/>
      <c r="C221" s="34"/>
      <c r="D221" s="34"/>
      <c r="E221" s="34"/>
      <c r="F221" s="34"/>
      <c r="G221" s="34"/>
      <c r="H221" s="34"/>
    </row>
    <row r="222" spans="1:47">
      <c r="A222" s="34"/>
      <c r="B222" s="34"/>
      <c r="C222" s="34"/>
      <c r="D222" s="34"/>
      <c r="E222" s="34"/>
      <c r="F222" s="34"/>
      <c r="G222" s="34"/>
      <c r="H222" s="34"/>
    </row>
    <row r="223" spans="1:47">
      <c r="A223" s="34"/>
      <c r="B223" s="34"/>
      <c r="C223" s="34"/>
      <c r="D223" s="34"/>
      <c r="E223" s="34"/>
      <c r="F223" s="34"/>
      <c r="G223" s="34"/>
      <c r="H223" s="34"/>
    </row>
    <row r="224" spans="1:47">
      <c r="A224" s="34"/>
      <c r="B224" s="34"/>
      <c r="C224" s="34"/>
      <c r="D224" s="34"/>
      <c r="E224" s="34"/>
      <c r="F224" s="34"/>
      <c r="G224" s="34"/>
      <c r="H224" s="34"/>
    </row>
    <row r="225" spans="1:8">
      <c r="A225" s="34"/>
      <c r="B225" s="34"/>
      <c r="C225" s="34"/>
      <c r="D225" s="34"/>
      <c r="E225" s="34"/>
      <c r="F225" s="34"/>
      <c r="G225" s="34"/>
      <c r="H225" s="34"/>
    </row>
    <row r="226" spans="1:8">
      <c r="A226" s="34"/>
      <c r="B226" s="34"/>
      <c r="C226" s="34"/>
      <c r="D226" s="34"/>
      <c r="E226" s="34"/>
      <c r="F226" s="34"/>
      <c r="G226" s="34"/>
      <c r="H226" s="34"/>
    </row>
    <row r="227" spans="1:8">
      <c r="A227" s="34"/>
      <c r="B227" s="34"/>
      <c r="C227" s="34"/>
      <c r="D227" s="34"/>
      <c r="E227" s="34"/>
      <c r="F227" s="34"/>
      <c r="G227" s="34"/>
      <c r="H227" s="34"/>
    </row>
    <row r="228" spans="1:8">
      <c r="A228" s="34"/>
      <c r="B228" s="34"/>
      <c r="C228" s="34"/>
      <c r="D228" s="34"/>
      <c r="E228" s="34"/>
      <c r="F228" s="34"/>
      <c r="G228" s="34"/>
      <c r="H228" s="34"/>
    </row>
    <row r="229" spans="1:8">
      <c r="A229" s="34"/>
      <c r="B229" s="34"/>
      <c r="C229" s="34"/>
      <c r="D229" s="34"/>
      <c r="E229" s="34"/>
      <c r="F229" s="34"/>
      <c r="G229" s="34"/>
      <c r="H229" s="34"/>
    </row>
    <row r="230" spans="1:8">
      <c r="A230" s="34"/>
      <c r="B230" s="34"/>
      <c r="C230" s="34"/>
      <c r="D230" s="34"/>
      <c r="E230" s="34"/>
      <c r="F230" s="34"/>
      <c r="G230" s="34"/>
      <c r="H230" s="34"/>
    </row>
    <row r="231" spans="1:8">
      <c r="A231" s="34"/>
      <c r="B231" s="34"/>
      <c r="C231" s="34"/>
      <c r="D231" s="34"/>
      <c r="E231" s="34"/>
      <c r="F231" s="34"/>
      <c r="G231" s="34"/>
      <c r="H231" s="34"/>
    </row>
    <row r="232" spans="1:8">
      <c r="A232" s="34"/>
      <c r="B232" s="34"/>
      <c r="C232" s="34"/>
      <c r="D232" s="34"/>
      <c r="E232" s="34"/>
      <c r="F232" s="34"/>
      <c r="G232" s="34"/>
      <c r="H232" s="34"/>
    </row>
    <row r="233" spans="1:8">
      <c r="A233" s="34"/>
      <c r="B233" s="34"/>
      <c r="C233" s="34"/>
      <c r="D233" s="34"/>
      <c r="E233" s="34"/>
      <c r="F233" s="34"/>
      <c r="G233" s="34"/>
      <c r="H233" s="34"/>
    </row>
    <row r="234" spans="1:8">
      <c r="A234" s="34"/>
      <c r="B234" s="34"/>
      <c r="C234" s="34"/>
      <c r="D234" s="34"/>
      <c r="E234" s="34"/>
      <c r="F234" s="34"/>
      <c r="G234" s="34"/>
      <c r="H234" s="34"/>
    </row>
    <row r="235" spans="1:8">
      <c r="A235" s="34"/>
      <c r="B235" s="34"/>
      <c r="C235" s="34"/>
      <c r="D235" s="34"/>
      <c r="E235" s="34"/>
      <c r="F235" s="34"/>
      <c r="G235" s="34"/>
      <c r="H235" s="34"/>
    </row>
  </sheetData>
  <mergeCells count="19">
    <mergeCell ref="L4:N4"/>
    <mergeCell ref="L6:N6"/>
    <mergeCell ref="C5:D5"/>
    <mergeCell ref="B27:D27"/>
    <mergeCell ref="B4:D4"/>
    <mergeCell ref="C6:D6"/>
    <mergeCell ref="G6:J6"/>
    <mergeCell ref="G5:J5"/>
    <mergeCell ref="G4:J4"/>
    <mergeCell ref="V4:X4"/>
    <mergeCell ref="V5:X6"/>
    <mergeCell ref="P23:P35"/>
    <mergeCell ref="P5:Q6"/>
    <mergeCell ref="Q16:Q18"/>
    <mergeCell ref="P16:P20"/>
    <mergeCell ref="S6:T6"/>
    <mergeCell ref="P4:T4"/>
    <mergeCell ref="P8:P10"/>
    <mergeCell ref="P12:P14"/>
  </mergeCells>
  <dataValidations disablePrompts="1" count="1">
    <dataValidation type="custom" allowBlank="1" showInputMessage="1" showErrorMessage="1" error="Must be a number" promptTitle="Expenditure" prompt="Enter expenditure in thousands ($000s)" sqref="S34:S35">
      <formula1>ISNUMBER(S34)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Width="2" orientation="landscape" horizontalDpi="300" verticalDpi="300" r:id="rId1"/>
  <colBreaks count="2" manualBreakCount="2">
    <brk id="11" max="38" man="1"/>
    <brk id="25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6"/>
  <sheetViews>
    <sheetView zoomScale="85" zoomScaleNormal="85" workbookViewId="0">
      <selection activeCell="B31" sqref="B31"/>
    </sheetView>
  </sheetViews>
  <sheetFormatPr defaultRowHeight="15"/>
  <cols>
    <col min="2" max="2" width="42.28515625" bestFit="1" customWidth="1"/>
    <col min="3" max="9" width="13.28515625" customWidth="1"/>
  </cols>
  <sheetData>
    <row r="1" spans="1:2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18.75">
      <c r="A2" s="34"/>
      <c r="B2" s="83" t="s">
        <v>77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>
      <c r="A4" s="34"/>
      <c r="B4" s="3"/>
      <c r="C4" s="197" t="s">
        <v>60</v>
      </c>
      <c r="D4" s="198"/>
      <c r="E4" s="199" t="s">
        <v>61</v>
      </c>
      <c r="F4" s="200"/>
      <c r="G4" s="200"/>
      <c r="H4" s="200"/>
      <c r="I4" s="200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>
      <c r="A5" s="34"/>
      <c r="B5" s="3" t="s">
        <v>43</v>
      </c>
      <c r="C5" s="55" t="s">
        <v>62</v>
      </c>
      <c r="D5" s="56" t="s">
        <v>33</v>
      </c>
      <c r="E5" s="9" t="s">
        <v>37</v>
      </c>
      <c r="F5" s="4" t="s">
        <v>38</v>
      </c>
      <c r="G5" s="4" t="s">
        <v>40</v>
      </c>
      <c r="H5" s="4" t="s">
        <v>41</v>
      </c>
      <c r="I5" s="4" t="s">
        <v>42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>
      <c r="A6" s="34"/>
      <c r="B6" s="20" t="s">
        <v>35</v>
      </c>
      <c r="C6" s="195"/>
      <c r="D6" s="196"/>
      <c r="E6" s="196"/>
      <c r="F6" s="196"/>
      <c r="G6" s="196"/>
      <c r="H6" s="196"/>
      <c r="I6" s="196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>
      <c r="A7" s="34"/>
      <c r="B7" s="10" t="s">
        <v>24</v>
      </c>
      <c r="C7" s="98">
        <v>2.3908812494750926E-2</v>
      </c>
      <c r="D7" s="99">
        <v>2.3908812494750926E-2</v>
      </c>
      <c r="E7" s="98">
        <v>2.3908812494750926E-2</v>
      </c>
      <c r="F7" s="99">
        <v>2.3908812494750926E-2</v>
      </c>
      <c r="G7" s="99">
        <v>2.3908812494750926E-2</v>
      </c>
      <c r="H7" s="99">
        <v>2.3908812494750926E-2</v>
      </c>
      <c r="I7" s="99">
        <v>2.3908812494750926E-2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>
      <c r="A8" s="34"/>
      <c r="B8" s="10" t="s">
        <v>147</v>
      </c>
      <c r="C8" s="98">
        <v>3.0695478685716201E-2</v>
      </c>
      <c r="D8" s="99">
        <v>3.429230860335352E-2</v>
      </c>
      <c r="E8" s="98">
        <v>3.4736594328885421E-2</v>
      </c>
      <c r="F8" s="99">
        <v>3.6707782285207102E-2</v>
      </c>
      <c r="G8" s="99">
        <v>4.1059838540830951E-2</v>
      </c>
      <c r="H8" s="99">
        <v>4.3246856990885811E-2</v>
      </c>
      <c r="I8" s="99">
        <v>4.2863912369322854E-2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>
      <c r="A9" s="34"/>
      <c r="B9" s="10" t="s">
        <v>148</v>
      </c>
      <c r="C9" s="65">
        <f t="shared" ref="C9:I9" si="0">C8-C7</f>
        <v>6.7866661909652751E-3</v>
      </c>
      <c r="D9" s="63">
        <f t="shared" si="0"/>
        <v>1.0383496108602595E-2</v>
      </c>
      <c r="E9" s="65">
        <f t="shared" si="0"/>
        <v>1.0827781834134496E-2</v>
      </c>
      <c r="F9" s="63">
        <f t="shared" si="0"/>
        <v>1.2798969790456177E-2</v>
      </c>
      <c r="G9" s="63">
        <f t="shared" si="0"/>
        <v>1.7151026046080025E-2</v>
      </c>
      <c r="H9" s="63">
        <f t="shared" si="0"/>
        <v>1.9338044496134885E-2</v>
      </c>
      <c r="I9" s="63">
        <f t="shared" si="0"/>
        <v>1.8955099874571928E-2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>
      <c r="A10" s="34"/>
      <c r="B10" s="34"/>
      <c r="C10" s="32"/>
      <c r="D10" s="31"/>
      <c r="E10" s="31"/>
      <c r="F10" s="31"/>
      <c r="G10" s="31"/>
      <c r="H10" s="31"/>
      <c r="I10" s="31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>
      <c r="A11" s="34"/>
      <c r="B11" s="29" t="s">
        <v>25</v>
      </c>
      <c r="C11" s="193" t="s">
        <v>48</v>
      </c>
      <c r="D11" s="194"/>
      <c r="E11" s="194"/>
      <c r="F11" s="194"/>
      <c r="G11" s="194"/>
      <c r="H11" s="194"/>
      <c r="I11" s="19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>
      <c r="A12" s="34"/>
      <c r="B12" s="27" t="s">
        <v>155</v>
      </c>
      <c r="C12" s="169">
        <v>13076.770587588922</v>
      </c>
      <c r="D12" s="170">
        <v>13076.839851411356</v>
      </c>
      <c r="E12" s="169">
        <v>13088.549297235882</v>
      </c>
      <c r="F12" s="170">
        <v>13156.830018536128</v>
      </c>
      <c r="G12" s="170">
        <v>13211.512104024063</v>
      </c>
      <c r="H12" s="170">
        <v>13220.702680854221</v>
      </c>
      <c r="I12" s="170">
        <v>13571.028260033667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>
      <c r="A13" s="34"/>
      <c r="B13" s="27" t="s">
        <v>158</v>
      </c>
      <c r="C13" s="169">
        <v>4.0482844202754897</v>
      </c>
      <c r="D13" s="170">
        <v>6.9263822433132505E-2</v>
      </c>
      <c r="E13" s="169">
        <v>11.709445824525885</v>
      </c>
      <c r="F13" s="170">
        <v>68.280721300244394</v>
      </c>
      <c r="G13" s="170">
        <v>54.682085487935801</v>
      </c>
      <c r="H13" s="170">
        <v>9.1905768301576494</v>
      </c>
      <c r="I13" s="170">
        <v>350.32557917944615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>
      <c r="A14" s="34"/>
      <c r="B14" s="27" t="s">
        <v>159</v>
      </c>
      <c r="C14" s="166">
        <f>C13/C12</f>
        <v>3.0957830093904758E-4</v>
      </c>
      <c r="D14" s="167">
        <f t="shared" ref="D14:I14" si="1">D13/D12</f>
        <v>5.2966789545607995E-6</v>
      </c>
      <c r="E14" s="166">
        <f t="shared" si="1"/>
        <v>8.9463282435729946E-4</v>
      </c>
      <c r="F14" s="167">
        <f t="shared" si="1"/>
        <v>5.1897547664632318E-3</v>
      </c>
      <c r="G14" s="167">
        <f t="shared" si="1"/>
        <v>4.1389725155896668E-3</v>
      </c>
      <c r="H14" s="167">
        <f t="shared" si="1"/>
        <v>6.9516553333183527E-4</v>
      </c>
      <c r="I14" s="167">
        <f t="shared" si="1"/>
        <v>2.5814225161636874E-2</v>
      </c>
      <c r="J14" s="74"/>
      <c r="K14" s="74"/>
      <c r="L14" s="74"/>
      <c r="M14" s="7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>
      <c r="A15" s="34"/>
      <c r="B15" s="27" t="s">
        <v>75</v>
      </c>
      <c r="C15" s="168">
        <f>'Economies of Scale'!E30</f>
        <v>0.46591473887673573</v>
      </c>
      <c r="D15" s="91">
        <f>'Economies of Scale'!J30</f>
        <v>0.4659078462669492</v>
      </c>
      <c r="E15" s="92">
        <f>'Economies of Scale'!O30</f>
        <v>0.46585131112692979</v>
      </c>
      <c r="F15" s="91">
        <f>'Economies of Scale'!T30</f>
        <v>0.46592414915257974</v>
      </c>
      <c r="G15" s="91">
        <f>'Economies of Scale'!Y30</f>
        <v>0.46664416076923987</v>
      </c>
      <c r="H15" s="91">
        <f>'Economies of Scale'!AD30</f>
        <v>0.46718927440495717</v>
      </c>
      <c r="I15" s="159" t="s">
        <v>47</v>
      </c>
      <c r="J15" s="74"/>
      <c r="K15" s="74"/>
      <c r="L15" s="74"/>
      <c r="M15" s="7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>
      <c r="A16" s="34"/>
      <c r="B16" s="28" t="s">
        <v>156</v>
      </c>
      <c r="C16" s="174">
        <v>0</v>
      </c>
      <c r="D16" s="93">
        <f>C14*C15</f>
        <v>1.4423709324391988E-4</v>
      </c>
      <c r="E16" s="94">
        <f>D14*D15</f>
        <v>2.4677642840868983E-6</v>
      </c>
      <c r="F16" s="93">
        <f>E14*E15</f>
        <v>4.1676587420403624E-4</v>
      </c>
      <c r="G16" s="93">
        <f t="shared" ref="G16:I16" si="2">F14*F15</f>
        <v>2.4180320738749267E-3</v>
      </c>
      <c r="H16" s="93">
        <f t="shared" si="2"/>
        <v>1.9314273559842897E-3</v>
      </c>
      <c r="I16" s="93">
        <f t="shared" si="2"/>
        <v>3.2477388110863521E-4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37">
      <c r="A17" s="34"/>
      <c r="B17" s="171"/>
      <c r="C17" s="172"/>
      <c r="D17" s="173"/>
      <c r="E17" s="173"/>
      <c r="F17" s="173"/>
      <c r="G17" s="173"/>
      <c r="H17" s="173"/>
      <c r="I17" s="173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37">
      <c r="A18" s="34"/>
      <c r="B18" s="192" t="s">
        <v>34</v>
      </c>
      <c r="C18" s="192"/>
      <c r="D18" s="192"/>
      <c r="E18" s="192"/>
      <c r="F18" s="192"/>
      <c r="G18" s="192"/>
      <c r="H18" s="192"/>
      <c r="I18" s="192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37">
      <c r="A19" s="34"/>
      <c r="B19" s="10" t="s">
        <v>160</v>
      </c>
      <c r="C19" s="95">
        <v>0</v>
      </c>
      <c r="D19" s="96">
        <v>0</v>
      </c>
      <c r="E19" s="95">
        <v>0</v>
      </c>
      <c r="F19" s="97">
        <v>0</v>
      </c>
      <c r="G19" s="97">
        <v>0</v>
      </c>
      <c r="H19" s="97">
        <v>0</v>
      </c>
      <c r="I19" s="97">
        <v>0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37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37">
      <c r="A21" s="34"/>
      <c r="B21" s="6" t="s">
        <v>165</v>
      </c>
      <c r="C21" s="6"/>
      <c r="D21" s="6"/>
      <c r="E21" s="6"/>
      <c r="F21" s="6"/>
      <c r="G21" s="6"/>
      <c r="H21" s="6"/>
      <c r="I21" s="6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37">
      <c r="A22" s="34"/>
      <c r="B22" s="10" t="s">
        <v>76</v>
      </c>
      <c r="C22" s="100">
        <v>0</v>
      </c>
      <c r="D22" s="101">
        <v>3.7999999999999999E-2</v>
      </c>
      <c r="E22" s="100">
        <v>0</v>
      </c>
      <c r="F22" s="102">
        <v>0</v>
      </c>
      <c r="G22" s="102">
        <v>0</v>
      </c>
      <c r="H22" s="102">
        <v>0</v>
      </c>
      <c r="I22" s="102">
        <v>0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37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37">
      <c r="A24" s="34"/>
      <c r="B24" s="6" t="s">
        <v>58</v>
      </c>
      <c r="C24" s="193" t="s">
        <v>145</v>
      </c>
      <c r="D24" s="194"/>
      <c r="E24" s="194"/>
      <c r="F24" s="194"/>
      <c r="G24" s="194"/>
      <c r="H24" s="194"/>
      <c r="I24" s="19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37">
      <c r="A25" s="34"/>
      <c r="B25" s="114" t="s">
        <v>36</v>
      </c>
      <c r="C25" s="139" t="s">
        <v>47</v>
      </c>
      <c r="D25" s="140">
        <v>0</v>
      </c>
      <c r="E25" s="139">
        <v>0</v>
      </c>
      <c r="F25" s="140">
        <v>0</v>
      </c>
      <c r="G25" s="140">
        <v>0</v>
      </c>
      <c r="H25" s="140">
        <v>0</v>
      </c>
      <c r="I25" s="140">
        <v>0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37">
      <c r="A26" s="34"/>
      <c r="B26" s="152" t="s">
        <v>149</v>
      </c>
      <c r="C26" s="137" t="s">
        <v>47</v>
      </c>
      <c r="D26" s="138">
        <v>0</v>
      </c>
      <c r="E26" s="137">
        <v>7.2</v>
      </c>
      <c r="F26" s="138">
        <v>7.2</v>
      </c>
      <c r="G26" s="138">
        <v>7.2</v>
      </c>
      <c r="H26" s="138">
        <v>7.2</v>
      </c>
      <c r="I26" s="138">
        <v>7.2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37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37" ht="15.75" thickBot="1">
      <c r="A28" s="34"/>
      <c r="B28" s="103" t="s">
        <v>74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  <row r="29" spans="1:37" ht="15.75" thickTop="1">
      <c r="A29" s="34"/>
      <c r="B29" s="34" t="s">
        <v>164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</row>
    <row r="30" spans="1:37">
      <c r="A30" s="34"/>
      <c r="B30" s="34" t="s">
        <v>168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</row>
    <row r="31" spans="1:37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</row>
    <row r="32" spans="1:37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</row>
    <row r="33" spans="1:37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</row>
    <row r="34" spans="1:37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</row>
    <row r="35" spans="1:37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</row>
    <row r="36" spans="1:37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</row>
    <row r="37" spans="1:37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1:37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  <row r="39" spans="1:37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</row>
    <row r="40" spans="1:37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</row>
    <row r="41" spans="1:37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</row>
    <row r="42" spans="1:37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</row>
    <row r="43" spans="1:37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</row>
    <row r="44" spans="1:37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</row>
    <row r="45" spans="1:37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</row>
    <row r="46" spans="1:37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</row>
    <row r="47" spans="1:37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</row>
    <row r="48" spans="1:37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</row>
    <row r="49" spans="1:37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</row>
    <row r="50" spans="1:37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</row>
    <row r="51" spans="1:37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</row>
    <row r="52" spans="1:37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</row>
    <row r="53" spans="1:37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</row>
    <row r="54" spans="1:37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</row>
    <row r="55" spans="1:37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</row>
    <row r="56" spans="1:37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37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37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37">
      <c r="A59" s="34"/>
      <c r="B59" s="8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  <row r="60" spans="1:37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</row>
    <row r="61" spans="1:37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</row>
    <row r="62" spans="1:37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</row>
    <row r="63" spans="1:37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</row>
    <row r="64" spans="1:37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</row>
    <row r="65" spans="1:37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</row>
    <row r="66" spans="1:37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</row>
    <row r="67" spans="1:37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</row>
    <row r="68" spans="1:37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</row>
    <row r="69" spans="1:37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</row>
    <row r="70" spans="1:37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</row>
    <row r="71" spans="1:37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</row>
    <row r="72" spans="1:37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</row>
    <row r="73" spans="1:37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</row>
    <row r="74" spans="1:37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</row>
    <row r="75" spans="1:37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</row>
    <row r="76" spans="1:37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</row>
    <row r="77" spans="1:37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</row>
    <row r="78" spans="1:37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</row>
    <row r="79" spans="1:37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</row>
    <row r="80" spans="1:37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</row>
    <row r="81" spans="1:37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</row>
    <row r="82" spans="1:37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</row>
    <row r="83" spans="1:37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</row>
    <row r="84" spans="1:37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</row>
    <row r="85" spans="1:37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</row>
    <row r="86" spans="1:37">
      <c r="A86" s="34"/>
      <c r="B86" s="8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</row>
    <row r="87" spans="1:37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</row>
    <row r="88" spans="1:37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</row>
    <row r="89" spans="1:37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</row>
    <row r="90" spans="1:37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</row>
    <row r="91" spans="1:37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</row>
    <row r="92" spans="1:37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</row>
    <row r="93" spans="1:37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</row>
    <row r="94" spans="1:37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</row>
    <row r="95" spans="1:37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</row>
    <row r="96" spans="1:37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</row>
    <row r="97" spans="1:37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</row>
    <row r="98" spans="1:37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</row>
    <row r="99" spans="1:37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</row>
    <row r="100" spans="1:37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</row>
    <row r="101" spans="1:37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</row>
    <row r="102" spans="1:37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</row>
    <row r="103" spans="1:37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</row>
    <row r="104" spans="1:37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</row>
    <row r="105" spans="1:37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</row>
    <row r="106" spans="1:37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</row>
    <row r="107" spans="1:37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</row>
    <row r="108" spans="1:37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</row>
    <row r="109" spans="1:37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</row>
    <row r="110" spans="1:37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</row>
    <row r="111" spans="1:37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</row>
    <row r="112" spans="1:37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</row>
    <row r="113" spans="1:37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</row>
    <row r="114" spans="1:37">
      <c r="A114" s="34"/>
      <c r="B114" s="8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</row>
    <row r="115" spans="1:37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</row>
    <row r="116" spans="1:37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</row>
    <row r="117" spans="1:37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</row>
    <row r="118" spans="1:37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</row>
    <row r="119" spans="1:37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</row>
    <row r="120" spans="1:37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</row>
    <row r="121" spans="1:37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</row>
    <row r="122" spans="1:37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</row>
    <row r="123" spans="1:37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</row>
    <row r="124" spans="1:37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</row>
    <row r="125" spans="1:37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</row>
    <row r="126" spans="1:37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</row>
    <row r="127" spans="1:37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</row>
    <row r="128" spans="1:37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</row>
    <row r="129" spans="1:37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</row>
    <row r="130" spans="1:37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</row>
    <row r="131" spans="1:37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</row>
    <row r="132" spans="1:37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</row>
    <row r="133" spans="1:37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</row>
    <row r="134" spans="1:37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</row>
    <row r="135" spans="1:37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</row>
    <row r="136" spans="1:37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</row>
  </sheetData>
  <mergeCells count="6">
    <mergeCell ref="C24:I24"/>
    <mergeCell ref="B18:I18"/>
    <mergeCell ref="C6:I6"/>
    <mergeCell ref="C11:I11"/>
    <mergeCell ref="C4:D4"/>
    <mergeCell ref="E4:I4"/>
  </mergeCells>
  <pageMargins left="0.7" right="0.7" top="0.75" bottom="0.75" header="0.3" footer="0.3"/>
  <pageSetup paperSize="9" scale="5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zoomScale="85" zoomScaleNormal="85" workbookViewId="0">
      <selection activeCell="C9" sqref="C9"/>
    </sheetView>
  </sheetViews>
  <sheetFormatPr defaultRowHeight="15"/>
  <cols>
    <col min="2" max="2" width="50.140625" customWidth="1"/>
    <col min="3" max="3" width="9.140625" customWidth="1"/>
    <col min="13" max="19" width="9.140625" customWidth="1"/>
  </cols>
  <sheetData>
    <row r="1" spans="1:3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</row>
    <row r="2" spans="1:37" ht="18.75">
      <c r="A2" s="34"/>
      <c r="B2" s="83" t="s">
        <v>79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</row>
    <row r="3" spans="1:37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>
      <c r="A4" s="34"/>
      <c r="B4" s="3"/>
      <c r="C4" s="201" t="s">
        <v>22</v>
      </c>
      <c r="D4" s="202"/>
      <c r="E4" s="202"/>
      <c r="F4" s="202"/>
      <c r="G4" s="202"/>
      <c r="H4" s="202"/>
      <c r="I4" s="202"/>
      <c r="J4" s="202"/>
      <c r="K4" s="202"/>
      <c r="L4" s="203"/>
      <c r="M4" s="200" t="s">
        <v>23</v>
      </c>
      <c r="N4" s="200"/>
      <c r="O4" s="200"/>
      <c r="P4" s="200"/>
      <c r="Q4" s="200"/>
      <c r="R4" s="200"/>
      <c r="S4" s="200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>
      <c r="A5" s="34"/>
      <c r="B5" s="3"/>
      <c r="C5" s="55">
        <v>39234</v>
      </c>
      <c r="D5" s="56">
        <v>39600</v>
      </c>
      <c r="E5" s="56">
        <v>39965</v>
      </c>
      <c r="F5" s="56">
        <v>40330</v>
      </c>
      <c r="G5" s="56">
        <v>40695</v>
      </c>
      <c r="H5" s="56">
        <v>41061</v>
      </c>
      <c r="I5" s="56">
        <v>41426</v>
      </c>
      <c r="J5" s="56">
        <v>41791</v>
      </c>
      <c r="K5" s="56">
        <v>42156</v>
      </c>
      <c r="L5" s="57">
        <v>42522</v>
      </c>
      <c r="M5" s="4">
        <v>42887</v>
      </c>
      <c r="N5" s="4">
        <v>43252</v>
      </c>
      <c r="O5" s="4">
        <v>43617</v>
      </c>
      <c r="P5" s="4">
        <v>43983</v>
      </c>
      <c r="Q5" s="4">
        <v>44348</v>
      </c>
      <c r="R5" s="4">
        <v>44713</v>
      </c>
      <c r="S5" s="4">
        <v>45078</v>
      </c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7">
      <c r="A6" s="34"/>
      <c r="B6" s="10" t="s">
        <v>21</v>
      </c>
      <c r="C6" s="107">
        <v>87.7</v>
      </c>
      <c r="D6" s="108">
        <v>91.6</v>
      </c>
      <c r="E6" s="108">
        <v>92.9</v>
      </c>
      <c r="F6" s="108">
        <v>95.8</v>
      </c>
      <c r="G6" s="108">
        <v>99.2</v>
      </c>
      <c r="H6" s="108">
        <v>100.4</v>
      </c>
      <c r="I6" s="108">
        <v>102.8</v>
      </c>
      <c r="J6" s="108">
        <v>105.9</v>
      </c>
      <c r="K6" s="108">
        <v>107.5</v>
      </c>
      <c r="L6" s="109">
        <v>108.6</v>
      </c>
      <c r="M6" s="17">
        <f>L6*(1+'Supporting Forecasts'!C7)</f>
        <v>111.19649703692994</v>
      </c>
      <c r="N6" s="17">
        <f>M6*(1+'Supporting Forecasts'!D7)</f>
        <v>113.85507323465902</v>
      </c>
      <c r="O6" s="17">
        <f>N6*(1+'Supporting Forecasts'!E7)</f>
        <v>116.5772128322026</v>
      </c>
      <c r="P6" s="17">
        <f>O6*(1+'Supporting Forecasts'!F7)</f>
        <v>119.3644355549684</v>
      </c>
      <c r="Q6" s="17">
        <f>P6*(1+'Supporting Forecasts'!G7)</f>
        <v>122.21829746319391</v>
      </c>
      <c r="R6" s="17">
        <f>Q6*(1+'Supporting Forecasts'!H7)</f>
        <v>125.14039182066909</v>
      </c>
      <c r="S6" s="17">
        <f>R6*(1+'Supporting Forecasts'!I7)</f>
        <v>128.13234998422914</v>
      </c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7">
      <c r="A7" s="34"/>
      <c r="B7" s="82"/>
      <c r="C7" s="31"/>
      <c r="D7" s="31"/>
      <c r="E7" s="31"/>
      <c r="F7" s="31"/>
      <c r="G7" s="31"/>
      <c r="H7" s="31"/>
      <c r="I7" s="31"/>
      <c r="J7" s="31"/>
      <c r="K7" s="31"/>
      <c r="L7" s="31"/>
      <c r="M7" s="30"/>
      <c r="N7" s="30"/>
      <c r="O7" s="30"/>
      <c r="P7" s="30"/>
      <c r="Q7" s="30"/>
      <c r="R7" s="30"/>
      <c r="S7" s="30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7">
      <c r="A8" s="34"/>
      <c r="B8" s="3" t="s">
        <v>52</v>
      </c>
      <c r="C8" s="37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7">
      <c r="A9" s="34"/>
      <c r="B9" s="10" t="s">
        <v>146</v>
      </c>
      <c r="C9" s="75">
        <f>N6/(L6+((M6-L6)/2))</f>
        <v>1.0360044383740039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spans="1:37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</row>
    <row r="11" spans="1:37" ht="15.75" thickBot="1">
      <c r="A11" s="34"/>
      <c r="B11" s="103" t="s">
        <v>74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spans="1:37" ht="15.75" thickTop="1">
      <c r="A12" s="34"/>
      <c r="B12" s="34" t="s">
        <v>157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</row>
    <row r="14" spans="1:37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</row>
    <row r="15" spans="1:37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7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37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37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</row>
    <row r="19" spans="1:37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</row>
    <row r="20" spans="1:37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</row>
    <row r="21" spans="1:37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</row>
    <row r="22" spans="1:37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</row>
    <row r="23" spans="1:37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</row>
    <row r="24" spans="1:37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</row>
    <row r="25" spans="1:37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</row>
    <row r="26" spans="1:37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</row>
    <row r="27" spans="1:37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</row>
    <row r="28" spans="1:37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  <row r="29" spans="1:37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</row>
    <row r="30" spans="1:37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</row>
    <row r="31" spans="1:37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</row>
    <row r="32" spans="1:37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</row>
    <row r="33" spans="1:37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</row>
    <row r="34" spans="1:37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</row>
    <row r="35" spans="1:37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</row>
    <row r="36" spans="1:37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</row>
    <row r="37" spans="1:37">
      <c r="A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</row>
    <row r="38" spans="1:37">
      <c r="A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</row>
    <row r="39" spans="1:37">
      <c r="A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</row>
    <row r="40" spans="1:37">
      <c r="A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</row>
    <row r="41" spans="1:37">
      <c r="A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</row>
    <row r="42" spans="1:37">
      <c r="A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</row>
    <row r="43" spans="1:37">
      <c r="A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</row>
    <row r="44" spans="1:37">
      <c r="A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</row>
    <row r="45" spans="1:37"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</sheetData>
  <mergeCells count="2">
    <mergeCell ref="C4:L4"/>
    <mergeCell ref="M4:S4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0"/>
  <sheetViews>
    <sheetView zoomScale="85" zoomScaleNormal="85" workbookViewId="0">
      <selection activeCell="B20" sqref="B20"/>
    </sheetView>
  </sheetViews>
  <sheetFormatPr defaultRowHeight="15"/>
  <cols>
    <col min="2" max="2" width="77.140625" customWidth="1"/>
    <col min="3" max="3" width="16" customWidth="1"/>
    <col min="4" max="4" width="15.85546875" customWidth="1"/>
    <col min="5" max="10" width="13.28515625" customWidth="1"/>
  </cols>
  <sheetData>
    <row r="1" spans="1:44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</row>
    <row r="2" spans="1:44" ht="18.75">
      <c r="A2" s="34"/>
      <c r="B2" s="83" t="s">
        <v>80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</row>
    <row r="3" spans="1:44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</row>
    <row r="4" spans="1:44">
      <c r="A4" s="34"/>
      <c r="B4" s="3"/>
      <c r="C4" s="197" t="s">
        <v>60</v>
      </c>
      <c r="D4" s="198"/>
      <c r="E4" s="204" t="s">
        <v>61</v>
      </c>
      <c r="F4" s="205"/>
      <c r="G4" s="205"/>
      <c r="H4" s="205"/>
      <c r="I4" s="205"/>
      <c r="J4" s="20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44">
      <c r="A5" s="34"/>
      <c r="B5" s="3" t="s">
        <v>43</v>
      </c>
      <c r="C5" s="55" t="s">
        <v>62</v>
      </c>
      <c r="D5" s="56" t="s">
        <v>33</v>
      </c>
      <c r="E5" s="9" t="s">
        <v>37</v>
      </c>
      <c r="F5" s="4" t="s">
        <v>38</v>
      </c>
      <c r="G5" s="4" t="s">
        <v>40</v>
      </c>
      <c r="H5" s="4" t="s">
        <v>41</v>
      </c>
      <c r="I5" s="4" t="s">
        <v>42</v>
      </c>
      <c r="J5" s="79" t="s">
        <v>63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44">
      <c r="A6" s="34"/>
      <c r="B6" s="20" t="s">
        <v>57</v>
      </c>
      <c r="C6" s="45" t="s">
        <v>20</v>
      </c>
      <c r="D6" s="20"/>
      <c r="E6" s="46"/>
      <c r="F6" s="20"/>
      <c r="G6" s="20"/>
      <c r="H6" s="20"/>
      <c r="I6" s="20"/>
      <c r="J6" s="1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44">
      <c r="A7" s="34"/>
      <c r="B7" s="10" t="s">
        <v>72</v>
      </c>
      <c r="C7" s="54" t="str">
        <f>ROUND(C15,1) &amp; " {base opex}"</f>
        <v>173.7 {base opex}</v>
      </c>
      <c r="D7" s="38">
        <f>C15</f>
        <v>173.73496633011536</v>
      </c>
      <c r="E7" s="44">
        <f>D15-D12</f>
        <v>168.42216500061508</v>
      </c>
      <c r="F7" s="38">
        <f>E15-E12</f>
        <v>169.70451972020666</v>
      </c>
      <c r="G7" s="38">
        <f>F15-F12</f>
        <v>171.30697290471613</v>
      </c>
      <c r="H7" s="38">
        <f t="shared" ref="H7:I7" si="0">G15-G12</f>
        <v>173.80087260039323</v>
      </c>
      <c r="I7" s="38">
        <f t="shared" si="0"/>
        <v>176.52721643842622</v>
      </c>
      <c r="J7" s="54" t="s">
        <v>47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44">
      <c r="A8" s="34"/>
      <c r="B8" s="10" t="s">
        <v>54</v>
      </c>
      <c r="C8" s="110">
        <v>0</v>
      </c>
      <c r="D8" s="38">
        <f>D7*'Supporting Forecasts'!D9*'Labour composition'!C8</f>
        <v>1.2640683645058191</v>
      </c>
      <c r="E8" s="44">
        <f>E7*'Supporting Forecasts'!E9*'Labour composition'!D8</f>
        <v>1.2819390933881192</v>
      </c>
      <c r="F8" s="38">
        <f>F7*'Supporting Forecasts'!F9*'Labour composition'!E8</f>
        <v>1.531726131991922</v>
      </c>
      <c r="G8" s="38">
        <f>G7*'Supporting Forecasts'!G9*'Labour composition'!F8</f>
        <v>2.0796739407150948</v>
      </c>
      <c r="H8" s="38">
        <f>H7*'Supporting Forecasts'!H9*'Labour composition'!G8</f>
        <v>2.3906600781986453</v>
      </c>
      <c r="I8" s="38">
        <f>I7*'Supporting Forecasts'!I9*'Labour composition'!H8</f>
        <v>2.3930881129575323</v>
      </c>
      <c r="J8" s="68">
        <f t="shared" ref="J8:J12" si="1">SUM(E8:I8)</f>
        <v>9.6770873572513132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44">
      <c r="A9" s="34"/>
      <c r="B9" s="10" t="s">
        <v>59</v>
      </c>
      <c r="C9" s="110">
        <v>0</v>
      </c>
      <c r="D9" s="38">
        <f>D7*'Supporting Forecasts'!D16</f>
        <v>2.5059026538286129E-2</v>
      </c>
      <c r="E9" s="44">
        <f>E7*'Supporting Forecasts'!E16</f>
        <v>4.1562620343710835E-4</v>
      </c>
      <c r="F9" s="38">
        <f>F7*'Supporting Forecasts'!F16</f>
        <v>7.0727052517568043E-2</v>
      </c>
      <c r="G9" s="38">
        <f>G7*'Supporting Forecasts'!G16</f>
        <v>0.41422575496202663</v>
      </c>
      <c r="H9" s="38">
        <f>H7*'Supporting Forecasts'!H16</f>
        <v>0.3356837598343399</v>
      </c>
      <c r="I9" s="38">
        <f>I7*'Supporting Forecasts'!I16</f>
        <v>5.7331429204011755E-2</v>
      </c>
      <c r="J9" s="68">
        <f t="shared" si="1"/>
        <v>0.87838362272138348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44">
      <c r="A10" s="34"/>
      <c r="B10" s="10" t="s">
        <v>55</v>
      </c>
      <c r="C10" s="110">
        <v>0</v>
      </c>
      <c r="D10" s="38">
        <f>D7*'Supporting Forecasts'!D19</f>
        <v>0</v>
      </c>
      <c r="E10" s="44">
        <f>E7*'Supporting Forecasts'!E19</f>
        <v>0</v>
      </c>
      <c r="F10" s="38">
        <f>F7*'Supporting Forecasts'!F19</f>
        <v>0</v>
      </c>
      <c r="G10" s="38">
        <f>G7*'Supporting Forecasts'!G19</f>
        <v>0</v>
      </c>
      <c r="H10" s="38">
        <f>H7*'Supporting Forecasts'!H19</f>
        <v>0</v>
      </c>
      <c r="I10" s="38">
        <f>I7*'Supporting Forecasts'!I19</f>
        <v>0</v>
      </c>
      <c r="J10" s="68">
        <f t="shared" si="1"/>
        <v>0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44">
      <c r="A11" s="34"/>
      <c r="B11" s="10" t="s">
        <v>56</v>
      </c>
      <c r="C11" s="110">
        <v>0</v>
      </c>
      <c r="D11" s="38">
        <f>D7*(-'Supporting Forecasts'!D22)</f>
        <v>-6.6019287205443833</v>
      </c>
      <c r="E11" s="44">
        <f>E7*'Supporting Forecasts'!E22</f>
        <v>0</v>
      </c>
      <c r="F11" s="38">
        <f>F7*'Supporting Forecasts'!F22</f>
        <v>0</v>
      </c>
      <c r="G11" s="38">
        <f>G7*'Supporting Forecasts'!G22</f>
        <v>0</v>
      </c>
      <c r="H11" s="38">
        <f>H7*'Supporting Forecasts'!H22</f>
        <v>0</v>
      </c>
      <c r="I11" s="38">
        <f>I7*'Supporting Forecasts'!I22</f>
        <v>0</v>
      </c>
      <c r="J11" s="68">
        <f t="shared" si="1"/>
        <v>0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44">
      <c r="A12" s="34"/>
      <c r="B12" s="10" t="s">
        <v>58</v>
      </c>
      <c r="C12" s="110">
        <v>0</v>
      </c>
      <c r="D12" s="38">
        <f>'Step changes'!D11</f>
        <v>0</v>
      </c>
      <c r="E12" s="44">
        <f>'Step changes'!E11</f>
        <v>7.459231956292828</v>
      </c>
      <c r="F12" s="38">
        <f>'Step changes'!F11</f>
        <v>7.459231956292828</v>
      </c>
      <c r="G12" s="38">
        <f>'Step changes'!G11</f>
        <v>7.459231956292828</v>
      </c>
      <c r="H12" s="38">
        <f>'Step changes'!H11</f>
        <v>7.459231956292828</v>
      </c>
      <c r="I12" s="38">
        <f>'Step changes'!I11</f>
        <v>7.459231956292828</v>
      </c>
      <c r="J12" s="68">
        <f t="shared" si="1"/>
        <v>37.296159781464141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44">
      <c r="A13" s="34"/>
      <c r="B13" s="34"/>
      <c r="C13" s="32"/>
      <c r="D13" s="31"/>
      <c r="E13" s="31"/>
      <c r="F13" s="31"/>
      <c r="G13" s="31"/>
      <c r="H13" s="31"/>
      <c r="I13" s="31"/>
      <c r="J13" s="8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44" ht="15.75" thickBot="1">
      <c r="A14" s="34"/>
      <c r="B14" s="50" t="s">
        <v>19</v>
      </c>
      <c r="C14" s="51" t="s">
        <v>20</v>
      </c>
      <c r="D14" s="52"/>
      <c r="E14" s="53"/>
      <c r="F14" s="52"/>
      <c r="G14" s="52"/>
      <c r="H14" s="52"/>
      <c r="I14" s="52"/>
      <c r="J14" s="50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44" ht="15.75" thickTop="1">
      <c r="A15" s="34"/>
      <c r="B15" s="175" t="s">
        <v>53</v>
      </c>
      <c r="C15" s="81">
        <f>'Base Year'!D32</f>
        <v>173.73496633011536</v>
      </c>
      <c r="D15" s="38">
        <f t="shared" ref="D15:I15" si="2">SUM(D7:D12)</f>
        <v>168.42216500061508</v>
      </c>
      <c r="E15" s="39">
        <f t="shared" si="2"/>
        <v>177.16375167649949</v>
      </c>
      <c r="F15" s="38">
        <f t="shared" si="2"/>
        <v>178.76620486100896</v>
      </c>
      <c r="G15" s="38">
        <f t="shared" si="2"/>
        <v>181.26010455668606</v>
      </c>
      <c r="H15" s="38">
        <f t="shared" si="2"/>
        <v>183.98644839471905</v>
      </c>
      <c r="I15" s="38">
        <f t="shared" si="2"/>
        <v>186.43686793688059</v>
      </c>
      <c r="J15" s="69">
        <f>SUM(E15:I15)</f>
        <v>907.61337742579417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44">
      <c r="A16" s="34"/>
      <c r="B16" s="136"/>
      <c r="C16" s="134"/>
      <c r="D16" s="134"/>
      <c r="E16" s="134"/>
      <c r="F16" s="134"/>
      <c r="G16" s="134"/>
      <c r="H16" s="134"/>
      <c r="I16" s="134"/>
      <c r="J16" s="135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5.75" thickBot="1">
      <c r="A17" s="34"/>
      <c r="B17" s="103" t="s">
        <v>74</v>
      </c>
      <c r="C17" s="34"/>
      <c r="D17" s="104"/>
      <c r="E17" s="104"/>
      <c r="F17" s="104"/>
      <c r="G17" s="104"/>
      <c r="H17" s="104"/>
      <c r="I17" s="10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5.75" thickTop="1">
      <c r="A18" s="34"/>
      <c r="B18" s="34" t="s">
        <v>166</v>
      </c>
      <c r="C18" s="34"/>
      <c r="D18" s="105"/>
      <c r="E18" s="105"/>
      <c r="F18" s="105"/>
      <c r="G18" s="105"/>
      <c r="H18" s="105"/>
      <c r="I18" s="105"/>
      <c r="J18" s="105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>
      <c r="A20" s="34"/>
      <c r="B20" s="34"/>
      <c r="C20" s="34"/>
      <c r="D20" s="106"/>
      <c r="E20" s="106"/>
      <c r="F20" s="106"/>
      <c r="G20" s="106"/>
      <c r="H20" s="106"/>
      <c r="I20" s="121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>
      <c r="A21" s="34"/>
      <c r="B21" s="34"/>
      <c r="C21" s="34"/>
      <c r="D21" s="105"/>
      <c r="E21" s="105"/>
      <c r="F21" s="105"/>
      <c r="G21" s="105"/>
      <c r="H21" s="105"/>
      <c r="I21" s="105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>
      <c r="A22" s="34"/>
      <c r="B22" s="34"/>
      <c r="C22" s="34"/>
      <c r="D22" s="106"/>
      <c r="E22" s="106"/>
      <c r="F22" s="106"/>
      <c r="G22" s="106"/>
      <c r="H22" s="106"/>
      <c r="I22" s="121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>
      <c r="A24" s="34"/>
      <c r="B24" s="34"/>
      <c r="C24" s="34"/>
      <c r="D24" s="105"/>
      <c r="E24" s="105"/>
      <c r="F24" s="105"/>
      <c r="G24" s="105"/>
      <c r="H24" s="105"/>
      <c r="I24" s="105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>
      <c r="A25" s="34"/>
      <c r="B25" s="34"/>
      <c r="C25" s="34"/>
      <c r="D25" s="104"/>
      <c r="E25" s="104"/>
      <c r="F25" s="104"/>
      <c r="G25" s="104"/>
      <c r="H25" s="104"/>
      <c r="I25" s="10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1:38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1:38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1:38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1:38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</row>
    <row r="40" spans="1:38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1:38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</row>
    <row r="44" spans="1:38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1:38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</row>
    <row r="47" spans="1:38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1:3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8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</row>
    <row r="50" spans="1:38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</row>
    <row r="51" spans="1:38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</row>
    <row r="52" spans="1:38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</row>
    <row r="53" spans="1:38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</row>
    <row r="54" spans="1:38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</row>
    <row r="55" spans="1:38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</row>
    <row r="56" spans="1:38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</row>
    <row r="57" spans="1:38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</row>
    <row r="58" spans="1:38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</row>
    <row r="59" spans="1:38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</row>
    <row r="60" spans="1:38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</row>
    <row r="61" spans="1:38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</row>
    <row r="62" spans="1:38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</row>
    <row r="63" spans="1:38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</row>
    <row r="64" spans="1:38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</row>
    <row r="65" spans="1:3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</row>
    <row r="66" spans="1:3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1:3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1:3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1:3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</row>
    <row r="70" spans="1:3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</row>
    <row r="71" spans="1:3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1:3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1:3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1:3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1:3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  <row r="89" spans="1:3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</row>
    <row r="90" spans="1:3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</row>
    <row r="91" spans="1:3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</row>
    <row r="92" spans="1:3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</row>
    <row r="93" spans="1:3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</row>
    <row r="94" spans="1:3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</row>
    <row r="95" spans="1:3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</row>
    <row r="96" spans="1:3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</row>
    <row r="97" spans="1:34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</row>
    <row r="98" spans="1:34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</row>
    <row r="99" spans="1:34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</row>
    <row r="100" spans="1:34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</row>
  </sheetData>
  <mergeCells count="2">
    <mergeCell ref="C4:D4"/>
    <mergeCell ref="E4:J4"/>
  </mergeCells>
  <pageMargins left="0.7" right="0.7" top="0.75" bottom="0.75" header="0.3" footer="0.3"/>
  <pageSetup paperSize="9" scale="62" orientation="landscape" horizontalDpi="300" verticalDpi="300" r:id="rId1"/>
  <ignoredErrors>
    <ignoredError sqref="J8:J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"/>
  <sheetViews>
    <sheetView view="pageBreakPreview" zoomScale="60" zoomScaleNormal="85" workbookViewId="0">
      <selection activeCell="B11" sqref="B11"/>
    </sheetView>
  </sheetViews>
  <sheetFormatPr defaultRowHeight="15"/>
  <cols>
    <col min="2" max="2" width="43.7109375" customWidth="1"/>
    <col min="3" max="9" width="13.28515625" customWidth="1"/>
  </cols>
  <sheetData>
    <row r="1" spans="1:30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18.75">
      <c r="A2" s="34"/>
      <c r="B2" s="83" t="s">
        <v>81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>
      <c r="A4" s="34"/>
      <c r="B4" s="3"/>
      <c r="C4" s="197" t="s">
        <v>60</v>
      </c>
      <c r="D4" s="198"/>
      <c r="E4" s="199" t="s">
        <v>61</v>
      </c>
      <c r="F4" s="200"/>
      <c r="G4" s="200"/>
      <c r="H4" s="200"/>
      <c r="I4" s="200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30">
      <c r="A5" s="34"/>
      <c r="B5" s="3" t="s">
        <v>43</v>
      </c>
      <c r="C5" s="55" t="s">
        <v>62</v>
      </c>
      <c r="D5" s="56" t="s">
        <v>33</v>
      </c>
      <c r="E5" s="9" t="s">
        <v>37</v>
      </c>
      <c r="F5" s="4" t="s">
        <v>38</v>
      </c>
      <c r="G5" s="4" t="s">
        <v>40</v>
      </c>
      <c r="H5" s="4" t="s">
        <v>41</v>
      </c>
      <c r="I5" s="4" t="s">
        <v>42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30">
      <c r="A6" s="34"/>
      <c r="B6" s="20" t="s">
        <v>71</v>
      </c>
      <c r="C6" s="193" t="s">
        <v>20</v>
      </c>
      <c r="D6" s="194"/>
      <c r="E6" s="194"/>
      <c r="F6" s="194"/>
      <c r="G6" s="194"/>
      <c r="H6" s="194"/>
      <c r="I6" s="19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30">
      <c r="A7" s="34"/>
      <c r="B7" s="10" t="s">
        <v>36</v>
      </c>
      <c r="C7" s="15">
        <f>IF('Supporting Forecasts'!C25="N/a",0,'Supporting Forecasts'!C25*'CPI - Index'!$C$9)</f>
        <v>0</v>
      </c>
      <c r="D7" s="76">
        <f>IF('Supporting Forecasts'!D25="N/a",0,'Supporting Forecasts'!D25*'CPI - Index'!$C$9)</f>
        <v>0</v>
      </c>
      <c r="E7" s="75">
        <f>IF('Supporting Forecasts'!E25="N/a",0,'Supporting Forecasts'!E25*'CPI - Index'!$C$9)</f>
        <v>0</v>
      </c>
      <c r="F7" s="76">
        <f>IF('Supporting Forecasts'!F25="N/a",0,'Supporting Forecasts'!F25*'CPI - Index'!$C$9)</f>
        <v>0</v>
      </c>
      <c r="G7" s="76">
        <f>IF('Supporting Forecasts'!G25="N/a",0,'Supporting Forecasts'!G25*'CPI - Index'!$C$9)</f>
        <v>0</v>
      </c>
      <c r="H7" s="76">
        <f>IF('Supporting Forecasts'!H25="N/a",0,'Supporting Forecasts'!H25*'CPI - Index'!$C$9)</f>
        <v>0</v>
      </c>
      <c r="I7" s="76">
        <f>IF('Supporting Forecasts'!I25="N/a",0,'Supporting Forecasts'!I25*'CPI - Index'!$C$9)</f>
        <v>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30">
      <c r="A8" s="34"/>
      <c r="B8" s="10" t="s">
        <v>169</v>
      </c>
      <c r="C8" s="15">
        <f>IF('Supporting Forecasts'!C26="N/a",0,'Supporting Forecasts'!C26*'CPI - Index'!$C$9)</f>
        <v>0</v>
      </c>
      <c r="D8" s="76">
        <f>IF('Supporting Forecasts'!D26="N/a",0,'Supporting Forecasts'!D26*'CPI - Index'!$C$9)</f>
        <v>0</v>
      </c>
      <c r="E8" s="75">
        <f>IF('Supporting Forecasts'!E26="N/a",0,'Supporting Forecasts'!E26*'CPI - Index'!$C$9)</f>
        <v>7.459231956292828</v>
      </c>
      <c r="F8" s="76">
        <f>IF('Supporting Forecasts'!F26="N/a",0,'Supporting Forecasts'!F26*'CPI - Index'!$C$9)</f>
        <v>7.459231956292828</v>
      </c>
      <c r="G8" s="76">
        <f>IF('Supporting Forecasts'!G26="N/a",0,'Supporting Forecasts'!G26*'CPI - Index'!$C$9)</f>
        <v>7.459231956292828</v>
      </c>
      <c r="H8" s="76">
        <f>IF('Supporting Forecasts'!H26="N/a",0,'Supporting Forecasts'!H26*'CPI - Index'!$C$9)</f>
        <v>7.459231956292828</v>
      </c>
      <c r="I8" s="76">
        <f>IF('Supporting Forecasts'!I26="N/a",0,'Supporting Forecasts'!I26*'CPI - Index'!$C$9)</f>
        <v>7.459231956292828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30">
      <c r="A9" s="34"/>
      <c r="B9" s="34"/>
      <c r="C9" s="31"/>
      <c r="D9" s="31"/>
      <c r="E9" s="31"/>
      <c r="F9" s="31"/>
      <c r="G9" s="31"/>
      <c r="H9" s="31"/>
      <c r="I9" s="3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30" ht="15.75" thickBot="1">
      <c r="A10" s="34"/>
      <c r="B10" s="80" t="s">
        <v>19</v>
      </c>
      <c r="C10" s="206" t="s">
        <v>20</v>
      </c>
      <c r="D10" s="206"/>
      <c r="E10" s="206"/>
      <c r="F10" s="206"/>
      <c r="G10" s="206"/>
      <c r="H10" s="206"/>
      <c r="I10" s="206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30" ht="15.75" thickTop="1">
      <c r="A11" s="34"/>
      <c r="B11" s="10" t="s">
        <v>70</v>
      </c>
      <c r="C11" s="15">
        <f t="shared" ref="C11:I11" si="0">SUM(C7:C8)</f>
        <v>0</v>
      </c>
      <c r="D11" s="76">
        <f t="shared" si="0"/>
        <v>0</v>
      </c>
      <c r="E11" s="75">
        <f t="shared" si="0"/>
        <v>7.459231956292828</v>
      </c>
      <c r="F11" s="76">
        <f t="shared" si="0"/>
        <v>7.459231956292828</v>
      </c>
      <c r="G11" s="76">
        <f t="shared" si="0"/>
        <v>7.459231956292828</v>
      </c>
      <c r="H11" s="76">
        <f t="shared" si="0"/>
        <v>7.459231956292828</v>
      </c>
      <c r="I11" s="76">
        <f t="shared" si="0"/>
        <v>7.459231956292828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30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30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30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30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30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</sheetData>
  <mergeCells count="4">
    <mergeCell ref="C6:I6"/>
    <mergeCell ref="C4:D4"/>
    <mergeCell ref="E4:I4"/>
    <mergeCell ref="C10:I10"/>
  </mergeCells>
  <pageMargins left="0.7" right="0.7" top="0.75" bottom="0.75" header="0.3" footer="0.3"/>
  <pageSetup paperSize="9" scale="8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3"/>
  <sheetViews>
    <sheetView view="pageBreakPreview" zoomScale="60" zoomScaleNormal="85" workbookViewId="0">
      <selection activeCell="G85" sqref="G85"/>
    </sheetView>
  </sheetViews>
  <sheetFormatPr defaultRowHeight="15"/>
  <cols>
    <col min="2" max="2" width="46.7109375" customWidth="1"/>
    <col min="3" max="9" width="13.28515625" customWidth="1"/>
  </cols>
  <sheetData>
    <row r="1" spans="1:4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</row>
    <row r="2" spans="1:45" ht="18.75">
      <c r="A2" s="34"/>
      <c r="B2" s="83" t="s">
        <v>85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</row>
    <row r="3" spans="1:4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</row>
    <row r="4" spans="1:45">
      <c r="A4" s="34"/>
      <c r="B4" s="3"/>
      <c r="C4" s="197" t="s">
        <v>60</v>
      </c>
      <c r="D4" s="198"/>
      <c r="E4" s="199" t="s">
        <v>61</v>
      </c>
      <c r="F4" s="200"/>
      <c r="G4" s="200"/>
      <c r="H4" s="200"/>
      <c r="I4" s="200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</row>
    <row r="5" spans="1:45">
      <c r="A5" s="34"/>
      <c r="B5" s="3" t="s">
        <v>43</v>
      </c>
      <c r="C5" s="55" t="s">
        <v>62</v>
      </c>
      <c r="D5" s="56" t="s">
        <v>33</v>
      </c>
      <c r="E5" s="9" t="s">
        <v>37</v>
      </c>
      <c r="F5" s="4" t="s">
        <v>38</v>
      </c>
      <c r="G5" s="4" t="s">
        <v>40</v>
      </c>
      <c r="H5" s="4" t="s">
        <v>41</v>
      </c>
      <c r="I5" s="4" t="s">
        <v>42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</row>
    <row r="6" spans="1:45">
      <c r="A6" s="34"/>
      <c r="B6" s="20" t="s">
        <v>44</v>
      </c>
      <c r="C6" s="193" t="s">
        <v>20</v>
      </c>
      <c r="D6" s="194"/>
      <c r="E6" s="194"/>
      <c r="F6" s="194"/>
      <c r="G6" s="194"/>
      <c r="H6" s="194"/>
      <c r="I6" s="19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</row>
    <row r="7" spans="1:45">
      <c r="A7" s="34"/>
      <c r="B7" s="28" t="s">
        <v>1</v>
      </c>
      <c r="C7" s="15"/>
      <c r="D7" s="14"/>
      <c r="E7" s="15"/>
      <c r="F7" s="14"/>
      <c r="G7" s="14"/>
      <c r="H7" s="14"/>
      <c r="I7" s="1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</row>
    <row r="8" spans="1:45">
      <c r="A8" s="34"/>
      <c r="B8" s="67" t="s">
        <v>31</v>
      </c>
      <c r="C8" s="68">
        <f>SUM(C9:C10)</f>
        <v>15.158297160017788</v>
      </c>
      <c r="D8" s="69">
        <f t="shared" ref="D8:I8" si="0">SUM(D9:D10)</f>
        <v>14.697029306364492</v>
      </c>
      <c r="E8" s="68">
        <f t="shared" si="0"/>
        <v>14.808969372921354</v>
      </c>
      <c r="F8" s="69">
        <f t="shared" si="0"/>
        <v>14.955219208720925</v>
      </c>
      <c r="G8" s="69">
        <f t="shared" si="0"/>
        <v>15.210510701162022</v>
      </c>
      <c r="H8" s="69">
        <f t="shared" si="0"/>
        <v>15.479548775743766</v>
      </c>
      <c r="I8" s="69">
        <f t="shared" si="0"/>
        <v>15.699630636992005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</row>
    <row r="9" spans="1:45">
      <c r="A9" s="34"/>
      <c r="B9" s="19" t="s">
        <v>27</v>
      </c>
      <c r="C9" s="48">
        <f>'Base Year'!D8*'Labour composition'!$C11</f>
        <v>10.621604841751903</v>
      </c>
      <c r="D9" s="49">
        <f>C9*(1+'Supporting Forecasts'!D9+('Economies of Scale'!$C10*'Supporting Forecasts'!C14)-'Supporting Forecasts'!D19-'Supporting Forecasts'!D22)</f>
        <v>10.331397057767926</v>
      </c>
      <c r="E9" s="48">
        <f>D9*(1+'Supporting Forecasts'!E9+('Economies of Scale'!$C10*'Supporting Forecasts'!D14)-'Supporting Forecasts'!E19-'Supporting Forecasts'!E22)</f>
        <v>10.443315157139956</v>
      </c>
      <c r="F9" s="49">
        <f>E9*(1+'Supporting Forecasts'!F9+('Economies of Scale'!$C10*'Supporting Forecasts'!E14)-'Supporting Forecasts'!F19-'Supporting Forecasts'!F22)</f>
        <v>10.585854618256358</v>
      </c>
      <c r="G9" s="49">
        <f>F9*(1+'Supporting Forecasts'!G9+('Economies of Scale'!$C10*'Supporting Forecasts'!F14)-'Supporting Forecasts'!G19-'Supporting Forecasts'!G22)</f>
        <v>10.819603976523164</v>
      </c>
      <c r="H9" s="49">
        <f>G9*(1+'Supporting Forecasts'!H9+('Economies of Scale'!$C10*'Supporting Forecasts'!G14)-'Supporting Forecasts'!H19-'Supporting Forecasts'!H22)</f>
        <v>11.071376900965701</v>
      </c>
      <c r="I9" s="49">
        <f>H9*(1+'Supporting Forecasts'!I9+('Economies of Scale'!$C10*'Supporting Forecasts'!H14)-'Supporting Forecasts'!I19-'Supporting Forecasts'!I22)</f>
        <v>11.288547573519208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</row>
    <row r="10" spans="1:45">
      <c r="A10" s="34"/>
      <c r="B10" s="19" t="s">
        <v>28</v>
      </c>
      <c r="C10" s="48">
        <f>'Base Year'!D8*(1-'Labour composition'!$C11)</f>
        <v>4.5366923182658843</v>
      </c>
      <c r="D10" s="49">
        <f>C10*(1+('Economies of Scale'!$D10*'Supporting Forecasts'!C14)-'Supporting Forecasts'!D19-'Supporting Forecasts'!D22)</f>
        <v>4.3656322485965644</v>
      </c>
      <c r="E10" s="48">
        <f>D10*(1+('Economies of Scale'!$D10*'Supporting Forecasts'!D14)-'Supporting Forecasts'!E19-'Supporting Forecasts'!E22)</f>
        <v>4.3656542157813965</v>
      </c>
      <c r="F10" s="49">
        <f>E10*(1+('Economies of Scale'!$D10*'Supporting Forecasts'!E14)-'Supporting Forecasts'!F19-'Supporting Forecasts'!F22)</f>
        <v>4.369364590464567</v>
      </c>
      <c r="G10" s="49">
        <f>F10*(1+('Economies of Scale'!$D10*'Supporting Forecasts'!F14)-'Supporting Forecasts'!G19-'Supporting Forecasts'!G22)</f>
        <v>4.3909067246388576</v>
      </c>
      <c r="H10" s="49">
        <f>G10*(1+('Economies of Scale'!$D10*'Supporting Forecasts'!G14)-'Supporting Forecasts'!H19-'Supporting Forecasts'!H22)</f>
        <v>4.4081718747780654</v>
      </c>
      <c r="I10" s="49">
        <f>H10*(1+('Economies of Scale'!$D10*'Supporting Forecasts'!H14)-'Supporting Forecasts'!I19-'Supporting Forecasts'!I22)</f>
        <v>4.4110830634727964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</row>
    <row r="11" spans="1:45">
      <c r="A11" s="34"/>
      <c r="B11" s="10" t="s">
        <v>2</v>
      </c>
      <c r="C11" s="39"/>
      <c r="D11" s="38"/>
      <c r="E11" s="39"/>
      <c r="F11" s="38"/>
      <c r="G11" s="38"/>
      <c r="H11" s="38"/>
      <c r="I11" s="3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</row>
    <row r="12" spans="1:45">
      <c r="A12" s="34"/>
      <c r="B12" s="67" t="s">
        <v>31</v>
      </c>
      <c r="C12" s="68">
        <f>SUM(C13:C14)</f>
        <v>29.980678150296249</v>
      </c>
      <c r="D12" s="69">
        <f t="shared" ref="D12" si="1">SUM(D13:D14)</f>
        <v>29.068364391338299</v>
      </c>
      <c r="E12" s="68">
        <f t="shared" ref="E12" si="2">SUM(E13:E14)</f>
        <v>29.289763871249278</v>
      </c>
      <c r="F12" s="69">
        <f t="shared" ref="F12" si="3">SUM(F13:F14)</f>
        <v>29.579022566362198</v>
      </c>
      <c r="G12" s="69">
        <f t="shared" ref="G12" si="4">SUM(G13:G14)</f>
        <v>30.08394815190708</v>
      </c>
      <c r="H12" s="69">
        <f t="shared" ref="H12" si="5">SUM(H13:H14)</f>
        <v>30.616062269941779</v>
      </c>
      <c r="I12" s="69">
        <f>SUM(I13:I14)</f>
        <v>31.051348857818233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</row>
    <row r="13" spans="1:45">
      <c r="A13" s="34"/>
      <c r="B13" s="19" t="s">
        <v>27</v>
      </c>
      <c r="C13" s="48">
        <f>'Base Year'!D9*'Labour composition'!$C12</f>
        <v>21.007829101024068</v>
      </c>
      <c r="D13" s="49">
        <f>C13*(1+'Supporting Forecasts'!D9+('Economies of Scale'!$C11*'Supporting Forecasts'!C14)-'Supporting Forecasts'!D19-'Supporting Forecasts'!D22)</f>
        <v>20.433844696543368</v>
      </c>
      <c r="E13" s="48">
        <f>D13*(1+'Supporting Forecasts'!E9+('Economies of Scale'!$C11*'Supporting Forecasts'!D14)-'Supporting Forecasts'!E19-'Supporting Forecasts'!E22)</f>
        <v>20.655200728889533</v>
      </c>
      <c r="F13" s="49">
        <f>E13*(1+'Supporting Forecasts'!F9+('Economies of Scale'!$C11*'Supporting Forecasts'!E14)-'Supporting Forecasts'!F19-'Supporting Forecasts'!F22)</f>
        <v>20.937120898571866</v>
      </c>
      <c r="G13" s="49">
        <f>F13*(1+'Supporting Forecasts'!G9+('Economies of Scale'!$C11*'Supporting Forecasts'!F14)-'Supporting Forecasts'!G19-'Supporting Forecasts'!G22)</f>
        <v>21.399439601263612</v>
      </c>
      <c r="H13" s="49">
        <f>G13*(1+'Supporting Forecasts'!H9+('Economies of Scale'!$C11*'Supporting Forecasts'!G14)-'Supporting Forecasts'!H19-'Supporting Forecasts'!H22)</f>
        <v>21.897406024205917</v>
      </c>
      <c r="I13" s="49">
        <f>H13*(1+'Supporting Forecasts'!I9+('Economies of Scale'!$C11*'Supporting Forecasts'!H14)-'Supporting Forecasts'!I19-'Supporting Forecasts'!I22)</f>
        <v>22.326934748229323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</row>
    <row r="14" spans="1:45">
      <c r="A14" s="34"/>
      <c r="B14" s="19" t="s">
        <v>28</v>
      </c>
      <c r="C14" s="48">
        <f>'Base Year'!D9*(1-'Labour composition'!$C12)</f>
        <v>8.9728490492721829</v>
      </c>
      <c r="D14" s="49">
        <f>C14*(1+('Economies of Scale'!$D11*'Supporting Forecasts'!C14)-'Supporting Forecasts'!D19-'Supporting Forecasts'!D22)</f>
        <v>8.6345196947949336</v>
      </c>
      <c r="E14" s="48">
        <f>D14*(1+('Economies of Scale'!$D11*'Supporting Forecasts'!D14)-'Supporting Forecasts'!E19-'Supporting Forecasts'!E22)</f>
        <v>8.6345631423597471</v>
      </c>
      <c r="F14" s="49">
        <f>E14*(1+('Economies of Scale'!$D11*'Supporting Forecasts'!E14)-'Supporting Forecasts'!F19-'Supporting Forecasts'!F22)</f>
        <v>8.6419016677903322</v>
      </c>
      <c r="G14" s="49">
        <f>F14*(1+('Economies of Scale'!$D11*'Supporting Forecasts'!F14)-'Supporting Forecasts'!G19-'Supporting Forecasts'!G22)</f>
        <v>8.6845085506434678</v>
      </c>
      <c r="H14" s="49">
        <f>G14*(1+('Economies of Scale'!$D11*'Supporting Forecasts'!G14)-'Supporting Forecasts'!H19-'Supporting Forecasts'!H22)</f>
        <v>8.7186562457358594</v>
      </c>
      <c r="I14" s="49">
        <f>H14*(1+('Economies of Scale'!$D11*'Supporting Forecasts'!H14)-'Supporting Forecasts'!I19-'Supporting Forecasts'!I22)</f>
        <v>8.7244141095889116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</row>
    <row r="15" spans="1:45">
      <c r="A15" s="34"/>
      <c r="B15" s="10" t="s">
        <v>3</v>
      </c>
      <c r="C15" s="39"/>
      <c r="D15" s="38"/>
      <c r="E15" s="39"/>
      <c r="F15" s="38"/>
      <c r="G15" s="38"/>
      <c r="H15" s="38"/>
      <c r="I15" s="38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</row>
    <row r="16" spans="1:45">
      <c r="A16" s="34"/>
      <c r="B16" s="67" t="s">
        <v>31</v>
      </c>
      <c r="C16" s="68">
        <f>SUM(C17:C18)</f>
        <v>3.7733244901980796</v>
      </c>
      <c r="D16" s="69">
        <f t="shared" ref="D16" si="6">SUM(D17:D18)</f>
        <v>3.6585020091266607</v>
      </c>
      <c r="E16" s="68">
        <f t="shared" ref="E16" si="7">SUM(E17:E18)</f>
        <v>3.6863670252372769</v>
      </c>
      <c r="F16" s="69">
        <f t="shared" ref="F16" si="8">SUM(F17:F18)</f>
        <v>3.7227727033477143</v>
      </c>
      <c r="G16" s="69">
        <f t="shared" ref="G16" si="9">SUM(G17:G18)</f>
        <v>3.786321902205489</v>
      </c>
      <c r="H16" s="69">
        <f t="shared" ref="H16" si="10">SUM(H17:H18)</f>
        <v>3.8532930101669223</v>
      </c>
      <c r="I16" s="69">
        <f>SUM(I17:I18)</f>
        <v>3.9080775461955968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</row>
    <row r="17" spans="1:44">
      <c r="A17" s="34"/>
      <c r="B17" s="19" t="s">
        <v>27</v>
      </c>
      <c r="C17" s="48">
        <f>'Base Year'!D10*'Labour composition'!$C13</f>
        <v>2.6440147762970709</v>
      </c>
      <c r="D17" s="49">
        <f>C17*(1+'Supporting Forecasts'!D9+('Economies of Scale'!$C12*'Supporting Forecasts'!C14)-'Supporting Forecasts'!D19-'Supporting Forecasts'!D22)</f>
        <v>2.5717739350605497</v>
      </c>
      <c r="E17" s="48">
        <f>D17*(1+'Supporting Forecasts'!E9+('Economies of Scale'!$C12*'Supporting Forecasts'!D14)-'Supporting Forecasts'!E19-'Supporting Forecasts'!E22)</f>
        <v>2.5996334829239327</v>
      </c>
      <c r="F17" s="49">
        <f>E17*(1+'Supporting Forecasts'!F9+('Economies of Scale'!$C12*'Supporting Forecasts'!E14)-'Supporting Forecasts'!F19-'Supporting Forecasts'!F22)</f>
        <v>2.6351155449110011</v>
      </c>
      <c r="G17" s="49">
        <f>F17*(1+'Supporting Forecasts'!G9+('Economies of Scale'!$C12*'Supporting Forecasts'!F14)-'Supporting Forecasts'!G19-'Supporting Forecasts'!G22)</f>
        <v>2.6933023035426147</v>
      </c>
      <c r="H17" s="49">
        <f>G17*(1+'Supporting Forecasts'!H9+('Economies of Scale'!$C12*'Supporting Forecasts'!G14)-'Supporting Forecasts'!H19-'Supporting Forecasts'!H22)</f>
        <v>2.7559756323300748</v>
      </c>
      <c r="I17" s="49">
        <f>H17*(1+'Supporting Forecasts'!I9+('Economies of Scale'!$C12*'Supporting Forecasts'!H14)-'Supporting Forecasts'!I19-'Supporting Forecasts'!I22)</f>
        <v>2.8100354919995612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</row>
    <row r="18" spans="1:44">
      <c r="A18" s="34"/>
      <c r="B18" s="19" t="s">
        <v>28</v>
      </c>
      <c r="C18" s="48">
        <f>'Base Year'!D10*(1-'Labour composition'!$C13)</f>
        <v>1.1293097139010086</v>
      </c>
      <c r="D18" s="49">
        <f>C18*(1+('Economies of Scale'!$D12*'Supporting Forecasts'!C14)-'Supporting Forecasts'!D19-'Supporting Forecasts'!D22)</f>
        <v>1.0867280740661107</v>
      </c>
      <c r="E18" s="48">
        <f>D18*(1+('Economies of Scale'!$D12*'Supporting Forecasts'!D14)-'Supporting Forecasts'!E19-'Supporting Forecasts'!E22)</f>
        <v>1.086733542313344</v>
      </c>
      <c r="F18" s="49">
        <f>E18*(1+('Economies of Scale'!$D12*'Supporting Forecasts'!E14)-'Supporting Forecasts'!F19-'Supporting Forecasts'!F22)</f>
        <v>1.0876571584367134</v>
      </c>
      <c r="G18" s="49">
        <f>F18*(1+('Economies of Scale'!$D12*'Supporting Forecasts'!F14)-'Supporting Forecasts'!G19-'Supporting Forecasts'!G22)</f>
        <v>1.0930195986628746</v>
      </c>
      <c r="H18" s="49">
        <f>G18*(1+('Economies of Scale'!$D12*'Supporting Forecasts'!G14)-'Supporting Forecasts'!H19-'Supporting Forecasts'!H22)</f>
        <v>1.0973173778368477</v>
      </c>
      <c r="I18" s="49">
        <f>H18*(1+('Economies of Scale'!$D12*'Supporting Forecasts'!H14)-'Supporting Forecasts'!I19-'Supporting Forecasts'!I22)</f>
        <v>1.0980420541960358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</row>
    <row r="19" spans="1:44">
      <c r="A19" s="34"/>
      <c r="B19" s="10" t="s">
        <v>4</v>
      </c>
      <c r="C19" s="39"/>
      <c r="D19" s="38"/>
      <c r="E19" s="39"/>
      <c r="F19" s="38"/>
      <c r="G19" s="38"/>
      <c r="H19" s="38"/>
      <c r="I19" s="38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</row>
    <row r="20" spans="1:44">
      <c r="A20" s="34"/>
      <c r="B20" s="67" t="s">
        <v>31</v>
      </c>
      <c r="C20" s="68">
        <f>SUM(C21:C22)</f>
        <v>4.2808393984247486</v>
      </c>
      <c r="D20" s="69">
        <f t="shared" ref="D20" si="11">SUM(D21:D22)</f>
        <v>4.1505732095315668</v>
      </c>
      <c r="E20" s="68">
        <f t="shared" ref="E20" si="12">SUM(E21:E22)</f>
        <v>4.1821860907226585</v>
      </c>
      <c r="F20" s="69">
        <f t="shared" ref="F20" si="13">SUM(F21:F22)</f>
        <v>4.2234883592093393</v>
      </c>
      <c r="G20" s="69">
        <f t="shared" ref="G20" si="14">SUM(G21:G22)</f>
        <v>4.2955849718689123</v>
      </c>
      <c r="H20" s="69">
        <f t="shared" ref="H20" si="15">SUM(H21:H22)</f>
        <v>4.3715637429134375</v>
      </c>
      <c r="I20" s="69">
        <f>SUM(I21:I22)</f>
        <v>4.4337168391725035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</row>
    <row r="21" spans="1:44">
      <c r="A21" s="34"/>
      <c r="B21" s="19" t="s">
        <v>27</v>
      </c>
      <c r="C21" s="48">
        <f>'Base Year'!D11*'Labour composition'!$C14</f>
        <v>2.999636700684476</v>
      </c>
      <c r="D21" s="49">
        <f>C21*(1+'Supporting Forecasts'!D9+('Economies of Scale'!$C13*'Supporting Forecasts'!C14)-'Supporting Forecasts'!D19-'Supporting Forecasts'!D22)</f>
        <v>2.9176794133788158</v>
      </c>
      <c r="E21" s="48">
        <f>D21*(1+'Supporting Forecasts'!E9+('Economies of Scale'!$C13*'Supporting Forecasts'!D14)-'Supporting Forecasts'!E19-'Supporting Forecasts'!E22)</f>
        <v>2.949286090839415</v>
      </c>
      <c r="F21" s="49">
        <f>E21*(1+'Supporting Forecasts'!F9+('Economies of Scale'!$C13*'Supporting Forecasts'!E14)-'Supporting Forecasts'!F19-'Supporting Forecasts'!F22)</f>
        <v>2.9895405161575028</v>
      </c>
      <c r="G21" s="49">
        <f>F21*(1+'Supporting Forecasts'!G9+('Economies of Scale'!$C13*'Supporting Forecasts'!F14)-'Supporting Forecasts'!G19-'Supporting Forecasts'!G22)</f>
        <v>3.0555534364520325</v>
      </c>
      <c r="H21" s="49">
        <f>G21*(1+'Supporting Forecasts'!H9+('Economies of Scale'!$C13*'Supporting Forecasts'!G14)-'Supporting Forecasts'!H19-'Supporting Forecasts'!H22)</f>
        <v>3.1266563738751807</v>
      </c>
      <c r="I21" s="49">
        <f>H21*(1+'Supporting Forecasts'!I9+('Economies of Scale'!$C13*'Supporting Forecasts'!H14)-'Supporting Forecasts'!I19-'Supporting Forecasts'!I22)</f>
        <v>3.1879873242738572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</row>
    <row r="22" spans="1:44">
      <c r="A22" s="34"/>
      <c r="B22" s="19" t="s">
        <v>28</v>
      </c>
      <c r="C22" s="48">
        <f>'Base Year'!D11*(1-'Labour composition'!$C14)</f>
        <v>1.2812026977402728</v>
      </c>
      <c r="D22" s="49">
        <f>C22*(1+('Economies of Scale'!$D13*'Supporting Forecasts'!C14)-'Supporting Forecasts'!D19-'Supporting Forecasts'!D22)</f>
        <v>1.2328937961527513</v>
      </c>
      <c r="E22" s="48">
        <f>D22*(1+('Economies of Scale'!$D13*'Supporting Forecasts'!D14)-'Supporting Forecasts'!E19-'Supporting Forecasts'!E22)</f>
        <v>1.2328999998832435</v>
      </c>
      <c r="F22" s="49">
        <f>E22*(1+('Economies of Scale'!$D13*'Supporting Forecasts'!E14)-'Supporting Forecasts'!F19-'Supporting Forecasts'!F22)</f>
        <v>1.2339478430518369</v>
      </c>
      <c r="G22" s="49">
        <f>F22*(1+('Economies of Scale'!$D13*'Supporting Forecasts'!F14)-'Supporting Forecasts'!G19-'Supporting Forecasts'!G22)</f>
        <v>1.24003153541688</v>
      </c>
      <c r="H22" s="49">
        <f>G22*(1+('Economies of Scale'!$D13*'Supporting Forecasts'!G14)-'Supporting Forecasts'!H19-'Supporting Forecasts'!H22)</f>
        <v>1.2449073690382573</v>
      </c>
      <c r="I22" s="49">
        <f>H22*(1+('Economies of Scale'!$D13*'Supporting Forecasts'!H14)-'Supporting Forecasts'!I19-'Supporting Forecasts'!I22)</f>
        <v>1.245729514898646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</row>
    <row r="23" spans="1:44">
      <c r="A23" s="34"/>
      <c r="B23" s="10" t="s">
        <v>5</v>
      </c>
      <c r="C23" s="39"/>
      <c r="D23" s="38"/>
      <c r="E23" s="39"/>
      <c r="F23" s="38"/>
      <c r="G23" s="38"/>
      <c r="H23" s="38"/>
      <c r="I23" s="38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</row>
    <row r="24" spans="1:44">
      <c r="A24" s="34"/>
      <c r="B24" s="67" t="s">
        <v>117</v>
      </c>
      <c r="C24" s="68">
        <f>SUM(C25:C26)</f>
        <v>14.404239995460559</v>
      </c>
      <c r="D24" s="69">
        <f t="shared" ref="D24" si="16">SUM(D25:D26)</f>
        <v>13.965918144656751</v>
      </c>
      <c r="E24" s="68">
        <f t="shared" ref="E24" si="17">SUM(E25:E26)</f>
        <v>14.072289695944573</v>
      </c>
      <c r="F24" s="69">
        <f t="shared" ref="F24" si="18">SUM(F25:F26)</f>
        <v>14.211264259638327</v>
      </c>
      <c r="G24" s="69">
        <f t="shared" ref="G24" si="19">SUM(G25:G26)</f>
        <v>14.453856147572825</v>
      </c>
      <c r="H24" s="69">
        <f t="shared" ref="H24" si="20">SUM(H25:H26)</f>
        <v>14.709510786961587</v>
      </c>
      <c r="I24" s="69">
        <f>SUM(I25:I26)</f>
        <v>14.918644564628178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</row>
    <row r="25" spans="1:44">
      <c r="A25" s="34"/>
      <c r="B25" s="18" t="s">
        <v>27</v>
      </c>
      <c r="C25" s="39">
        <f>'Base Year'!D12*'Labour composition'!$C15</f>
        <v>10.093227732801667</v>
      </c>
      <c r="D25" s="38">
        <f>C25*(1+'Supporting Forecasts'!D9+('Economies of Scale'!$C14*'Supporting Forecasts'!C14)-'Supporting Forecasts'!D19-'Supporting Forecasts'!D22)</f>
        <v>9.8174564819198764</v>
      </c>
      <c r="E25" s="39">
        <f>D25*(1+'Supporting Forecasts'!E9+('Economies of Scale'!$C14*'Supporting Forecasts'!D14)-'Supporting Forecasts'!E19-'Supporting Forecasts'!E22)</f>
        <v>9.9238071587915933</v>
      </c>
      <c r="F25" s="38">
        <f>E25*(1+'Supporting Forecasts'!F9+('Economies of Scale'!$C14*'Supporting Forecasts'!E14)-'Supporting Forecasts'!F19-'Supporting Forecasts'!F22)</f>
        <v>10.059255922268786</v>
      </c>
      <c r="G25" s="38">
        <f>F25*(1+'Supporting Forecasts'!G9+('Economies of Scale'!$C14*'Supporting Forecasts'!F14)-'Supporting Forecasts'!G19-'Supporting Forecasts'!G22)</f>
        <v>10.281377300396988</v>
      </c>
      <c r="H25" s="38">
        <f>G25*(1+'Supporting Forecasts'!H9+('Economies of Scale'!$C14*'Supporting Forecasts'!G14)-'Supporting Forecasts'!H19-'Supporting Forecasts'!H22)</f>
        <v>10.520625653278929</v>
      </c>
      <c r="I25" s="38">
        <f>H25*(1+'Supporting Forecasts'!I9+('Economies of Scale'!$C14*'Supporting Forecasts'!H14)-'Supporting Forecasts'!I19-'Supporting Forecasts'!I22)</f>
        <v>10.726993060805897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</row>
    <row r="26" spans="1:44">
      <c r="A26" s="34"/>
      <c r="B26" s="18" t="s">
        <v>28</v>
      </c>
      <c r="C26" s="39">
        <f>'Base Year'!D12*(1-'Labour composition'!$C15)</f>
        <v>4.3110122626588918</v>
      </c>
      <c r="D26" s="38">
        <f>C26*(1+('Economies of Scale'!$D14*'Supporting Forecasts'!C14)-'Supporting Forecasts'!D19-'Supporting Forecasts'!D22)</f>
        <v>4.1484616627368753</v>
      </c>
      <c r="E26" s="39">
        <f>D26*(1+('Economies of Scale'!$D14*'Supporting Forecasts'!D14)-'Supporting Forecasts'!E19-'Supporting Forecasts'!E22)</f>
        <v>4.1484825371529794</v>
      </c>
      <c r="F26" s="38">
        <f>E26*(1+('Economies of Scale'!$D14*'Supporting Forecasts'!E14)-'Supporting Forecasts'!F19-'Supporting Forecasts'!F22)</f>
        <v>4.1520083373695398</v>
      </c>
      <c r="G26" s="38">
        <f>F26*(1+('Economies of Scale'!$D14*'Supporting Forecasts'!F14)-'Supporting Forecasts'!G19-'Supporting Forecasts'!G22)</f>
        <v>4.1724788471758361</v>
      </c>
      <c r="H26" s="38">
        <f>G26*(1+('Economies of Scale'!$D14*'Supporting Forecasts'!G14)-'Supporting Forecasts'!H19-'Supporting Forecasts'!H22)</f>
        <v>4.1888851336826587</v>
      </c>
      <c r="I26" s="38">
        <f>H26*(1+('Economies of Scale'!$D14*'Supporting Forecasts'!H14)-'Supporting Forecasts'!I19-'Supporting Forecasts'!I22)</f>
        <v>4.1916515038222792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</row>
    <row r="27" spans="1:44">
      <c r="A27" s="34"/>
      <c r="B27" s="18" t="s">
        <v>113</v>
      </c>
      <c r="C27" s="39">
        <f>'Step changes'!C8</f>
        <v>0</v>
      </c>
      <c r="D27" s="38">
        <f>'Step changes'!D8</f>
        <v>0</v>
      </c>
      <c r="E27" s="39">
        <f>'Step changes'!E8</f>
        <v>7.459231956292828</v>
      </c>
      <c r="F27" s="38">
        <f>'Step changes'!F8</f>
        <v>7.459231956292828</v>
      </c>
      <c r="G27" s="38">
        <f>'Step changes'!G8</f>
        <v>7.459231956292828</v>
      </c>
      <c r="H27" s="38">
        <f>'Step changes'!H8</f>
        <v>7.459231956292828</v>
      </c>
      <c r="I27" s="38">
        <f>'Step changes'!I8</f>
        <v>7.459231956292828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</row>
    <row r="28" spans="1:44">
      <c r="A28" s="34"/>
      <c r="B28" s="10" t="s">
        <v>6</v>
      </c>
      <c r="C28" s="39"/>
      <c r="D28" s="38"/>
      <c r="E28" s="39"/>
      <c r="F28" s="38"/>
      <c r="G28" s="38"/>
      <c r="H28" s="38"/>
      <c r="I28" s="38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</row>
    <row r="29" spans="1:44">
      <c r="A29" s="34"/>
      <c r="B29" s="67" t="s">
        <v>117</v>
      </c>
      <c r="C29" s="68">
        <f>SUM(C30:C31)</f>
        <v>8.5350369060229649</v>
      </c>
      <c r="D29" s="69">
        <f t="shared" ref="D29" si="21">SUM(D30:D31)</f>
        <v>8.2734656589487603</v>
      </c>
      <c r="E29" s="68">
        <f t="shared" ref="E29" si="22">SUM(E30:E31)</f>
        <v>8.3364499602071511</v>
      </c>
      <c r="F29" s="69">
        <f t="shared" ref="F29" si="23">SUM(F30:F31)</f>
        <v>8.4135581549856298</v>
      </c>
      <c r="G29" s="69">
        <f t="shared" ref="G29" si="24">SUM(G30:G31)</f>
        <v>8.5266162086237323</v>
      </c>
      <c r="H29" s="69">
        <f t="shared" ref="H29" si="25">SUM(H30:H31)</f>
        <v>8.6527303579196406</v>
      </c>
      <c r="I29" s="69">
        <f>SUM(I30:I31)</f>
        <v>8.7715449718180007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</row>
    <row r="30" spans="1:44">
      <c r="A30" s="34"/>
      <c r="B30" s="19" t="s">
        <v>27</v>
      </c>
      <c r="C30" s="48">
        <f>'Base Year'!D13*'Labour composition'!$C16</f>
        <v>5.9806051015190898</v>
      </c>
      <c r="D30" s="49">
        <f>C30*(1+'Supporting Forecasts'!D9+('Economies of Scale'!$C15*'Supporting Forecasts'!C14)-'Supporting Forecasts'!D19-'Supporting Forecasts'!D22)</f>
        <v>5.8159045638515563</v>
      </c>
      <c r="E30" s="48">
        <f>D30*(1+'Supporting Forecasts'!E9+('Economies of Scale'!$C15*'Supporting Forecasts'!D14)-'Supporting Forecasts'!E19-'Supporting Forecasts'!E22)</f>
        <v>5.8788856108819152</v>
      </c>
      <c r="F30" s="49">
        <f>E30*(1+'Supporting Forecasts'!F9+('Economies of Scale'!$C15*'Supporting Forecasts'!E14)-'Supporting Forecasts'!F19-'Supporting Forecasts'!F22)</f>
        <v>5.9554441512266747</v>
      </c>
      <c r="G30" s="49">
        <f>F30*(1+'Supporting Forecasts'!G9+('Economies of Scale'!$C15*'Supporting Forecasts'!F14)-'Supporting Forecasts'!G19-'Supporting Forecasts'!G22)</f>
        <v>6.065312952647897</v>
      </c>
      <c r="H30" s="49">
        <f>G30*(1+'Supporting Forecasts'!H9+('Economies of Scale'!$C15*'Supporting Forecasts'!G14)-'Supporting Forecasts'!H19-'Supporting Forecasts'!H22)</f>
        <v>6.1888802853115505</v>
      </c>
      <c r="I30" s="49">
        <f>H30*(1+'Supporting Forecasts'!I9+('Economies of Scale'!$C15*'Supporting Forecasts'!H14)-'Supporting Forecasts'!I19-'Supporting Forecasts'!I22)</f>
        <v>6.3072667032974676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</row>
    <row r="31" spans="1:44">
      <c r="A31" s="34"/>
      <c r="B31" s="19" t="s">
        <v>28</v>
      </c>
      <c r="C31" s="48">
        <f>'Base Year'!D13*(1-'Labour composition'!$C16)</f>
        <v>2.5544318045038752</v>
      </c>
      <c r="D31" s="49">
        <f>C31*(1+('Economies of Scale'!$D15*'Supporting Forecasts'!C14)-'Supporting Forecasts'!D19-'Supporting Forecasts'!D22)</f>
        <v>2.4575610950972036</v>
      </c>
      <c r="E31" s="48">
        <f>D31*(1+('Economies of Scale'!$D15*'Supporting Forecasts'!D14)-'Supporting Forecasts'!E19-'Supporting Forecasts'!E22)</f>
        <v>2.4575643493252368</v>
      </c>
      <c r="F31" s="49">
        <f>E31*(1+('Economies of Scale'!$D15*'Supporting Forecasts'!E14)-'Supporting Forecasts'!F19-'Supporting Forecasts'!F22)</f>
        <v>2.4581140037589559</v>
      </c>
      <c r="G31" s="49">
        <f>F31*(1+('Economies of Scale'!$D15*'Supporting Forecasts'!F14)-'Supporting Forecasts'!G19-'Supporting Forecasts'!G22)</f>
        <v>2.4613032559758357</v>
      </c>
      <c r="H31" s="49">
        <f>G31*(1+('Economies of Scale'!$D15*'Supporting Forecasts'!G14)-'Supporting Forecasts'!H19-'Supporting Forecasts'!H22)</f>
        <v>2.4638500726080896</v>
      </c>
      <c r="I31" s="49">
        <f>H31*(1+('Economies of Scale'!$D15*'Supporting Forecasts'!H14)-'Supporting Forecasts'!I19-'Supporting Forecasts'!I22)</f>
        <v>2.4642782685205336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</row>
    <row r="32" spans="1:44">
      <c r="A32" s="34"/>
      <c r="B32" s="19" t="s">
        <v>113</v>
      </c>
      <c r="C32" s="48">
        <f>'Step changes'!C7</f>
        <v>0</v>
      </c>
      <c r="D32" s="49">
        <f>'Step changes'!D7</f>
        <v>0</v>
      </c>
      <c r="E32" s="48">
        <f>'Step changes'!E7</f>
        <v>0</v>
      </c>
      <c r="F32" s="49">
        <f>'Step changes'!F7</f>
        <v>0</v>
      </c>
      <c r="G32" s="49">
        <f>'Step changes'!G7</f>
        <v>0</v>
      </c>
      <c r="H32" s="49">
        <f>'Step changes'!H7</f>
        <v>0</v>
      </c>
      <c r="I32" s="49">
        <f>'Step changes'!I7</f>
        <v>0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</row>
    <row r="33" spans="1:44">
      <c r="A33" s="34"/>
      <c r="B33" s="10" t="s">
        <v>7</v>
      </c>
      <c r="C33" s="39"/>
      <c r="D33" s="38"/>
      <c r="E33" s="39"/>
      <c r="F33" s="38"/>
      <c r="G33" s="38"/>
      <c r="H33" s="38"/>
      <c r="I33" s="38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</row>
    <row r="34" spans="1:44">
      <c r="A34" s="34"/>
      <c r="B34" s="67" t="s">
        <v>117</v>
      </c>
      <c r="C34" s="68">
        <f t="shared" ref="C34:I34" si="26">SUM(C35:C36)</f>
        <v>10.089291228014847</v>
      </c>
      <c r="D34" s="69">
        <f t="shared" si="26"/>
        <v>9.7800871182183968</v>
      </c>
      <c r="E34" s="68">
        <f t="shared" si="26"/>
        <v>9.8545410385922505</v>
      </c>
      <c r="F34" s="69">
        <f t="shared" si="26"/>
        <v>9.9456908533795279</v>
      </c>
      <c r="G34" s="69">
        <f t="shared" si="26"/>
        <v>10.079337097840682</v>
      </c>
      <c r="H34" s="69">
        <f t="shared" si="26"/>
        <v>10.228416989846991</v>
      </c>
      <c r="I34" s="69">
        <f t="shared" si="26"/>
        <v>10.368868080447287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</row>
    <row r="35" spans="1:44">
      <c r="A35" s="34"/>
      <c r="B35" s="19" t="s">
        <v>27</v>
      </c>
      <c r="C35" s="48">
        <f>'Base Year'!D14*'Labour composition'!$C17</f>
        <v>7.0696901786560407</v>
      </c>
      <c r="D35" s="49">
        <f>(C35)*(1+'Supporting Forecasts'!D9+('Economies of Scale'!$C16*'Supporting Forecasts'!C14)-'Supporting Forecasts'!D19-'Supporting Forecasts'!D22)</f>
        <v>6.8749972079946309</v>
      </c>
      <c r="E35" s="48">
        <f>D35*(1+'Supporting Forecasts'!E9+('Economies of Scale'!$C16*'Supporting Forecasts'!D14)-'Supporting Forecasts'!E19-'Supporting Forecasts'!E22)</f>
        <v>6.9494472815363375</v>
      </c>
      <c r="F35" s="49">
        <f>E35*(1+'Supporting Forecasts'!F9+('Economies of Scale'!$C16*'Supporting Forecasts'!E14)-'Supporting Forecasts'!F19-'Supporting Forecasts'!F22)</f>
        <v>7.0399473482653896</v>
      </c>
      <c r="G35" s="49">
        <f>F35*(1+'Supporting Forecasts'!G9+('Economies of Scale'!$C16*'Supporting Forecasts'!F14)-'Supporting Forecasts'!G19-'Supporting Forecasts'!G22)</f>
        <v>7.1698235686750991</v>
      </c>
      <c r="H35" s="49">
        <f>G35*(1+'Supporting Forecasts'!H9+('Economies of Scale'!$C16*'Supporting Forecasts'!G14)-'Supporting Forecasts'!H19-'Supporting Forecasts'!H22)</f>
        <v>7.3158928615486687</v>
      </c>
      <c r="I35" s="49">
        <f>H35*(1+'Supporting Forecasts'!I9+('Economies of Scale'!$C16*'Supporting Forecasts'!H14)-'Supporting Forecasts'!I19-'Supporting Forecasts'!I22)</f>
        <v>7.4558377805517173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</row>
    <row r="36" spans="1:44">
      <c r="A36" s="34"/>
      <c r="B36" s="19" t="s">
        <v>28</v>
      </c>
      <c r="C36" s="48">
        <f>'Base Year'!D14*(1-'Labour composition'!$C17)</f>
        <v>3.0196010493588066</v>
      </c>
      <c r="D36" s="49">
        <f>C36*(1+('Economies of Scale'!$D16*'Supporting Forecasts'!C14)-'Supporting Forecasts'!D19-'Supporting Forecasts'!D22)</f>
        <v>2.9050899102237655</v>
      </c>
      <c r="E36" s="48">
        <f>(D36)*(1+('Economies of Scale'!$D16*'Supporting Forecasts'!D14)-'Supporting Forecasts'!E19-'Supporting Forecasts'!E22)</f>
        <v>2.905093757055913</v>
      </c>
      <c r="F36" s="49">
        <f>(E36)*(1+('Economies of Scale'!$D16*'Supporting Forecasts'!E14)-'Supporting Forecasts'!F19-'Supporting Forecasts'!F22)</f>
        <v>2.9057435051141374</v>
      </c>
      <c r="G36" s="49">
        <f>(F36)*(1+('Economies of Scale'!$D16*'Supporting Forecasts'!F14)-'Supporting Forecasts'!G19-'Supporting Forecasts'!G22)</f>
        <v>2.9095135291655838</v>
      </c>
      <c r="H36" s="49">
        <f>(G36)*(1+('Economies of Scale'!$D16*'Supporting Forecasts'!G14)-'Supporting Forecasts'!H19-'Supporting Forecasts'!H22)</f>
        <v>2.9125241282983221</v>
      </c>
      <c r="I36" s="49">
        <f>(H36)*(1+('Economies of Scale'!$D16*'Supporting Forecasts'!H14)-'Supporting Forecasts'!I19-'Supporting Forecasts'!I22)</f>
        <v>2.9130302998955702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</row>
    <row r="37" spans="1:44">
      <c r="A37" s="34"/>
      <c r="B37" s="19" t="s">
        <v>113</v>
      </c>
      <c r="C37" s="48">
        <v>0</v>
      </c>
      <c r="D37" s="49">
        <v>0</v>
      </c>
      <c r="E37" s="48">
        <v>0</v>
      </c>
      <c r="F37" s="49">
        <v>0</v>
      </c>
      <c r="G37" s="49">
        <v>0</v>
      </c>
      <c r="H37" s="49">
        <v>0</v>
      </c>
      <c r="I37" s="49">
        <v>0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</row>
    <row r="38" spans="1:44">
      <c r="A38" s="34"/>
      <c r="B38" s="10" t="s">
        <v>8</v>
      </c>
      <c r="C38" s="39"/>
      <c r="D38" s="38"/>
      <c r="E38" s="39"/>
      <c r="F38" s="38"/>
      <c r="G38" s="38"/>
      <c r="H38" s="38"/>
      <c r="I38" s="38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</row>
    <row r="39" spans="1:44">
      <c r="A39" s="34"/>
      <c r="B39" s="67" t="s">
        <v>31</v>
      </c>
      <c r="C39" s="68">
        <f>SUM(C40:C41)</f>
        <v>8.4944385803461753</v>
      </c>
      <c r="D39" s="69">
        <f t="shared" ref="D39" si="27">SUM(D40:D41)</f>
        <v>8.2341115405077829</v>
      </c>
      <c r="E39" s="68">
        <f t="shared" ref="E39" si="28">SUM(E40:E41)</f>
        <v>8.296796246438916</v>
      </c>
      <c r="F39" s="69">
        <f t="shared" ref="F39" si="29">SUM(F40:F41)</f>
        <v>8.3735376632364158</v>
      </c>
      <c r="G39" s="69">
        <f t="shared" ref="G39" si="30">SUM(G40:G41)</f>
        <v>8.4860579373976961</v>
      </c>
      <c r="H39" s="69">
        <f t="shared" ref="H39" si="31">SUM(H40:H41)</f>
        <v>8.6115722037215736</v>
      </c>
      <c r="I39" s="69">
        <f>SUM(I40:I41)</f>
        <v>8.7298216561047219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</row>
    <row r="40" spans="1:44">
      <c r="A40" s="34"/>
      <c r="B40" s="19" t="s">
        <v>27</v>
      </c>
      <c r="C40" s="48">
        <f>'Base Year'!D15*'Labour composition'!$C18</f>
        <v>5.952157356497108</v>
      </c>
      <c r="D40" s="49">
        <f>C40*(1+'Supporting Forecasts'!D9+('Economies of Scale'!$C17*'Supporting Forecasts'!C14)-'Supporting Forecasts'!D19-'Supporting Forecasts'!D22)</f>
        <v>5.7882402443895327</v>
      </c>
      <c r="E40" s="48">
        <f>D40*(1+'Supporting Forecasts'!E9+('Economies of Scale'!$C17*'Supporting Forecasts'!D14)-'Supporting Forecasts'!E19-'Supporting Forecasts'!E22)</f>
        <v>5.8509217115719121</v>
      </c>
      <c r="F40" s="49">
        <f>E40*(1+'Supporting Forecasts'!F9+('Economies of Scale'!$C17*'Supporting Forecasts'!E14)-'Supporting Forecasts'!F19-'Supporting Forecasts'!F22)</f>
        <v>5.9271160884586243</v>
      </c>
      <c r="G40" s="49">
        <f>F40*(1+'Supporting Forecasts'!G9+('Economies of Scale'!$C17*'Supporting Forecasts'!F14)-'Supporting Forecasts'!G19-'Supporting Forecasts'!G22)</f>
        <v>6.036462280612783</v>
      </c>
      <c r="H40" s="49">
        <f>G40*(1+'Supporting Forecasts'!H9+('Economies of Scale'!$C17*'Supporting Forecasts'!G14)-'Supporting Forecasts'!H19-'Supporting Forecasts'!H22)</f>
        <v>6.1594418446622257</v>
      </c>
      <c r="I40" s="49">
        <f>H40*(1+'Supporting Forecasts'!I9+('Economies of Scale'!$C17*'Supporting Forecasts'!H14)-'Supporting Forecasts'!I19-'Supporting Forecasts'!I22)</f>
        <v>6.2772651379181594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1:44">
      <c r="A41" s="34"/>
      <c r="B41" s="19" t="s">
        <v>28</v>
      </c>
      <c r="C41" s="48">
        <f>'Base Year'!D15*(1-'Labour composition'!$C18)</f>
        <v>2.5422812238490669</v>
      </c>
      <c r="D41" s="49">
        <f>C41*(1+('Economies of Scale'!$D17*'Supporting Forecasts'!C14)-'Supporting Forecasts'!D19-'Supporting Forecasts'!D22)</f>
        <v>2.4458712961182494</v>
      </c>
      <c r="E41" s="48">
        <f>D41*(1+('Economies of Scale'!$D17*'Supporting Forecasts'!D14)-'Supporting Forecasts'!E19-'Supporting Forecasts'!E22)</f>
        <v>2.4458745348670048</v>
      </c>
      <c r="F41" s="49">
        <f>E41*(1+('Economies of Scale'!$D17*'Supporting Forecasts'!E14)-'Supporting Forecasts'!F19-'Supporting Forecasts'!F22)</f>
        <v>2.4464215747777924</v>
      </c>
      <c r="G41" s="49">
        <f>F41*(1+('Economies of Scale'!$D17*'Supporting Forecasts'!F14)-'Supporting Forecasts'!G19-'Supporting Forecasts'!G22)</f>
        <v>2.4495956567849126</v>
      </c>
      <c r="H41" s="49">
        <f>G41*(1+('Economies of Scale'!$D17*'Supporting Forecasts'!G14)-'Supporting Forecasts'!H19-'Supporting Forecasts'!H22)</f>
        <v>2.452130359059348</v>
      </c>
      <c r="I41" s="49">
        <f>H41*(1+('Economies of Scale'!$D17*'Supporting Forecasts'!H14)-'Supporting Forecasts'!I19-'Supporting Forecasts'!I22)</f>
        <v>2.4525565181865621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</row>
    <row r="42" spans="1:44">
      <c r="A42" s="34"/>
      <c r="B42" s="10" t="s">
        <v>9</v>
      </c>
      <c r="C42" s="39"/>
      <c r="D42" s="38"/>
      <c r="E42" s="39"/>
      <c r="F42" s="38"/>
      <c r="G42" s="38"/>
      <c r="H42" s="38"/>
      <c r="I42" s="38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</row>
    <row r="43" spans="1:44">
      <c r="A43" s="34"/>
      <c r="B43" s="67" t="s">
        <v>31</v>
      </c>
      <c r="C43" s="68">
        <f>SUM(C44:C45)</f>
        <v>9.4621977262114356</v>
      </c>
      <c r="D43" s="69">
        <f t="shared" ref="D43" si="32">SUM(D44:D45)</f>
        <v>9.1717726082251776</v>
      </c>
      <c r="E43" s="68">
        <f t="shared" ref="E43" si="33">SUM(E44:E45)</f>
        <v>9.2415882710442752</v>
      </c>
      <c r="F43" s="69">
        <f t="shared" ref="F43" si="34">SUM(F44:F45)</f>
        <v>9.3258284030891687</v>
      </c>
      <c r="G43" s="69">
        <f t="shared" ref="G43" si="35">SUM(G44:G45)</f>
        <v>9.4438854411238218</v>
      </c>
      <c r="H43" s="69">
        <f t="shared" ref="H43" si="36">SUM(H44:H45)</f>
        <v>9.5777039707909033</v>
      </c>
      <c r="I43" s="69">
        <f>SUM(I44:I45)</f>
        <v>9.7082221100595429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</row>
    <row r="44" spans="1:44">
      <c r="A44" s="34"/>
      <c r="B44" s="19" t="s">
        <v>27</v>
      </c>
      <c r="C44" s="48">
        <f>'Base Year'!D16*'Labour composition'!$C19</f>
        <v>6.6302780662879748</v>
      </c>
      <c r="D44" s="49">
        <f>C44*(1+'Supporting Forecasts'!D9+('Economies of Scale'!$C18*'Supporting Forecasts'!C14)-'Supporting Forecasts'!D19-'Supporting Forecasts'!D22)</f>
        <v>6.4473782252911374</v>
      </c>
      <c r="E44" s="48">
        <f>D44*(1+'Supporting Forecasts'!E9+('Economies of Scale'!$C18*'Supporting Forecasts'!D14)-'Supporting Forecasts'!E19-'Supporting Forecasts'!E22)</f>
        <v>6.5171924450859953</v>
      </c>
      <c r="F44" s="49">
        <f>E44*(1+'Supporting Forecasts'!F9+('Economies of Scale'!$C18*'Supporting Forecasts'!E14)-'Supporting Forecasts'!F19-'Supporting Forecasts'!F22)</f>
        <v>6.6011888437376438</v>
      </c>
      <c r="G44" s="49">
        <f>F44*(1+'Supporting Forecasts'!G9+('Economies of Scale'!$C18*'Supporting Forecasts'!F14)-'Supporting Forecasts'!G19-'Supporting Forecasts'!G22)</f>
        <v>6.7178318606582925</v>
      </c>
      <c r="H44" s="49">
        <f>G44*(1+'Supporting Forecasts'!H9+('Economies of Scale'!$C18*'Supporting Forecasts'!G14)-'Supporting Forecasts'!H19-'Supporting Forecasts'!H22)</f>
        <v>6.8505220842408177</v>
      </c>
      <c r="I44" s="49">
        <f>H44*(1+'Supporting Forecasts'!I9+('Economies of Scale'!$C18*'Supporting Forecasts'!H14)-'Supporting Forecasts'!I19-'Supporting Forecasts'!I22)</f>
        <v>6.9808506392243919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</row>
    <row r="45" spans="1:44">
      <c r="A45" s="34"/>
      <c r="B45" s="19" t="s">
        <v>28</v>
      </c>
      <c r="C45" s="48">
        <f>'Base Year'!D16*(1-'Labour composition'!C19)</f>
        <v>2.8319196599234608</v>
      </c>
      <c r="D45" s="49">
        <f>C45*(1+('Economies of Scale'!$D18*'Supporting Forecasts'!C14)-'Supporting Forecasts'!D19-'Supporting Forecasts'!D22)</f>
        <v>2.7243943829340407</v>
      </c>
      <c r="E45" s="48">
        <f>D45*(1+('Economies of Scale'!$D18*'Supporting Forecasts'!D14)-'Supporting Forecasts'!E19-'Supporting Forecasts'!E22)</f>
        <v>2.7243958259582803</v>
      </c>
      <c r="F45" s="49">
        <f>E45*(1+('Economies of Scale'!$D18*'Supporting Forecasts'!E14)-'Supporting Forecasts'!F19-'Supporting Forecasts'!F22)</f>
        <v>2.7246395593515249</v>
      </c>
      <c r="G45" s="49">
        <f>F45*(1+('Economies of Scale'!$D18*'Supporting Forecasts'!F14)-'Supporting Forecasts'!G19-'Supporting Forecasts'!G22)</f>
        <v>2.7260535804655288</v>
      </c>
      <c r="H45" s="49">
        <f>G45*(1+('Economies of Scale'!$D18*'Supporting Forecasts'!G14)-'Supporting Forecasts'!H19-'Supporting Forecasts'!H22)</f>
        <v>2.7271818865500861</v>
      </c>
      <c r="I45" s="49">
        <f>H45*(1+('Economies of Scale'!$D18*'Supporting Forecasts'!H14)-'Supporting Forecasts'!I19-'Supporting Forecasts'!I22)</f>
        <v>2.7273714708351515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</row>
    <row r="46" spans="1:44">
      <c r="A46" s="34"/>
      <c r="B46" s="10" t="s">
        <v>10</v>
      </c>
      <c r="C46" s="39"/>
      <c r="D46" s="38"/>
      <c r="E46" s="39"/>
      <c r="F46" s="38"/>
      <c r="G46" s="38"/>
      <c r="H46" s="38"/>
      <c r="I46" s="38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</row>
    <row r="47" spans="1:44">
      <c r="A47" s="34"/>
      <c r="B47" s="67" t="s">
        <v>31</v>
      </c>
      <c r="C47" s="68">
        <f>SUM(C48:C49)</f>
        <v>4.9349357153439906</v>
      </c>
      <c r="D47" s="69">
        <f t="shared" ref="D47" si="37">SUM(D48:D49)</f>
        <v>4.7838782641556072</v>
      </c>
      <c r="E47" s="68">
        <f t="shared" ref="E47" si="38">SUM(E48:E49)</f>
        <v>4.820296856285931</v>
      </c>
      <c r="F47" s="69">
        <f t="shared" ref="F47" si="39">SUM(F48:F49)</f>
        <v>4.8653760722539499</v>
      </c>
      <c r="G47" s="69">
        <f t="shared" ref="G47" si="40">SUM(G48:G49)</f>
        <v>4.9335931589593542</v>
      </c>
      <c r="H47" s="69">
        <f t="shared" ref="H47" si="41">SUM(H48:H49)</f>
        <v>5.0087152799620309</v>
      </c>
      <c r="I47" s="69">
        <f>SUM(I48:I49)</f>
        <v>5.077685298719965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</row>
    <row r="48" spans="1:44">
      <c r="A48" s="34"/>
      <c r="B48" s="19" t="s">
        <v>27</v>
      </c>
      <c r="C48" s="48">
        <f>'Base Year'!D17*'Labour composition'!$C20</f>
        <v>3.4579700169811565</v>
      </c>
      <c r="D48" s="49">
        <f>C48*(1+'Supporting Forecasts'!D9+('Economies of Scale'!$C19*'Supporting Forecasts'!C14)-'Supporting Forecasts'!D19-'Supporting Forecasts'!D22)</f>
        <v>3.3625800257991165</v>
      </c>
      <c r="E48" s="48">
        <f>D48*(1+'Supporting Forecasts'!E9+('Economies of Scale'!$C19*'Supporting Forecasts'!D14)-'Supporting Forecasts'!E19-'Supporting Forecasts'!E22)</f>
        <v>3.3989910897689732</v>
      </c>
      <c r="F48" s="49">
        <f>E48*(1+'Supporting Forecasts'!F9+('Economies of Scale'!$C19*'Supporting Forecasts'!E14)-'Supporting Forecasts'!F19-'Supporting Forecasts'!F22)</f>
        <v>3.442798758944817</v>
      </c>
      <c r="G48" s="49">
        <f>F48*(1+'Supporting Forecasts'!G9+('Economies of Scale'!$C19*'Supporting Forecasts'!F14)-'Supporting Forecasts'!G19-'Supporting Forecasts'!G22)</f>
        <v>3.5036330182578128</v>
      </c>
      <c r="H48" s="49">
        <f>G48*(1+'Supporting Forecasts'!H9+('Economies of Scale'!$C19*'Supporting Forecasts'!G14)-'Supporting Forecasts'!H19-'Supporting Forecasts'!H22)</f>
        <v>3.572836573539738</v>
      </c>
      <c r="I48" s="49">
        <f>H48*(1+'Supporting Forecasts'!I9+('Economies of Scale'!$C19*'Supporting Forecasts'!H14)-'Supporting Forecasts'!I19-'Supporting Forecasts'!I22)</f>
        <v>3.6408084189109222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</row>
    <row r="49" spans="1:44">
      <c r="A49" s="34"/>
      <c r="B49" s="19" t="s">
        <v>28</v>
      </c>
      <c r="C49" s="48">
        <f>'Base Year'!D17*(1-'Labour composition'!C20)</f>
        <v>1.4769656983628341</v>
      </c>
      <c r="D49" s="49">
        <f>C49*(1+('Economies of Scale'!$D19*'Supporting Forecasts'!C14)-'Supporting Forecasts'!D19-'Supporting Forecasts'!D22)</f>
        <v>1.4212982383564907</v>
      </c>
      <c r="E49" s="48">
        <f>D49*(1+('Economies of Scale'!$D19*'Supporting Forecasts'!D14)-'Supporting Forecasts'!E19-'Supporting Forecasts'!E22)</f>
        <v>1.4213057665169579</v>
      </c>
      <c r="F49" s="49">
        <f>E49*(1+('Economies of Scale'!$D19*'Supporting Forecasts'!E14)-'Supporting Forecasts'!F19-'Supporting Forecasts'!F22)</f>
        <v>1.4225773133091324</v>
      </c>
      <c r="G49" s="49">
        <f>F49*(1+('Economies of Scale'!$D19*'Supporting Forecasts'!F14)-'Supporting Forecasts'!G19-'Supporting Forecasts'!G22)</f>
        <v>1.429960140701541</v>
      </c>
      <c r="H49" s="49">
        <f>G49*(1+('Economies of Scale'!$D19*'Supporting Forecasts'!G14)-'Supporting Forecasts'!H19-'Supporting Forecasts'!H22)</f>
        <v>1.4358787064222933</v>
      </c>
      <c r="I49" s="49">
        <f>H49*(1+('Economies of Scale'!$D19*'Supporting Forecasts'!H14)-'Supporting Forecasts'!I19-'Supporting Forecasts'!I22)</f>
        <v>1.4368768798090432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</row>
    <row r="50" spans="1:44">
      <c r="A50" s="34"/>
      <c r="B50" s="10" t="s">
        <v>11</v>
      </c>
      <c r="C50" s="39"/>
      <c r="D50" s="38"/>
      <c r="E50" s="39"/>
      <c r="F50" s="38"/>
      <c r="G50" s="38"/>
      <c r="H50" s="38"/>
      <c r="I50" s="38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</row>
    <row r="51" spans="1:44">
      <c r="A51" s="34"/>
      <c r="B51" s="67" t="s">
        <v>31</v>
      </c>
      <c r="C51" s="68">
        <f>SUM(C52:C53)</f>
        <v>1.6733321065475821</v>
      </c>
      <c r="D51" s="69">
        <f t="shared" ref="D51" si="42">SUM(D52:D53)</f>
        <v>1.6220498952697273</v>
      </c>
      <c r="E51" s="68">
        <f t="shared" ref="E51" si="43">SUM(E52:E53)</f>
        <v>1.6343982488462372</v>
      </c>
      <c r="F51" s="69">
        <f t="shared" ref="F51" si="44">SUM(F52:F53)</f>
        <v>1.6495156548307035</v>
      </c>
      <c r="G51" s="69">
        <f t="shared" ref="G51" si="45">SUM(G52:G53)</f>
        <v>1.67168119121203</v>
      </c>
      <c r="H51" s="69">
        <f t="shared" ref="H51" si="46">SUM(H52:H53)</f>
        <v>1.696406433461171</v>
      </c>
      <c r="I51" s="69">
        <f>SUM(I52:I53)</f>
        <v>1.7197005691927789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</row>
    <row r="52" spans="1:44">
      <c r="A52" s="34"/>
      <c r="B52" s="19" t="s">
        <v>27</v>
      </c>
      <c r="C52" s="48">
        <f>'Base Year'!D18*'Labour composition'!$C21</f>
        <v>1.1725243420906688</v>
      </c>
      <c r="D52" s="49">
        <f>C52*(1+'Supporting Forecasts'!D9+('Economies of Scale'!$C20*'Supporting Forecasts'!C14)-'Supporting Forecasts'!D19-'Supporting Forecasts'!D22)</f>
        <v>1.1402340660579724</v>
      </c>
      <c r="E52" s="48">
        <f>D52*(1+'Supporting Forecasts'!E9+('Economies of Scale'!$C20*'Supporting Forecasts'!D14)-'Supporting Forecasts'!E19-'Supporting Forecasts'!E22)</f>
        <v>1.1525817816285415</v>
      </c>
      <c r="F52" s="49">
        <f>E52*(1+'Supporting Forecasts'!F9+('Economies of Scale'!$C20*'Supporting Forecasts'!E14)-'Supporting Forecasts'!F19-'Supporting Forecasts'!F22)</f>
        <v>1.1675914254062856</v>
      </c>
      <c r="G52" s="49">
        <f>F52*(1+'Supporting Forecasts'!G9+('Economies of Scale'!$C20*'Supporting Forecasts'!F14)-'Supporting Forecasts'!G19-'Supporting Forecasts'!G22)</f>
        <v>1.1891316946459296</v>
      </c>
      <c r="H52" s="49">
        <f>G52*(1+'Supporting Forecasts'!H9+('Economies of Scale'!$C20*'Supporting Forecasts'!G14)-'Supporting Forecasts'!H19-'Supporting Forecasts'!H22)</f>
        <v>1.213357622119146</v>
      </c>
      <c r="I52" s="49">
        <f>H52*(1+'Supporting Forecasts'!I9+('Economies of Scale'!$C20*'Supporting Forecasts'!H14)-'Supporting Forecasts'!I19-'Supporting Forecasts'!I22)</f>
        <v>1.2365678081296134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</row>
    <row r="53" spans="1:44">
      <c r="A53" s="34"/>
      <c r="B53" s="19" t="s">
        <v>28</v>
      </c>
      <c r="C53" s="48">
        <f>'Base Year'!D18*(1-'Labour composition'!$C21)</f>
        <v>0.50080776445691333</v>
      </c>
      <c r="D53" s="49">
        <f>C53*(1+('Economies of Scale'!$D20*'Supporting Forecasts'!C14)-'Supporting Forecasts'!D19-'Supporting Forecasts'!D22)</f>
        <v>0.48181582921175503</v>
      </c>
      <c r="E53" s="48">
        <f>D53*(1+('Economies of Scale'!$D20*'Supporting Forecasts'!D14)-'Supporting Forecasts'!E19-'Supporting Forecasts'!E22)</f>
        <v>0.48181646721769572</v>
      </c>
      <c r="F53" s="49">
        <f>E53*(1+('Economies of Scale'!$D20*'Supporting Forecasts'!E14)-'Supporting Forecasts'!F19-'Supporting Forecasts'!F22)</f>
        <v>0.48192422942441793</v>
      </c>
      <c r="G53" s="49">
        <f>F53*(1+('Economies of Scale'!$D20*'Supporting Forecasts'!F14)-'Supporting Forecasts'!G19-'Supporting Forecasts'!G22)</f>
        <v>0.4825494965661003</v>
      </c>
      <c r="H53" s="49">
        <f>G53*(1+('Economies of Scale'!$D20*'Supporting Forecasts'!G14)-'Supporting Forecasts'!H19-'Supporting Forecasts'!H22)</f>
        <v>0.48304881134202504</v>
      </c>
      <c r="I53" s="49">
        <f>H53*(1+('Economies of Scale'!$D20*'Supporting Forecasts'!H14)-'Supporting Forecasts'!I19-'Supporting Forecasts'!I22)</f>
        <v>0.48313276106316555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</row>
    <row r="54" spans="1:44">
      <c r="A54" s="34"/>
      <c r="B54" s="10" t="s">
        <v>12</v>
      </c>
      <c r="C54" s="39"/>
      <c r="D54" s="38"/>
      <c r="E54" s="39"/>
      <c r="F54" s="38"/>
      <c r="G54" s="38"/>
      <c r="H54" s="38"/>
      <c r="I54" s="38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</row>
    <row r="55" spans="1:44">
      <c r="A55" s="34"/>
      <c r="B55" s="67" t="s">
        <v>31</v>
      </c>
      <c r="C55" s="68">
        <f>SUM(C56:C57)</f>
        <v>3.108857143589526</v>
      </c>
      <c r="D55" s="69">
        <f t="shared" ref="D55" si="47">SUM(D56:D57)</f>
        <v>3.0135807377604644</v>
      </c>
      <c r="E55" s="68">
        <f t="shared" ref="E55" si="48">SUM(E56:E57)</f>
        <v>3.0365225477440827</v>
      </c>
      <c r="F55" s="69">
        <f t="shared" ref="F55" si="49">SUM(F56:F57)</f>
        <v>3.0646089362161932</v>
      </c>
      <c r="G55" s="69">
        <f t="shared" ref="G55" si="50">SUM(G56:G57)</f>
        <v>3.1057899342087283</v>
      </c>
      <c r="H55" s="69">
        <f t="shared" ref="H55" si="51">SUM(H56:H57)</f>
        <v>3.151726569077832</v>
      </c>
      <c r="I55" s="69">
        <f>SUM(I56:I57)</f>
        <v>3.1950043738779601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</row>
    <row r="56" spans="1:44">
      <c r="A56" s="34"/>
      <c r="B56" s="19" t="s">
        <v>27</v>
      </c>
      <c r="C56" s="48">
        <f>'Base Year'!D19*'Labour composition'!$C22</f>
        <v>2.1784143522244257</v>
      </c>
      <c r="D56" s="49">
        <f>C56*(1+'Supporting Forecasts'!D9+('Economies of Scale'!$C21*'Supporting Forecasts'!C14)-'Supporting Forecasts'!D19-'Supporting Forecasts'!D22)</f>
        <v>2.1184227612426199</v>
      </c>
      <c r="E56" s="48">
        <f>D56*(1+'Supporting Forecasts'!E9+('Economies of Scale'!$C21*'Supporting Forecasts'!D14)-'Supporting Forecasts'!E19-'Supporting Forecasts'!E22)</f>
        <v>2.1413633858851342</v>
      </c>
      <c r="F56" s="49">
        <f>E56*(1+'Supporting Forecasts'!F9+('Economies of Scale'!$C21*'Supporting Forecasts'!E14)-'Supporting Forecasts'!F19-'Supporting Forecasts'!F22)</f>
        <v>2.1692495646649395</v>
      </c>
      <c r="G56" s="49">
        <f>F56*(1+'Supporting Forecasts'!G9+('Economies of Scale'!$C21*'Supporting Forecasts'!F14)-'Supporting Forecasts'!G19-'Supporting Forecasts'!G22)</f>
        <v>2.2092688887659229</v>
      </c>
      <c r="H56" s="49">
        <f>G56*(1+'Supporting Forecasts'!H9+('Economies of Scale'!$C21*'Supporting Forecasts'!G14)-'Supporting Forecasts'!H19-'Supporting Forecasts'!H22)</f>
        <v>2.2542778546433424</v>
      </c>
      <c r="I56" s="49">
        <f>H56*(1+'Supporting Forecasts'!I9+('Economies of Scale'!$C21*'Supporting Forecasts'!H14)-'Supporting Forecasts'!I19-'Supporting Forecasts'!I22)</f>
        <v>2.2973996905899186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44">
      <c r="A57" s="34"/>
      <c r="B57" s="19" t="s">
        <v>28</v>
      </c>
      <c r="C57" s="48">
        <f>'Base Year'!D19*(1-'Labour composition'!$C22)</f>
        <v>0.93044279136510022</v>
      </c>
      <c r="D57" s="49">
        <f>C57*(1+('Economies of Scale'!$D21*'Supporting Forecasts'!C14)-'Supporting Forecasts'!D19-'Supporting Forecasts'!D22)</f>
        <v>0.89515797651784434</v>
      </c>
      <c r="E57" s="48">
        <f>D57*(1+('Economies of Scale'!$D21*'Supporting Forecasts'!D14)-'Supporting Forecasts'!E19-'Supporting Forecasts'!E22)</f>
        <v>0.89515916185894828</v>
      </c>
      <c r="F57" s="49">
        <f>E57*(1+('Economies of Scale'!$D21*'Supporting Forecasts'!E14)-'Supporting Forecasts'!F19-'Supporting Forecasts'!F22)</f>
        <v>0.895359371551254</v>
      </c>
      <c r="G57" s="49">
        <f>F57*(1+('Economies of Scale'!$D21*'Supporting Forecasts'!F14)-'Supporting Forecasts'!G19-'Supporting Forecasts'!G22)</f>
        <v>0.89652104544280542</v>
      </c>
      <c r="H57" s="49">
        <f>G57*(1+('Economies of Scale'!$D21*'Supporting Forecasts'!G14)-'Supporting Forecasts'!H19-'Supporting Forecasts'!H22)</f>
        <v>0.89744871443448937</v>
      </c>
      <c r="I57" s="49">
        <f>H57*(1+('Economies of Scale'!$D21*'Supporting Forecasts'!H14)-'Supporting Forecasts'!I19-'Supporting Forecasts'!I22)</f>
        <v>0.89760468328804144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  <row r="58" spans="1:44">
      <c r="A58" s="34"/>
      <c r="B58" s="10" t="s">
        <v>13</v>
      </c>
      <c r="C58" s="39"/>
      <c r="D58" s="38"/>
      <c r="E58" s="39"/>
      <c r="F58" s="38"/>
      <c r="G58" s="38"/>
      <c r="H58" s="38"/>
      <c r="I58" s="38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</row>
    <row r="59" spans="1:44">
      <c r="A59" s="34"/>
      <c r="B59" s="67" t="s">
        <v>31</v>
      </c>
      <c r="C59" s="68">
        <f>SUM(C60:C61)</f>
        <v>13.779549710526144</v>
      </c>
      <c r="D59" s="69">
        <f t="shared" ref="D59" si="52">SUM(D60:D61)</f>
        <v>13.356611248841791</v>
      </c>
      <c r="E59" s="68">
        <f t="shared" ref="E59" si="53">SUM(E60:E61)</f>
        <v>13.4582819625835</v>
      </c>
      <c r="F59" s="69">
        <f t="shared" ref="F59" si="54">SUM(F60:F61)</f>
        <v>13.58095865152209</v>
      </c>
      <c r="G59" s="69">
        <f t="shared" ref="G59" si="55">SUM(G60:G61)</f>
        <v>13.752882011332003</v>
      </c>
      <c r="H59" s="69">
        <f t="shared" ref="H59" si="56">SUM(H60:H61)</f>
        <v>13.947758416908382</v>
      </c>
      <c r="I59" s="69">
        <f>SUM(I60:I61)</f>
        <v>14.137828550741624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</row>
    <row r="60" spans="1:44">
      <c r="A60" s="34"/>
      <c r="B60" s="19" t="s">
        <v>27</v>
      </c>
      <c r="C60" s="48">
        <f>'Base Year'!D20*'Labour composition'!$C23</f>
        <v>9.6554995839858435</v>
      </c>
      <c r="D60" s="49">
        <f>C60*(1+'Supporting Forecasts'!D9+('Economies of Scale'!$C22*'Supporting Forecasts'!C14)-'Supporting Forecasts'!D19-'Supporting Forecasts'!D22)</f>
        <v>9.3891473554669052</v>
      </c>
      <c r="E60" s="48">
        <f>D60*(1+'Supporting Forecasts'!E9+('Economies of Scale'!$C22*'Supporting Forecasts'!D14)-'Supporting Forecasts'!E19-'Supporting Forecasts'!E22)</f>
        <v>9.490815967770363</v>
      </c>
      <c r="F60" s="49">
        <f>E60*(1+'Supporting Forecasts'!F9+('Economies of Scale'!$C22*'Supporting Forecasts'!E14)-'Supporting Forecasts'!F19-'Supporting Forecasts'!F22)</f>
        <v>9.6131377141781051</v>
      </c>
      <c r="G60" s="49">
        <f>F60*(1+'Supporting Forecasts'!G9+('Economies of Scale'!$C22*'Supporting Forecasts'!F14)-'Supporting Forecasts'!G19-'Supporting Forecasts'!G22)</f>
        <v>9.7830018722258121</v>
      </c>
      <c r="H60" s="49">
        <f>G60*(1+'Supporting Forecasts'!H9+('Economies of Scale'!$C22*'Supporting Forecasts'!G14)-'Supporting Forecasts'!H19-'Supporting Forecasts'!H22)</f>
        <v>9.9762351553235966</v>
      </c>
      <c r="I60" s="49">
        <f>H60*(1+'Supporting Forecasts'!I9+('Economies of Scale'!$C22*'Supporting Forecasts'!H14)-'Supporting Forecasts'!I19-'Supporting Forecasts'!I22)</f>
        <v>10.166029202548211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</row>
    <row r="61" spans="1:44">
      <c r="A61" s="34"/>
      <c r="B61" s="19" t="s">
        <v>28</v>
      </c>
      <c r="C61" s="48">
        <f>'Base Year'!D20*(1-'Labour composition'!$C23)</f>
        <v>4.1240501265403013</v>
      </c>
      <c r="D61" s="49">
        <f>C61*(1+('Economies of Scale'!$D22*'Supporting Forecasts'!C14)-'Supporting Forecasts'!D19-'Supporting Forecasts'!D22)</f>
        <v>3.967463893374886</v>
      </c>
      <c r="E61" s="48">
        <f>D61*(1+('Economies of Scale'!$D22*'Supporting Forecasts'!D14)-'Supporting Forecasts'!E19-'Supporting Forecasts'!E22)</f>
        <v>3.967465994813137</v>
      </c>
      <c r="F61" s="49">
        <f>E61*(1+('Economies of Scale'!$D22*'Supporting Forecasts'!E14)-'Supporting Forecasts'!F19-'Supporting Forecasts'!F22)</f>
        <v>3.9678209373439852</v>
      </c>
      <c r="G61" s="49">
        <f>F61*(1+('Economies of Scale'!$D22*'Supporting Forecasts'!F14)-'Supporting Forecasts'!G19-'Supporting Forecasts'!G22)</f>
        <v>3.9698801391061909</v>
      </c>
      <c r="H61" s="49">
        <f>G61*(1+('Economies of Scale'!$D22*'Supporting Forecasts'!G14)-'Supporting Forecasts'!H19-'Supporting Forecasts'!H22)</f>
        <v>3.9715232615847857</v>
      </c>
      <c r="I61" s="49">
        <f>H61*(1+('Economies of Scale'!$D22*'Supporting Forecasts'!H14)-'Supporting Forecasts'!I19-'Supporting Forecasts'!I22)</f>
        <v>3.9717993481934135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</row>
    <row r="62" spans="1:44">
      <c r="A62" s="34"/>
      <c r="B62" s="10" t="s">
        <v>14</v>
      </c>
      <c r="C62" s="39"/>
      <c r="D62" s="38"/>
      <c r="E62" s="39"/>
      <c r="F62" s="38"/>
      <c r="G62" s="38"/>
      <c r="H62" s="38"/>
      <c r="I62" s="38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</row>
    <row r="63" spans="1:44">
      <c r="A63" s="34"/>
      <c r="B63" s="67" t="s">
        <v>31</v>
      </c>
      <c r="C63" s="68">
        <f>SUM(C64:C65)</f>
        <v>6.184241566652382</v>
      </c>
      <c r="D63" s="69">
        <f t="shared" ref="D63" si="57">SUM(D64:D65)</f>
        <v>5.9944274094534444</v>
      </c>
      <c r="E63" s="68">
        <f t="shared" ref="E63" si="58">SUM(E64:E65)</f>
        <v>6.0400570756792122</v>
      </c>
      <c r="F63" s="69">
        <f t="shared" ref="F63" si="59">SUM(F64:F65)</f>
        <v>6.0951141925611791</v>
      </c>
      <c r="G63" s="69">
        <f t="shared" ref="G63" si="60">SUM(G64:G65)</f>
        <v>6.1722731426248956</v>
      </c>
      <c r="H63" s="69">
        <f t="shared" ref="H63" si="61">SUM(H64:H65)</f>
        <v>6.2597333857418853</v>
      </c>
      <c r="I63" s="69">
        <f>SUM(I64:I65)</f>
        <v>6.3450365811962914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</row>
    <row r="64" spans="1:44">
      <c r="A64" s="34"/>
      <c r="B64" s="19" t="s">
        <v>27</v>
      </c>
      <c r="C64" s="48">
        <f>'Base Year'!D21*'Labour composition'!$C24</f>
        <v>4.3333739584005651</v>
      </c>
      <c r="D64" s="49">
        <f>C64*(1+'Supporting Forecasts'!D9+('Economies of Scale'!$C23*'Supporting Forecasts'!C14)-'Supporting Forecasts'!D19-'Supporting Forecasts'!D22)</f>
        <v>4.2138354714702535</v>
      </c>
      <c r="E64" s="48">
        <f>D64*(1+'Supporting Forecasts'!E9+('Economies of Scale'!$C23*'Supporting Forecasts'!D14)-'Supporting Forecasts'!E19-'Supporting Forecasts'!E22)</f>
        <v>4.2594641945736367</v>
      </c>
      <c r="F64" s="49">
        <f>E64*(1+'Supporting Forecasts'!F9+('Economies of Scale'!$C23*'Supporting Forecasts'!E14)-'Supporting Forecasts'!F19-'Supporting Forecasts'!F22)</f>
        <v>4.3143620137717784</v>
      </c>
      <c r="G64" s="49">
        <f>F64*(1+'Supporting Forecasts'!G9+('Economies of Scale'!$C23*'Supporting Forecasts'!F14)-'Supporting Forecasts'!G19-'Supporting Forecasts'!G22)</f>
        <v>4.3905967971247186</v>
      </c>
      <c r="H64" s="49">
        <f>G64*(1+'Supporting Forecasts'!H9+('Economies of Scale'!$C23*'Supporting Forecasts'!G14)-'Supporting Forecasts'!H19-'Supporting Forecasts'!H22)</f>
        <v>4.4773196092991379</v>
      </c>
      <c r="I64" s="49">
        <f>H64*(1+'Supporting Forecasts'!I9+('Economies of Scale'!$C23*'Supporting Forecasts'!H14)-'Supporting Forecasts'!I19-'Supporting Forecasts'!I22)</f>
        <v>4.5624988974911922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</row>
    <row r="65" spans="1:43">
      <c r="A65" s="34"/>
      <c r="B65" s="19" t="s">
        <v>28</v>
      </c>
      <c r="C65" s="48">
        <f>'Base Year'!D21*(1-'Labour composition'!$C24)</f>
        <v>1.8508676082518174</v>
      </c>
      <c r="D65" s="49">
        <f>C65*(1+('Economies of Scale'!$D23*'Supporting Forecasts'!C14)-'Supporting Forecasts'!D19-'Supporting Forecasts'!D22)</f>
        <v>1.7805919379831907</v>
      </c>
      <c r="E65" s="48">
        <f>D65*(1+('Economies of Scale'!$D23*'Supporting Forecasts'!D14)-'Supporting Forecasts'!E19-'Supporting Forecasts'!E22)</f>
        <v>1.7805928811055753</v>
      </c>
      <c r="F65" s="49">
        <f>E65*(1+('Economies of Scale'!$D23*'Supporting Forecasts'!E14)-'Supporting Forecasts'!F19-'Supporting Forecasts'!F22)</f>
        <v>1.7807521787894007</v>
      </c>
      <c r="G65" s="49">
        <f>F65*(1+('Economies of Scale'!$D23*'Supporting Forecasts'!F14)-'Supporting Forecasts'!G19-'Supporting Forecasts'!G22)</f>
        <v>1.781676345500177</v>
      </c>
      <c r="H65" s="49">
        <f>G65*(1+('Economies of Scale'!$D23*'Supporting Forecasts'!G14)-'Supporting Forecasts'!H19-'Supporting Forecasts'!H22)</f>
        <v>1.7824137764427472</v>
      </c>
      <c r="I65" s="49">
        <f>H65*(1+('Economies of Scale'!$D23*'Supporting Forecasts'!H14)-'Supporting Forecasts'!I19-'Supporting Forecasts'!I22)</f>
        <v>1.782537683705099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</row>
    <row r="66" spans="1:43">
      <c r="A66" s="34"/>
      <c r="B66" s="10" t="s">
        <v>15</v>
      </c>
      <c r="C66" s="39"/>
      <c r="D66" s="38"/>
      <c r="E66" s="39"/>
      <c r="F66" s="38"/>
      <c r="G66" s="38"/>
      <c r="H66" s="38"/>
      <c r="I66" s="38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</row>
    <row r="67" spans="1:43">
      <c r="A67" s="34"/>
      <c r="B67" s="67" t="s">
        <v>31</v>
      </c>
      <c r="C67" s="68">
        <f>SUM(C68:C69)</f>
        <v>3.0501558358577063</v>
      </c>
      <c r="D67" s="69">
        <f t="shared" ref="D67" si="62">SUM(D68:D69)</f>
        <v>2.956536795742791</v>
      </c>
      <c r="E67" s="68">
        <f t="shared" ref="E67" si="63">SUM(E68:E69)</f>
        <v>2.9790419956491565</v>
      </c>
      <c r="F67" s="69">
        <f t="shared" ref="F67" si="64">SUM(F68:F69)</f>
        <v>3.0061969482093196</v>
      </c>
      <c r="G67" s="69">
        <f t="shared" ref="G67" si="65">SUM(G68:G69)</f>
        <v>3.0442528390229278</v>
      </c>
      <c r="H67" s="69">
        <f t="shared" ref="H67" si="66">SUM(H68:H69)</f>
        <v>3.0873894739802878</v>
      </c>
      <c r="I67" s="69">
        <f>SUM(I68:I69)</f>
        <v>3.1294622223728465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</row>
    <row r="68" spans="1:43">
      <c r="A68" s="34"/>
      <c r="B68" s="19" t="s">
        <v>27</v>
      </c>
      <c r="C68" s="48">
        <f>'Base Year'!D22*'Labour composition'!$C25</f>
        <v>2.1372816255177582</v>
      </c>
      <c r="D68" s="49">
        <f>C68*(1+'Supporting Forecasts'!D9+('Economies of Scale'!$C24*'Supporting Forecasts'!C14)-'Supporting Forecasts'!D19-'Supporting Forecasts'!D22)</f>
        <v>2.0783235447910604</v>
      </c>
      <c r="E68" s="48">
        <f>D68*(1+'Supporting Forecasts'!E9+('Economies of Scale'!$C24*'Supporting Forecasts'!D14)-'Supporting Forecasts'!E19-'Supporting Forecasts'!E22)</f>
        <v>2.1008282795360613</v>
      </c>
      <c r="F68" s="49">
        <f>E68*(1+'Supporting Forecasts'!F9+('Economies of Scale'!$C24*'Supporting Forecasts'!E14)-'Supporting Forecasts'!F19-'Supporting Forecasts'!F22)</f>
        <v>2.1279046642145008</v>
      </c>
      <c r="G68" s="49">
        <f>F68*(1+'Supporting Forecasts'!G9+('Economies of Scale'!$C24*'Supporting Forecasts'!F14)-'Supporting Forecasts'!G19-'Supporting Forecasts'!G22)</f>
        <v>2.1655047428713878</v>
      </c>
      <c r="H68" s="49">
        <f>G68*(1+'Supporting Forecasts'!H9+('Economies of Scale'!$C24*'Supporting Forecasts'!G14)-'Supporting Forecasts'!H19-'Supporting Forecasts'!H22)</f>
        <v>2.2082776664069383</v>
      </c>
      <c r="I68" s="49">
        <f>H68*(1+'Supporting Forecasts'!I9+('Economies of Scale'!$C24*'Supporting Forecasts'!H14)-'Supporting Forecasts'!I19-'Supporting Forecasts'!I22)</f>
        <v>2.2502893019766397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</row>
    <row r="69" spans="1:43">
      <c r="A69" s="34"/>
      <c r="B69" s="19" t="s">
        <v>28</v>
      </c>
      <c r="C69" s="48">
        <f>'Base Year'!D22*(1-'Labour composition'!$C25)</f>
        <v>0.91287421033994798</v>
      </c>
      <c r="D69" s="49">
        <f>C69*(1+('Economies of Scale'!$D24*'Supporting Forecasts'!C14)-'Supporting Forecasts'!D19-'Supporting Forecasts'!D22)</f>
        <v>0.87821325095173075</v>
      </c>
      <c r="E69" s="48">
        <f>D69*(1+('Economies of Scale'!$D24*'Supporting Forecasts'!D14)-'Supporting Forecasts'!E19-'Supporting Forecasts'!E22)</f>
        <v>0.87821371611309518</v>
      </c>
      <c r="F69" s="49">
        <f>E69*(1+('Economies of Scale'!$D24*'Supporting Forecasts'!E14)-'Supporting Forecasts'!F19-'Supporting Forecasts'!F22)</f>
        <v>0.87829228399481873</v>
      </c>
      <c r="G69" s="49">
        <f>F69*(1+('Economies of Scale'!$D24*'Supporting Forecasts'!F14)-'Supporting Forecasts'!G19-'Supporting Forecasts'!G22)</f>
        <v>0.87874809615153981</v>
      </c>
      <c r="H69" s="49">
        <f>G69*(1+('Economies of Scale'!$D24*'Supporting Forecasts'!G14)-'Supporting Forecasts'!H19-'Supporting Forecasts'!H22)</f>
        <v>0.87911180757334972</v>
      </c>
      <c r="I69" s="49">
        <f>H69*(1+('Economies of Scale'!$D24*'Supporting Forecasts'!H14)-'Supporting Forecasts'!I19-'Supporting Forecasts'!I22)</f>
        <v>0.87917292039620665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</row>
    <row r="70" spans="1:43">
      <c r="A70" s="34"/>
      <c r="B70" s="10" t="s">
        <v>16</v>
      </c>
      <c r="C70" s="39"/>
      <c r="D70" s="38"/>
      <c r="E70" s="39"/>
      <c r="F70" s="38"/>
      <c r="G70" s="38"/>
      <c r="H70" s="38"/>
      <c r="I70" s="38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</row>
    <row r="71" spans="1:43">
      <c r="A71" s="34"/>
      <c r="B71" s="67" t="s">
        <v>31</v>
      </c>
      <c r="C71" s="68">
        <f>SUM(C72:C73)</f>
        <v>9.5990389116483978</v>
      </c>
      <c r="D71" s="69">
        <f t="shared" ref="D71" si="67">SUM(D72:D73)</f>
        <v>9.3044136999232609</v>
      </c>
      <c r="E71" s="68">
        <f t="shared" ref="E71" si="68">SUM(E72:E73)</f>
        <v>9.3752390286084353</v>
      </c>
      <c r="F71" s="69">
        <f t="shared" ref="F71" si="69">SUM(F72:F73)</f>
        <v>9.4606974314889136</v>
      </c>
      <c r="G71" s="69">
        <f t="shared" ref="G71" si="70">SUM(G72:G73)</f>
        <v>9.5804617964576764</v>
      </c>
      <c r="H71" s="69">
        <f t="shared" ref="H71" si="71">SUM(H72:H73)</f>
        <v>9.7162155938884354</v>
      </c>
      <c r="I71" s="69">
        <f>SUM(I72:I73)</f>
        <v>9.8486212710647933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</row>
    <row r="72" spans="1:43">
      <c r="A72" s="34"/>
      <c r="B72" s="19" t="s">
        <v>27</v>
      </c>
      <c r="C72" s="48">
        <f>'Base Year'!D23*'Labour composition'!$C26</f>
        <v>6.7261643642305993</v>
      </c>
      <c r="D72" s="49">
        <f>C72*(1+'Supporting Forecasts'!D9+('Economies of Scale'!$C25*'Supporting Forecasts'!C14)-'Supporting Forecasts'!D19-'Supporting Forecasts'!D22)</f>
        <v>6.5406194473452182</v>
      </c>
      <c r="E72" s="48">
        <f>D72*(1+'Supporting Forecasts'!E9+('Economies of Scale'!$C25*'Supporting Forecasts'!D14)-'Supporting Forecasts'!E19-'Supporting Forecasts'!E22)</f>
        <v>6.6114433121373075</v>
      </c>
      <c r="F72" s="49">
        <f>E72*(1+'Supporting Forecasts'!F9+('Economies of Scale'!$C25*'Supporting Forecasts'!E14)-'Supporting Forecasts'!F19-'Supporting Forecasts'!F22)</f>
        <v>6.6966544567810082</v>
      </c>
      <c r="G72" s="49">
        <f>F72*(1+'Supporting Forecasts'!G9+('Economies of Scale'!$C25*'Supporting Forecasts'!F14)-'Supporting Forecasts'!G19-'Supporting Forecasts'!G22)</f>
        <v>6.8149843512295014</v>
      </c>
      <c r="H72" s="49">
        <f>G72*(1+'Supporting Forecasts'!H9+('Economies of Scale'!$C25*'Supporting Forecasts'!G14)-'Supporting Forecasts'!H19-'Supporting Forecasts'!H22)</f>
        <v>6.9495935251464322</v>
      </c>
      <c r="I72" s="49">
        <f>H72*(1+'Supporting Forecasts'!I9+('Economies of Scale'!$C25*'Supporting Forecasts'!H14)-'Supporting Forecasts'!I19-'Supporting Forecasts'!I22)</f>
        <v>7.0818068762921955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</row>
    <row r="73" spans="1:43">
      <c r="A73" s="34"/>
      <c r="B73" s="19" t="s">
        <v>28</v>
      </c>
      <c r="C73" s="48">
        <f>'Base Year'!D23*(1-'Labour composition'!$C26)</f>
        <v>2.8728745474177986</v>
      </c>
      <c r="D73" s="49">
        <f>C73*(1+('Economies of Scale'!$D25*'Supporting Forecasts'!C14)-'Supporting Forecasts'!D19-'Supporting Forecasts'!D22)</f>
        <v>2.7637942525780423</v>
      </c>
      <c r="E73" s="48">
        <f>D73*(1+('Economies of Scale'!$D25*'Supporting Forecasts'!D14)-'Supporting Forecasts'!E19-'Supporting Forecasts'!E22)</f>
        <v>2.7637957164711278</v>
      </c>
      <c r="F73" s="49">
        <f>E73*(1+('Economies of Scale'!$D25*'Supporting Forecasts'!E14)-'Supporting Forecasts'!F19-'Supporting Forecasts'!F22)</f>
        <v>2.7640429747079049</v>
      </c>
      <c r="G73" s="49">
        <f>F73*(1+('Economies of Scale'!$D25*'Supporting Forecasts'!F14)-'Supporting Forecasts'!G19-'Supporting Forecasts'!G22)</f>
        <v>2.765477445228175</v>
      </c>
      <c r="H73" s="49">
        <f>G73*(1+('Economies of Scale'!$D25*'Supporting Forecasts'!G14)-'Supporting Forecasts'!H19-'Supporting Forecasts'!H22)</f>
        <v>2.7666220687420036</v>
      </c>
      <c r="I73" s="49">
        <f>H73*(1+('Economies of Scale'!$D25*'Supporting Forecasts'!H14)-'Supporting Forecasts'!I19-'Supporting Forecasts'!I22)</f>
        <v>2.7668143947725978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</row>
    <row r="74" spans="1:43">
      <c r="A74" s="34"/>
      <c r="B74" s="10" t="s">
        <v>17</v>
      </c>
      <c r="C74" s="39"/>
      <c r="D74" s="38"/>
      <c r="E74" s="39"/>
      <c r="F74" s="38"/>
      <c r="G74" s="38"/>
      <c r="H74" s="38"/>
      <c r="I74" s="38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</row>
    <row r="75" spans="1:43">
      <c r="A75" s="34"/>
      <c r="B75" s="67" t="s">
        <v>70</v>
      </c>
      <c r="C75" s="68">
        <f t="shared" ref="C75:I75" si="72">SUM(C76:C77)</f>
        <v>16.79679712582724</v>
      </c>
      <c r="D75" s="69">
        <f t="shared" si="72"/>
        <v>16.281249688729581</v>
      </c>
      <c r="E75" s="68">
        <f t="shared" si="72"/>
        <v>16.405182791641717</v>
      </c>
      <c r="F75" s="69">
        <f t="shared" si="72"/>
        <v>16.554721455782222</v>
      </c>
      <c r="G75" s="69">
        <f t="shared" si="72"/>
        <v>16.764290117790946</v>
      </c>
      <c r="H75" s="69">
        <f t="shared" si="72"/>
        <v>17.001837753079524</v>
      </c>
      <c r="I75" s="69">
        <f t="shared" si="72"/>
        <v>17.233526708433196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</row>
    <row r="76" spans="1:43">
      <c r="A76" s="34"/>
      <c r="B76" s="19" t="s">
        <v>27</v>
      </c>
      <c r="C76" s="48">
        <f>'Base Year'!D24*'Labour composition'!$C27</f>
        <v>11.769721875369392</v>
      </c>
      <c r="D76" s="49">
        <f>C76*(1+'Supporting Forecasts'!D9+('Economies of Scale'!$C26*'Supporting Forecasts'!C14)-'Supporting Forecasts'!D19-'Supporting Forecasts'!D22)</f>
        <v>11.445047670447659</v>
      </c>
      <c r="E76" s="48">
        <f>D76*(1+'Supporting Forecasts'!E9+('Economies of Scale'!$C26*'Supporting Forecasts'!D14)-'Supporting Forecasts'!E19-'Supporting Forecasts'!E22)</f>
        <v>11.568978211778848</v>
      </c>
      <c r="F76" s="49">
        <f>E76*(1+'Supporting Forecasts'!F9+('Economies of Scale'!$C26*'Supporting Forecasts'!E14)-'Supporting Forecasts'!F19-'Supporting Forecasts'!F22)</f>
        <v>11.718084213183106</v>
      </c>
      <c r="G76" s="49">
        <f>F76*(1+'Supporting Forecasts'!G9+('Economies of Scale'!$C26*'Supporting Forecasts'!F14)-'Supporting Forecasts'!G19-'Supporting Forecasts'!G22)</f>
        <v>11.925142779073488</v>
      </c>
      <c r="H76" s="49">
        <f>G76*(1+'Supporting Forecasts'!H9+('Economies of Scale'!$C26*'Supporting Forecasts'!G14)-'Supporting Forecasts'!H19-'Supporting Forecasts'!H22)</f>
        <v>12.16068750457868</v>
      </c>
      <c r="I76" s="49">
        <f>H76*(1+'Supporting Forecasts'!I9+('Economies of Scale'!$C26*'Supporting Forecasts'!H14)-'Supporting Forecasts'!I19-'Supporting Forecasts'!I22)</f>
        <v>12.392039919852909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</row>
    <row r="77" spans="1:43">
      <c r="A77" s="34"/>
      <c r="B77" s="19" t="s">
        <v>28</v>
      </c>
      <c r="C77" s="48">
        <f>'Base Year'!D24*(1-'Labour composition'!$C27)</f>
        <v>5.0270752504578491</v>
      </c>
      <c r="D77" s="49">
        <f>C77*(1+('Economies of Scale'!$D26*'Supporting Forecasts'!C14)-'Supporting Forecasts'!D19-'Supporting Forecasts'!D22)</f>
        <v>4.8362020182819236</v>
      </c>
      <c r="E77" s="48">
        <f>(D77)*(1+('Economies of Scale'!$D26*'Supporting Forecasts'!D14)-'Supporting Forecasts'!E19-'Supporting Forecasts'!E22)</f>
        <v>4.8362045798628692</v>
      </c>
      <c r="F77" s="49">
        <f>(E77)*(1+('Economies of Scale'!$D26*'Supporting Forecasts'!E14)-'Supporting Forecasts'!F19-'Supporting Forecasts'!F22)</f>
        <v>4.8366372425991146</v>
      </c>
      <c r="G77" s="49">
        <f>(F77)*(1+('Economies of Scale'!$D26*'Supporting Forecasts'!F14)-'Supporting Forecasts'!G19-'Supporting Forecasts'!G22)</f>
        <v>4.8391473387174582</v>
      </c>
      <c r="H77" s="49">
        <f>(G77)*(1+('Economies of Scale'!$D26*'Supporting Forecasts'!G14)-'Supporting Forecasts'!H19-'Supporting Forecasts'!H22)</f>
        <v>4.8411502485008429</v>
      </c>
      <c r="I77" s="49">
        <f>(H77)*(1+('Economies of Scale'!$D26*'Supporting Forecasts'!H14)-'Supporting Forecasts'!I19-'Supporting Forecasts'!I22)</f>
        <v>4.8414867885802861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</row>
    <row r="78" spans="1:43">
      <c r="A78" s="34"/>
      <c r="B78" s="10" t="s">
        <v>18</v>
      </c>
      <c r="C78" s="39"/>
      <c r="D78" s="38"/>
      <c r="E78" s="39"/>
      <c r="F78" s="38"/>
      <c r="G78" s="38"/>
      <c r="H78" s="38"/>
      <c r="I78" s="38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</row>
    <row r="79" spans="1:43">
      <c r="A79" s="34"/>
      <c r="B79" s="67" t="s">
        <v>31</v>
      </c>
      <c r="C79" s="68">
        <f>SUM(C80:C81)</f>
        <v>10.429714579129278</v>
      </c>
      <c r="D79" s="69">
        <f t="shared" ref="D79" si="73">SUM(D80:D81)</f>
        <v>10.109593273820282</v>
      </c>
      <c r="E79" s="68">
        <f t="shared" ref="E79" si="74">SUM(E80:E81)</f>
        <v>10.186547640810399</v>
      </c>
      <c r="F79" s="69">
        <f t="shared" ref="F79" si="75">SUM(F80:F81)</f>
        <v>10.279401389882093</v>
      </c>
      <c r="G79" s="69">
        <f t="shared" ref="G79" si="76">SUM(G80:G81)</f>
        <v>10.409529849082221</v>
      </c>
      <c r="H79" s="69">
        <f t="shared" ref="H79" si="77">SUM(H80:H81)</f>
        <v>10.557031424319881</v>
      </c>
      <c r="I79" s="69">
        <f>SUM(I80:I81)</f>
        <v>10.700895141752047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</row>
    <row r="80" spans="1:43">
      <c r="A80" s="34"/>
      <c r="B80" s="19" t="s">
        <v>27</v>
      </c>
      <c r="C80" s="48">
        <f>'Base Year'!D25*'Labour composition'!$C28</f>
        <v>7.3082289984371807</v>
      </c>
      <c r="D80" s="49">
        <f>C80*(1+'Supporting Forecasts'!D9+('Economies of Scale'!$C27*'Supporting Forecasts'!C14)-'Supporting Forecasts'!D19-'Supporting Forecasts'!D22)</f>
        <v>7.1066275107742376</v>
      </c>
      <c r="E80" s="48">
        <f>D80*(1+'Supporting Forecasts'!E9+('Economies of Scale'!$C27*'Supporting Forecasts'!D14)-'Supporting Forecasts'!E19-'Supporting Forecasts'!E22)</f>
        <v>7.1835802871897974</v>
      </c>
      <c r="F80" s="49">
        <f>E80*(1+'Supporting Forecasts'!F9+('Economies of Scale'!$C27*'Supporting Forecasts'!E14)-'Supporting Forecasts'!F19-'Supporting Forecasts'!F22)</f>
        <v>7.2761653809449891</v>
      </c>
      <c r="G80" s="49">
        <f>F80*(1+'Supporting Forecasts'!G9+('Economies of Scale'!$C27*'Supporting Forecasts'!F14)-'Supporting Forecasts'!G19-'Supporting Forecasts'!G22)</f>
        <v>7.404735234305897</v>
      </c>
      <c r="H80" s="49">
        <f>G80*(1+'Supporting Forecasts'!H9+('Economies of Scale'!$C27*'Supporting Forecasts'!G14)-'Supporting Forecasts'!H19-'Supporting Forecasts'!H22)</f>
        <v>7.5509931333110032</v>
      </c>
      <c r="I80" s="49">
        <f>H80*(1+'Supporting Forecasts'!I9+('Economies of Scale'!$C27*'Supporting Forecasts'!H14)-'Supporting Forecasts'!I19-'Supporting Forecasts'!I22)</f>
        <v>7.6946478813219903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</row>
    <row r="81" spans="1:45">
      <c r="A81" s="34"/>
      <c r="B81" s="19" t="s">
        <v>28</v>
      </c>
      <c r="C81" s="48">
        <f>'Base Year'!D25*(1-'Labour composition'!$C28)</f>
        <v>3.1214855806920974</v>
      </c>
      <c r="D81" s="49">
        <f>C81*(1+('Economies of Scale'!$D27*'Supporting Forecasts'!C14)-'Supporting Forecasts'!D19-'Supporting Forecasts'!D22)</f>
        <v>3.0029657630460451</v>
      </c>
      <c r="E81" s="48">
        <f>D81*(1+('Economies of Scale'!$D27*'Supporting Forecasts'!D14)-'Supporting Forecasts'!E19-'Supporting Forecasts'!E22)</f>
        <v>3.0029673536206012</v>
      </c>
      <c r="F81" s="49">
        <f>E81*(1+('Economies of Scale'!$D27*'Supporting Forecasts'!E14)-'Supporting Forecasts'!F19-'Supporting Forecasts'!F22)</f>
        <v>3.0032360089371033</v>
      </c>
      <c r="G81" s="49">
        <f>F81*(1+('Economies of Scale'!$D27*'Supporting Forecasts'!F14)-'Supporting Forecasts'!G19-'Supporting Forecasts'!G22)</f>
        <v>3.0047946147763231</v>
      </c>
      <c r="H81" s="49">
        <f>G81*(1+('Economies of Scale'!$D27*'Supporting Forecasts'!G14)-'Supporting Forecasts'!H19-'Supporting Forecasts'!H22)</f>
        <v>3.0060382910088785</v>
      </c>
      <c r="I81" s="49">
        <f>H81*(1+('Economies of Scale'!$D27*'Supporting Forecasts'!H14)-'Supporting Forecasts'!I19-'Supporting Forecasts'!I22)</f>
        <v>3.0062472604300567</v>
      </c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</row>
    <row r="82" spans="1:45">
      <c r="A82" s="34"/>
      <c r="B82" s="34"/>
      <c r="C82" s="35"/>
      <c r="D82" s="36"/>
      <c r="E82" s="36"/>
      <c r="F82" s="36"/>
      <c r="G82" s="36"/>
      <c r="H82" s="36"/>
      <c r="I82" s="36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</row>
    <row r="83" spans="1:45" ht="15.75" thickBot="1">
      <c r="A83" s="34"/>
      <c r="B83" s="5" t="s">
        <v>19</v>
      </c>
      <c r="C83" s="23" t="s">
        <v>20</v>
      </c>
      <c r="D83" s="24"/>
      <c r="E83" s="24"/>
      <c r="F83" s="24"/>
      <c r="G83" s="24"/>
      <c r="H83" s="24"/>
      <c r="I83" s="2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</row>
    <row r="84" spans="1:45" ht="15.75" thickTop="1">
      <c r="A84" s="34"/>
      <c r="B84" s="21" t="s">
        <v>31</v>
      </c>
      <c r="C84" s="40">
        <f>SUM(C86:C88)</f>
        <v>173.7349663301151</v>
      </c>
      <c r="D84" s="41">
        <f>SUM(D86:D88)</f>
        <v>168.42216500061483</v>
      </c>
      <c r="E84" s="40">
        <f>SUM(E86:E88)</f>
        <v>177.16375167649923</v>
      </c>
      <c r="F84" s="41">
        <f>SUM(F86:F88)</f>
        <v>178.76620486100873</v>
      </c>
      <c r="G84" s="41">
        <f t="shared" ref="G84:I84" si="78">SUM(G86:G88)</f>
        <v>181.26010455668583</v>
      </c>
      <c r="H84" s="41">
        <f t="shared" si="78"/>
        <v>183.98644839471885</v>
      </c>
      <c r="I84" s="41">
        <f t="shared" si="78"/>
        <v>186.43686793688039</v>
      </c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</row>
    <row r="85" spans="1:45">
      <c r="A85" s="34"/>
      <c r="B85" s="22" t="s">
        <v>120</v>
      </c>
      <c r="C85" s="42">
        <f t="shared" ref="C85:I85" si="79">SUM(C9:C10)+SUM(C13:C14)+SUM(C17:C18)+SUM(C21:C22)+SUM(C25:C26)+SUM(C30:C31)+SUM(C35:C36)+SUM(C40:C41)+SUM(C44:C45)+SUM(C48:C49)+SUM(C52:C53)+SUM(C56:C57)+SUM(C60:C61)+SUM(C64:C65)+SUM(C68:C69)+SUM(C72:C73)+SUM(C76:C77)+SUM(C80:C81)</f>
        <v>173.73496633011507</v>
      </c>
      <c r="D85" s="43">
        <f t="shared" si="79"/>
        <v>168.42216500061483</v>
      </c>
      <c r="E85" s="42">
        <f t="shared" si="79"/>
        <v>169.70451972020641</v>
      </c>
      <c r="F85" s="43">
        <f t="shared" si="79"/>
        <v>171.30697290471591</v>
      </c>
      <c r="G85" s="43">
        <f t="shared" si="79"/>
        <v>173.80087260039306</v>
      </c>
      <c r="H85" s="43">
        <f t="shared" si="79"/>
        <v>176.52721643842608</v>
      </c>
      <c r="I85" s="43">
        <f t="shared" si="79"/>
        <v>178.97763598058759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</row>
    <row r="86" spans="1:45">
      <c r="A86" s="34"/>
      <c r="B86" s="22" t="s">
        <v>27</v>
      </c>
      <c r="C86" s="42">
        <f t="shared" ref="C86:I87" si="80">C9+C13+C17+C21+C25+C30+C35+C40+C44+C48+C52+C56+C60+C64+C68+C72+C76+C80</f>
        <v>121.73822297275697</v>
      </c>
      <c r="D86" s="43">
        <f t="shared" si="80"/>
        <v>118.39350967959241</v>
      </c>
      <c r="E86" s="42">
        <f t="shared" si="80"/>
        <v>119.67573617792924</v>
      </c>
      <c r="F86" s="43">
        <f t="shared" si="80"/>
        <v>121.25653212394337</v>
      </c>
      <c r="G86" s="43">
        <f t="shared" si="80"/>
        <v>123.62470665927295</v>
      </c>
      <c r="H86" s="43">
        <f t="shared" si="80"/>
        <v>126.25035630478706</v>
      </c>
      <c r="I86" s="43">
        <f t="shared" si="80"/>
        <v>128.68380645693316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</row>
    <row r="87" spans="1:45">
      <c r="A87" s="34"/>
      <c r="B87" s="22" t="s">
        <v>28</v>
      </c>
      <c r="C87" s="42">
        <f t="shared" si="80"/>
        <v>51.99674335735812</v>
      </c>
      <c r="D87" s="43">
        <f t="shared" si="80"/>
        <v>50.028655321022399</v>
      </c>
      <c r="E87" s="42">
        <f t="shared" si="80"/>
        <v>50.028783542277154</v>
      </c>
      <c r="F87" s="43">
        <f t="shared" si="80"/>
        <v>50.050440780772533</v>
      </c>
      <c r="G87" s="43">
        <f t="shared" si="80"/>
        <v>50.176165941120075</v>
      </c>
      <c r="H87" s="43">
        <f t="shared" si="80"/>
        <v>50.276860133638948</v>
      </c>
      <c r="I87" s="43">
        <f t="shared" si="80"/>
        <v>50.293829523654402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</row>
    <row r="88" spans="1:45">
      <c r="A88" s="34"/>
      <c r="B88" s="22" t="s">
        <v>58</v>
      </c>
      <c r="C88" s="42">
        <f>C37+C32+C27</f>
        <v>0</v>
      </c>
      <c r="D88" s="43">
        <f t="shared" ref="D88:I88" si="81">D37+D32+D27</f>
        <v>0</v>
      </c>
      <c r="E88" s="42">
        <f t="shared" si="81"/>
        <v>7.459231956292828</v>
      </c>
      <c r="F88" s="43">
        <f t="shared" si="81"/>
        <v>7.459231956292828</v>
      </c>
      <c r="G88" s="43">
        <f t="shared" si="81"/>
        <v>7.459231956292828</v>
      </c>
      <c r="H88" s="43">
        <f t="shared" si="81"/>
        <v>7.459231956292828</v>
      </c>
      <c r="I88" s="43">
        <f t="shared" si="81"/>
        <v>7.459231956292828</v>
      </c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</row>
    <row r="89" spans="1:45">
      <c r="A89" s="34"/>
      <c r="B89" s="149" t="s">
        <v>115</v>
      </c>
      <c r="C89" s="150">
        <f>C84-'Opex forecast'!C15</f>
        <v>-2.5579538487363607E-13</v>
      </c>
      <c r="D89" s="150">
        <f>D84-'Opex forecast'!D15</f>
        <v>-2.5579538487363607E-13</v>
      </c>
      <c r="E89" s="151">
        <f>E84-'Opex forecast'!E15</f>
        <v>-2.5579538487363607E-13</v>
      </c>
      <c r="F89" s="150">
        <f>F84-'Opex forecast'!F15</f>
        <v>-2.2737367544323206E-13</v>
      </c>
      <c r="G89" s="150">
        <f>G84-'Opex forecast'!G15</f>
        <v>-2.2737367544323206E-13</v>
      </c>
      <c r="H89" s="150">
        <f>H84-'Opex forecast'!H15</f>
        <v>0</v>
      </c>
      <c r="I89" s="150">
        <f>I84-'Opex forecast'!I15</f>
        <v>0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</row>
    <row r="90" spans="1:4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</row>
    <row r="91" spans="1:4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</row>
    <row r="92" spans="1:4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</row>
    <row r="93" spans="1:45">
      <c r="A93" s="34"/>
      <c r="B93" s="34"/>
      <c r="C93" s="84"/>
      <c r="D93" s="105"/>
      <c r="E93" s="105"/>
      <c r="F93" s="105"/>
      <c r="G93" s="105"/>
      <c r="H93" s="105"/>
      <c r="I93" s="105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</row>
    <row r="94" spans="1:45">
      <c r="A94" s="34"/>
      <c r="B94" s="34"/>
      <c r="C94" s="82"/>
      <c r="D94" s="105"/>
      <c r="E94" s="105"/>
      <c r="F94" s="105"/>
      <c r="G94" s="105"/>
      <c r="H94" s="105"/>
      <c r="I94" s="105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</row>
    <row r="95" spans="1:45">
      <c r="A95" s="34"/>
      <c r="B95" s="34"/>
      <c r="C95" s="82"/>
      <c r="D95" s="105"/>
      <c r="E95" s="105"/>
      <c r="F95" s="105"/>
      <c r="G95" s="105"/>
      <c r="H95" s="105"/>
      <c r="I95" s="105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</row>
    <row r="96" spans="1:45">
      <c r="A96" s="34"/>
      <c r="B96" s="34"/>
      <c r="C96" s="82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</row>
    <row r="97" spans="1:45">
      <c r="A97" s="34"/>
      <c r="B97" s="34"/>
      <c r="C97" s="82"/>
      <c r="D97" s="105"/>
      <c r="E97" s="105"/>
      <c r="F97" s="105"/>
      <c r="G97" s="105"/>
      <c r="H97" s="105"/>
      <c r="I97" s="105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</row>
    <row r="98" spans="1:45">
      <c r="A98" s="34"/>
      <c r="B98" s="34"/>
      <c r="C98" s="82"/>
      <c r="D98" s="120"/>
      <c r="E98" s="120"/>
      <c r="F98" s="120"/>
      <c r="G98" s="120"/>
      <c r="H98" s="120"/>
      <c r="I98" s="120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</row>
    <row r="99" spans="1:45">
      <c r="A99" s="34"/>
      <c r="B99" s="34"/>
      <c r="C99" s="82"/>
      <c r="D99" s="120"/>
      <c r="E99" s="120"/>
      <c r="F99" s="120"/>
      <c r="G99" s="120"/>
      <c r="H99" s="120"/>
      <c r="I99" s="120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</row>
    <row r="100" spans="1:4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</row>
    <row r="101" spans="1:4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</row>
    <row r="102" spans="1:4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</row>
    <row r="103" spans="1:4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</row>
    <row r="104" spans="1:45">
      <c r="A104" s="34"/>
      <c r="B104" s="34"/>
      <c r="C104" s="34"/>
      <c r="D104" s="113"/>
      <c r="E104" s="113"/>
      <c r="F104" s="113"/>
      <c r="G104" s="113"/>
      <c r="H104" s="113"/>
      <c r="I104" s="113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</row>
    <row r="105" spans="1:4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</row>
    <row r="106" spans="1:4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</row>
    <row r="107" spans="1:4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</row>
    <row r="108" spans="1:4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</row>
    <row r="109" spans="1:4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</row>
    <row r="110" spans="1:4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</row>
    <row r="111" spans="1:4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</row>
    <row r="112" spans="1:4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</row>
    <row r="113" spans="1:4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</row>
    <row r="114" spans="1:4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</row>
    <row r="115" spans="1:4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</row>
    <row r="116" spans="1:4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</row>
    <row r="117" spans="1:4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</row>
    <row r="118" spans="1:4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</row>
    <row r="119" spans="1:4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</row>
    <row r="120" spans="1:4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</row>
    <row r="121" spans="1:4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</row>
    <row r="122" spans="1:4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</row>
    <row r="123" spans="1:4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</row>
    <row r="124" spans="1:4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</row>
    <row r="125" spans="1:4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</row>
    <row r="126" spans="1:4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</row>
    <row r="127" spans="1:4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</row>
    <row r="128" spans="1:4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</row>
    <row r="129" spans="1:4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</row>
    <row r="130" spans="1:4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</row>
    <row r="131" spans="1:4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</row>
    <row r="132" spans="1:4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</row>
    <row r="133" spans="1:4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</row>
    <row r="134" spans="1:4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</row>
    <row r="135" spans="1:4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</row>
    <row r="136" spans="1:4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</row>
    <row r="137" spans="1:4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</row>
    <row r="138" spans="1:4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</row>
    <row r="139" spans="1:4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</row>
    <row r="140" spans="1:4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</row>
    <row r="141" spans="1:4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</row>
    <row r="142" spans="1:4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</row>
    <row r="143" spans="1:4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</row>
    <row r="144" spans="1:4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</row>
    <row r="145" spans="1:4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</row>
    <row r="146" spans="1:4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</row>
    <row r="147" spans="1:4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</row>
    <row r="148" spans="1:4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</row>
    <row r="149" spans="1:4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</row>
    <row r="150" spans="1:4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</row>
    <row r="151" spans="1:4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</row>
    <row r="152" spans="1:4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</row>
    <row r="153" spans="1:4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</row>
    <row r="154" spans="1:4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</row>
    <row r="155" spans="1:4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</row>
    <row r="156" spans="1:4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</row>
    <row r="157" spans="1:4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</row>
    <row r="158" spans="1:4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</row>
    <row r="159" spans="1:4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</row>
    <row r="160" spans="1:4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</row>
    <row r="161" spans="1:4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</row>
    <row r="162" spans="1:4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</row>
    <row r="163" spans="1:4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</row>
    <row r="164" spans="1:4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</row>
    <row r="165" spans="1:4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</row>
    <row r="166" spans="1:4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</row>
    <row r="167" spans="1:4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</row>
    <row r="168" spans="1:4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</row>
    <row r="169" spans="1:4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</row>
    <row r="170" spans="1:4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</row>
    <row r="171" spans="1:4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</row>
    <row r="172" spans="1:4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</row>
    <row r="173" spans="1:4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</row>
    <row r="174" spans="1:4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</row>
    <row r="175" spans="1:4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</row>
    <row r="176" spans="1:4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</row>
    <row r="177" spans="1:4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</row>
    <row r="178" spans="1:4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</row>
    <row r="179" spans="1:4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</row>
    <row r="180" spans="1:4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</row>
    <row r="181" spans="1:4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</row>
    <row r="182" spans="1:4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</row>
    <row r="183" spans="1:4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</row>
    <row r="184" spans="1:4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</row>
    <row r="185" spans="1:4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</row>
    <row r="186" spans="1:4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</row>
    <row r="187" spans="1:4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</row>
    <row r="188" spans="1:4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</row>
    <row r="189" spans="1:4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</row>
    <row r="190" spans="1:4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</row>
    <row r="191" spans="1:4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</row>
    <row r="192" spans="1:4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</row>
    <row r="193" spans="1:4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</row>
    <row r="194" spans="1:4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</row>
    <row r="195" spans="1:4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</row>
    <row r="196" spans="1:4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</row>
    <row r="197" spans="1:4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</row>
    <row r="198" spans="1:4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</row>
    <row r="199" spans="1:4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</row>
    <row r="200" spans="1:4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</row>
    <row r="201" spans="1:4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</row>
    <row r="202" spans="1:4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</row>
    <row r="203" spans="1:4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</row>
    <row r="204" spans="1:4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</row>
    <row r="205" spans="1:4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</row>
    <row r="206" spans="1:4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</row>
    <row r="207" spans="1:4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</row>
    <row r="208" spans="1:4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</row>
    <row r="209" spans="1:4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</row>
    <row r="210" spans="1:4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</row>
    <row r="211" spans="1:4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</row>
    <row r="212" spans="1:4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</row>
    <row r="213" spans="1:4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</row>
    <row r="214" spans="1:4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</row>
    <row r="215" spans="1:4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</row>
    <row r="216" spans="1:4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</row>
    <row r="217" spans="1:4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</row>
    <row r="218" spans="1:4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</row>
    <row r="219" spans="1:4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</row>
    <row r="220" spans="1:4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</row>
    <row r="221" spans="1:4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</row>
    <row r="222" spans="1:4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</row>
    <row r="223" spans="1:4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</row>
  </sheetData>
  <mergeCells count="3">
    <mergeCell ref="C6:I6"/>
    <mergeCell ref="C4:D4"/>
    <mergeCell ref="E4:I4"/>
  </mergeCells>
  <pageMargins left="0.7" right="0.7" top="0.75" bottom="0.75" header="0.3" footer="0.3"/>
  <pageSetup paperSize="9" scale="5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0"/>
  <sheetViews>
    <sheetView topLeftCell="A4" zoomScale="85" zoomScaleNormal="85" workbookViewId="0">
      <pane xSplit="2" ySplit="5" topLeftCell="C9" activePane="bottomRight" state="frozen"/>
      <selection activeCell="A4" sqref="A4"/>
      <selection pane="topRight" activeCell="C4" sqref="C4"/>
      <selection pane="bottomLeft" activeCell="A6" sqref="A6"/>
      <selection pane="bottomRight" activeCell="AH45" sqref="AH45"/>
    </sheetView>
  </sheetViews>
  <sheetFormatPr defaultRowHeight="15"/>
  <cols>
    <col min="2" max="2" width="42.28515625" bestFit="1" customWidth="1"/>
    <col min="3" max="4" width="16.5703125" customWidth="1"/>
    <col min="5" max="7" width="14.28515625" customWidth="1"/>
    <col min="8" max="9" width="16.5703125" customWidth="1"/>
    <col min="10" max="12" width="14.28515625" customWidth="1"/>
    <col min="13" max="14" width="16.5703125" customWidth="1"/>
    <col min="15" max="17" width="14.28515625" customWidth="1"/>
    <col min="18" max="19" width="16.5703125" customWidth="1"/>
    <col min="20" max="22" width="14.28515625" customWidth="1"/>
    <col min="23" max="24" width="16.5703125" customWidth="1"/>
    <col min="25" max="27" width="14.28515625" customWidth="1"/>
    <col min="28" max="29" width="16.5703125" customWidth="1"/>
    <col min="30" max="32" width="14.28515625" customWidth="1"/>
    <col min="33" max="34" width="16.5703125" customWidth="1"/>
  </cols>
  <sheetData>
    <row r="1" spans="1:6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</row>
    <row r="2" spans="1:67" ht="18.75">
      <c r="A2" s="34"/>
      <c r="B2" s="83" t="s">
        <v>82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</row>
    <row r="3" spans="1:67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</row>
    <row r="4" spans="1:67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67" ht="18.75">
      <c r="A5" s="34"/>
      <c r="B5" s="83" t="s">
        <v>144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</row>
    <row r="6" spans="1:67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</row>
    <row r="7" spans="1:67">
      <c r="A7" s="34"/>
      <c r="B7" s="16" t="s">
        <v>43</v>
      </c>
      <c r="C7" s="212" t="s">
        <v>64</v>
      </c>
      <c r="D7" s="213"/>
      <c r="E7" s="210" t="s">
        <v>62</v>
      </c>
      <c r="F7" s="188"/>
      <c r="G7" s="188"/>
      <c r="H7" s="188"/>
      <c r="I7" s="211"/>
      <c r="J7" s="210" t="s">
        <v>33</v>
      </c>
      <c r="K7" s="188"/>
      <c r="L7" s="188"/>
      <c r="M7" s="188"/>
      <c r="N7" s="211"/>
      <c r="O7" s="210" t="s">
        <v>37</v>
      </c>
      <c r="P7" s="188"/>
      <c r="Q7" s="188"/>
      <c r="R7" s="188"/>
      <c r="S7" s="211"/>
      <c r="T7" s="210" t="s">
        <v>38</v>
      </c>
      <c r="U7" s="188"/>
      <c r="V7" s="188"/>
      <c r="W7" s="188"/>
      <c r="X7" s="211"/>
      <c r="Y7" s="210" t="s">
        <v>40</v>
      </c>
      <c r="Z7" s="188"/>
      <c r="AA7" s="188"/>
      <c r="AB7" s="188"/>
      <c r="AC7" s="211"/>
      <c r="AD7" s="210" t="s">
        <v>41</v>
      </c>
      <c r="AE7" s="188"/>
      <c r="AF7" s="188"/>
      <c r="AG7" s="188"/>
      <c r="AH7" s="211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</row>
    <row r="8" spans="1:67">
      <c r="A8" s="34"/>
      <c r="B8" s="2"/>
      <c r="C8" s="207" t="s">
        <v>68</v>
      </c>
      <c r="D8" s="187"/>
      <c r="E8" s="190" t="s">
        <v>116</v>
      </c>
      <c r="F8" s="191"/>
      <c r="G8" s="191"/>
      <c r="H8" s="208" t="s">
        <v>69</v>
      </c>
      <c r="I8" s="209"/>
      <c r="J8" s="190" t="s">
        <v>116</v>
      </c>
      <c r="K8" s="191"/>
      <c r="L8" s="209"/>
      <c r="M8" s="186" t="s">
        <v>69</v>
      </c>
      <c r="N8" s="214"/>
      <c r="O8" s="190" t="s">
        <v>116</v>
      </c>
      <c r="P8" s="191"/>
      <c r="Q8" s="209"/>
      <c r="R8" s="186" t="s">
        <v>69</v>
      </c>
      <c r="S8" s="214"/>
      <c r="T8" s="190" t="s">
        <v>116</v>
      </c>
      <c r="U8" s="191"/>
      <c r="V8" s="209"/>
      <c r="W8" s="186" t="s">
        <v>69</v>
      </c>
      <c r="X8" s="214"/>
      <c r="Y8" s="190" t="s">
        <v>116</v>
      </c>
      <c r="Z8" s="191"/>
      <c r="AA8" s="209"/>
      <c r="AB8" s="186" t="s">
        <v>69</v>
      </c>
      <c r="AC8" s="214"/>
      <c r="AD8" s="190" t="s">
        <v>116</v>
      </c>
      <c r="AE8" s="191"/>
      <c r="AF8" s="209"/>
      <c r="AG8" s="186" t="s">
        <v>69</v>
      </c>
      <c r="AH8" s="21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</row>
    <row r="9" spans="1:67">
      <c r="A9" s="34"/>
      <c r="B9" s="6" t="s">
        <v>32</v>
      </c>
      <c r="C9" s="25" t="s">
        <v>27</v>
      </c>
      <c r="D9" s="6" t="s">
        <v>28</v>
      </c>
      <c r="E9" s="25" t="s">
        <v>29</v>
      </c>
      <c r="F9" s="47" t="s">
        <v>30</v>
      </c>
      <c r="G9" s="47" t="s">
        <v>31</v>
      </c>
      <c r="H9" s="163" t="s">
        <v>27</v>
      </c>
      <c r="I9" s="160" t="s">
        <v>28</v>
      </c>
      <c r="J9" s="25" t="s">
        <v>29</v>
      </c>
      <c r="K9" s="47" t="s">
        <v>30</v>
      </c>
      <c r="L9" s="47" t="s">
        <v>31</v>
      </c>
      <c r="M9" s="25" t="s">
        <v>27</v>
      </c>
      <c r="N9" s="160" t="s">
        <v>28</v>
      </c>
      <c r="O9" s="25" t="s">
        <v>29</v>
      </c>
      <c r="P9" s="47" t="s">
        <v>30</v>
      </c>
      <c r="Q9" s="47" t="s">
        <v>31</v>
      </c>
      <c r="R9" s="25" t="s">
        <v>27</v>
      </c>
      <c r="S9" s="160" t="s">
        <v>28</v>
      </c>
      <c r="T9" s="25" t="s">
        <v>29</v>
      </c>
      <c r="U9" s="47" t="s">
        <v>30</v>
      </c>
      <c r="V9" s="47" t="s">
        <v>31</v>
      </c>
      <c r="W9" s="25" t="s">
        <v>27</v>
      </c>
      <c r="X9" s="160" t="s">
        <v>28</v>
      </c>
      <c r="Y9" s="25" t="s">
        <v>29</v>
      </c>
      <c r="Z9" s="47" t="s">
        <v>30</v>
      </c>
      <c r="AA9" s="47" t="s">
        <v>31</v>
      </c>
      <c r="AB9" s="25" t="s">
        <v>27</v>
      </c>
      <c r="AC9" s="160" t="s">
        <v>28</v>
      </c>
      <c r="AD9" s="25" t="s">
        <v>29</v>
      </c>
      <c r="AE9" s="47" t="s">
        <v>30</v>
      </c>
      <c r="AF9" s="47" t="s">
        <v>31</v>
      </c>
      <c r="AG9" s="25" t="s">
        <v>27</v>
      </c>
      <c r="AH9" s="47" t="s">
        <v>28</v>
      </c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</row>
    <row r="10" spans="1:67">
      <c r="A10" s="34"/>
      <c r="B10" s="10" t="s">
        <v>1</v>
      </c>
      <c r="C10" s="95">
        <v>0.95</v>
      </c>
      <c r="D10" s="97">
        <v>0.95</v>
      </c>
      <c r="E10" s="75">
        <f>'Category forecasts'!C9</f>
        <v>10.621604841751903</v>
      </c>
      <c r="F10" s="76">
        <f>'Category forecasts'!C10</f>
        <v>4.5366923182658843</v>
      </c>
      <c r="G10" s="76">
        <f>SUM(E10:F10)</f>
        <v>15.158297160017788</v>
      </c>
      <c r="H10" s="164">
        <f>(E10/SUM(G$10:G$27))*C10</f>
        <v>5.8079987079234403E-2</v>
      </c>
      <c r="I10" s="161">
        <f>(F10/SUM(G$10:G$27))*D10</f>
        <v>2.4807082842284025E-2</v>
      </c>
      <c r="J10" s="75">
        <f>'Category forecasts'!D9</f>
        <v>10.331397057767926</v>
      </c>
      <c r="K10" s="76">
        <f>'Category forecasts'!D10</f>
        <v>4.3656322485965644</v>
      </c>
      <c r="L10" s="76">
        <f>SUM(J10:K10)</f>
        <v>14.697029306364492</v>
      </c>
      <c r="M10" s="75">
        <f>(J10/SUM(L$10:L$27))*C10</f>
        <v>5.8275151639593882E-2</v>
      </c>
      <c r="N10" s="161">
        <f t="shared" ref="N10:N27" si="0">(K10/SUM(L$10:L$27))*D10</f>
        <v>2.4624731763492034E-2</v>
      </c>
      <c r="O10" s="75">
        <f>'Category forecasts'!E9</f>
        <v>10.443315157139956</v>
      </c>
      <c r="P10" s="76">
        <f>'Category forecasts'!E10</f>
        <v>4.3656542157813965</v>
      </c>
      <c r="Q10" s="76">
        <f>SUM(O10:P10)</f>
        <v>14.808969372921354</v>
      </c>
      <c r="R10" s="75">
        <f t="shared" ref="R10:R27" si="1">(O10/SUM(Q$10:Q$27))*C10</f>
        <v>5.8461315088366883E-2</v>
      </c>
      <c r="S10" s="161">
        <f t="shared" ref="S10:S27" si="2">(P10/SUM(Q$10:Q$27))*D10</f>
        <v>2.4438780486401544E-2</v>
      </c>
      <c r="T10" s="75">
        <f>'Category forecasts'!F9</f>
        <v>10.585854618256358</v>
      </c>
      <c r="U10" s="76">
        <f>'Category forecasts'!F10</f>
        <v>4.369364590464567</v>
      </c>
      <c r="V10" s="76">
        <f>SUM(T10:U10)</f>
        <v>14.955219208720925</v>
      </c>
      <c r="W10" s="75">
        <f t="shared" ref="W10:W27" si="3">(T10/SUM(V$10:V$27))*C10</f>
        <v>5.8704918526213082E-2</v>
      </c>
      <c r="X10" s="161">
        <f t="shared" ref="X10:X27" si="4">(U10/SUM(V$10:V$27))*D10</f>
        <v>2.4230749575209314E-2</v>
      </c>
      <c r="Y10" s="75">
        <f>'Category forecasts'!G9</f>
        <v>10.819603976523164</v>
      </c>
      <c r="Z10" s="76">
        <f>'Category forecasts'!G10</f>
        <v>4.3909067246388576</v>
      </c>
      <c r="AA10" s="76">
        <f>SUM(Y10:Z10)</f>
        <v>15.210510701162022</v>
      </c>
      <c r="AB10" s="75">
        <f t="shared" ref="AB10:AB27" si="5">(Y10/SUM(AA$10:AA$27))*C10</f>
        <v>5.9140231138711551E-2</v>
      </c>
      <c r="AC10" s="161">
        <f t="shared" ref="AC10:AC27" si="6">(Z10/SUM(AA$10:AA$27))*D10</f>
        <v>2.4000808085686678E-2</v>
      </c>
      <c r="AD10" s="75">
        <f>'Category forecasts'!H9</f>
        <v>11.071376900965701</v>
      </c>
      <c r="AE10" s="76">
        <f>'Category forecasts'!H10</f>
        <v>4.4081718747780654</v>
      </c>
      <c r="AF10" s="76">
        <f>SUM(AD10:AE10)</f>
        <v>15.479548775743766</v>
      </c>
      <c r="AG10" s="75">
        <f t="shared" ref="AG10:AG27" si="7">(AD10/SUM(AF$10:AF$27))*C10</f>
        <v>5.958179292758576E-2</v>
      </c>
      <c r="AH10" s="76">
        <f t="shared" ref="AH10:AH27" si="8">(AE10/SUM(AF$10:AF$27))*D10</f>
        <v>2.3723046029561583E-2</v>
      </c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</row>
    <row r="11" spans="1:67">
      <c r="A11" s="34"/>
      <c r="B11" s="10" t="s">
        <v>2</v>
      </c>
      <c r="C11" s="95">
        <v>0.95</v>
      </c>
      <c r="D11" s="97">
        <v>0.95</v>
      </c>
      <c r="E11" s="75">
        <f>'Category forecasts'!C13</f>
        <v>21.007829101024068</v>
      </c>
      <c r="F11" s="76">
        <f>'Category forecasts'!C14</f>
        <v>8.9728490492721829</v>
      </c>
      <c r="G11" s="76">
        <f t="shared" ref="G11:G27" si="9">SUM(E11:F11)</f>
        <v>29.980678150296249</v>
      </c>
      <c r="H11" s="164">
        <f t="shared" ref="H11:H21" si="10">(E11/SUM(G$10:G$27))*C11</f>
        <v>0.11487288982490486</v>
      </c>
      <c r="I11" s="161">
        <f t="shared" ref="I11:I27" si="11">(F11/SUM(G$10:G$27))*D11</f>
        <v>4.9064427137895009E-2</v>
      </c>
      <c r="J11" s="75">
        <f>'Category forecasts'!D13</f>
        <v>20.433844696543368</v>
      </c>
      <c r="K11" s="76">
        <f>'Category forecasts'!D14</f>
        <v>8.6345196947949336</v>
      </c>
      <c r="L11" s="76">
        <f t="shared" ref="L11:L27" si="12">SUM(J11:K11)</f>
        <v>29.068364391338299</v>
      </c>
      <c r="M11" s="75">
        <f t="shared" ref="M11:M27" si="13">(J11/SUM(L$10:L$27))*C11</f>
        <v>0.11525889399204275</v>
      </c>
      <c r="N11" s="161">
        <f t="shared" si="0"/>
        <v>4.8703765980120502E-2</v>
      </c>
      <c r="O11" s="75">
        <f>'Category forecasts'!E13</f>
        <v>20.655200728889533</v>
      </c>
      <c r="P11" s="76">
        <f>'Category forecasts'!E14</f>
        <v>8.6345631423597471</v>
      </c>
      <c r="Q11" s="76">
        <f t="shared" ref="Q11:Q27" si="14">SUM(O11:P11)</f>
        <v>29.289763871249278</v>
      </c>
      <c r="R11" s="75">
        <f t="shared" si="1"/>
        <v>0.11562709540557184</v>
      </c>
      <c r="S11" s="161">
        <f t="shared" si="2"/>
        <v>4.8335984208115718E-2</v>
      </c>
      <c r="T11" s="75">
        <f>'Category forecasts'!F13</f>
        <v>20.937120898571866</v>
      </c>
      <c r="U11" s="76">
        <f>'Category forecasts'!F14</f>
        <v>8.6419016677903322</v>
      </c>
      <c r="V11" s="76">
        <f t="shared" ref="V11:V27" si="15">SUM(T11:U11)</f>
        <v>29.579022566362198</v>
      </c>
      <c r="W11" s="75">
        <f t="shared" si="3"/>
        <v>0.11610890389562019</v>
      </c>
      <c r="X11" s="161">
        <f t="shared" si="4"/>
        <v>4.7924532464695767E-2</v>
      </c>
      <c r="Y11" s="75">
        <f>'Category forecasts'!G13</f>
        <v>21.399439601263612</v>
      </c>
      <c r="Z11" s="76">
        <f>'Category forecasts'!G14</f>
        <v>8.6845085506434678</v>
      </c>
      <c r="AA11" s="76">
        <f t="shared" ref="AA11:AA27" si="16">SUM(Y11:Z11)</f>
        <v>30.08394815190708</v>
      </c>
      <c r="AB11" s="75">
        <f t="shared" si="5"/>
        <v>0.1169698823546324</v>
      </c>
      <c r="AC11" s="161">
        <f t="shared" si="6"/>
        <v>4.7469745115034802E-2</v>
      </c>
      <c r="AD11" s="75">
        <f>'Category forecasts'!H13</f>
        <v>21.897406024205917</v>
      </c>
      <c r="AE11" s="76">
        <f>'Category forecasts'!H14</f>
        <v>8.7186562457358594</v>
      </c>
      <c r="AF11" s="76">
        <f t="shared" ref="AF11:AF27" si="17">SUM(AD11:AE11)</f>
        <v>30.616062269941779</v>
      </c>
      <c r="AG11" s="75">
        <f t="shared" si="7"/>
        <v>0.11784322068122391</v>
      </c>
      <c r="AH11" s="76">
        <f t="shared" si="8"/>
        <v>4.6920376362123949E-2</v>
      </c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</row>
    <row r="12" spans="1:67">
      <c r="A12" s="34"/>
      <c r="B12" s="10" t="s">
        <v>3</v>
      </c>
      <c r="C12" s="95">
        <v>0.95</v>
      </c>
      <c r="D12" s="97">
        <v>0.95</v>
      </c>
      <c r="E12" s="75">
        <f>'Category forecasts'!C17</f>
        <v>2.6440147762970709</v>
      </c>
      <c r="F12" s="76">
        <f>'Category forecasts'!C18</f>
        <v>1.1293097139010086</v>
      </c>
      <c r="G12" s="76">
        <f t="shared" si="9"/>
        <v>3.7733244901980796</v>
      </c>
      <c r="H12" s="164">
        <f t="shared" si="10"/>
        <v>1.4457734620384369E-2</v>
      </c>
      <c r="I12" s="161">
        <f t="shared" si="11"/>
        <v>6.1751773455174189E-3</v>
      </c>
      <c r="J12" s="75">
        <f>'Category forecasts'!D17</f>
        <v>2.5717739350605497</v>
      </c>
      <c r="K12" s="76">
        <f>'Category forecasts'!D18</f>
        <v>1.0867280740661107</v>
      </c>
      <c r="L12" s="76">
        <f t="shared" si="12"/>
        <v>3.6585020091266607</v>
      </c>
      <c r="M12" s="75">
        <f t="shared" si="13"/>
        <v>1.4506316542710417E-2</v>
      </c>
      <c r="N12" s="161">
        <f t="shared" si="0"/>
        <v>6.1297850574420325E-3</v>
      </c>
      <c r="O12" s="75">
        <f>'Category forecasts'!E17</f>
        <v>2.5996334829239327</v>
      </c>
      <c r="P12" s="76">
        <f>'Category forecasts'!E18</f>
        <v>1.086733542313344</v>
      </c>
      <c r="Q12" s="76">
        <f t="shared" si="14"/>
        <v>3.6863670252372769</v>
      </c>
      <c r="R12" s="75">
        <f t="shared" si="1"/>
        <v>1.4552657836393965E-2</v>
      </c>
      <c r="S12" s="161">
        <f t="shared" si="2"/>
        <v>6.083496579229593E-3</v>
      </c>
      <c r="T12" s="75">
        <f>'Category forecasts'!F17</f>
        <v>2.6351155449110011</v>
      </c>
      <c r="U12" s="76">
        <f>'Category forecasts'!F18</f>
        <v>1.0876571584367134</v>
      </c>
      <c r="V12" s="76">
        <f t="shared" si="15"/>
        <v>3.7227727033477143</v>
      </c>
      <c r="W12" s="75">
        <f t="shared" si="3"/>
        <v>1.4613297551278697E-2</v>
      </c>
      <c r="X12" s="161">
        <f t="shared" si="4"/>
        <v>6.0317118620127844E-3</v>
      </c>
      <c r="Y12" s="75">
        <f>'Category forecasts'!G17</f>
        <v>2.6933023035426147</v>
      </c>
      <c r="Z12" s="76">
        <f>'Category forecasts'!G18</f>
        <v>1.0930195986628746</v>
      </c>
      <c r="AA12" s="76">
        <f t="shared" si="16"/>
        <v>3.786321902205489</v>
      </c>
      <c r="AB12" s="75">
        <f t="shared" si="5"/>
        <v>1.4721659046260147E-2</v>
      </c>
      <c r="AC12" s="161">
        <f t="shared" si="6"/>
        <v>5.9744729885054821E-3</v>
      </c>
      <c r="AD12" s="75">
        <f>'Category forecasts'!H17</f>
        <v>2.7559756323300748</v>
      </c>
      <c r="AE12" s="76">
        <f>'Category forecasts'!H18</f>
        <v>1.0973173778368477</v>
      </c>
      <c r="AF12" s="76">
        <f t="shared" si="17"/>
        <v>3.8532930101669223</v>
      </c>
      <c r="AG12" s="75">
        <f t="shared" si="7"/>
        <v>1.4831576136175065E-2</v>
      </c>
      <c r="AH12" s="76">
        <f t="shared" si="8"/>
        <v>5.9053302373269995E-3</v>
      </c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</row>
    <row r="13" spans="1:67">
      <c r="A13" s="34"/>
      <c r="B13" s="10" t="s">
        <v>4</v>
      </c>
      <c r="C13" s="95">
        <v>0.95</v>
      </c>
      <c r="D13" s="97">
        <v>0.95</v>
      </c>
      <c r="E13" s="75">
        <f>'Category forecasts'!C21</f>
        <v>2.999636700684476</v>
      </c>
      <c r="F13" s="76">
        <f>'Category forecasts'!C22</f>
        <v>1.2812026977402728</v>
      </c>
      <c r="G13" s="76">
        <f t="shared" si="9"/>
        <v>4.2808393984247486</v>
      </c>
      <c r="H13" s="164">
        <f t="shared" si="10"/>
        <v>1.6402310518399629E-2</v>
      </c>
      <c r="I13" s="161">
        <f t="shared" si="11"/>
        <v>7.0057432223548932E-3</v>
      </c>
      <c r="J13" s="75">
        <f>'Category forecasts'!D21</f>
        <v>2.9176794133788158</v>
      </c>
      <c r="K13" s="76">
        <f>'Category forecasts'!D22</f>
        <v>1.2328937961527513</v>
      </c>
      <c r="L13" s="76">
        <f t="shared" si="12"/>
        <v>4.1505732095315668</v>
      </c>
      <c r="M13" s="75">
        <f t="shared" si="13"/>
        <v>1.6457426744869098E-2</v>
      </c>
      <c r="N13" s="161">
        <f t="shared" si="0"/>
        <v>6.9542456382794861E-3</v>
      </c>
      <c r="O13" s="75">
        <f>'Category forecasts'!E21</f>
        <v>2.949286090839415</v>
      </c>
      <c r="P13" s="76">
        <f>'Category forecasts'!E22</f>
        <v>1.2328999998832435</v>
      </c>
      <c r="Q13" s="76">
        <f t="shared" si="14"/>
        <v>4.1821860907226585</v>
      </c>
      <c r="R13" s="75">
        <f t="shared" si="1"/>
        <v>1.6510000976502195E-2</v>
      </c>
      <c r="S13" s="161">
        <f t="shared" si="2"/>
        <v>6.9017313258370582E-3</v>
      </c>
      <c r="T13" s="75">
        <f>'Category forecasts'!F21</f>
        <v>2.9895405161575028</v>
      </c>
      <c r="U13" s="76">
        <f>'Category forecasts'!F22</f>
        <v>1.2339478430518369</v>
      </c>
      <c r="V13" s="76">
        <f t="shared" si="15"/>
        <v>4.2234883592093393</v>
      </c>
      <c r="W13" s="75">
        <f t="shared" si="3"/>
        <v>1.6578796777462896E-2</v>
      </c>
      <c r="X13" s="161">
        <f t="shared" si="4"/>
        <v>6.8429815262176881E-3</v>
      </c>
      <c r="Y13" s="75">
        <f>'Category forecasts'!G21</f>
        <v>3.0555534364520325</v>
      </c>
      <c r="Z13" s="76">
        <f>'Category forecasts'!G22</f>
        <v>1.24003153541688</v>
      </c>
      <c r="AA13" s="76">
        <f t="shared" si="16"/>
        <v>4.2955849718689123</v>
      </c>
      <c r="AB13" s="75">
        <f t="shared" si="5"/>
        <v>1.6701732972903761E-2</v>
      </c>
      <c r="AC13" s="161">
        <f t="shared" si="6"/>
        <v>6.7780439822910984E-3</v>
      </c>
      <c r="AD13" s="75">
        <f>'Category forecasts'!H21</f>
        <v>3.1266563738751807</v>
      </c>
      <c r="AE13" s="76">
        <f>'Category forecasts'!H22</f>
        <v>1.2449073690382573</v>
      </c>
      <c r="AF13" s="76">
        <f t="shared" si="17"/>
        <v>4.3715637429134375</v>
      </c>
      <c r="AG13" s="75">
        <f t="shared" si="7"/>
        <v>1.6826433991936257E-2</v>
      </c>
      <c r="AH13" s="76">
        <f t="shared" si="8"/>
        <v>6.6996014804259095E-3</v>
      </c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</row>
    <row r="14" spans="1:67">
      <c r="A14" s="34"/>
      <c r="B14" s="10" t="s">
        <v>5</v>
      </c>
      <c r="C14" s="95">
        <v>0.95</v>
      </c>
      <c r="D14" s="97">
        <v>0.95</v>
      </c>
      <c r="E14" s="75">
        <f>'Category forecasts'!C25</f>
        <v>10.093227732801667</v>
      </c>
      <c r="F14" s="76">
        <f>'Category forecasts'!C26</f>
        <v>4.3110122626588918</v>
      </c>
      <c r="G14" s="76">
        <f t="shared" si="9"/>
        <v>14.404239995460559</v>
      </c>
      <c r="H14" s="164">
        <f t="shared" si="10"/>
        <v>5.5190768724945556E-2</v>
      </c>
      <c r="I14" s="161">
        <f t="shared" si="11"/>
        <v>2.3573041950255027E-2</v>
      </c>
      <c r="J14" s="75">
        <f>'Category forecasts'!D25</f>
        <v>9.8174564819198764</v>
      </c>
      <c r="K14" s="76">
        <f>'Category forecasts'!D26</f>
        <v>4.1484616627368753</v>
      </c>
      <c r="L14" s="76">
        <f t="shared" si="12"/>
        <v>13.965918144656751</v>
      </c>
      <c r="M14" s="75">
        <f t="shared" si="13"/>
        <v>5.537622472546791E-2</v>
      </c>
      <c r="N14" s="161">
        <f t="shared" si="0"/>
        <v>2.3399762018174061E-2</v>
      </c>
      <c r="O14" s="75">
        <f>'Category forecasts'!E25</f>
        <v>9.9238071587915933</v>
      </c>
      <c r="P14" s="76">
        <f>'Category forecasts'!E26</f>
        <v>4.1484825371529794</v>
      </c>
      <c r="Q14" s="76">
        <f t="shared" si="14"/>
        <v>14.072289695944573</v>
      </c>
      <c r="R14" s="75">
        <f t="shared" si="1"/>
        <v>5.5553127379255558E-2</v>
      </c>
      <c r="S14" s="161">
        <f t="shared" si="2"/>
        <v>2.3223060981481188E-2</v>
      </c>
      <c r="T14" s="75">
        <f>'Category forecasts'!F25</f>
        <v>10.059255922268786</v>
      </c>
      <c r="U14" s="76">
        <f>'Category forecasts'!F26</f>
        <v>4.1520083373695398</v>
      </c>
      <c r="V14" s="76">
        <f t="shared" si="15"/>
        <v>14.211264259638327</v>
      </c>
      <c r="W14" s="75">
        <f t="shared" si="3"/>
        <v>5.5784612640786858E-2</v>
      </c>
      <c r="X14" s="161">
        <f t="shared" si="4"/>
        <v>2.3025378673260516E-2</v>
      </c>
      <c r="Y14" s="75">
        <f>'Category forecasts'!G25</f>
        <v>10.281377300396988</v>
      </c>
      <c r="Z14" s="76">
        <f>'Category forecasts'!G26</f>
        <v>4.1724788471758361</v>
      </c>
      <c r="AA14" s="76">
        <f t="shared" si="16"/>
        <v>14.453856147572825</v>
      </c>
      <c r="AB14" s="75">
        <f t="shared" si="5"/>
        <v>5.6198270407044254E-2</v>
      </c>
      <c r="AC14" s="161">
        <f t="shared" si="6"/>
        <v>2.2806875739518465E-2</v>
      </c>
      <c r="AD14" s="75">
        <f>'Category forecasts'!H25</f>
        <v>10.520625653278929</v>
      </c>
      <c r="AE14" s="76">
        <f>'Category forecasts'!H26</f>
        <v>4.1888851336826587</v>
      </c>
      <c r="AF14" s="76">
        <f t="shared" si="17"/>
        <v>14.709510786961587</v>
      </c>
      <c r="AG14" s="75">
        <f t="shared" si="7"/>
        <v>5.6617866481235575E-2</v>
      </c>
      <c r="AH14" s="76">
        <f t="shared" si="8"/>
        <v>2.2542931097463841E-2</v>
      </c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</row>
    <row r="15" spans="1:67">
      <c r="A15" s="34"/>
      <c r="B15" s="10" t="s">
        <v>6</v>
      </c>
      <c r="C15" s="95">
        <v>0.25</v>
      </c>
      <c r="D15" s="97">
        <v>0.25</v>
      </c>
      <c r="E15" s="75">
        <f>'Category forecasts'!C30</f>
        <v>5.9806051015190898</v>
      </c>
      <c r="F15" s="76">
        <f>'Category forecasts'!C31</f>
        <v>2.5544318045038752</v>
      </c>
      <c r="G15" s="76">
        <f t="shared" si="9"/>
        <v>8.5350369060229649</v>
      </c>
      <c r="H15" s="164">
        <f t="shared" si="10"/>
        <v>8.6059318222609527E-3</v>
      </c>
      <c r="I15" s="161">
        <f t="shared" si="11"/>
        <v>3.6757594893853732E-3</v>
      </c>
      <c r="J15" s="75">
        <f>'Category forecasts'!D30</f>
        <v>5.8159045638515563</v>
      </c>
      <c r="K15" s="76">
        <f>'Category forecasts'!D31</f>
        <v>2.4575610950972036</v>
      </c>
      <c r="L15" s="76">
        <f t="shared" si="12"/>
        <v>8.2734656589487603</v>
      </c>
      <c r="M15" s="75">
        <f t="shared" si="13"/>
        <v>8.6329263191550903E-3</v>
      </c>
      <c r="N15" s="161">
        <f t="shared" si="0"/>
        <v>3.6479181571621409E-3</v>
      </c>
      <c r="O15" s="75">
        <f>'Category forecasts'!E30</f>
        <v>5.8788856108819152</v>
      </c>
      <c r="P15" s="76">
        <f>'Category forecasts'!E31</f>
        <v>2.4575643493252368</v>
      </c>
      <c r="Q15" s="76">
        <f t="shared" si="14"/>
        <v>8.3364499602071511</v>
      </c>
      <c r="R15" s="75">
        <f t="shared" si="1"/>
        <v>8.6604729511248358E-3</v>
      </c>
      <c r="S15" s="161">
        <f t="shared" si="2"/>
        <v>3.6203578333933719E-3</v>
      </c>
      <c r="T15" s="75">
        <f>'Category forecasts'!F30</f>
        <v>5.9554441512266747</v>
      </c>
      <c r="U15" s="76">
        <f>'Category forecasts'!F31</f>
        <v>2.4581140037589559</v>
      </c>
      <c r="V15" s="76">
        <f t="shared" si="15"/>
        <v>8.4135581549856298</v>
      </c>
      <c r="W15" s="75">
        <f t="shared" si="3"/>
        <v>8.6911875947676721E-3</v>
      </c>
      <c r="X15" s="161">
        <f t="shared" si="4"/>
        <v>3.5872941452392078E-3</v>
      </c>
      <c r="Y15" s="75">
        <f>'Category forecasts'!G30</f>
        <v>6.065312952647897</v>
      </c>
      <c r="Z15" s="76">
        <f>'Category forecasts'!G31</f>
        <v>2.4613032559758357</v>
      </c>
      <c r="AA15" s="76">
        <f t="shared" si="16"/>
        <v>8.5266162086237323</v>
      </c>
      <c r="AB15" s="75">
        <f t="shared" si="5"/>
        <v>8.7245145290400852E-3</v>
      </c>
      <c r="AC15" s="161">
        <f t="shared" si="6"/>
        <v>3.5404069311477512E-3</v>
      </c>
      <c r="AD15" s="75">
        <f>'Category forecasts'!H30</f>
        <v>6.1888802853115505</v>
      </c>
      <c r="AE15" s="76">
        <f>'Category forecasts'!H31</f>
        <v>2.4638500726080896</v>
      </c>
      <c r="AF15" s="76">
        <f t="shared" si="17"/>
        <v>8.6527303579196406</v>
      </c>
      <c r="AG15" s="75">
        <f t="shared" si="7"/>
        <v>8.7647678502174118E-3</v>
      </c>
      <c r="AH15" s="76">
        <f t="shared" si="8"/>
        <v>3.4893345659640783E-3</v>
      </c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</row>
    <row r="16" spans="1:67">
      <c r="A16" s="34"/>
      <c r="B16" s="10" t="s">
        <v>7</v>
      </c>
      <c r="C16" s="95">
        <v>0.25</v>
      </c>
      <c r="D16" s="97">
        <v>0.25</v>
      </c>
      <c r="E16" s="75">
        <f>'Category forecasts'!C35</f>
        <v>7.0696901786560407</v>
      </c>
      <c r="F16" s="76">
        <f>'Category forecasts'!C36+'Category forecasts'!C37</f>
        <v>3.0196010493588066</v>
      </c>
      <c r="G16" s="76">
        <f t="shared" si="9"/>
        <v>10.089291228014847</v>
      </c>
      <c r="H16" s="164">
        <f t="shared" si="10"/>
        <v>1.0173096308694231E-2</v>
      </c>
      <c r="I16" s="161">
        <f t="shared" si="11"/>
        <v>4.3451256720843986E-3</v>
      </c>
      <c r="J16" s="75">
        <f>'Category forecasts'!D35</f>
        <v>6.8749972079946309</v>
      </c>
      <c r="K16" s="76">
        <f>'Category forecasts'!D36</f>
        <v>2.9050899102237655</v>
      </c>
      <c r="L16" s="76">
        <f>SUM(J16:K16)</f>
        <v>9.7800871182183968</v>
      </c>
      <c r="M16" s="75">
        <f>(J16/SUM(L$10:L$27))*C16</f>
        <v>1.0205006579700382E-2</v>
      </c>
      <c r="N16" s="161">
        <f>(K16/SUM(L$10:L$27))*D16</f>
        <v>4.3122143546444145E-3</v>
      </c>
      <c r="O16" s="75">
        <f>'Category forecasts'!E35</f>
        <v>6.9494472815363375</v>
      </c>
      <c r="P16" s="76">
        <f>'Category forecasts'!E36</f>
        <v>2.905093757055913</v>
      </c>
      <c r="Q16" s="76">
        <f t="shared" si="14"/>
        <v>9.8545410385922505</v>
      </c>
      <c r="R16" s="75">
        <f t="shared" si="1"/>
        <v>1.0237569531138538E-2</v>
      </c>
      <c r="S16" s="161">
        <f t="shared" si="2"/>
        <v>4.2796352180919685E-3</v>
      </c>
      <c r="T16" s="75">
        <f>'Category forecasts'!F35</f>
        <v>7.0399473482653896</v>
      </c>
      <c r="U16" s="76">
        <f>'Category forecasts'!F36</f>
        <v>2.9057435051141374</v>
      </c>
      <c r="V16" s="76">
        <f t="shared" si="15"/>
        <v>9.9456908533795279</v>
      </c>
      <c r="W16" s="75">
        <f t="shared" si="3"/>
        <v>1.0273877398121351E-2</v>
      </c>
      <c r="X16" s="161">
        <f t="shared" si="4"/>
        <v>4.240550538959038E-3</v>
      </c>
      <c r="Y16" s="75">
        <f>'Category forecasts'!G35</f>
        <v>7.1698235686750991</v>
      </c>
      <c r="Z16" s="76">
        <f>'Category forecasts'!G36</f>
        <v>2.9095135291655838</v>
      </c>
      <c r="AA16" s="76">
        <f t="shared" si="16"/>
        <v>10.079337097840682</v>
      </c>
      <c r="AB16" s="75">
        <f t="shared" si="5"/>
        <v>1.0313273261234024E-2</v>
      </c>
      <c r="AC16" s="161">
        <f t="shared" si="6"/>
        <v>4.1851250307804897E-3</v>
      </c>
      <c r="AD16" s="75">
        <f>'Category forecasts'!H35</f>
        <v>7.3158928615486687</v>
      </c>
      <c r="AE16" s="76">
        <f>'Category forecasts'!H36</f>
        <v>2.9125241282983221</v>
      </c>
      <c r="AF16" s="76">
        <f t="shared" si="17"/>
        <v>10.228416989846991</v>
      </c>
      <c r="AG16" s="75">
        <f t="shared" si="7"/>
        <v>1.0360856825865862E-2</v>
      </c>
      <c r="AH16" s="76">
        <f t="shared" si="8"/>
        <v>4.1247522436777201E-3</v>
      </c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</row>
    <row r="17" spans="1:67">
      <c r="A17" s="34"/>
      <c r="B17" s="10" t="s">
        <v>8</v>
      </c>
      <c r="C17" s="95">
        <v>0.25</v>
      </c>
      <c r="D17" s="97">
        <v>0.25</v>
      </c>
      <c r="E17" s="75">
        <f>'Category forecasts'!C40</f>
        <v>5.952157356497108</v>
      </c>
      <c r="F17" s="76">
        <f>'Category forecasts'!C41</f>
        <v>2.5422812238490669</v>
      </c>
      <c r="G17" s="76">
        <f t="shared" si="9"/>
        <v>8.4944385803461753</v>
      </c>
      <c r="H17" s="164">
        <f t="shared" si="10"/>
        <v>8.5649962730982004E-3</v>
      </c>
      <c r="I17" s="161">
        <f t="shared" si="11"/>
        <v>3.6582751266927751E-3</v>
      </c>
      <c r="J17" s="75">
        <f>'Category forecasts'!D40</f>
        <v>5.7882402443895327</v>
      </c>
      <c r="K17" s="76">
        <f>'Category forecasts'!D41</f>
        <v>2.4458712961182494</v>
      </c>
      <c r="L17" s="76">
        <f t="shared" si="12"/>
        <v>8.2341115405077829</v>
      </c>
      <c r="M17" s="75">
        <f t="shared" si="13"/>
        <v>8.5918623661683756E-3</v>
      </c>
      <c r="N17" s="161">
        <f t="shared" si="0"/>
        <v>3.6305662264068993E-3</v>
      </c>
      <c r="O17" s="75">
        <f>'Category forecasts'!E40</f>
        <v>5.8509217115719121</v>
      </c>
      <c r="P17" s="76">
        <f>'Category forecasts'!E41</f>
        <v>2.4458745348670048</v>
      </c>
      <c r="Q17" s="76">
        <f t="shared" si="14"/>
        <v>8.296796246438916</v>
      </c>
      <c r="R17" s="75">
        <f t="shared" si="1"/>
        <v>8.6192779679916415E-3</v>
      </c>
      <c r="S17" s="161">
        <f t="shared" si="2"/>
        <v>3.6031369979119343E-3</v>
      </c>
      <c r="T17" s="75">
        <f>'Category forecasts'!F40</f>
        <v>5.9271160884586243</v>
      </c>
      <c r="U17" s="76">
        <f>'Category forecasts'!F41</f>
        <v>2.4464215747777924</v>
      </c>
      <c r="V17" s="76">
        <f t="shared" si="15"/>
        <v>8.3735376632364158</v>
      </c>
      <c r="W17" s="75">
        <f t="shared" si="3"/>
        <v>8.6498465123124261E-3</v>
      </c>
      <c r="X17" s="161">
        <f t="shared" si="4"/>
        <v>3.5702305827015825E-3</v>
      </c>
      <c r="Y17" s="75">
        <f>'Category forecasts'!G40</f>
        <v>6.036462280612783</v>
      </c>
      <c r="Z17" s="76">
        <f>'Category forecasts'!G41</f>
        <v>2.4495956567849126</v>
      </c>
      <c r="AA17" s="76">
        <f t="shared" si="16"/>
        <v>8.4860579373976961</v>
      </c>
      <c r="AB17" s="75">
        <f t="shared" si="5"/>
        <v>8.6830149214669871E-3</v>
      </c>
      <c r="AC17" s="161">
        <f t="shared" si="6"/>
        <v>3.5235663954591859E-3</v>
      </c>
      <c r="AD17" s="75">
        <f>'Category forecasts'!H40</f>
        <v>6.1594418446622257</v>
      </c>
      <c r="AE17" s="76">
        <f>'Category forecasts'!H41</f>
        <v>2.452130359059348</v>
      </c>
      <c r="AF17" s="76">
        <f t="shared" si="17"/>
        <v>8.6115722037215736</v>
      </c>
      <c r="AG17" s="75">
        <f t="shared" si="7"/>
        <v>8.7230767710126476E-3</v>
      </c>
      <c r="AH17" s="76">
        <f t="shared" si="8"/>
        <v>3.4727369644933308E-3</v>
      </c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</row>
    <row r="18" spans="1:67">
      <c r="A18" s="34"/>
      <c r="B18" s="10" t="s">
        <v>9</v>
      </c>
      <c r="C18" s="95">
        <v>0.1</v>
      </c>
      <c r="D18" s="97">
        <v>0.1</v>
      </c>
      <c r="E18" s="75">
        <f>'Category forecasts'!C44</f>
        <v>6.6302780662879748</v>
      </c>
      <c r="F18" s="76">
        <f>'Category forecasts'!C45</f>
        <v>2.8319196599234608</v>
      </c>
      <c r="G18" s="76">
        <f t="shared" si="9"/>
        <v>9.4621977262114356</v>
      </c>
      <c r="H18" s="164">
        <f t="shared" si="10"/>
        <v>3.8163175820863462E-3</v>
      </c>
      <c r="I18" s="161">
        <f t="shared" si="11"/>
        <v>1.6300228559301699E-3</v>
      </c>
      <c r="J18" s="75">
        <f>'Category forecasts'!D44</f>
        <v>6.4473782252911374</v>
      </c>
      <c r="K18" s="76">
        <f>'Category forecasts'!D45</f>
        <v>2.7243943829340407</v>
      </c>
      <c r="L18" s="76">
        <f t="shared" si="12"/>
        <v>9.1717726082251776</v>
      </c>
      <c r="M18" s="75">
        <f t="shared" si="13"/>
        <v>3.8281055378118442E-3</v>
      </c>
      <c r="N18" s="161">
        <f t="shared" si="0"/>
        <v>1.6175984811287133E-3</v>
      </c>
      <c r="O18" s="75">
        <f>'Category forecasts'!E44</f>
        <v>6.5171924450859953</v>
      </c>
      <c r="P18" s="76">
        <f>'Category forecasts'!E45</f>
        <v>2.7243958259582803</v>
      </c>
      <c r="Q18" s="76">
        <f t="shared" si="14"/>
        <v>9.2415882710442752</v>
      </c>
      <c r="R18" s="75">
        <f t="shared" si="1"/>
        <v>3.8403175447719118E-3</v>
      </c>
      <c r="S18" s="161">
        <f t="shared" si="2"/>
        <v>1.6053761151736089E-3</v>
      </c>
      <c r="T18" s="75">
        <f>'Category forecasts'!F44</f>
        <v>6.6011888437376438</v>
      </c>
      <c r="U18" s="76">
        <f>'Category forecasts'!F45</f>
        <v>2.7246395593515249</v>
      </c>
      <c r="V18" s="76">
        <f t="shared" si="15"/>
        <v>9.3258284030891687</v>
      </c>
      <c r="W18" s="75">
        <f t="shared" si="3"/>
        <v>3.8534268230922195E-3</v>
      </c>
      <c r="X18" s="161">
        <f t="shared" si="4"/>
        <v>1.5905012581519493E-3</v>
      </c>
      <c r="Y18" s="75">
        <f>'Category forecasts'!G44</f>
        <v>6.7178318606582925</v>
      </c>
      <c r="Z18" s="76">
        <f>'Category forecasts'!G45</f>
        <v>2.7260535804655288</v>
      </c>
      <c r="AA18" s="76">
        <f t="shared" si="16"/>
        <v>9.4438854411238218</v>
      </c>
      <c r="AB18" s="75">
        <f t="shared" si="5"/>
        <v>3.8652463363081529E-3</v>
      </c>
      <c r="AC18" s="161">
        <f t="shared" si="6"/>
        <v>1.5684924590300153E-3</v>
      </c>
      <c r="AD18" s="75">
        <f>'Category forecasts'!H44</f>
        <v>6.8505220842408177</v>
      </c>
      <c r="AE18" s="76">
        <f>'Category forecasts'!H45</f>
        <v>2.7271818865500861</v>
      </c>
      <c r="AF18" s="76">
        <f t="shared" si="17"/>
        <v>9.5777039707909033</v>
      </c>
      <c r="AG18" s="75">
        <f t="shared" si="7"/>
        <v>3.8807172188263261E-3</v>
      </c>
      <c r="AH18" s="76">
        <f t="shared" si="8"/>
        <v>1.5449073188673692E-3</v>
      </c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</row>
    <row r="19" spans="1:67">
      <c r="A19" s="34"/>
      <c r="B19" s="10" t="s">
        <v>10</v>
      </c>
      <c r="C19" s="95">
        <v>0.1</v>
      </c>
      <c r="D19" s="97">
        <v>1</v>
      </c>
      <c r="E19" s="75">
        <f>'Category forecasts'!C48</f>
        <v>3.4579700169811565</v>
      </c>
      <c r="F19" s="76">
        <f>'Category forecasts'!C49</f>
        <v>1.4769656983628341</v>
      </c>
      <c r="G19" s="76">
        <f t="shared" si="9"/>
        <v>4.9349357153439906</v>
      </c>
      <c r="H19" s="164">
        <f t="shared" si="10"/>
        <v>1.9903707871970016E-3</v>
      </c>
      <c r="I19" s="161">
        <f t="shared" si="11"/>
        <v>8.5012575738866569E-3</v>
      </c>
      <c r="J19" s="75">
        <f>'Category forecasts'!D48</f>
        <v>3.3625800257991165</v>
      </c>
      <c r="K19" s="76">
        <f>'Category forecasts'!D49</f>
        <v>1.4212982383564907</v>
      </c>
      <c r="L19" s="76">
        <f t="shared" si="12"/>
        <v>4.7838782641556072</v>
      </c>
      <c r="M19" s="75">
        <f t="shared" si="13"/>
        <v>1.9965187039288099E-3</v>
      </c>
      <c r="N19" s="161">
        <f t="shared" si="0"/>
        <v>8.4389025538966454E-3</v>
      </c>
      <c r="O19" s="75">
        <f>'Category forecasts'!E48</f>
        <v>3.3989910897689732</v>
      </c>
      <c r="P19" s="76">
        <f>'Category forecasts'!E49</f>
        <v>1.4213057665169579</v>
      </c>
      <c r="Q19" s="76">
        <f t="shared" si="14"/>
        <v>4.820296856285931</v>
      </c>
      <c r="R19" s="75">
        <f t="shared" si="1"/>
        <v>2.0028877812876904E-3</v>
      </c>
      <c r="S19" s="161">
        <f t="shared" si="2"/>
        <v>8.3751792165599331E-3</v>
      </c>
      <c r="T19" s="75">
        <f>'Category forecasts'!F48</f>
        <v>3.442798758944817</v>
      </c>
      <c r="U19" s="76">
        <f>'Category forecasts'!F49</f>
        <v>1.4225773133091324</v>
      </c>
      <c r="V19" s="76">
        <f t="shared" si="15"/>
        <v>4.8653760722539499</v>
      </c>
      <c r="W19" s="75">
        <f t="shared" si="3"/>
        <v>2.0097248235538931E-3</v>
      </c>
      <c r="X19" s="161">
        <f t="shared" si="4"/>
        <v>8.3042580765255603E-3</v>
      </c>
      <c r="Y19" s="75">
        <f>'Category forecasts'!G48</f>
        <v>3.5036330182578128</v>
      </c>
      <c r="Z19" s="76">
        <f>'Category forecasts'!G49</f>
        <v>1.429960140701541</v>
      </c>
      <c r="AA19" s="76">
        <f t="shared" si="16"/>
        <v>4.9335931589593542</v>
      </c>
      <c r="AB19" s="75">
        <f t="shared" si="5"/>
        <v>2.0158891988496779E-3</v>
      </c>
      <c r="AC19" s="161">
        <f t="shared" si="6"/>
        <v>8.2275774529011608E-3</v>
      </c>
      <c r="AD19" s="75">
        <f>'Category forecasts'!H48</f>
        <v>3.572836573539738</v>
      </c>
      <c r="AE19" s="76">
        <f>'Category forecasts'!H49</f>
        <v>1.4358787064222933</v>
      </c>
      <c r="AF19" s="76">
        <f t="shared" si="17"/>
        <v>5.0087152799620309</v>
      </c>
      <c r="AG19" s="75">
        <f t="shared" si="7"/>
        <v>2.0239579174387355E-3</v>
      </c>
      <c r="AH19" s="76">
        <f t="shared" si="8"/>
        <v>8.1340358466658186E-3</v>
      </c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</row>
    <row r="20" spans="1:67">
      <c r="A20" s="34"/>
      <c r="B20" s="10" t="s">
        <v>11</v>
      </c>
      <c r="C20" s="95">
        <v>0.25</v>
      </c>
      <c r="D20" s="97">
        <v>0.25</v>
      </c>
      <c r="E20" s="75">
        <f>'Category forecasts'!C52</f>
        <v>1.1725243420906688</v>
      </c>
      <c r="F20" s="76">
        <f>'Category forecasts'!C53</f>
        <v>0.50080776445691333</v>
      </c>
      <c r="G20" s="76">
        <f t="shared" si="9"/>
        <v>1.6733321065475821</v>
      </c>
      <c r="H20" s="164">
        <f t="shared" si="10"/>
        <v>1.6872313715230282E-3</v>
      </c>
      <c r="I20" s="161">
        <f t="shared" si="11"/>
        <v>7.2064906540650667E-4</v>
      </c>
      <c r="J20" s="75">
        <f>'Category forecasts'!D52</f>
        <v>1.1402340660579724</v>
      </c>
      <c r="K20" s="76">
        <f>'Category forecasts'!D53</f>
        <v>0.48181582921175503</v>
      </c>
      <c r="L20" s="76">
        <f t="shared" si="12"/>
        <v>1.6220498952697273</v>
      </c>
      <c r="M20" s="75">
        <f t="shared" si="13"/>
        <v>1.6925237632080818E-3</v>
      </c>
      <c r="N20" s="161">
        <f t="shared" si="0"/>
        <v>7.1519064787285594E-4</v>
      </c>
      <c r="O20" s="75">
        <f>'Category forecasts'!E52</f>
        <v>1.1525817816285415</v>
      </c>
      <c r="P20" s="76">
        <f>'Category forecasts'!E53</f>
        <v>0.48181646721769572</v>
      </c>
      <c r="Q20" s="76">
        <f t="shared" si="14"/>
        <v>1.6343982488462372</v>
      </c>
      <c r="R20" s="75">
        <f t="shared" si="1"/>
        <v>1.697924403440779E-3</v>
      </c>
      <c r="S20" s="161">
        <f t="shared" si="2"/>
        <v>7.0978732330180647E-4</v>
      </c>
      <c r="T20" s="75">
        <f>'Category forecasts'!F52</f>
        <v>1.1675914254062856</v>
      </c>
      <c r="U20" s="76">
        <f>'Category forecasts'!F53</f>
        <v>0.48192422942441793</v>
      </c>
      <c r="V20" s="76">
        <f t="shared" si="15"/>
        <v>1.6495156548307035</v>
      </c>
      <c r="W20" s="75">
        <f t="shared" si="3"/>
        <v>1.7039461465116798E-3</v>
      </c>
      <c r="X20" s="161">
        <f t="shared" si="4"/>
        <v>7.0330503956262346E-4</v>
      </c>
      <c r="Y20" s="75">
        <f>'Category forecasts'!G52</f>
        <v>1.1891316946459296</v>
      </c>
      <c r="Z20" s="76">
        <f>'Category forecasts'!G53</f>
        <v>0.4825494965661003</v>
      </c>
      <c r="AA20" s="76">
        <f t="shared" si="16"/>
        <v>1.67168119121203</v>
      </c>
      <c r="AB20" s="75">
        <f t="shared" si="5"/>
        <v>1.7104800408281153E-3</v>
      </c>
      <c r="AC20" s="161">
        <f t="shared" si="6"/>
        <v>6.9411259182166067E-4</v>
      </c>
      <c r="AD20" s="75">
        <f>'Category forecasts'!H52</f>
        <v>1.213357622119146</v>
      </c>
      <c r="AE20" s="76">
        <f>'Category forecasts'!H53</f>
        <v>0.48304881134202504</v>
      </c>
      <c r="AF20" s="76">
        <f t="shared" si="17"/>
        <v>1.696406433461171</v>
      </c>
      <c r="AG20" s="75">
        <f t="shared" si="7"/>
        <v>1.7183718842334627E-3</v>
      </c>
      <c r="AH20" s="76">
        <f t="shared" si="8"/>
        <v>6.8409962651639592E-4</v>
      </c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</row>
    <row r="21" spans="1:67">
      <c r="A21" s="34"/>
      <c r="B21" s="10" t="s">
        <v>12</v>
      </c>
      <c r="C21" s="95">
        <v>0.25</v>
      </c>
      <c r="D21" s="97">
        <v>0.25</v>
      </c>
      <c r="E21" s="75">
        <f>'Category forecasts'!C56</f>
        <v>2.1784143522244257</v>
      </c>
      <c r="F21" s="76">
        <f>'Category forecasts'!C57</f>
        <v>0.93044279136510022</v>
      </c>
      <c r="G21" s="76">
        <f t="shared" si="9"/>
        <v>3.108857143589526</v>
      </c>
      <c r="H21" s="164">
        <f t="shared" si="10"/>
        <v>3.1346803672284438E-3</v>
      </c>
      <c r="I21" s="161">
        <f t="shared" si="11"/>
        <v>1.338882452708396E-3</v>
      </c>
      <c r="J21" s="75">
        <f>'Category forecasts'!D56</f>
        <v>2.1184227612426199</v>
      </c>
      <c r="K21" s="76">
        <f>'Category forecasts'!D57</f>
        <v>0.89515797651784434</v>
      </c>
      <c r="L21" s="76">
        <f t="shared" si="12"/>
        <v>3.0135807377604644</v>
      </c>
      <c r="M21" s="75">
        <f t="shared" si="13"/>
        <v>3.1445130176822132E-3</v>
      </c>
      <c r="N21" s="161">
        <f>(K21/SUM(L$10:L$27))*D21</f>
        <v>1.3287413454674696E-3</v>
      </c>
      <c r="O21" s="75">
        <f>'Category forecasts'!E56</f>
        <v>2.1413633858851342</v>
      </c>
      <c r="P21" s="76">
        <f>'Category forecasts'!E57</f>
        <v>0.89515916185894828</v>
      </c>
      <c r="Q21" s="76">
        <f t="shared" si="14"/>
        <v>3.0365225477440827</v>
      </c>
      <c r="R21" s="75">
        <f t="shared" si="1"/>
        <v>3.1545467813933626E-3</v>
      </c>
      <c r="S21" s="161">
        <f t="shared" si="2"/>
        <v>1.3187025945667304E-3</v>
      </c>
      <c r="T21" s="75">
        <f>'Category forecasts'!F56</f>
        <v>2.1692495646649395</v>
      </c>
      <c r="U21" s="76">
        <f>'Category forecasts'!F57</f>
        <v>0.895359371551254</v>
      </c>
      <c r="V21" s="76">
        <f t="shared" si="15"/>
        <v>3.0646089362161932</v>
      </c>
      <c r="W21" s="75">
        <f t="shared" si="3"/>
        <v>3.1657344822027707E-3</v>
      </c>
      <c r="X21" s="161">
        <f t="shared" si="4"/>
        <v>1.3066592625643868E-3</v>
      </c>
      <c r="Y21" s="75">
        <f>'Category forecasts'!G56</f>
        <v>2.2092688887659229</v>
      </c>
      <c r="Z21" s="76">
        <f>'Category forecasts'!G57</f>
        <v>0.89652104544280542</v>
      </c>
      <c r="AA21" s="76">
        <f t="shared" si="16"/>
        <v>3.1057899342087283</v>
      </c>
      <c r="AB21" s="75">
        <f t="shared" si="5"/>
        <v>3.1778737006768723E-3</v>
      </c>
      <c r="AC21" s="161">
        <f t="shared" si="6"/>
        <v>1.2895807599080746E-3</v>
      </c>
      <c r="AD21" s="75">
        <f>'Category forecasts'!H56</f>
        <v>2.2542778546433424</v>
      </c>
      <c r="AE21" s="76">
        <f>'Category forecasts'!H57</f>
        <v>0.89744871443448937</v>
      </c>
      <c r="AF21" s="76">
        <f t="shared" si="17"/>
        <v>3.151726569077832</v>
      </c>
      <c r="AG21" s="75">
        <f t="shared" si="7"/>
        <v>3.192535831195257E-3</v>
      </c>
      <c r="AH21" s="76">
        <f t="shared" si="8"/>
        <v>1.2709778307011454E-3</v>
      </c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</row>
    <row r="22" spans="1:67">
      <c r="A22" s="34"/>
      <c r="B22" s="10" t="s">
        <v>13</v>
      </c>
      <c r="C22" s="95">
        <v>0.1</v>
      </c>
      <c r="D22" s="97">
        <v>0.1</v>
      </c>
      <c r="E22" s="75">
        <f>'Category forecasts'!C60</f>
        <v>9.6554995839858435</v>
      </c>
      <c r="F22" s="76">
        <f>'Category forecasts'!C61</f>
        <v>4.1240501265403013</v>
      </c>
      <c r="G22" s="76">
        <f t="shared" si="9"/>
        <v>13.779549710526144</v>
      </c>
      <c r="H22" s="164">
        <f>(E22/SUM(G$10:G$27))*C22</f>
        <v>5.5576029327564147E-3</v>
      </c>
      <c r="I22" s="161">
        <f t="shared" si="11"/>
        <v>2.3737594185295804E-3</v>
      </c>
      <c r="J22" s="75">
        <f>'Category forecasts'!D60</f>
        <v>9.3891473554669052</v>
      </c>
      <c r="K22" s="76">
        <f>'Category forecasts'!D61</f>
        <v>3.967463893374886</v>
      </c>
      <c r="L22" s="76">
        <f t="shared" si="12"/>
        <v>13.356611248841791</v>
      </c>
      <c r="M22" s="75">
        <f>(J22/SUM(L$10:L$27))*C22</f>
        <v>5.5747694226782026E-3</v>
      </c>
      <c r="N22" s="161">
        <f t="shared" si="0"/>
        <v>2.3556661282441078E-3</v>
      </c>
      <c r="O22" s="75">
        <f>'Category forecasts'!E60</f>
        <v>9.490815967770363</v>
      </c>
      <c r="P22" s="76">
        <f>'Category forecasts'!E61</f>
        <v>3.967465994813137</v>
      </c>
      <c r="Q22" s="76">
        <f t="shared" si="14"/>
        <v>13.4582819625835</v>
      </c>
      <c r="R22" s="75">
        <f t="shared" si="1"/>
        <v>5.5925534472611397E-3</v>
      </c>
      <c r="S22" s="161">
        <f t="shared" si="2"/>
        <v>2.3378670181291219E-3</v>
      </c>
      <c r="T22" s="75">
        <f>'Category forecasts'!F60</f>
        <v>9.6131377141781051</v>
      </c>
      <c r="U22" s="76">
        <f>'Category forecasts'!F61</f>
        <v>3.9678209373439852</v>
      </c>
      <c r="V22" s="76">
        <f t="shared" si="15"/>
        <v>13.58095865152209</v>
      </c>
      <c r="W22" s="75">
        <f t="shared" si="3"/>
        <v>5.6116441445294291E-3</v>
      </c>
      <c r="X22" s="161">
        <f t="shared" si="4"/>
        <v>2.3162051550294806E-3</v>
      </c>
      <c r="Y22" s="75">
        <f>'Category forecasts'!G60</f>
        <v>9.7830018722258121</v>
      </c>
      <c r="Z22" s="76">
        <f>'Category forecasts'!G61</f>
        <v>3.9698801391061909</v>
      </c>
      <c r="AA22" s="76">
        <f t="shared" si="16"/>
        <v>13.752882011332003</v>
      </c>
      <c r="AB22" s="75">
        <f t="shared" si="5"/>
        <v>5.6288565907946352E-3</v>
      </c>
      <c r="AC22" s="161">
        <f t="shared" si="6"/>
        <v>2.2841543196585844E-3</v>
      </c>
      <c r="AD22" s="75">
        <f>'Category forecasts'!H60</f>
        <v>9.9762351553235966</v>
      </c>
      <c r="AE22" s="76">
        <f>'Category forecasts'!H61</f>
        <v>3.9715232615847857</v>
      </c>
      <c r="AF22" s="76">
        <f t="shared" si="17"/>
        <v>13.947758416908382</v>
      </c>
      <c r="AG22" s="75">
        <f t="shared" si="7"/>
        <v>5.6513864301504903E-3</v>
      </c>
      <c r="AH22" s="76">
        <f t="shared" si="8"/>
        <v>2.249807900284929E-3</v>
      </c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</row>
    <row r="23" spans="1:67">
      <c r="A23" s="34"/>
      <c r="B23" s="10" t="s">
        <v>14</v>
      </c>
      <c r="C23" s="95">
        <v>0.1</v>
      </c>
      <c r="D23" s="97">
        <v>0.1</v>
      </c>
      <c r="E23" s="75">
        <f>'Category forecasts'!C64</f>
        <v>4.3333739584005651</v>
      </c>
      <c r="F23" s="76">
        <f>'Category forecasts'!C65</f>
        <v>1.8508676082518174</v>
      </c>
      <c r="G23" s="76">
        <f t="shared" si="9"/>
        <v>6.184241566652382</v>
      </c>
      <c r="H23" s="164">
        <f t="shared" ref="H23:H27" si="18">(E23/SUM(G$10:G$27))*C23</f>
        <v>2.4942439912565961E-3</v>
      </c>
      <c r="I23" s="161">
        <f t="shared" si="11"/>
        <v>1.0653397225374717E-3</v>
      </c>
      <c r="J23" s="75">
        <f>'Category forecasts'!D64</f>
        <v>4.2138354714702535</v>
      </c>
      <c r="K23" s="76">
        <f>'Category forecasts'!D65</f>
        <v>1.7805919379831907</v>
      </c>
      <c r="L23" s="76">
        <f t="shared" si="12"/>
        <v>5.9944274094534444</v>
      </c>
      <c r="M23" s="75">
        <f t="shared" si="13"/>
        <v>2.5019482865897558E-3</v>
      </c>
      <c r="N23" s="161">
        <f t="shared" si="0"/>
        <v>1.0572194805693721E-3</v>
      </c>
      <c r="O23" s="75">
        <f>'Category forecasts'!E64</f>
        <v>4.2594641945736367</v>
      </c>
      <c r="P23" s="76">
        <f>'Category forecasts'!E65</f>
        <v>1.7805928811055753</v>
      </c>
      <c r="Q23" s="76">
        <f t="shared" si="14"/>
        <v>6.0400570756792122</v>
      </c>
      <c r="R23" s="75">
        <f t="shared" si="1"/>
        <v>2.5099297305671408E-3</v>
      </c>
      <c r="S23" s="161">
        <f t="shared" si="2"/>
        <v>1.0492312662274742E-3</v>
      </c>
      <c r="T23" s="75">
        <f>'Category forecasts'!F64</f>
        <v>4.3143620137717784</v>
      </c>
      <c r="U23" s="76">
        <f>'Category forecasts'!F65</f>
        <v>1.7807521787894007</v>
      </c>
      <c r="V23" s="76">
        <f t="shared" si="15"/>
        <v>6.0951141925611791</v>
      </c>
      <c r="W23" s="75">
        <f t="shared" si="3"/>
        <v>2.5184976073166073E-3</v>
      </c>
      <c r="X23" s="161">
        <f t="shared" si="4"/>
        <v>1.0395094540488366E-3</v>
      </c>
      <c r="Y23" s="75">
        <f>'Category forecasts'!G64</f>
        <v>4.3905967971247186</v>
      </c>
      <c r="Z23" s="76">
        <f>'Category forecasts'!G65</f>
        <v>1.781676345500177</v>
      </c>
      <c r="AA23" s="76">
        <f t="shared" si="16"/>
        <v>6.1722731426248956</v>
      </c>
      <c r="AB23" s="75">
        <f t="shared" si="5"/>
        <v>2.5262225277888446E-3</v>
      </c>
      <c r="AC23" s="161">
        <f t="shared" si="6"/>
        <v>1.0251250864526139E-3</v>
      </c>
      <c r="AD23" s="75">
        <f>'Category forecasts'!H64</f>
        <v>4.4773196092991379</v>
      </c>
      <c r="AE23" s="76">
        <f>'Category forecasts'!H65</f>
        <v>1.7824137764427472</v>
      </c>
      <c r="AF23" s="76">
        <f t="shared" si="17"/>
        <v>6.2597333857418853</v>
      </c>
      <c r="AG23" s="75">
        <f t="shared" si="7"/>
        <v>2.5363338864298345E-3</v>
      </c>
      <c r="AH23" s="76">
        <f t="shared" si="8"/>
        <v>1.0097104641450378E-3</v>
      </c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</row>
    <row r="24" spans="1:67">
      <c r="A24" s="34"/>
      <c r="B24" s="10" t="s">
        <v>15</v>
      </c>
      <c r="C24" s="95">
        <v>0.1</v>
      </c>
      <c r="D24" s="97">
        <v>0.1</v>
      </c>
      <c r="E24" s="75">
        <f>'Category forecasts'!C68</f>
        <v>2.1372816255177582</v>
      </c>
      <c r="F24" s="76">
        <f>'Category forecasts'!C69</f>
        <v>0.91287421033994798</v>
      </c>
      <c r="G24" s="76">
        <f t="shared" si="9"/>
        <v>3.0501558358577063</v>
      </c>
      <c r="H24" s="164">
        <f t="shared" si="18"/>
        <v>1.23019658659656E-3</v>
      </c>
      <c r="I24" s="161">
        <f t="shared" si="11"/>
        <v>5.254406925807837E-4</v>
      </c>
      <c r="J24" s="75">
        <f>'Category forecasts'!D68</f>
        <v>2.0783235447910604</v>
      </c>
      <c r="K24" s="76">
        <f>'Category forecasts'!D69</f>
        <v>0.87821325095173075</v>
      </c>
      <c r="L24" s="76">
        <f t="shared" si="12"/>
        <v>2.956536795742791</v>
      </c>
      <c r="M24" s="75">
        <f t="shared" si="13"/>
        <v>1.2339964545542289E-3</v>
      </c>
      <c r="N24" s="161">
        <f t="shared" si="0"/>
        <v>5.2143567383100965E-4</v>
      </c>
      <c r="O24" s="75">
        <f>'Category forecasts'!E68</f>
        <v>2.1008282795360613</v>
      </c>
      <c r="P24" s="76">
        <f>'Category forecasts'!E69</f>
        <v>0.87821371611309518</v>
      </c>
      <c r="Q24" s="76">
        <f t="shared" si="14"/>
        <v>2.9790419956491565</v>
      </c>
      <c r="R24" s="75">
        <f t="shared" si="1"/>
        <v>1.2379330161622795E-3</v>
      </c>
      <c r="S24" s="161">
        <f t="shared" si="2"/>
        <v>5.1749577298295605E-4</v>
      </c>
      <c r="T24" s="75">
        <f>'Category forecasts'!F68</f>
        <v>2.1279046642145008</v>
      </c>
      <c r="U24" s="76">
        <f>'Category forecasts'!F69</f>
        <v>0.87829228399481873</v>
      </c>
      <c r="V24" s="76">
        <f t="shared" si="15"/>
        <v>3.0061969482093196</v>
      </c>
      <c r="W24" s="75">
        <f t="shared" si="3"/>
        <v>1.2421588147483527E-3</v>
      </c>
      <c r="X24" s="161">
        <f t="shared" si="4"/>
        <v>5.1270083704260021E-4</v>
      </c>
      <c r="Y24" s="75">
        <f>'Category forecasts'!G68</f>
        <v>2.1655047428713878</v>
      </c>
      <c r="Z24" s="76">
        <f>'Category forecasts'!G69</f>
        <v>0.87874809615153981</v>
      </c>
      <c r="AA24" s="76">
        <f t="shared" si="16"/>
        <v>3.0442528390229278</v>
      </c>
      <c r="AB24" s="75">
        <f t="shared" si="5"/>
        <v>1.2459688553177555E-3</v>
      </c>
      <c r="AC24" s="161">
        <f t="shared" si="6"/>
        <v>5.0560626250247757E-4</v>
      </c>
      <c r="AD24" s="75">
        <f>'Category forecasts'!H68</f>
        <v>2.2082776664069383</v>
      </c>
      <c r="AE24" s="76">
        <f>'Category forecasts'!H69</f>
        <v>0.87911180757334972</v>
      </c>
      <c r="AF24" s="76">
        <f t="shared" si="17"/>
        <v>3.0873894739802878</v>
      </c>
      <c r="AG24" s="75">
        <f t="shared" si="7"/>
        <v>1.2509559211098765E-3</v>
      </c>
      <c r="AH24" s="76">
        <f t="shared" si="8"/>
        <v>4.9800355169594491E-4</v>
      </c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</row>
    <row r="25" spans="1:67">
      <c r="A25" s="34"/>
      <c r="B25" s="10" t="s">
        <v>16</v>
      </c>
      <c r="C25" s="95">
        <v>0.1</v>
      </c>
      <c r="D25" s="97">
        <v>0.1</v>
      </c>
      <c r="E25" s="75">
        <f>'Category forecasts'!C72</f>
        <v>6.7261643642305993</v>
      </c>
      <c r="F25" s="76">
        <f>'Category forecasts'!C73</f>
        <v>2.8728745474177986</v>
      </c>
      <c r="G25" s="76">
        <f t="shared" si="9"/>
        <v>9.5990389116483978</v>
      </c>
      <c r="H25" s="164">
        <f t="shared" si="18"/>
        <v>3.8715087160118167E-3</v>
      </c>
      <c r="I25" s="161">
        <f t="shared" si="11"/>
        <v>1.6535960538646142E-3</v>
      </c>
      <c r="J25" s="75">
        <f>'Category forecasts'!D72</f>
        <v>6.5406194473452182</v>
      </c>
      <c r="K25" s="76">
        <f>'Category forecasts'!D73</f>
        <v>2.7637942525780423</v>
      </c>
      <c r="L25" s="76">
        <f t="shared" si="12"/>
        <v>9.3044136999232609</v>
      </c>
      <c r="M25" s="75">
        <f t="shared" si="13"/>
        <v>3.8834671477601191E-3</v>
      </c>
      <c r="N25" s="161">
        <f t="shared" si="0"/>
        <v>1.6409919992228775E-3</v>
      </c>
      <c r="O25" s="75">
        <f>'Category forecasts'!E72</f>
        <v>6.6114433121373075</v>
      </c>
      <c r="P25" s="76">
        <f>'Category forecasts'!E73</f>
        <v>2.7637957164711278</v>
      </c>
      <c r="Q25" s="76">
        <f t="shared" si="14"/>
        <v>9.3752390286084353</v>
      </c>
      <c r="R25" s="75">
        <f t="shared" si="1"/>
        <v>3.8958557633218386E-3</v>
      </c>
      <c r="S25" s="161">
        <f t="shared" si="2"/>
        <v>1.6285928748555585E-3</v>
      </c>
      <c r="T25" s="75">
        <f>'Category forecasts'!F72</f>
        <v>6.6966544567810082</v>
      </c>
      <c r="U25" s="76">
        <f>'Category forecasts'!F73</f>
        <v>2.7640429747079049</v>
      </c>
      <c r="V25" s="76">
        <f t="shared" si="15"/>
        <v>9.4606974314889136</v>
      </c>
      <c r="W25" s="75">
        <f t="shared" si="3"/>
        <v>3.9091546264761867E-3</v>
      </c>
      <c r="X25" s="161">
        <f t="shared" si="4"/>
        <v>1.6135028994093059E-3</v>
      </c>
      <c r="Y25" s="75">
        <f>'Category forecasts'!G72</f>
        <v>6.8149843512295014</v>
      </c>
      <c r="Z25" s="76">
        <f>'Category forecasts'!G73</f>
        <v>2.765477445228175</v>
      </c>
      <c r="AA25" s="76">
        <f t="shared" si="16"/>
        <v>9.5804617964576764</v>
      </c>
      <c r="AB25" s="75">
        <f t="shared" si="5"/>
        <v>3.9211450720956212E-3</v>
      </c>
      <c r="AC25" s="161">
        <f t="shared" si="6"/>
        <v>1.591175811635091E-3</v>
      </c>
      <c r="AD25" s="75">
        <f>'Category forecasts'!H72</f>
        <v>6.9495935251464322</v>
      </c>
      <c r="AE25" s="76">
        <f>'Category forecasts'!H73</f>
        <v>2.7666220687420036</v>
      </c>
      <c r="AF25" s="76">
        <f t="shared" si="17"/>
        <v>9.7162155938884354</v>
      </c>
      <c r="AG25" s="75">
        <f t="shared" si="7"/>
        <v>3.9368396926886904E-3</v>
      </c>
      <c r="AH25" s="76">
        <f t="shared" si="8"/>
        <v>1.5672495859622986E-3</v>
      </c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</row>
    <row r="26" spans="1:67">
      <c r="A26" s="34"/>
      <c r="B26" s="10" t="s">
        <v>17</v>
      </c>
      <c r="C26" s="95">
        <v>0.1</v>
      </c>
      <c r="D26" s="97">
        <v>0.1</v>
      </c>
      <c r="E26" s="75">
        <f>'Category forecasts'!C76</f>
        <v>11.769721875369392</v>
      </c>
      <c r="F26" s="76">
        <f>'Category forecasts'!C77</f>
        <v>5.0270752504578491</v>
      </c>
      <c r="G26" s="76">
        <f t="shared" si="9"/>
        <v>16.79679712582724</v>
      </c>
      <c r="H26" s="164">
        <f t="shared" si="18"/>
        <v>6.7745268117217457E-3</v>
      </c>
      <c r="I26" s="161">
        <f t="shared" si="11"/>
        <v>2.8935310816510405E-3</v>
      </c>
      <c r="J26" s="75">
        <f>'Category forecasts'!D76</f>
        <v>11.445047670447659</v>
      </c>
      <c r="K26" s="76">
        <f>'Category forecasts'!D77</f>
        <v>4.8362020182819236</v>
      </c>
      <c r="L26" s="76">
        <f t="shared" si="12"/>
        <v>16.281249688729581</v>
      </c>
      <c r="M26" s="75">
        <f t="shared" si="13"/>
        <v>6.7954521724654703E-3</v>
      </c>
      <c r="N26" s="161">
        <f t="shared" si="0"/>
        <v>2.8714759831428775E-3</v>
      </c>
      <c r="O26" s="75">
        <f>'Category forecasts'!E76</f>
        <v>11.568978211778848</v>
      </c>
      <c r="P26" s="76">
        <f>'Category forecasts'!E77</f>
        <v>4.8362045798628692</v>
      </c>
      <c r="Q26" s="76">
        <f t="shared" si="14"/>
        <v>16.405182791641717</v>
      </c>
      <c r="R26" s="75">
        <f t="shared" si="1"/>
        <v>6.8171302867199666E-3</v>
      </c>
      <c r="S26" s="161">
        <f t="shared" si="2"/>
        <v>2.8497794801437049E-3</v>
      </c>
      <c r="T26" s="75">
        <f>'Category forecasts'!F76</f>
        <v>11.718084213183106</v>
      </c>
      <c r="U26" s="76">
        <f>'Category forecasts'!F77</f>
        <v>4.8366372425991146</v>
      </c>
      <c r="V26" s="76">
        <f t="shared" si="15"/>
        <v>16.554721455782222</v>
      </c>
      <c r="W26" s="75">
        <f t="shared" si="3"/>
        <v>6.8404011900326566E-3</v>
      </c>
      <c r="X26" s="161">
        <f t="shared" si="4"/>
        <v>2.8233744141222678E-3</v>
      </c>
      <c r="Y26" s="75">
        <f>'Category forecasts'!G76</f>
        <v>11.925142779073488</v>
      </c>
      <c r="Z26" s="76">
        <f>'Category forecasts'!G77</f>
        <v>4.8391473387174582</v>
      </c>
      <c r="AA26" s="76">
        <f t="shared" si="16"/>
        <v>16.764290117790946</v>
      </c>
      <c r="AB26" s="75">
        <f t="shared" si="5"/>
        <v>6.8613825699782582E-3</v>
      </c>
      <c r="AC26" s="161">
        <f t="shared" si="6"/>
        <v>2.7843055482487345E-3</v>
      </c>
      <c r="AD26" s="75">
        <f>'Category forecasts'!H76</f>
        <v>12.16068750457868</v>
      </c>
      <c r="AE26" s="76">
        <f>'Category forecasts'!H77</f>
        <v>4.8411502485008429</v>
      </c>
      <c r="AF26" s="76">
        <f t="shared" si="17"/>
        <v>17.001837753079524</v>
      </c>
      <c r="AG26" s="75">
        <f t="shared" si="7"/>
        <v>6.8888456692004843E-3</v>
      </c>
      <c r="AH26" s="76">
        <f t="shared" si="8"/>
        <v>2.7424384444363968E-3</v>
      </c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</row>
    <row r="27" spans="1:67">
      <c r="A27" s="34"/>
      <c r="B27" s="10" t="s">
        <v>18</v>
      </c>
      <c r="C27" s="95">
        <v>0.1</v>
      </c>
      <c r="D27" s="97">
        <v>0.1</v>
      </c>
      <c r="E27" s="75">
        <f>'Category forecasts'!C80</f>
        <v>7.3082289984371807</v>
      </c>
      <c r="F27" s="76">
        <f>'Category forecasts'!C81</f>
        <v>3.1214855806920974</v>
      </c>
      <c r="G27" s="76">
        <f t="shared" si="9"/>
        <v>10.429714579129278</v>
      </c>
      <c r="H27" s="164">
        <f t="shared" si="18"/>
        <v>4.2065389327274293E-3</v>
      </c>
      <c r="I27" s="161">
        <f t="shared" si="11"/>
        <v>1.7966939221439973E-3</v>
      </c>
      <c r="J27" s="75">
        <f>'Category forecasts'!D80</f>
        <v>7.1066275107742376</v>
      </c>
      <c r="K27" s="76">
        <f>'Category forecasts'!D81</f>
        <v>3.0029657630460451</v>
      </c>
      <c r="L27" s="76">
        <f t="shared" si="12"/>
        <v>10.109593273820282</v>
      </c>
      <c r="M27" s="75">
        <f t="shared" si="13"/>
        <v>4.219532215815119E-3</v>
      </c>
      <c r="N27" s="161">
        <f t="shared" si="0"/>
        <v>1.7829991456499107E-3</v>
      </c>
      <c r="O27" s="75">
        <f>'Category forecasts'!E80</f>
        <v>7.1835802871897974</v>
      </c>
      <c r="P27" s="76">
        <f>'Category forecasts'!E81</f>
        <v>3.0029673536206012</v>
      </c>
      <c r="Q27" s="76">
        <f t="shared" si="14"/>
        <v>10.186547640810399</v>
      </c>
      <c r="R27" s="75">
        <f t="shared" si="1"/>
        <v>4.2329929096958886E-3</v>
      </c>
      <c r="S27" s="161">
        <f t="shared" si="2"/>
        <v>1.76952703355905E-3</v>
      </c>
      <c r="T27" s="75">
        <f>'Category forecasts'!F80</f>
        <v>7.2761653809449891</v>
      </c>
      <c r="U27" s="76">
        <f>'Category forecasts'!F81</f>
        <v>3.0032360089371033</v>
      </c>
      <c r="V27" s="76">
        <f t="shared" si="15"/>
        <v>10.279401389882093</v>
      </c>
      <c r="W27" s="75">
        <f t="shared" si="3"/>
        <v>4.2474426216101121E-3</v>
      </c>
      <c r="X27" s="161">
        <f t="shared" si="4"/>
        <v>1.7531312111898436E-3</v>
      </c>
      <c r="Y27" s="75">
        <f>'Category forecasts'!G80</f>
        <v>7.404735234305897</v>
      </c>
      <c r="Z27" s="76">
        <f>'Category forecasts'!G81</f>
        <v>3.0047946147763231</v>
      </c>
      <c r="AA27" s="76">
        <f t="shared" si="16"/>
        <v>10.409529849082221</v>
      </c>
      <c r="AB27" s="75">
        <f t="shared" si="5"/>
        <v>4.2604706889654313E-3</v>
      </c>
      <c r="AC27" s="161">
        <f t="shared" si="6"/>
        <v>1.7288719957609278E-3</v>
      </c>
      <c r="AD27" s="75">
        <f>'Category forecasts'!H80</f>
        <v>7.5509931333110032</v>
      </c>
      <c r="AE27" s="76">
        <f>'Category forecasts'!H81</f>
        <v>3.0060382910088785</v>
      </c>
      <c r="AF27" s="76">
        <f t="shared" si="17"/>
        <v>10.557031424319881</v>
      </c>
      <c r="AG27" s="75">
        <f t="shared" si="7"/>
        <v>4.2775234808876293E-3</v>
      </c>
      <c r="AH27" s="76">
        <f t="shared" si="8"/>
        <v>1.7028752572311734E-3</v>
      </c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</row>
    <row r="28" spans="1:67">
      <c r="A28" s="34"/>
      <c r="B28" s="11" t="s">
        <v>19</v>
      </c>
      <c r="C28" s="111" t="s">
        <v>47</v>
      </c>
      <c r="D28" s="112" t="s">
        <v>47</v>
      </c>
      <c r="E28" s="77">
        <f t="shared" ref="E28:AH28" si="19">SUM(E10:E27)</f>
        <v>121.73822297275697</v>
      </c>
      <c r="F28" s="78">
        <f t="shared" si="19"/>
        <v>51.99674335735812</v>
      </c>
      <c r="G28" s="78">
        <f t="shared" si="19"/>
        <v>173.73496633011507</v>
      </c>
      <c r="H28" s="165">
        <f t="shared" si="19"/>
        <v>0.32111093325102763</v>
      </c>
      <c r="I28" s="162">
        <f t="shared" si="19"/>
        <v>0.14480380562570813</v>
      </c>
      <c r="J28" s="77">
        <f t="shared" si="19"/>
        <v>118.39350967959241</v>
      </c>
      <c r="K28" s="78">
        <f t="shared" si="19"/>
        <v>50.028655321022399</v>
      </c>
      <c r="L28" s="78">
        <f>SUM(L10:L27)</f>
        <v>168.42216500061483</v>
      </c>
      <c r="M28" s="77">
        <f>SUM(M10:M27)</f>
        <v>0.32217463563220178</v>
      </c>
      <c r="N28" s="162">
        <f t="shared" si="19"/>
        <v>0.14373321063474742</v>
      </c>
      <c r="O28" s="77">
        <f t="shared" si="19"/>
        <v>119.67573617792924</v>
      </c>
      <c r="P28" s="78">
        <f t="shared" si="19"/>
        <v>50.028783542277154</v>
      </c>
      <c r="Q28" s="78">
        <f t="shared" si="19"/>
        <v>169.70451972020641</v>
      </c>
      <c r="R28" s="77">
        <f t="shared" si="19"/>
        <v>0.32320358880096745</v>
      </c>
      <c r="S28" s="162">
        <f t="shared" si="19"/>
        <v>0.14264772232596235</v>
      </c>
      <c r="T28" s="77">
        <f t="shared" si="19"/>
        <v>121.25653212394337</v>
      </c>
      <c r="U28" s="78">
        <f t="shared" si="19"/>
        <v>50.050440780772533</v>
      </c>
      <c r="V28" s="78">
        <f t="shared" si="19"/>
        <v>171.30697290471591</v>
      </c>
      <c r="W28" s="77">
        <f t="shared" si="19"/>
        <v>0.324507572176637</v>
      </c>
      <c r="X28" s="162">
        <f t="shared" si="19"/>
        <v>0.14141657697594276</v>
      </c>
      <c r="Y28" s="77">
        <f t="shared" si="19"/>
        <v>123.62470665927295</v>
      </c>
      <c r="Z28" s="78">
        <f t="shared" si="19"/>
        <v>50.176165941120075</v>
      </c>
      <c r="AA28" s="78">
        <f t="shared" si="19"/>
        <v>173.80087260039306</v>
      </c>
      <c r="AB28" s="77">
        <f t="shared" si="19"/>
        <v>0.3266661142128966</v>
      </c>
      <c r="AC28" s="162">
        <f t="shared" si="19"/>
        <v>0.1399780465563433</v>
      </c>
      <c r="AD28" s="77">
        <f t="shared" si="19"/>
        <v>126.25035630478706</v>
      </c>
      <c r="AE28" s="78">
        <f t="shared" si="19"/>
        <v>50.276860133638948</v>
      </c>
      <c r="AF28" s="78">
        <f t="shared" si="19"/>
        <v>176.52721643842608</v>
      </c>
      <c r="AG28" s="77">
        <f t="shared" si="19"/>
        <v>0.32890705959741329</v>
      </c>
      <c r="AH28" s="78">
        <f t="shared" si="19"/>
        <v>0.13828221480754391</v>
      </c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</row>
    <row r="29" spans="1:67" ht="15.75" thickBot="1">
      <c r="A29" s="34"/>
      <c r="B29" s="34"/>
      <c r="C29" s="32"/>
      <c r="D29" s="31"/>
      <c r="E29" s="32"/>
      <c r="F29" s="31"/>
      <c r="G29" s="31"/>
      <c r="H29" s="33"/>
      <c r="I29" s="33"/>
      <c r="J29" s="32"/>
      <c r="K29" s="31"/>
      <c r="L29" s="31"/>
      <c r="M29" s="33"/>
      <c r="N29" s="33"/>
      <c r="O29" s="32"/>
      <c r="P29" s="31"/>
      <c r="Q29" s="31"/>
      <c r="R29" s="33"/>
      <c r="S29" s="33"/>
      <c r="T29" s="32"/>
      <c r="U29" s="31"/>
      <c r="V29" s="31"/>
      <c r="W29" s="33"/>
      <c r="X29" s="33"/>
      <c r="Y29" s="32"/>
      <c r="Z29" s="31"/>
      <c r="AA29" s="31"/>
      <c r="AB29" s="33"/>
      <c r="AC29" s="33"/>
      <c r="AD29" s="32"/>
      <c r="AE29" s="31"/>
      <c r="AF29" s="31"/>
      <c r="AG29" s="33"/>
      <c r="AH29" s="33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67" ht="15.75" thickBot="1">
      <c r="A30" s="34"/>
      <c r="B30" s="61" t="s">
        <v>65</v>
      </c>
      <c r="C30" s="62"/>
      <c r="D30" s="60"/>
      <c r="E30" s="58">
        <f>SUM(H28:I28)</f>
        <v>0.46591473887673573</v>
      </c>
      <c r="F30" s="59"/>
      <c r="G30" s="59"/>
      <c r="H30" s="59"/>
      <c r="I30" s="60"/>
      <c r="J30" s="58">
        <f>SUM(M28:N28)</f>
        <v>0.4659078462669492</v>
      </c>
      <c r="K30" s="59"/>
      <c r="L30" s="59"/>
      <c r="M30" s="59"/>
      <c r="N30" s="60"/>
      <c r="O30" s="58">
        <f>SUM(R28:S28)</f>
        <v>0.46585131112692979</v>
      </c>
      <c r="P30" s="59"/>
      <c r="Q30" s="59"/>
      <c r="R30" s="59"/>
      <c r="S30" s="60"/>
      <c r="T30" s="58">
        <f>SUM(W28:X28)</f>
        <v>0.46592414915257974</v>
      </c>
      <c r="U30" s="59"/>
      <c r="V30" s="59"/>
      <c r="W30" s="59"/>
      <c r="X30" s="60"/>
      <c r="Y30" s="58">
        <f>SUM(AB28:AC28)</f>
        <v>0.46664416076923987</v>
      </c>
      <c r="Z30" s="59"/>
      <c r="AA30" s="59"/>
      <c r="AB30" s="59"/>
      <c r="AC30" s="60"/>
      <c r="AD30" s="58">
        <f>SUM(AG28:AH28)</f>
        <v>0.46718927440495717</v>
      </c>
      <c r="AE30" s="59"/>
      <c r="AF30" s="59"/>
      <c r="AG30" s="59"/>
      <c r="AH30" s="60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  <row r="31" spans="1:67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</row>
    <row r="32" spans="1:67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</row>
    <row r="33" spans="1:67" ht="15.75" thickBot="1">
      <c r="A33" s="34"/>
      <c r="B33" s="103" t="s">
        <v>74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</row>
    <row r="34" spans="1:67" ht="15.75" thickTop="1">
      <c r="A34" s="34"/>
      <c r="B34" s="34" t="s">
        <v>167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</row>
    <row r="35" spans="1:67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67">
      <c r="A36" s="34"/>
      <c r="B36" s="8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</row>
    <row r="37" spans="1:67">
      <c r="A37" s="34"/>
      <c r="B37" s="90"/>
      <c r="C37" s="90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</row>
    <row r="38" spans="1:67">
      <c r="A38" s="34"/>
      <c r="B38" s="85"/>
      <c r="C38" s="85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</row>
    <row r="39" spans="1:67">
      <c r="A39" s="34"/>
      <c r="B39" s="85"/>
      <c r="C39" s="85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</row>
    <row r="40" spans="1:67">
      <c r="A40" s="34"/>
      <c r="B40" s="85"/>
      <c r="C40" s="85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</row>
    <row r="41" spans="1:67">
      <c r="A41" s="34"/>
      <c r="B41" s="85"/>
      <c r="C41" s="85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</row>
    <row r="42" spans="1:67">
      <c r="A42" s="34"/>
      <c r="B42" s="85"/>
      <c r="C42" s="85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</row>
    <row r="43" spans="1:67">
      <c r="A43" s="34"/>
      <c r="B43" s="85"/>
      <c r="C43" s="85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</row>
    <row r="44" spans="1:67">
      <c r="A44" s="34"/>
      <c r="B44" s="85"/>
      <c r="C44" s="85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</row>
    <row r="45" spans="1:67">
      <c r="A45" s="34"/>
      <c r="B45" s="85"/>
      <c r="C45" s="85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</row>
    <row r="46" spans="1:67">
      <c r="A46" s="34"/>
      <c r="B46" s="85"/>
      <c r="C46" s="85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</row>
    <row r="47" spans="1:67">
      <c r="A47" s="34"/>
      <c r="B47" s="85"/>
      <c r="C47" s="85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</row>
    <row r="48" spans="1:67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</row>
    <row r="49" spans="1:67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</row>
    <row r="50" spans="1:67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</row>
    <row r="51" spans="1:67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</row>
    <row r="52" spans="1:67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</row>
    <row r="53" spans="1:67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</row>
    <row r="54" spans="1:67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</row>
    <row r="55" spans="1:67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</row>
    <row r="56" spans="1:67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</row>
    <row r="57" spans="1:67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</row>
    <row r="58" spans="1:67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</row>
    <row r="59" spans="1:67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</row>
    <row r="60" spans="1:67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</row>
    <row r="61" spans="1:67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</row>
    <row r="62" spans="1:67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</row>
    <row r="63" spans="1:67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</row>
    <row r="64" spans="1:67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</row>
    <row r="65" spans="1:67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</row>
    <row r="66" spans="1:67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</row>
    <row r="67" spans="1:67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</row>
    <row r="68" spans="1:67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</row>
    <row r="69" spans="1:67"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</row>
    <row r="70" spans="1:67"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</row>
    <row r="71" spans="1:67"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</row>
    <row r="72" spans="1:67"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</row>
    <row r="73" spans="1:67"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</row>
    <row r="74" spans="1:67"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</row>
    <row r="75" spans="1:67"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</row>
    <row r="76" spans="1:67"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</row>
    <row r="77" spans="1:67"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</row>
    <row r="78" spans="1:67"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</row>
    <row r="79" spans="1:67"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</row>
    <row r="80" spans="1:67"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</row>
    <row r="81" spans="35:67"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</row>
    <row r="82" spans="35:67"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</row>
    <row r="83" spans="35:67"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</row>
    <row r="84" spans="35:67"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</row>
    <row r="85" spans="35:67"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</row>
    <row r="86" spans="35:67"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</row>
    <row r="87" spans="35:67"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</row>
    <row r="88" spans="35:67"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</row>
    <row r="89" spans="35:67"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</row>
    <row r="90" spans="35:67"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</row>
    <row r="91" spans="35:67"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</row>
    <row r="92" spans="35:67"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</row>
    <row r="93" spans="35:67"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</row>
    <row r="94" spans="35:67"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</row>
    <row r="95" spans="35:67"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</row>
    <row r="96" spans="35:67"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</row>
    <row r="97" spans="35:67"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</row>
    <row r="98" spans="35:67"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</row>
    <row r="99" spans="35:67"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</row>
    <row r="100" spans="35:67"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</row>
    <row r="101" spans="35:67"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</row>
    <row r="102" spans="35:67"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</row>
    <row r="103" spans="35:67"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</row>
    <row r="104" spans="35:67"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</row>
    <row r="105" spans="35:67"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</row>
    <row r="106" spans="35:67"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</row>
    <row r="107" spans="35:67"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</row>
    <row r="108" spans="35:67"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</row>
    <row r="109" spans="35:67"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</row>
    <row r="110" spans="35:67"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</row>
  </sheetData>
  <mergeCells count="20">
    <mergeCell ref="J8:L8"/>
    <mergeCell ref="M8:N8"/>
    <mergeCell ref="J7:N7"/>
    <mergeCell ref="O7:S7"/>
    <mergeCell ref="O8:Q8"/>
    <mergeCell ref="R8:S8"/>
    <mergeCell ref="T7:X7"/>
    <mergeCell ref="T8:V8"/>
    <mergeCell ref="W8:X8"/>
    <mergeCell ref="AD7:AH7"/>
    <mergeCell ref="AD8:AF8"/>
    <mergeCell ref="AG8:AH8"/>
    <mergeCell ref="Y7:AC7"/>
    <mergeCell ref="Y8:AA8"/>
    <mergeCell ref="AB8:AC8"/>
    <mergeCell ref="C8:D8"/>
    <mergeCell ref="E8:G8"/>
    <mergeCell ref="H8:I8"/>
    <mergeCell ref="E7:I7"/>
    <mergeCell ref="C7:D7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colBreaks count="1" manualBreakCount="1">
    <brk id="14" min="4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1"/>
  <sheetViews>
    <sheetView zoomScale="85" zoomScaleNormal="85" workbookViewId="0">
      <selection activeCell="F8" sqref="F8"/>
    </sheetView>
  </sheetViews>
  <sheetFormatPr defaultRowHeight="15"/>
  <cols>
    <col min="2" max="2" width="45.5703125" bestFit="1" customWidth="1"/>
    <col min="3" max="9" width="13.28515625" customWidth="1"/>
    <col min="11" max="11" width="10.5703125" bestFit="1" customWidth="1"/>
  </cols>
  <sheetData>
    <row r="1" spans="1:86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</row>
    <row r="2" spans="1:86" ht="18.75">
      <c r="A2" s="34"/>
      <c r="B2" s="83" t="s">
        <v>84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</row>
    <row r="3" spans="1:86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</row>
    <row r="4" spans="1:86">
      <c r="A4" s="34"/>
      <c r="B4" s="3"/>
      <c r="C4" s="197" t="s">
        <v>60</v>
      </c>
      <c r="D4" s="198"/>
      <c r="E4" s="199" t="s">
        <v>61</v>
      </c>
      <c r="F4" s="200"/>
      <c r="G4" s="200"/>
      <c r="H4" s="200"/>
      <c r="I4" s="200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</row>
    <row r="5" spans="1:86">
      <c r="A5" s="34"/>
      <c r="B5" s="3" t="s">
        <v>43</v>
      </c>
      <c r="C5" s="55" t="s">
        <v>62</v>
      </c>
      <c r="D5" s="56" t="s">
        <v>33</v>
      </c>
      <c r="E5" s="9" t="s">
        <v>37</v>
      </c>
      <c r="F5" s="4" t="s">
        <v>38</v>
      </c>
      <c r="G5" s="4" t="s">
        <v>40</v>
      </c>
      <c r="H5" s="4" t="s">
        <v>41</v>
      </c>
      <c r="I5" s="4" t="s">
        <v>42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</row>
    <row r="6" spans="1:86">
      <c r="A6" s="34"/>
      <c r="B6" s="46" t="s">
        <v>20</v>
      </c>
      <c r="C6" s="195"/>
      <c r="D6" s="196"/>
      <c r="E6" s="196"/>
      <c r="F6" s="196"/>
      <c r="G6" s="196"/>
      <c r="H6" s="196"/>
      <c r="I6" s="196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</row>
    <row r="7" spans="1:86">
      <c r="A7" s="34"/>
      <c r="B7" s="10" t="s">
        <v>51</v>
      </c>
      <c r="C7" s="39">
        <f>'Base Year'!D32*C8</f>
        <v>121.73822297275717</v>
      </c>
      <c r="D7" s="38">
        <f>'Category forecasts'!D86</f>
        <v>118.39350967959241</v>
      </c>
      <c r="E7" s="39">
        <f>'Category forecasts'!E86</f>
        <v>119.67573617792924</v>
      </c>
      <c r="F7" s="38">
        <f>'Category forecasts'!F86</f>
        <v>121.25653212394337</v>
      </c>
      <c r="G7" s="38">
        <f>'Category forecasts'!G86</f>
        <v>123.62470665927295</v>
      </c>
      <c r="H7" s="38">
        <f>'Category forecasts'!H86</f>
        <v>126.25035630478706</v>
      </c>
      <c r="I7" s="38">
        <f>'Category forecasts'!I86</f>
        <v>128.68380645693316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</row>
    <row r="8" spans="1:86">
      <c r="A8" s="34"/>
      <c r="B8" s="10" t="s">
        <v>50</v>
      </c>
      <c r="C8" s="12">
        <f>'Base Year'!D35</f>
        <v>0.7007122719409361</v>
      </c>
      <c r="D8" s="13">
        <f>'Category forecasts'!D86/'Category forecasts'!D85</f>
        <v>0.70295682090988565</v>
      </c>
      <c r="E8" s="12">
        <f>'Category forecasts'!E86/'Category forecasts'!E85</f>
        <v>0.70520064153411977</v>
      </c>
      <c r="F8" s="13">
        <f>'Category forecasts'!F86/'Category forecasts'!F85</f>
        <v>0.70783185335595467</v>
      </c>
      <c r="G8" s="13">
        <f>'Category forecasts'!G86/'Category forecasts'!G85</f>
        <v>0.71130083991875981</v>
      </c>
      <c r="H8" s="13">
        <f>'Category forecasts'!H86/'Category forecasts'!H85</f>
        <v>0.71518918641547868</v>
      </c>
      <c r="I8" s="13">
        <f>'Category forecasts'!I86/'Category forecasts'!I85</f>
        <v>0.7189937768028769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</row>
    <row r="9" spans="1:86">
      <c r="A9" s="34"/>
      <c r="B9" s="31"/>
      <c r="C9" s="32"/>
      <c r="D9" s="31"/>
      <c r="E9" s="31"/>
      <c r="F9" s="31"/>
      <c r="G9" s="31"/>
      <c r="H9" s="31"/>
      <c r="I9" s="3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</row>
    <row r="10" spans="1:86">
      <c r="A10" s="34"/>
      <c r="B10" s="26" t="s">
        <v>45</v>
      </c>
      <c r="C10" s="215" t="s">
        <v>46</v>
      </c>
      <c r="D10" s="216"/>
      <c r="E10" s="216"/>
      <c r="F10" s="216"/>
      <c r="G10" s="216"/>
      <c r="H10" s="216"/>
      <c r="I10" s="216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</row>
    <row r="11" spans="1:86">
      <c r="A11" s="34"/>
      <c r="B11" s="10" t="s">
        <v>1</v>
      </c>
      <c r="C11" s="166">
        <f>C$8</f>
        <v>0.7007122719409361</v>
      </c>
      <c r="D11" s="167">
        <f>'Category forecasts'!D9/'Category forecasts'!D8</f>
        <v>0.70295818579431935</v>
      </c>
      <c r="E11" s="166">
        <f>'Category forecasts'!E9/'Category forecasts'!E8</f>
        <v>0.70520202278464239</v>
      </c>
      <c r="F11" s="167">
        <f>'Category forecasts'!F9/'Category forecasts'!F8</f>
        <v>0.70783680737246335</v>
      </c>
      <c r="G11" s="167">
        <f>'Category forecasts'!G9/'Category forecasts'!G8</f>
        <v>0.71132417504539081</v>
      </c>
      <c r="H11" s="167">
        <f>'Category forecasts'!H9/'Category forecasts'!H8</f>
        <v>0.71522607418081796</v>
      </c>
      <c r="I11" s="167">
        <f>'Category forecasts'!I9/'Category forecasts'!I8</f>
        <v>0.71903268519711205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</row>
    <row r="12" spans="1:86">
      <c r="A12" s="34"/>
      <c r="B12" s="10" t="s">
        <v>2</v>
      </c>
      <c r="C12" s="166">
        <f t="shared" ref="C12:C28" si="0">C$8</f>
        <v>0.7007122719409361</v>
      </c>
      <c r="D12" s="167">
        <f>'Category forecasts'!D13/'Category forecasts'!D12</f>
        <v>0.70295818579431946</v>
      </c>
      <c r="E12" s="166">
        <f>'Category forecasts'!E13/'Category forecasts'!E12</f>
        <v>0.7052020227846425</v>
      </c>
      <c r="F12" s="167">
        <f>'Category forecasts'!F13/'Category forecasts'!F12</f>
        <v>0.70783680737246335</v>
      </c>
      <c r="G12" s="167">
        <f>'Category forecasts'!G13/'Category forecasts'!G12</f>
        <v>0.71132417504539081</v>
      </c>
      <c r="H12" s="167">
        <f>'Category forecasts'!H13/'Category forecasts'!H12</f>
        <v>0.71522607418081785</v>
      </c>
      <c r="I12" s="167">
        <f>'Category forecasts'!I13/'Category forecasts'!I12</f>
        <v>0.71903268519711205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</row>
    <row r="13" spans="1:86">
      <c r="A13" s="34"/>
      <c r="B13" s="10" t="s">
        <v>3</v>
      </c>
      <c r="C13" s="166">
        <f t="shared" si="0"/>
        <v>0.7007122719409361</v>
      </c>
      <c r="D13" s="167">
        <f>'Category forecasts'!D17/'Category forecasts'!D16</f>
        <v>0.70295818579431935</v>
      </c>
      <c r="E13" s="166">
        <f>'Category forecasts'!E17/'Category forecasts'!E16</f>
        <v>0.70520202278464239</v>
      </c>
      <c r="F13" s="167">
        <f>'Category forecasts'!F17/'Category forecasts'!F16</f>
        <v>0.70783680737246346</v>
      </c>
      <c r="G13" s="167">
        <f>'Category forecasts'!G17/'Category forecasts'!G16</f>
        <v>0.71132417504539092</v>
      </c>
      <c r="H13" s="167">
        <f>'Category forecasts'!H17/'Category forecasts'!H16</f>
        <v>0.71522607418081807</v>
      </c>
      <c r="I13" s="167">
        <f>'Category forecasts'!I17/'Category forecasts'!I16</f>
        <v>0.71903268519711216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</row>
    <row r="14" spans="1:86">
      <c r="A14" s="34"/>
      <c r="B14" s="10" t="s">
        <v>4</v>
      </c>
      <c r="C14" s="166">
        <f t="shared" si="0"/>
        <v>0.7007122719409361</v>
      </c>
      <c r="D14" s="167">
        <f>'Category forecasts'!D21/'Category forecasts'!D20</f>
        <v>0.70295818579431946</v>
      </c>
      <c r="E14" s="166">
        <f>'Category forecasts'!E21/'Category forecasts'!E20</f>
        <v>0.7052020227846425</v>
      </c>
      <c r="F14" s="167">
        <f>'Category forecasts'!F21/'Category forecasts'!F20</f>
        <v>0.70783680737246346</v>
      </c>
      <c r="G14" s="167">
        <f>'Category forecasts'!G21/'Category forecasts'!G20</f>
        <v>0.71132417504539081</v>
      </c>
      <c r="H14" s="167">
        <f>'Category forecasts'!H21/'Category forecasts'!H20</f>
        <v>0.71522607418081796</v>
      </c>
      <c r="I14" s="167">
        <f>'Category forecasts'!I21/'Category forecasts'!I20</f>
        <v>0.71903268519711205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</row>
    <row r="15" spans="1:86">
      <c r="A15" s="34"/>
      <c r="B15" s="10" t="s">
        <v>5</v>
      </c>
      <c r="C15" s="166">
        <f t="shared" si="0"/>
        <v>0.7007122719409361</v>
      </c>
      <c r="D15" s="167">
        <f>'Category forecasts'!D25/'Category forecasts'!D24</f>
        <v>0.70295818579431935</v>
      </c>
      <c r="E15" s="166">
        <f>'Category forecasts'!E25/'Category forecasts'!E24</f>
        <v>0.70520202278464239</v>
      </c>
      <c r="F15" s="167">
        <f>'Category forecasts'!F25/'Category forecasts'!F24</f>
        <v>0.70783680737246324</v>
      </c>
      <c r="G15" s="167">
        <f>'Category forecasts'!G25/'Category forecasts'!G24</f>
        <v>0.71132417504539069</v>
      </c>
      <c r="H15" s="167">
        <f>'Category forecasts'!H25/'Category forecasts'!H24</f>
        <v>0.71522607418081785</v>
      </c>
      <c r="I15" s="167">
        <f>'Category forecasts'!I25/'Category forecasts'!I24</f>
        <v>0.71903268519711194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</row>
    <row r="16" spans="1:86">
      <c r="A16" s="34"/>
      <c r="B16" s="10" t="s">
        <v>6</v>
      </c>
      <c r="C16" s="166">
        <f t="shared" si="0"/>
        <v>0.7007122719409361</v>
      </c>
      <c r="D16" s="167">
        <f>'Category forecasts'!D30/'Category forecasts'!D29</f>
        <v>0.70295868788201799</v>
      </c>
      <c r="E16" s="166">
        <f>'Category forecasts'!E30/'Category forecasts'!E29</f>
        <v>0.70520253092670537</v>
      </c>
      <c r="F16" s="167">
        <f>'Category forecasts'!F30/'Category forecasts'!F29</f>
        <v>0.70783894774622214</v>
      </c>
      <c r="G16" s="167">
        <f>'Category forecasts'!G30/'Category forecasts'!G29</f>
        <v>0.7113388012601648</v>
      </c>
      <c r="H16" s="167">
        <f>'Category forecasts'!H30/'Category forecasts'!H29</f>
        <v>0.71525172163108186</v>
      </c>
      <c r="I16" s="167">
        <f>'Category forecasts'!I30/'Category forecasts'!I29</f>
        <v>0.71905995164614833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</row>
    <row r="17" spans="1:87">
      <c r="A17" s="34"/>
      <c r="B17" s="10" t="s">
        <v>7</v>
      </c>
      <c r="C17" s="166">
        <f t="shared" si="0"/>
        <v>0.7007122719409361</v>
      </c>
      <c r="D17" s="167">
        <f>'Category forecasts'!D35/'Category forecasts'!D34</f>
        <v>0.70295868788201799</v>
      </c>
      <c r="E17" s="166">
        <f>'Category forecasts'!E35/'Category forecasts'!E34</f>
        <v>0.70520253092670526</v>
      </c>
      <c r="F17" s="167">
        <f>'Category forecasts'!F35/'Category forecasts'!F34</f>
        <v>0.70783894774622202</v>
      </c>
      <c r="G17" s="167">
        <f>'Category forecasts'!G35/'Category forecasts'!G34</f>
        <v>0.7113388012601648</v>
      </c>
      <c r="H17" s="167">
        <f>'Category forecasts'!H35/'Category forecasts'!H34</f>
        <v>0.71525172163108186</v>
      </c>
      <c r="I17" s="167">
        <f>'Category forecasts'!I35/'Category forecasts'!I34</f>
        <v>0.71905995164614833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</row>
    <row r="18" spans="1:87">
      <c r="A18" s="34"/>
      <c r="B18" s="10" t="s">
        <v>8</v>
      </c>
      <c r="C18" s="166">
        <f t="shared" si="0"/>
        <v>0.7007122719409361</v>
      </c>
      <c r="D18" s="167">
        <f>'Category forecasts'!D40/'Category forecasts'!D39</f>
        <v>0.70295868788201799</v>
      </c>
      <c r="E18" s="166">
        <f>'Category forecasts'!E40/'Category forecasts'!E39</f>
        <v>0.70520253092670526</v>
      </c>
      <c r="F18" s="167">
        <f>'Category forecasts'!F40/'Category forecasts'!F39</f>
        <v>0.70783894774622214</v>
      </c>
      <c r="G18" s="167">
        <f>'Category forecasts'!G40/'Category forecasts'!G39</f>
        <v>0.71133880126016469</v>
      </c>
      <c r="H18" s="167">
        <f>'Category forecasts'!H40/'Category forecasts'!H39</f>
        <v>0.71525172163108197</v>
      </c>
      <c r="I18" s="167">
        <f>'Category forecasts'!I40/'Category forecasts'!I39</f>
        <v>0.71905995164614833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</row>
    <row r="19" spans="1:87">
      <c r="A19" s="34"/>
      <c r="B19" s="10" t="s">
        <v>9</v>
      </c>
      <c r="C19" s="166">
        <f t="shared" si="0"/>
        <v>0.7007122719409361</v>
      </c>
      <c r="D19" s="167">
        <f>'Category forecasts'!D44/'Category forecasts'!D43</f>
        <v>0.70295879550144713</v>
      </c>
      <c r="E19" s="166">
        <f>'Category forecasts'!E44/'Category forecasts'!E43</f>
        <v>0.70520263984337506</v>
      </c>
      <c r="F19" s="167">
        <f>'Category forecasts'!F44/'Category forecasts'!F43</f>
        <v>0.70783940669024192</v>
      </c>
      <c r="G19" s="167">
        <f>'Category forecasts'!G44/'Category forecasts'!G43</f>
        <v>0.71134194739436307</v>
      </c>
      <c r="H19" s="167">
        <f>'Category forecasts'!H44/'Category forecasts'!H43</f>
        <v>0.71525723755221871</v>
      </c>
      <c r="I19" s="167">
        <f>'Category forecasts'!I44/'Category forecasts'!I43</f>
        <v>0.71906581453167606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</row>
    <row r="20" spans="1:87">
      <c r="A20" s="34"/>
      <c r="B20" s="10" t="s">
        <v>10</v>
      </c>
      <c r="C20" s="166">
        <f t="shared" si="0"/>
        <v>0.7007122719409361</v>
      </c>
      <c r="D20" s="167">
        <f>'Category forecasts'!D48/'Category forecasts'!D47</f>
        <v>0.70289832644657368</v>
      </c>
      <c r="E20" s="166">
        <f>'Category forecasts'!E48/'Category forecasts'!E47</f>
        <v>0.7051414448337352</v>
      </c>
      <c r="F20" s="167">
        <f>'Category forecasts'!F48/'Category forecasts'!F47</f>
        <v>0.70761205461141152</v>
      </c>
      <c r="G20" s="167">
        <f>'Category forecasts'!G48/'Category forecasts'!G47</f>
        <v>0.71015847990936409</v>
      </c>
      <c r="H20" s="167">
        <f>'Category forecasts'!H48/'Category forecasts'!H47</f>
        <v>0.71332395112042035</v>
      </c>
      <c r="I20" s="167">
        <f>'Category forecasts'!I48/'Category forecasts'!I47</f>
        <v>0.71702128129695919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</row>
    <row r="21" spans="1:87">
      <c r="A21" s="34"/>
      <c r="B21" s="10" t="s">
        <v>11</v>
      </c>
      <c r="C21" s="166">
        <f t="shared" si="0"/>
        <v>0.7007122719409361</v>
      </c>
      <c r="D21" s="167">
        <f>'Category forecasts'!D52/'Category forecasts'!D51</f>
        <v>0.7029586878820181</v>
      </c>
      <c r="E21" s="166">
        <f>'Category forecasts'!E52/'Category forecasts'!E51</f>
        <v>0.70520253092670526</v>
      </c>
      <c r="F21" s="167">
        <f>'Category forecasts'!F52/'Category forecasts'!F51</f>
        <v>0.70783894774622202</v>
      </c>
      <c r="G21" s="167">
        <f>'Category forecasts'!G52/'Category forecasts'!G51</f>
        <v>0.71133880126016469</v>
      </c>
      <c r="H21" s="167">
        <f>'Category forecasts'!H52/'Category forecasts'!H51</f>
        <v>0.71525172163108197</v>
      </c>
      <c r="I21" s="167">
        <f>'Category forecasts'!I52/'Category forecasts'!I51</f>
        <v>0.71905995164614833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</row>
    <row r="22" spans="1:87">
      <c r="A22" s="34"/>
      <c r="B22" s="10" t="s">
        <v>12</v>
      </c>
      <c r="C22" s="166">
        <f t="shared" si="0"/>
        <v>0.7007122719409361</v>
      </c>
      <c r="D22" s="167">
        <f>'Category forecasts'!D56/'Category forecasts'!D55</f>
        <v>0.70295868788201799</v>
      </c>
      <c r="E22" s="166">
        <f>'Category forecasts'!E56/'Category forecasts'!E55</f>
        <v>0.70520253092670526</v>
      </c>
      <c r="F22" s="167">
        <f>'Category forecasts'!F56/'Category forecasts'!F55</f>
        <v>0.70783894774622214</v>
      </c>
      <c r="G22" s="167">
        <f>'Category forecasts'!G56/'Category forecasts'!G55</f>
        <v>0.7113388012601648</v>
      </c>
      <c r="H22" s="167">
        <f>'Category forecasts'!H56/'Category forecasts'!H55</f>
        <v>0.71525172163108197</v>
      </c>
      <c r="I22" s="167">
        <f>'Category forecasts'!I56/'Category forecasts'!I55</f>
        <v>0.71905995164614833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</row>
    <row r="23" spans="1:87">
      <c r="A23" s="34"/>
      <c r="B23" s="10" t="s">
        <v>13</v>
      </c>
      <c r="C23" s="166">
        <f t="shared" si="0"/>
        <v>0.7007122719409361</v>
      </c>
      <c r="D23" s="167">
        <f>'Category forecasts'!D60/'Category forecasts'!D59</f>
        <v>0.70295879550144713</v>
      </c>
      <c r="E23" s="166">
        <f>'Category forecasts'!E60/'Category forecasts'!E59</f>
        <v>0.70520263984337506</v>
      </c>
      <c r="F23" s="167">
        <f>'Category forecasts'!F60/'Category forecasts'!F59</f>
        <v>0.70783940669024192</v>
      </c>
      <c r="G23" s="167">
        <f>'Category forecasts'!G60/'Category forecasts'!G59</f>
        <v>0.71134194739436307</v>
      </c>
      <c r="H23" s="167">
        <f>'Category forecasts'!H60/'Category forecasts'!H59</f>
        <v>0.71525723755221871</v>
      </c>
      <c r="I23" s="167">
        <f>'Category forecasts'!I60/'Category forecasts'!I59</f>
        <v>0.71906581453167606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</row>
    <row r="24" spans="1:87">
      <c r="A24" s="34"/>
      <c r="B24" s="10" t="s">
        <v>14</v>
      </c>
      <c r="C24" s="166">
        <f t="shared" si="0"/>
        <v>0.7007122719409361</v>
      </c>
      <c r="D24" s="167">
        <f>'Category forecasts'!D64/'Category forecasts'!D63</f>
        <v>0.70295879550144713</v>
      </c>
      <c r="E24" s="166">
        <f>'Category forecasts'!E64/'Category forecasts'!E63</f>
        <v>0.70520263984337506</v>
      </c>
      <c r="F24" s="167">
        <f>'Category forecasts'!F64/'Category forecasts'!F63</f>
        <v>0.70783940669024203</v>
      </c>
      <c r="G24" s="167">
        <f>'Category forecasts'!G64/'Category forecasts'!G63</f>
        <v>0.71134194739436307</v>
      </c>
      <c r="H24" s="167">
        <f>'Category forecasts'!H64/'Category forecasts'!H63</f>
        <v>0.71525723755221871</v>
      </c>
      <c r="I24" s="167">
        <f>'Category forecasts'!I64/'Category forecasts'!I63</f>
        <v>0.71906581453167606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</row>
    <row r="25" spans="1:87">
      <c r="A25" s="34"/>
      <c r="B25" s="10" t="s">
        <v>15</v>
      </c>
      <c r="C25" s="166">
        <f t="shared" si="0"/>
        <v>0.7007122719409361</v>
      </c>
      <c r="D25" s="167">
        <f>'Category forecasts'!D68/'Category forecasts'!D67</f>
        <v>0.70295879550144713</v>
      </c>
      <c r="E25" s="166">
        <f>'Category forecasts'!E68/'Category forecasts'!E67</f>
        <v>0.70520263984337506</v>
      </c>
      <c r="F25" s="167">
        <f>'Category forecasts'!F68/'Category forecasts'!F67</f>
        <v>0.70783940669024192</v>
      </c>
      <c r="G25" s="167">
        <f>'Category forecasts'!G68/'Category forecasts'!G67</f>
        <v>0.71134194739436307</v>
      </c>
      <c r="H25" s="167">
        <f>'Category forecasts'!H68/'Category forecasts'!H67</f>
        <v>0.71525723755221871</v>
      </c>
      <c r="I25" s="167">
        <f>'Category forecasts'!I68/'Category forecasts'!I67</f>
        <v>0.71906581453167595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</row>
    <row r="26" spans="1:87">
      <c r="A26" s="34"/>
      <c r="B26" s="10" t="s">
        <v>16</v>
      </c>
      <c r="C26" s="166">
        <f t="shared" si="0"/>
        <v>0.7007122719409361</v>
      </c>
      <c r="D26" s="167">
        <f>'Category forecasts'!D72/'Category forecasts'!D71</f>
        <v>0.70295879550144713</v>
      </c>
      <c r="E26" s="166">
        <f>'Category forecasts'!E72/'Category forecasts'!E71</f>
        <v>0.70520263984337506</v>
      </c>
      <c r="F26" s="167">
        <f>'Category forecasts'!F72/'Category forecasts'!F71</f>
        <v>0.70783940669024192</v>
      </c>
      <c r="G26" s="167">
        <f>'Category forecasts'!G72/'Category forecasts'!G71</f>
        <v>0.71134194739436307</v>
      </c>
      <c r="H26" s="167">
        <f>'Category forecasts'!H72/'Category forecasts'!H71</f>
        <v>0.71525723755221871</v>
      </c>
      <c r="I26" s="167">
        <f>'Category forecasts'!I72/'Category forecasts'!I71</f>
        <v>0.71906581453167595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</row>
    <row r="27" spans="1:87">
      <c r="A27" s="34"/>
      <c r="B27" s="10" t="s">
        <v>17</v>
      </c>
      <c r="C27" s="166">
        <f t="shared" si="0"/>
        <v>0.7007122719409361</v>
      </c>
      <c r="D27" s="167">
        <f>'Category forecasts'!D76/'Category forecasts'!D75</f>
        <v>0.70295879550144724</v>
      </c>
      <c r="E27" s="166">
        <f>'Category forecasts'!E76/'Category forecasts'!E75</f>
        <v>0.70520263984337506</v>
      </c>
      <c r="F27" s="167">
        <f>'Category forecasts'!F76/'Category forecasts'!F75</f>
        <v>0.70783940669024192</v>
      </c>
      <c r="G27" s="167">
        <f>'Category forecasts'!G76/'Category forecasts'!G75</f>
        <v>0.71134194739436307</v>
      </c>
      <c r="H27" s="167">
        <f>'Category forecasts'!H76/'Category forecasts'!H75</f>
        <v>0.71525723755221859</v>
      </c>
      <c r="I27" s="167">
        <f>'Category forecasts'!I76/'Category forecasts'!I75</f>
        <v>0.71906581453167595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</row>
    <row r="28" spans="1:87">
      <c r="A28" s="34"/>
      <c r="B28" s="10" t="s">
        <v>18</v>
      </c>
      <c r="C28" s="166">
        <f t="shared" si="0"/>
        <v>0.7007122719409361</v>
      </c>
      <c r="D28" s="167">
        <f>'Category forecasts'!D80/'Category forecasts'!D79</f>
        <v>0.70295879550144713</v>
      </c>
      <c r="E28" s="166">
        <f>'Category forecasts'!E80/'Category forecasts'!E79</f>
        <v>0.70520263984337495</v>
      </c>
      <c r="F28" s="167">
        <f>'Category forecasts'!F80/'Category forecasts'!F79</f>
        <v>0.70783940669024192</v>
      </c>
      <c r="G28" s="167">
        <f>'Category forecasts'!G80/'Category forecasts'!G79</f>
        <v>0.71134194739436307</v>
      </c>
      <c r="H28" s="167">
        <f>'Category forecasts'!H80/'Category forecasts'!H79</f>
        <v>0.71525723755221871</v>
      </c>
      <c r="I28" s="167">
        <f>'Category forecasts'!I80/'Category forecasts'!I79</f>
        <v>0.71906581453167595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</row>
    <row r="29" spans="1:87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</row>
    <row r="30" spans="1:87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</row>
    <row r="31" spans="1:87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113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</row>
    <row r="32" spans="1:87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</row>
    <row r="33" spans="1:87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</row>
    <row r="34" spans="1:87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</row>
    <row r="35" spans="1:87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</row>
    <row r="36" spans="1:87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</row>
    <row r="37" spans="1:87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</row>
    <row r="38" spans="1:87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</row>
    <row r="39" spans="1:87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</row>
    <row r="40" spans="1:87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</row>
    <row r="41" spans="1:87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</row>
    <row r="42" spans="1:87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</row>
    <row r="43" spans="1:87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</row>
    <row r="44" spans="1:87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</row>
    <row r="45" spans="1:87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</row>
    <row r="46" spans="1:87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</row>
    <row r="47" spans="1:87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</row>
    <row r="48" spans="1:87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</row>
    <row r="49" spans="1:87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</row>
    <row r="50" spans="1:87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</row>
    <row r="51" spans="1:87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</row>
    <row r="52" spans="1:87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</row>
    <row r="53" spans="1:87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</row>
    <row r="54" spans="1:87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</row>
    <row r="55" spans="1:87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</row>
    <row r="56" spans="1:87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</row>
    <row r="57" spans="1:87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</row>
    <row r="58" spans="1:87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</row>
    <row r="59" spans="1:87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</row>
    <row r="60" spans="1:87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</row>
    <row r="61" spans="1:87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</row>
    <row r="62" spans="1:87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</row>
    <row r="63" spans="1:87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</row>
    <row r="64" spans="1:87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</row>
    <row r="65" spans="1:87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</row>
    <row r="66" spans="1:87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</row>
    <row r="67" spans="1:87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</row>
    <row r="68" spans="1:87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</row>
    <row r="69" spans="1:87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</row>
    <row r="70" spans="1:87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</row>
    <row r="71" spans="1:87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</row>
    <row r="72" spans="1:87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</row>
    <row r="73" spans="1:87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</row>
    <row r="74" spans="1:87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</row>
    <row r="75" spans="1:87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</row>
    <row r="76" spans="1:87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</row>
    <row r="77" spans="1:87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</row>
    <row r="78" spans="1:87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</row>
    <row r="79" spans="1:87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</row>
    <row r="80" spans="1:87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</row>
    <row r="81" spans="1:87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</row>
    <row r="82" spans="1:87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</row>
    <row r="83" spans="1:87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</row>
    <row r="84" spans="1:87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</row>
    <row r="85" spans="1:87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</row>
    <row r="86" spans="1:87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</row>
    <row r="87" spans="1:87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</row>
    <row r="88" spans="1:87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</row>
    <row r="89" spans="1:87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</row>
    <row r="90" spans="1:87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</row>
    <row r="91" spans="1:87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</row>
    <row r="92" spans="1:87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</row>
    <row r="93" spans="1:87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</row>
    <row r="94" spans="1:87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</row>
    <row r="95" spans="1:87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</row>
    <row r="96" spans="1:87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</row>
    <row r="97" spans="1:87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</row>
    <row r="98" spans="1:87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</row>
    <row r="99" spans="1:87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</row>
    <row r="100" spans="1:87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</row>
    <row r="101" spans="1:87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</row>
  </sheetData>
  <mergeCells count="4">
    <mergeCell ref="C6:I6"/>
    <mergeCell ref="C10:I10"/>
    <mergeCell ref="C4:D4"/>
    <mergeCell ref="E4:I4"/>
  </mergeCells>
  <pageMargins left="0.7" right="0.7" top="0.75" bottom="0.75" header="0.3" footer="0.3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Change Control Summary</vt:lpstr>
      <vt:lpstr>Base Year</vt:lpstr>
      <vt:lpstr>Supporting Forecasts</vt:lpstr>
      <vt:lpstr>CPI - Index</vt:lpstr>
      <vt:lpstr>Opex forecast</vt:lpstr>
      <vt:lpstr>Step changes</vt:lpstr>
      <vt:lpstr>Category forecasts</vt:lpstr>
      <vt:lpstr>Economies of Scale</vt:lpstr>
      <vt:lpstr>Labour composition</vt:lpstr>
      <vt:lpstr>'Base Year'!Print_Area</vt:lpstr>
      <vt:lpstr>'Category forecasts'!Print_Area</vt:lpstr>
      <vt:lpstr>'Change Control Summary'!Print_Area</vt:lpstr>
      <vt:lpstr>'CPI - Index'!Print_Area</vt:lpstr>
      <vt:lpstr>'Economies of Scale'!Print_Area</vt:lpstr>
      <vt:lpstr>'Labour composition'!Print_Area</vt:lpstr>
      <vt:lpstr>'Opex forecast'!Print_Area</vt:lpstr>
      <vt:lpstr>'Step changes'!Print_Area</vt:lpstr>
      <vt:lpstr>'Supporting Forecasts'!Print_Area</vt:lpstr>
    </vt:vector>
  </TitlesOfParts>
  <Company>TransGrid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Tennett</dc:creator>
  <cp:lastModifiedBy>Shane Tennett</cp:lastModifiedBy>
  <cp:lastPrinted>2017-01-23T04:44:53Z</cp:lastPrinted>
  <dcterms:created xsi:type="dcterms:W3CDTF">2016-09-14T23:34:33Z</dcterms:created>
  <dcterms:modified xsi:type="dcterms:W3CDTF">2017-01-25T03:52:34Z</dcterms:modified>
</cp:coreProperties>
</file>