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N:\Revenue Strategy\REVENUE RESET\2023-28 Reset\0.01_Project Management\0.09a Revenue Proposal Document\0.08 Submission\3. Models\"/>
    </mc:Choice>
  </mc:AlternateContent>
  <bookViews>
    <workbookView xWindow="14625" yWindow="-16320" windowWidth="29040" windowHeight="15840" tabRatio="841"/>
  </bookViews>
  <sheets>
    <sheet name="Cover" sheetId="27" r:id="rId1"/>
    <sheet name="TOC" sheetId="28" r:id="rId2"/>
    <sheet name="Input_Inflation" sheetId="50" r:id="rId3"/>
    <sheet name="Input_RAB" sheetId="32" r:id="rId4"/>
    <sheet name="Input_AssetLives" sheetId="49" r:id="rId5"/>
    <sheet name="Input_EB_Alloc" sheetId="31" r:id="rId6"/>
    <sheet name="Calc_EB" sheetId="33" r:id="rId7"/>
    <sheet name="Output_EB_RIN" sheetId="34" r:id="rId8"/>
    <sheet name="3.3 Assets (RAB)_Hist" sheetId="48" r:id="rId9"/>
    <sheet name="3.3 Assets (RAB)_Fcst" sheetId="51" r:id="rId10"/>
    <sheet name="Lookup" sheetId="4" r:id="rId11"/>
    <sheet name="Checks" sheetId="25" r:id="rId12"/>
  </sheets>
  <definedNames>
    <definedName name="_xlnm._FilterDatabase" localSheetId="9" hidden="1">'3.3 Assets (RAB)_Fcst'!#REF!</definedName>
    <definedName name="_xlnm._FilterDatabase" localSheetId="8" hidden="1">'3.3 Assets (RAB)_Hist'!#REF!</definedName>
    <definedName name="anscount" hidden="1">1</definedName>
    <definedName name="Base_Year">Lookup!$E$11</definedName>
    <definedName name="CRCP_span" localSheetId="9">CONCATENATE(CRCP_y1, " to ",CRCP_y5)</definedName>
    <definedName name="CRCP_span">CONCATENATE(CRCP_y1, " to ",CRCP_y5)</definedName>
    <definedName name="Days_In_Wk">Lookup!$D$30</definedName>
    <definedName name="Days_In_Yr">Lookup!$D$31</definedName>
    <definedName name="Dollars">Lookup!$D$45</definedName>
    <definedName name="End_year">Lookup!$D$63</definedName>
    <definedName name="Error">Lookup!$D$35</definedName>
    <definedName name="Factor">Lookup!$D$48</definedName>
    <definedName name="FRCP_span" localSheetId="9">CONCATENATE(FRCP_y1, " to ", FRCP_y5)</definedName>
    <definedName name="FRCP_span">CONCATENATE(FRCP_y1, " to ", FRCP_y5)</definedName>
    <definedName name="Half">Lookup!$D$32</definedName>
    <definedName name="Kilometres">Lookup!$D$50</definedName>
    <definedName name="LU_Basis">Lookup!$D$55:$D$57</definedName>
    <definedName name="LU_EB_RIN_Assets">Lookup!$D$126:$D$131</definedName>
    <definedName name="LU_RAB_Assets">Lookup!$D$71:$D$120</definedName>
    <definedName name="LU_RAB_Assets_RFM">Lookup!$E$71:$E$120</definedName>
    <definedName name="LU_Timing">Lookup!$D$61:$D$64</definedName>
    <definedName name="LU_Timing_Value">Lookup!$E$61:$E$64</definedName>
    <definedName name="LU_Units">Lookup!$D$44:$D$51</definedName>
    <definedName name="Mid_year">Lookup!$D$62</definedName>
    <definedName name="Millions">Lookup!$D$46</definedName>
    <definedName name="Model_Name">Cover!$B$3</definedName>
    <definedName name="Model_Start_Date">Lookup!$E$10</definedName>
    <definedName name="Mths_In_Mth">Lookup!$D$26</definedName>
    <definedName name="Mths_In_Qtr">Lookup!$D$27</definedName>
    <definedName name="Mths_In_Yr">Lookup!$D$29</definedName>
    <definedName name="NA">Lookup!$D$34</definedName>
    <definedName name="No">Lookup!$D$40</definedName>
    <definedName name="Nominal">Lookup!$D$57</definedName>
    <definedName name="Number">Lookup!$D$49</definedName>
    <definedName name="Ok">Lookup!$D$33</definedName>
    <definedName name="Percent">Lookup!$D$44</definedName>
    <definedName name="Qtrs_In_Yr">Lookup!$D$28</definedName>
    <definedName name="Real2018">Lookup!$D$55</definedName>
    <definedName name="Start_year">Lookup!$D$61</definedName>
    <definedName name="Thousands">Lookup!$D$47</definedName>
    <definedName name="Title_Msg">Checks!$H$10</definedName>
    <definedName name="Yes">Lookup!$D$39</definedName>
    <definedName name="Yes_No">Lookup!$D$39:$D$40</definedName>
    <definedName name="Z_9AF1BD63_86F7_41E1_A4B4_D8DB22B54964_.wvu.PrintArea" localSheetId="9" hidden="1">'3.3 Assets (RAB)_Fcst'!$A$1:$U$99</definedName>
    <definedName name="Z_9AF1BD63_86F7_41E1_A4B4_D8DB22B54964_.wvu.PrintArea" localSheetId="8" hidden="1">'3.3 Assets (RAB)_Hist'!$A$1:$R$99</definedName>
    <definedName name="Z_C8B120F9_20B7_4787_B929_C88AF67DA2E9_.wvu.PrintArea" localSheetId="9" hidden="1">'3.3 Assets (RAB)_Fcst'!$A$1:$U$99</definedName>
    <definedName name="Z_C8B120F9_20B7_4787_B929_C88AF67DA2E9_.wvu.PrintArea" localSheetId="8" hidden="1">'3.3 Assets (RAB)_Hist'!$A$1:$R$99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9" i="51" l="1"/>
  <c r="H99" i="51"/>
  <c r="G99" i="51"/>
  <c r="F99" i="51"/>
  <c r="E99" i="51"/>
  <c r="D99" i="51"/>
  <c r="I98" i="51"/>
  <c r="H98" i="51"/>
  <c r="G98" i="51"/>
  <c r="F98" i="51"/>
  <c r="E98" i="51"/>
  <c r="D98" i="51"/>
  <c r="I97" i="51"/>
  <c r="H97" i="51"/>
  <c r="G97" i="51"/>
  <c r="F97" i="51"/>
  <c r="E97" i="51"/>
  <c r="D97" i="51"/>
  <c r="I96" i="51"/>
  <c r="H96" i="51"/>
  <c r="G96" i="51"/>
  <c r="F96" i="51"/>
  <c r="E96" i="51"/>
  <c r="D96" i="51"/>
  <c r="I95" i="51"/>
  <c r="H95" i="51"/>
  <c r="G95" i="51"/>
  <c r="F95" i="51"/>
  <c r="E95" i="51"/>
  <c r="D95" i="51"/>
  <c r="C99" i="51"/>
  <c r="C98" i="51"/>
  <c r="C97" i="51"/>
  <c r="C96" i="51"/>
  <c r="C95" i="51"/>
  <c r="I92" i="51"/>
  <c r="H92" i="51"/>
  <c r="G92" i="51"/>
  <c r="F92" i="51"/>
  <c r="E92" i="51"/>
  <c r="D92" i="51"/>
  <c r="I91" i="51"/>
  <c r="H91" i="51"/>
  <c r="G91" i="51"/>
  <c r="F91" i="51"/>
  <c r="E91" i="51"/>
  <c r="D91" i="51"/>
  <c r="I90" i="51"/>
  <c r="H90" i="51"/>
  <c r="G90" i="51"/>
  <c r="F90" i="51"/>
  <c r="E90" i="51"/>
  <c r="D90" i="51"/>
  <c r="I89" i="51"/>
  <c r="H89" i="51"/>
  <c r="G89" i="51"/>
  <c r="F89" i="51"/>
  <c r="E89" i="51"/>
  <c r="D89" i="51"/>
  <c r="I88" i="51"/>
  <c r="H88" i="51"/>
  <c r="G88" i="51"/>
  <c r="F88" i="51"/>
  <c r="E88" i="51"/>
  <c r="D88" i="51"/>
  <c r="C92" i="51"/>
  <c r="C91" i="51"/>
  <c r="C90" i="51"/>
  <c r="C89" i="51"/>
  <c r="C88" i="51"/>
  <c r="O14" i="49"/>
  <c r="F92" i="48"/>
  <c r="E92" i="48"/>
  <c r="D92" i="48"/>
  <c r="C92" i="48"/>
  <c r="F91" i="48"/>
  <c r="E91" i="48"/>
  <c r="D91" i="48"/>
  <c r="C91" i="48"/>
  <c r="F90" i="48"/>
  <c r="E90" i="48"/>
  <c r="D90" i="48"/>
  <c r="C90" i="48"/>
  <c r="F89" i="48"/>
  <c r="E89" i="48"/>
  <c r="D89" i="48"/>
  <c r="C89" i="48"/>
  <c r="F88" i="48"/>
  <c r="E88" i="48"/>
  <c r="D88" i="48"/>
  <c r="C88" i="48"/>
  <c r="O18" i="49"/>
  <c r="O17" i="49"/>
  <c r="O15" i="49"/>
  <c r="O13" i="49"/>
  <c r="K11" i="49"/>
  <c r="L11" i="49"/>
  <c r="M11" i="49"/>
  <c r="J11" i="49"/>
  <c r="D69" i="32" l="1"/>
  <c r="D128" i="32"/>
  <c r="D188" i="32"/>
  <c r="D248" i="32"/>
  <c r="D308" i="32"/>
  <c r="D368" i="32"/>
  <c r="D427" i="32"/>
  <c r="D487" i="32"/>
  <c r="T490" i="32"/>
  <c r="S490" i="32"/>
  <c r="R490" i="32"/>
  <c r="Q490" i="32"/>
  <c r="T131" i="32"/>
  <c r="S131" i="32"/>
  <c r="R131" i="32"/>
  <c r="Q131" i="32"/>
  <c r="P131" i="32"/>
  <c r="D28" i="28" l="1"/>
  <c r="D27" i="28"/>
  <c r="D23" i="28"/>
  <c r="D22" i="28"/>
  <c r="D13" i="28"/>
  <c r="D12" i="28"/>
  <c r="D23" i="25"/>
  <c r="D22" i="25"/>
  <c r="H108" i="34"/>
  <c r="H94" i="34"/>
  <c r="H80" i="34"/>
  <c r="H66" i="34"/>
  <c r="H52" i="34"/>
  <c r="H38" i="34"/>
  <c r="H22" i="34"/>
  <c r="B99" i="51"/>
  <c r="B98" i="51"/>
  <c r="B97" i="51"/>
  <c r="B96" i="51"/>
  <c r="B95" i="51"/>
  <c r="B92" i="51"/>
  <c r="B91" i="51"/>
  <c r="B90" i="51"/>
  <c r="B89" i="51"/>
  <c r="B88" i="51"/>
  <c r="C84" i="51"/>
  <c r="B80" i="51"/>
  <c r="B79" i="51"/>
  <c r="B78" i="51"/>
  <c r="B77" i="51"/>
  <c r="B76" i="51"/>
  <c r="B75" i="51"/>
  <c r="C73" i="51"/>
  <c r="C72" i="51"/>
  <c r="B60" i="51"/>
  <c r="B53" i="51"/>
  <c r="B46" i="51"/>
  <c r="B39" i="51"/>
  <c r="B32" i="51"/>
  <c r="B25" i="51"/>
  <c r="C23" i="51"/>
  <c r="C22" i="51"/>
  <c r="T112" i="33" a="1"/>
  <c r="T112" i="33" s="1"/>
  <c r="S112" i="33" a="1"/>
  <c r="S112" i="33" s="1"/>
  <c r="R112" i="33" a="1"/>
  <c r="R112" i="33" s="1"/>
  <c r="Q112" i="33" a="1"/>
  <c r="Q112" i="33" s="1"/>
  <c r="P112" i="33" a="1"/>
  <c r="P112" i="33" s="1"/>
  <c r="N112" i="33" a="1"/>
  <c r="N112" i="33" s="1"/>
  <c r="M112" i="33" a="1"/>
  <c r="M112" i="33" s="1"/>
  <c r="L112" i="33" a="1"/>
  <c r="L112" i="33" s="1"/>
  <c r="K112" i="33" a="1"/>
  <c r="K112" i="33" s="1"/>
  <c r="J82" i="33" a="1"/>
  <c r="J82" i="33" s="1"/>
  <c r="J92" i="34" s="1"/>
  <c r="C58" i="48" s="1"/>
  <c r="J60" i="31"/>
  <c r="J59" i="31"/>
  <c r="J58" i="31"/>
  <c r="J57" i="31"/>
  <c r="A57" i="31" s="1"/>
  <c r="J56" i="31"/>
  <c r="A56" i="31" s="1"/>
  <c r="J55" i="31"/>
  <c r="A55" i="31" s="1"/>
  <c r="J54" i="31"/>
  <c r="A54" i="31" s="1"/>
  <c r="J53" i="31"/>
  <c r="A53" i="31" s="1"/>
  <c r="J52" i="31"/>
  <c r="A52" i="31" s="1"/>
  <c r="J51" i="31"/>
  <c r="A51" i="31" s="1"/>
  <c r="J50" i="31"/>
  <c r="A50" i="31" s="1"/>
  <c r="J49" i="31"/>
  <c r="A49" i="31" s="1"/>
  <c r="J48" i="31"/>
  <c r="A48" i="31" s="1"/>
  <c r="J47" i="31"/>
  <c r="A47" i="31" s="1"/>
  <c r="J46" i="31"/>
  <c r="J45" i="31"/>
  <c r="A45" i="31" s="1"/>
  <c r="J44" i="31"/>
  <c r="J43" i="31"/>
  <c r="J42" i="31"/>
  <c r="J41" i="31"/>
  <c r="A41" i="31" s="1"/>
  <c r="J40" i="31"/>
  <c r="A40" i="31" s="1"/>
  <c r="J39" i="31"/>
  <c r="A39" i="31" s="1"/>
  <c r="J38" i="31"/>
  <c r="A38" i="31" s="1"/>
  <c r="J37" i="31"/>
  <c r="A37" i="31"/>
  <c r="J36" i="31"/>
  <c r="A36" i="31"/>
  <c r="J35" i="31"/>
  <c r="J34" i="31"/>
  <c r="A34" i="31" s="1"/>
  <c r="J33" i="31"/>
  <c r="J32" i="31"/>
  <c r="A32" i="31" s="1"/>
  <c r="J31" i="31"/>
  <c r="A31" i="31"/>
  <c r="J30" i="31"/>
  <c r="A30" i="31"/>
  <c r="J29" i="31"/>
  <c r="A29" i="31"/>
  <c r="J28" i="31"/>
  <c r="J27" i="31"/>
  <c r="A27" i="31" s="1"/>
  <c r="J26" i="31"/>
  <c r="J25" i="31"/>
  <c r="J24" i="31"/>
  <c r="J23" i="31"/>
  <c r="J21" i="31"/>
  <c r="A21" i="31" s="1"/>
  <c r="J20" i="31"/>
  <c r="J19" i="31"/>
  <c r="J18" i="31"/>
  <c r="J17" i="31"/>
  <c r="J16" i="31"/>
  <c r="J15" i="31"/>
  <c r="J14" i="31"/>
  <c r="J13" i="31"/>
  <c r="A13" i="31" s="1"/>
  <c r="J12" i="31"/>
  <c r="J11" i="31"/>
  <c r="E377" i="32"/>
  <c r="E378" i="32" s="1"/>
  <c r="E379" i="32" s="1"/>
  <c r="E380" i="32" s="1"/>
  <c r="E381" i="32" s="1"/>
  <c r="E382" i="32" s="1"/>
  <c r="E383" i="32" s="1"/>
  <c r="E384" i="32" s="1"/>
  <c r="E385" i="32" s="1"/>
  <c r="E386" i="32" s="1"/>
  <c r="E387" i="32" s="1"/>
  <c r="E388" i="32" s="1"/>
  <c r="E389" i="32" s="1"/>
  <c r="E390" i="32" s="1"/>
  <c r="E391" i="32" s="1"/>
  <c r="E392" i="32" s="1"/>
  <c r="E393" i="32" s="1"/>
  <c r="E394" i="32" s="1"/>
  <c r="E395" i="32" s="1"/>
  <c r="E396" i="32" s="1"/>
  <c r="E397" i="32" s="1"/>
  <c r="E398" i="32" s="1"/>
  <c r="E399" i="32" s="1"/>
  <c r="E400" i="32" s="1"/>
  <c r="E401" i="32" s="1"/>
  <c r="E402" i="32" s="1"/>
  <c r="E403" i="32" s="1"/>
  <c r="E404" i="32" s="1"/>
  <c r="E405" i="32" s="1"/>
  <c r="E406" i="32" s="1"/>
  <c r="E407" i="32" s="1"/>
  <c r="E408" i="32" s="1"/>
  <c r="E409" i="32" s="1"/>
  <c r="E410" i="32" s="1"/>
  <c r="E411" i="32" s="1"/>
  <c r="E412" i="32" s="1"/>
  <c r="E413" i="32" s="1"/>
  <c r="E414" i="32" s="1"/>
  <c r="E415" i="32" s="1"/>
  <c r="E416" i="32" s="1"/>
  <c r="E417" i="32" s="1"/>
  <c r="E418" i="32" s="1"/>
  <c r="E419" i="32" s="1"/>
  <c r="E420" i="32" s="1"/>
  <c r="E421" i="32" s="1"/>
  <c r="E422" i="32" s="1"/>
  <c r="E423" i="32" s="1"/>
  <c r="E424" i="32" s="1"/>
  <c r="E425" i="32" s="1"/>
  <c r="E258" i="32"/>
  <c r="E259" i="32" s="1"/>
  <c r="E260" i="32" s="1"/>
  <c r="E261" i="32" s="1"/>
  <c r="E262" i="32" s="1"/>
  <c r="E263" i="32" s="1"/>
  <c r="E264" i="32" s="1"/>
  <c r="E265" i="32" s="1"/>
  <c r="E266" i="32" s="1"/>
  <c r="E267" i="32" s="1"/>
  <c r="E268" i="32" s="1"/>
  <c r="E269" i="32" s="1"/>
  <c r="E270" i="32" s="1"/>
  <c r="E271" i="32" s="1"/>
  <c r="E272" i="32" s="1"/>
  <c r="E273" i="32" s="1"/>
  <c r="E274" i="32" s="1"/>
  <c r="E275" i="32" s="1"/>
  <c r="E276" i="32" s="1"/>
  <c r="E277" i="32" s="1"/>
  <c r="E278" i="32" s="1"/>
  <c r="E279" i="32" s="1"/>
  <c r="E280" i="32" s="1"/>
  <c r="E281" i="32" s="1"/>
  <c r="E282" i="32" s="1"/>
  <c r="E283" i="32" s="1"/>
  <c r="E284" i="32" s="1"/>
  <c r="E285" i="32" s="1"/>
  <c r="E286" i="32" s="1"/>
  <c r="E287" i="32" s="1"/>
  <c r="E288" i="32" s="1"/>
  <c r="E289" i="32" s="1"/>
  <c r="E290" i="32" s="1"/>
  <c r="E291" i="32" s="1"/>
  <c r="E292" i="32" s="1"/>
  <c r="E293" i="32" s="1"/>
  <c r="E294" i="32" s="1"/>
  <c r="E295" i="32" s="1"/>
  <c r="E296" i="32" s="1"/>
  <c r="E297" i="32" s="1"/>
  <c r="E298" i="32" s="1"/>
  <c r="E299" i="32" s="1"/>
  <c r="E300" i="32" s="1"/>
  <c r="E301" i="32" s="1"/>
  <c r="E302" i="32" s="1"/>
  <c r="E303" i="32" s="1"/>
  <c r="E304" i="32" s="1"/>
  <c r="E305" i="32" s="1"/>
  <c r="E306" i="32" s="1"/>
  <c r="E198" i="32"/>
  <c r="E199" i="32" s="1"/>
  <c r="E200" i="32" s="1"/>
  <c r="E201" i="32" s="1"/>
  <c r="E202" i="32" s="1"/>
  <c r="E203" i="32" s="1"/>
  <c r="E204" i="32" s="1"/>
  <c r="E205" i="32" s="1"/>
  <c r="E206" i="32" s="1"/>
  <c r="E207" i="32" s="1"/>
  <c r="E208" i="32" s="1"/>
  <c r="E209" i="32" s="1"/>
  <c r="E210" i="32" s="1"/>
  <c r="E211" i="32" s="1"/>
  <c r="E212" i="32" s="1"/>
  <c r="E213" i="32" s="1"/>
  <c r="E214" i="32" s="1"/>
  <c r="E215" i="32" s="1"/>
  <c r="E216" i="32" s="1"/>
  <c r="E217" i="32" s="1"/>
  <c r="E218" i="32" s="1"/>
  <c r="E219" i="32" s="1"/>
  <c r="E220" i="32" s="1"/>
  <c r="E221" i="32" s="1"/>
  <c r="E222" i="32" s="1"/>
  <c r="E223" i="32" s="1"/>
  <c r="E224" i="32" s="1"/>
  <c r="E225" i="32" s="1"/>
  <c r="E226" i="32" s="1"/>
  <c r="E227" i="32" s="1"/>
  <c r="E228" i="32" s="1"/>
  <c r="E229" i="32" s="1"/>
  <c r="E230" i="32" s="1"/>
  <c r="E231" i="32" s="1"/>
  <c r="E232" i="32" s="1"/>
  <c r="E233" i="32" s="1"/>
  <c r="E234" i="32" s="1"/>
  <c r="E235" i="32" s="1"/>
  <c r="E236" i="32" s="1"/>
  <c r="E237" i="32" s="1"/>
  <c r="E238" i="32" s="1"/>
  <c r="E239" i="32" s="1"/>
  <c r="E240" i="32" s="1"/>
  <c r="E241" i="32" s="1"/>
  <c r="E242" i="32" s="1"/>
  <c r="E243" i="32" s="1"/>
  <c r="E244" i="32" s="1"/>
  <c r="E245" i="32" s="1"/>
  <c r="E246" i="32" s="1"/>
  <c r="E138" i="32"/>
  <c r="E139" i="32" s="1"/>
  <c r="E140" i="32" s="1"/>
  <c r="E141" i="32" s="1"/>
  <c r="E142" i="32" s="1"/>
  <c r="E143" i="32" s="1"/>
  <c r="E144" i="32" s="1"/>
  <c r="E145" i="32" s="1"/>
  <c r="E146" i="32" s="1"/>
  <c r="E147" i="32" s="1"/>
  <c r="E148" i="32" s="1"/>
  <c r="E149" i="32" s="1"/>
  <c r="E150" i="32" s="1"/>
  <c r="E151" i="32" s="1"/>
  <c r="E152" i="32" s="1"/>
  <c r="E153" i="32" s="1"/>
  <c r="E154" i="32" s="1"/>
  <c r="E155" i="32" s="1"/>
  <c r="E156" i="32" s="1"/>
  <c r="E157" i="32" s="1"/>
  <c r="E158" i="32" s="1"/>
  <c r="E159" i="32" s="1"/>
  <c r="E160" i="32" s="1"/>
  <c r="E161" i="32" s="1"/>
  <c r="E162" i="32" s="1"/>
  <c r="E163" i="32" s="1"/>
  <c r="E164" i="32" s="1"/>
  <c r="E165" i="32" s="1"/>
  <c r="E166" i="32" s="1"/>
  <c r="E167" i="32" s="1"/>
  <c r="E168" i="32" s="1"/>
  <c r="E169" i="32" s="1"/>
  <c r="E170" i="32" s="1"/>
  <c r="E171" i="32" s="1"/>
  <c r="E172" i="32" s="1"/>
  <c r="E173" i="32" s="1"/>
  <c r="E174" i="32" s="1"/>
  <c r="E175" i="32" s="1"/>
  <c r="E176" i="32" s="1"/>
  <c r="E177" i="32" s="1"/>
  <c r="E178" i="32" s="1"/>
  <c r="E179" i="32" s="1"/>
  <c r="E180" i="32" s="1"/>
  <c r="E181" i="32" s="1"/>
  <c r="E182" i="32" s="1"/>
  <c r="E183" i="32" s="1"/>
  <c r="E184" i="32" s="1"/>
  <c r="E185" i="32" s="1"/>
  <c r="E186" i="32" s="1"/>
  <c r="E78" i="32"/>
  <c r="E79" i="32" s="1"/>
  <c r="E80" i="32" s="1"/>
  <c r="E81" i="32" s="1"/>
  <c r="E82" i="32" s="1"/>
  <c r="E83" i="32" s="1"/>
  <c r="E84" i="32" s="1"/>
  <c r="E85" i="32" s="1"/>
  <c r="E86" i="32" s="1"/>
  <c r="E87" i="32" s="1"/>
  <c r="E88" i="32" s="1"/>
  <c r="E89" i="32" s="1"/>
  <c r="E90" i="32" s="1"/>
  <c r="E91" i="32" s="1"/>
  <c r="E92" i="32" s="1"/>
  <c r="E93" i="32" s="1"/>
  <c r="E94" i="32" s="1"/>
  <c r="E95" i="32" s="1"/>
  <c r="E96" i="32" s="1"/>
  <c r="E97" i="32" s="1"/>
  <c r="E98" i="32" s="1"/>
  <c r="E99" i="32" s="1"/>
  <c r="E100" i="32" s="1"/>
  <c r="E101" i="32" s="1"/>
  <c r="E102" i="32" s="1"/>
  <c r="E103" i="32" s="1"/>
  <c r="E104" i="32" s="1"/>
  <c r="E105" i="32" s="1"/>
  <c r="E106" i="32" s="1"/>
  <c r="E107" i="32" s="1"/>
  <c r="E108" i="32" s="1"/>
  <c r="E109" i="32" s="1"/>
  <c r="E110" i="32" s="1"/>
  <c r="E111" i="32" s="1"/>
  <c r="E112" i="32" s="1"/>
  <c r="E113" i="32" s="1"/>
  <c r="E114" i="32" s="1"/>
  <c r="E115" i="32" s="1"/>
  <c r="E116" i="32" s="1"/>
  <c r="E117" i="32" s="1"/>
  <c r="E118" i="32" s="1"/>
  <c r="E119" i="32" s="1"/>
  <c r="E120" i="32" s="1"/>
  <c r="E121" i="32" s="1"/>
  <c r="E122" i="32" s="1"/>
  <c r="E123" i="32" s="1"/>
  <c r="E124" i="32" s="1"/>
  <c r="E125" i="32" s="1"/>
  <c r="E126" i="32" s="1"/>
  <c r="E19" i="32"/>
  <c r="E20" i="32" s="1"/>
  <c r="E21" i="32" s="1"/>
  <c r="E22" i="32" s="1"/>
  <c r="E23" i="32" s="1"/>
  <c r="E24" i="32" s="1"/>
  <c r="E25" i="32" s="1"/>
  <c r="E26" i="32" s="1"/>
  <c r="E27" i="32" s="1"/>
  <c r="E28" i="32" s="1"/>
  <c r="E29" i="32" s="1"/>
  <c r="E30" i="32" s="1"/>
  <c r="E31" i="32" s="1"/>
  <c r="E32" i="32" s="1"/>
  <c r="E33" i="32" s="1"/>
  <c r="E34" i="32" s="1"/>
  <c r="E35" i="32" s="1"/>
  <c r="E36" i="32" s="1"/>
  <c r="E37" i="32" s="1"/>
  <c r="E38" i="32" s="1"/>
  <c r="E39" i="32" s="1"/>
  <c r="E40" i="32" s="1"/>
  <c r="E41" i="32" s="1"/>
  <c r="E42" i="32" s="1"/>
  <c r="E43" i="32" s="1"/>
  <c r="E44" i="32" s="1"/>
  <c r="E45" i="32" s="1"/>
  <c r="E46" i="32" s="1"/>
  <c r="E47" i="32" s="1"/>
  <c r="E48" i="32" s="1"/>
  <c r="E49" i="32" s="1"/>
  <c r="E50" i="32" s="1"/>
  <c r="E51" i="32" s="1"/>
  <c r="E52" i="32" s="1"/>
  <c r="E53" i="32" s="1"/>
  <c r="E54" i="32" s="1"/>
  <c r="E55" i="32" s="1"/>
  <c r="E56" i="32" s="1"/>
  <c r="E57" i="32" s="1"/>
  <c r="E58" i="32" s="1"/>
  <c r="E59" i="32" s="1"/>
  <c r="E60" i="32" s="1"/>
  <c r="E61" i="32" s="1"/>
  <c r="E62" i="32" s="1"/>
  <c r="E63" i="32" s="1"/>
  <c r="E64" i="32" s="1"/>
  <c r="E65" i="32" s="1"/>
  <c r="E66" i="32" s="1"/>
  <c r="E67" i="32" s="1"/>
  <c r="F452" i="32"/>
  <c r="G452" i="32"/>
  <c r="H452" i="32"/>
  <c r="F453" i="32"/>
  <c r="G453" i="32"/>
  <c r="H453" i="32"/>
  <c r="F454" i="32"/>
  <c r="G454" i="32"/>
  <c r="H454" i="32"/>
  <c r="F455" i="32"/>
  <c r="G455" i="32"/>
  <c r="H455" i="32"/>
  <c r="F456" i="32"/>
  <c r="G456" i="32"/>
  <c r="H456" i="32"/>
  <c r="F457" i="32"/>
  <c r="G457" i="32"/>
  <c r="H457" i="32"/>
  <c r="F458" i="32"/>
  <c r="G458" i="32"/>
  <c r="H458" i="32"/>
  <c r="F459" i="32"/>
  <c r="G459" i="32"/>
  <c r="H459" i="32"/>
  <c r="F460" i="32"/>
  <c r="G460" i="32"/>
  <c r="H460" i="32"/>
  <c r="F461" i="32"/>
  <c r="G461" i="32"/>
  <c r="H461" i="32"/>
  <c r="F462" i="32"/>
  <c r="G462" i="32"/>
  <c r="H462" i="32"/>
  <c r="F463" i="32"/>
  <c r="G463" i="32"/>
  <c r="H463" i="32"/>
  <c r="F464" i="32"/>
  <c r="G464" i="32"/>
  <c r="H464" i="32"/>
  <c r="F465" i="32"/>
  <c r="G465" i="32"/>
  <c r="H465" i="32"/>
  <c r="F466" i="32"/>
  <c r="G466" i="32"/>
  <c r="H466" i="32"/>
  <c r="F467" i="32"/>
  <c r="G467" i="32"/>
  <c r="H467" i="32"/>
  <c r="F468" i="32"/>
  <c r="G468" i="32"/>
  <c r="H468" i="32"/>
  <c r="F469" i="32"/>
  <c r="G469" i="32"/>
  <c r="H469" i="32"/>
  <c r="F470" i="32"/>
  <c r="G470" i="32"/>
  <c r="H470" i="32"/>
  <c r="F471" i="32"/>
  <c r="G471" i="32"/>
  <c r="H471" i="32"/>
  <c r="F472" i="32"/>
  <c r="G472" i="32"/>
  <c r="H472" i="32"/>
  <c r="F473" i="32"/>
  <c r="G473" i="32"/>
  <c r="H473" i="32"/>
  <c r="F474" i="32"/>
  <c r="G474" i="32"/>
  <c r="H474" i="32"/>
  <c r="F475" i="32"/>
  <c r="G475" i="32"/>
  <c r="H475" i="32"/>
  <c r="F476" i="32"/>
  <c r="G476" i="32"/>
  <c r="H476" i="32"/>
  <c r="F477" i="32"/>
  <c r="G477" i="32"/>
  <c r="H477" i="32"/>
  <c r="F478" i="32"/>
  <c r="G478" i="32"/>
  <c r="H478" i="32"/>
  <c r="F479" i="32"/>
  <c r="G479" i="32"/>
  <c r="H479" i="32"/>
  <c r="F480" i="32"/>
  <c r="G480" i="32"/>
  <c r="H480" i="32"/>
  <c r="F481" i="32"/>
  <c r="G481" i="32"/>
  <c r="H481" i="32"/>
  <c r="F482" i="32"/>
  <c r="G482" i="32"/>
  <c r="H482" i="32"/>
  <c r="F483" i="32"/>
  <c r="G483" i="32"/>
  <c r="H483" i="32"/>
  <c r="F484" i="32"/>
  <c r="G484" i="32"/>
  <c r="H484" i="32"/>
  <c r="F485" i="32"/>
  <c r="G485" i="32"/>
  <c r="H485" i="32"/>
  <c r="F392" i="32"/>
  <c r="G392" i="32"/>
  <c r="H392" i="32"/>
  <c r="F393" i="32"/>
  <c r="G393" i="32"/>
  <c r="H393" i="32"/>
  <c r="F394" i="32"/>
  <c r="G394" i="32"/>
  <c r="H394" i="32"/>
  <c r="F395" i="32"/>
  <c r="G395" i="32"/>
  <c r="H395" i="32"/>
  <c r="F396" i="32"/>
  <c r="G396" i="32"/>
  <c r="H396" i="32"/>
  <c r="F397" i="32"/>
  <c r="G397" i="32"/>
  <c r="H397" i="32"/>
  <c r="F398" i="32"/>
  <c r="G398" i="32"/>
  <c r="H398" i="32"/>
  <c r="F399" i="32"/>
  <c r="G399" i="32"/>
  <c r="H399" i="32"/>
  <c r="F400" i="32"/>
  <c r="G400" i="32"/>
  <c r="H400" i="32"/>
  <c r="F401" i="32"/>
  <c r="G401" i="32"/>
  <c r="H401" i="32"/>
  <c r="F402" i="32"/>
  <c r="G402" i="32"/>
  <c r="H402" i="32"/>
  <c r="F403" i="32"/>
  <c r="G403" i="32"/>
  <c r="H403" i="32"/>
  <c r="F404" i="32"/>
  <c r="G404" i="32"/>
  <c r="H404" i="32"/>
  <c r="F405" i="32"/>
  <c r="G405" i="32"/>
  <c r="H405" i="32"/>
  <c r="F406" i="32"/>
  <c r="G406" i="32"/>
  <c r="H406" i="32"/>
  <c r="F407" i="32"/>
  <c r="G407" i="32"/>
  <c r="H407" i="32"/>
  <c r="F408" i="32"/>
  <c r="G408" i="32"/>
  <c r="H408" i="32"/>
  <c r="F409" i="32"/>
  <c r="G409" i="32"/>
  <c r="H409" i="32"/>
  <c r="F410" i="32"/>
  <c r="G410" i="32"/>
  <c r="H410" i="32"/>
  <c r="F411" i="32"/>
  <c r="G411" i="32"/>
  <c r="H411" i="32"/>
  <c r="F412" i="32"/>
  <c r="G412" i="32"/>
  <c r="H412" i="32"/>
  <c r="F413" i="32"/>
  <c r="G413" i="32"/>
  <c r="H413" i="32"/>
  <c r="F414" i="32"/>
  <c r="G414" i="32"/>
  <c r="H414" i="32"/>
  <c r="F415" i="32"/>
  <c r="G415" i="32"/>
  <c r="H415" i="32"/>
  <c r="F416" i="32"/>
  <c r="G416" i="32"/>
  <c r="H416" i="32"/>
  <c r="F417" i="32"/>
  <c r="G417" i="32"/>
  <c r="H417" i="32"/>
  <c r="F418" i="32"/>
  <c r="G418" i="32"/>
  <c r="H418" i="32"/>
  <c r="F419" i="32"/>
  <c r="G419" i="32"/>
  <c r="H419" i="32"/>
  <c r="F420" i="32"/>
  <c r="G420" i="32"/>
  <c r="H420" i="32"/>
  <c r="F421" i="32"/>
  <c r="G421" i="32"/>
  <c r="H421" i="32"/>
  <c r="F422" i="32"/>
  <c r="G422" i="32"/>
  <c r="H422" i="32"/>
  <c r="F423" i="32"/>
  <c r="G423" i="32"/>
  <c r="H423" i="32"/>
  <c r="F424" i="32"/>
  <c r="G424" i="32"/>
  <c r="H424" i="32"/>
  <c r="F425" i="32"/>
  <c r="G425" i="32"/>
  <c r="H425" i="32"/>
  <c r="F333" i="32"/>
  <c r="G333" i="32"/>
  <c r="H333" i="32"/>
  <c r="F334" i="32"/>
  <c r="G334" i="32"/>
  <c r="H334" i="32"/>
  <c r="F335" i="32"/>
  <c r="G335" i="32"/>
  <c r="H335" i="32"/>
  <c r="F336" i="32"/>
  <c r="G336" i="32"/>
  <c r="H336" i="32"/>
  <c r="F337" i="32"/>
  <c r="G337" i="32"/>
  <c r="H337" i="32"/>
  <c r="F338" i="32"/>
  <c r="G338" i="32"/>
  <c r="H338" i="32"/>
  <c r="F339" i="32"/>
  <c r="G339" i="32"/>
  <c r="H339" i="32"/>
  <c r="F340" i="32"/>
  <c r="G340" i="32"/>
  <c r="H340" i="32"/>
  <c r="F341" i="32"/>
  <c r="G341" i="32"/>
  <c r="H341" i="32"/>
  <c r="F342" i="32"/>
  <c r="G342" i="32"/>
  <c r="H342" i="32"/>
  <c r="F343" i="32"/>
  <c r="G343" i="32"/>
  <c r="H343" i="32"/>
  <c r="F344" i="32"/>
  <c r="G344" i="32"/>
  <c r="H344" i="32"/>
  <c r="F345" i="32"/>
  <c r="G345" i="32"/>
  <c r="H345" i="32"/>
  <c r="F346" i="32"/>
  <c r="G346" i="32"/>
  <c r="H346" i="32"/>
  <c r="F347" i="32"/>
  <c r="G347" i="32"/>
  <c r="H347" i="32"/>
  <c r="F348" i="32"/>
  <c r="G348" i="32"/>
  <c r="H348" i="32"/>
  <c r="F349" i="32"/>
  <c r="G349" i="32"/>
  <c r="H349" i="32"/>
  <c r="F350" i="32"/>
  <c r="G350" i="32"/>
  <c r="H350" i="32"/>
  <c r="F351" i="32"/>
  <c r="G351" i="32"/>
  <c r="H351" i="32"/>
  <c r="F352" i="32"/>
  <c r="G352" i="32"/>
  <c r="H352" i="32"/>
  <c r="F353" i="32"/>
  <c r="G353" i="32"/>
  <c r="H353" i="32"/>
  <c r="F354" i="32"/>
  <c r="G354" i="32"/>
  <c r="H354" i="32"/>
  <c r="F355" i="32"/>
  <c r="G355" i="32"/>
  <c r="H355" i="32"/>
  <c r="F356" i="32"/>
  <c r="G356" i="32"/>
  <c r="H356" i="32"/>
  <c r="F357" i="32"/>
  <c r="G357" i="32"/>
  <c r="H357" i="32"/>
  <c r="F358" i="32"/>
  <c r="G358" i="32"/>
  <c r="H358" i="32"/>
  <c r="F359" i="32"/>
  <c r="G359" i="32"/>
  <c r="H359" i="32"/>
  <c r="F360" i="32"/>
  <c r="G360" i="32"/>
  <c r="H360" i="32"/>
  <c r="F361" i="32"/>
  <c r="G361" i="32"/>
  <c r="H361" i="32"/>
  <c r="F362" i="32"/>
  <c r="G362" i="32"/>
  <c r="H362" i="32"/>
  <c r="F363" i="32"/>
  <c r="G363" i="32"/>
  <c r="H363" i="32"/>
  <c r="F364" i="32"/>
  <c r="G364" i="32"/>
  <c r="H364" i="32"/>
  <c r="F365" i="32"/>
  <c r="G365" i="32"/>
  <c r="H365" i="32"/>
  <c r="F366" i="32"/>
  <c r="G366" i="32"/>
  <c r="H366" i="32"/>
  <c r="F273" i="32"/>
  <c r="G273" i="32"/>
  <c r="H273" i="32"/>
  <c r="F274" i="32"/>
  <c r="G274" i="32"/>
  <c r="H274" i="32"/>
  <c r="F275" i="32"/>
  <c r="G275" i="32"/>
  <c r="H275" i="32"/>
  <c r="F276" i="32"/>
  <c r="G276" i="32"/>
  <c r="H276" i="32"/>
  <c r="F277" i="32"/>
  <c r="G277" i="32"/>
  <c r="H277" i="32"/>
  <c r="F278" i="32"/>
  <c r="G278" i="32"/>
  <c r="H278" i="32"/>
  <c r="F279" i="32"/>
  <c r="G279" i="32"/>
  <c r="H279" i="32"/>
  <c r="F280" i="32"/>
  <c r="G280" i="32"/>
  <c r="H280" i="32"/>
  <c r="F281" i="32"/>
  <c r="G281" i="32"/>
  <c r="H281" i="32"/>
  <c r="F282" i="32"/>
  <c r="G282" i="32"/>
  <c r="H282" i="32"/>
  <c r="F283" i="32"/>
  <c r="G283" i="32"/>
  <c r="H283" i="32"/>
  <c r="F284" i="32"/>
  <c r="G284" i="32"/>
  <c r="H284" i="32"/>
  <c r="F285" i="32"/>
  <c r="G285" i="32"/>
  <c r="H285" i="32"/>
  <c r="F286" i="32"/>
  <c r="G286" i="32"/>
  <c r="H286" i="32"/>
  <c r="F287" i="32"/>
  <c r="G287" i="32"/>
  <c r="H287" i="32"/>
  <c r="F288" i="32"/>
  <c r="G288" i="32"/>
  <c r="H288" i="32"/>
  <c r="F289" i="32"/>
  <c r="G289" i="32"/>
  <c r="H289" i="32"/>
  <c r="F290" i="32"/>
  <c r="G290" i="32"/>
  <c r="H290" i="32"/>
  <c r="F291" i="32"/>
  <c r="G291" i="32"/>
  <c r="H291" i="32"/>
  <c r="F292" i="32"/>
  <c r="G292" i="32"/>
  <c r="H292" i="32"/>
  <c r="F293" i="32"/>
  <c r="G293" i="32"/>
  <c r="H293" i="32"/>
  <c r="F294" i="32"/>
  <c r="G294" i="32"/>
  <c r="H294" i="32"/>
  <c r="F295" i="32"/>
  <c r="G295" i="32"/>
  <c r="H295" i="32"/>
  <c r="F296" i="32"/>
  <c r="G296" i="32"/>
  <c r="H296" i="32"/>
  <c r="F297" i="32"/>
  <c r="G297" i="32"/>
  <c r="H297" i="32"/>
  <c r="F298" i="32"/>
  <c r="G298" i="32"/>
  <c r="H298" i="32"/>
  <c r="F299" i="32"/>
  <c r="G299" i="32"/>
  <c r="H299" i="32"/>
  <c r="F300" i="32"/>
  <c r="G300" i="32"/>
  <c r="H300" i="32"/>
  <c r="F301" i="32"/>
  <c r="G301" i="32"/>
  <c r="H301" i="32"/>
  <c r="F302" i="32"/>
  <c r="G302" i="32"/>
  <c r="H302" i="32"/>
  <c r="F303" i="32"/>
  <c r="G303" i="32"/>
  <c r="H303" i="32"/>
  <c r="F304" i="32"/>
  <c r="G304" i="32"/>
  <c r="H304" i="32"/>
  <c r="F305" i="32"/>
  <c r="G305" i="32"/>
  <c r="H305" i="32"/>
  <c r="F306" i="32"/>
  <c r="G306" i="32"/>
  <c r="H306" i="32"/>
  <c r="F213" i="32"/>
  <c r="G213" i="32"/>
  <c r="H213" i="32"/>
  <c r="F214" i="32"/>
  <c r="G214" i="32"/>
  <c r="H214" i="32"/>
  <c r="F215" i="32"/>
  <c r="G215" i="32"/>
  <c r="H215" i="32"/>
  <c r="F216" i="32"/>
  <c r="G216" i="32"/>
  <c r="H216" i="32"/>
  <c r="F217" i="32"/>
  <c r="G217" i="32"/>
  <c r="H217" i="32"/>
  <c r="F218" i="32"/>
  <c r="G218" i="32"/>
  <c r="H218" i="32"/>
  <c r="F219" i="32"/>
  <c r="G219" i="32"/>
  <c r="H219" i="32"/>
  <c r="F220" i="32"/>
  <c r="G220" i="32"/>
  <c r="H220" i="32"/>
  <c r="F221" i="32"/>
  <c r="G221" i="32"/>
  <c r="H221" i="32"/>
  <c r="F222" i="32"/>
  <c r="G222" i="32"/>
  <c r="H222" i="32"/>
  <c r="F223" i="32"/>
  <c r="G223" i="32"/>
  <c r="H223" i="32"/>
  <c r="F224" i="32"/>
  <c r="G224" i="32"/>
  <c r="H224" i="32"/>
  <c r="F225" i="32"/>
  <c r="G225" i="32"/>
  <c r="H225" i="32"/>
  <c r="F226" i="32"/>
  <c r="G226" i="32"/>
  <c r="H226" i="32"/>
  <c r="F227" i="32"/>
  <c r="G227" i="32"/>
  <c r="H227" i="32"/>
  <c r="F228" i="32"/>
  <c r="G228" i="32"/>
  <c r="H228" i="32"/>
  <c r="F229" i="32"/>
  <c r="G229" i="32"/>
  <c r="H229" i="32"/>
  <c r="F230" i="32"/>
  <c r="G230" i="32"/>
  <c r="H230" i="32"/>
  <c r="F231" i="32"/>
  <c r="G231" i="32"/>
  <c r="H231" i="32"/>
  <c r="F232" i="32"/>
  <c r="G232" i="32"/>
  <c r="H232" i="32"/>
  <c r="F233" i="32"/>
  <c r="G233" i="32"/>
  <c r="H233" i="32"/>
  <c r="F234" i="32"/>
  <c r="G234" i="32"/>
  <c r="H234" i="32"/>
  <c r="F235" i="32"/>
  <c r="G235" i="32"/>
  <c r="H235" i="32"/>
  <c r="F236" i="32"/>
  <c r="G236" i="32"/>
  <c r="H236" i="32"/>
  <c r="F237" i="32"/>
  <c r="G237" i="32"/>
  <c r="H237" i="32"/>
  <c r="F238" i="32"/>
  <c r="G238" i="32"/>
  <c r="H238" i="32"/>
  <c r="F239" i="32"/>
  <c r="G239" i="32"/>
  <c r="H239" i="32"/>
  <c r="F240" i="32"/>
  <c r="G240" i="32"/>
  <c r="H240" i="32"/>
  <c r="F241" i="32"/>
  <c r="G241" i="32"/>
  <c r="H241" i="32"/>
  <c r="F242" i="32"/>
  <c r="G242" i="32"/>
  <c r="H242" i="32"/>
  <c r="F243" i="32"/>
  <c r="G243" i="32"/>
  <c r="H243" i="32"/>
  <c r="F244" i="32"/>
  <c r="G244" i="32"/>
  <c r="H244" i="32"/>
  <c r="F245" i="32"/>
  <c r="G245" i="32"/>
  <c r="H245" i="32"/>
  <c r="F246" i="32"/>
  <c r="G246" i="32"/>
  <c r="H246" i="32"/>
  <c r="F153" i="32"/>
  <c r="G153" i="32"/>
  <c r="H153" i="32"/>
  <c r="F154" i="32"/>
  <c r="G154" i="32"/>
  <c r="H154" i="32"/>
  <c r="F155" i="32"/>
  <c r="G155" i="32"/>
  <c r="H155" i="32"/>
  <c r="F156" i="32"/>
  <c r="G156" i="32"/>
  <c r="H156" i="32"/>
  <c r="F157" i="32"/>
  <c r="G157" i="32"/>
  <c r="H157" i="32"/>
  <c r="F158" i="32"/>
  <c r="G158" i="32"/>
  <c r="H158" i="32"/>
  <c r="F159" i="32"/>
  <c r="G159" i="32"/>
  <c r="H159" i="32"/>
  <c r="F160" i="32"/>
  <c r="G160" i="32"/>
  <c r="H160" i="32"/>
  <c r="F161" i="32"/>
  <c r="G161" i="32"/>
  <c r="H161" i="32"/>
  <c r="F162" i="32"/>
  <c r="G162" i="32"/>
  <c r="H162" i="32"/>
  <c r="F163" i="32"/>
  <c r="G163" i="32"/>
  <c r="H163" i="32"/>
  <c r="F164" i="32"/>
  <c r="G164" i="32"/>
  <c r="H164" i="32"/>
  <c r="F165" i="32"/>
  <c r="G165" i="32"/>
  <c r="H165" i="32"/>
  <c r="F166" i="32"/>
  <c r="G166" i="32"/>
  <c r="H166" i="32"/>
  <c r="F167" i="32"/>
  <c r="G167" i="32"/>
  <c r="H167" i="32"/>
  <c r="F168" i="32"/>
  <c r="G168" i="32"/>
  <c r="H168" i="32"/>
  <c r="F169" i="32"/>
  <c r="G169" i="32"/>
  <c r="H169" i="32"/>
  <c r="F170" i="32"/>
  <c r="G170" i="32"/>
  <c r="H170" i="32"/>
  <c r="F171" i="32"/>
  <c r="G171" i="32"/>
  <c r="H171" i="32"/>
  <c r="F172" i="32"/>
  <c r="G172" i="32"/>
  <c r="H172" i="32"/>
  <c r="F173" i="32"/>
  <c r="G173" i="32"/>
  <c r="H173" i="32"/>
  <c r="F174" i="32"/>
  <c r="G174" i="32"/>
  <c r="H174" i="32"/>
  <c r="F175" i="32"/>
  <c r="G175" i="32"/>
  <c r="H175" i="32"/>
  <c r="F176" i="32"/>
  <c r="G176" i="32"/>
  <c r="H176" i="32"/>
  <c r="F177" i="32"/>
  <c r="G177" i="32"/>
  <c r="H177" i="32"/>
  <c r="F178" i="32"/>
  <c r="G178" i="32"/>
  <c r="H178" i="32"/>
  <c r="F179" i="32"/>
  <c r="G179" i="32"/>
  <c r="H179" i="32"/>
  <c r="F180" i="32"/>
  <c r="G180" i="32"/>
  <c r="H180" i="32"/>
  <c r="F181" i="32"/>
  <c r="G181" i="32"/>
  <c r="H181" i="32"/>
  <c r="F182" i="32"/>
  <c r="G182" i="32"/>
  <c r="H182" i="32"/>
  <c r="F183" i="32"/>
  <c r="G183" i="32"/>
  <c r="H183" i="32"/>
  <c r="F184" i="32"/>
  <c r="G184" i="32"/>
  <c r="H184" i="32"/>
  <c r="F185" i="32"/>
  <c r="G185" i="32"/>
  <c r="H185" i="32"/>
  <c r="F186" i="32"/>
  <c r="G186" i="32"/>
  <c r="H186" i="32"/>
  <c r="F93" i="32"/>
  <c r="G93" i="32"/>
  <c r="H93" i="32"/>
  <c r="F94" i="32"/>
  <c r="G94" i="32"/>
  <c r="H94" i="32"/>
  <c r="F95" i="32"/>
  <c r="G95" i="32"/>
  <c r="H95" i="32"/>
  <c r="F96" i="32"/>
  <c r="G96" i="32"/>
  <c r="H96" i="32"/>
  <c r="F97" i="32"/>
  <c r="G97" i="32"/>
  <c r="H97" i="32"/>
  <c r="F98" i="32"/>
  <c r="G98" i="32"/>
  <c r="H98" i="32"/>
  <c r="F99" i="32"/>
  <c r="G99" i="32"/>
  <c r="H99" i="32"/>
  <c r="F100" i="32"/>
  <c r="G100" i="32"/>
  <c r="H100" i="32"/>
  <c r="F101" i="32"/>
  <c r="G101" i="32"/>
  <c r="H101" i="32"/>
  <c r="F102" i="32"/>
  <c r="G102" i="32"/>
  <c r="H102" i="32"/>
  <c r="F103" i="32"/>
  <c r="G103" i="32"/>
  <c r="H103" i="32"/>
  <c r="F104" i="32"/>
  <c r="G104" i="32"/>
  <c r="H104" i="32"/>
  <c r="F105" i="32"/>
  <c r="G105" i="32"/>
  <c r="H105" i="32"/>
  <c r="F106" i="32"/>
  <c r="G106" i="32"/>
  <c r="H106" i="32"/>
  <c r="F107" i="32"/>
  <c r="G107" i="32"/>
  <c r="H107" i="32"/>
  <c r="F108" i="32"/>
  <c r="G108" i="32"/>
  <c r="H108" i="32"/>
  <c r="F109" i="32"/>
  <c r="G109" i="32"/>
  <c r="H109" i="32"/>
  <c r="F110" i="32"/>
  <c r="G110" i="32"/>
  <c r="H110" i="32"/>
  <c r="F111" i="32"/>
  <c r="G111" i="32"/>
  <c r="H111" i="32"/>
  <c r="F112" i="32"/>
  <c r="G112" i="32"/>
  <c r="H112" i="32"/>
  <c r="F113" i="32"/>
  <c r="G113" i="32"/>
  <c r="H113" i="32"/>
  <c r="F114" i="32"/>
  <c r="G114" i="32"/>
  <c r="H114" i="32"/>
  <c r="F115" i="32"/>
  <c r="G115" i="32"/>
  <c r="H115" i="32"/>
  <c r="F116" i="32"/>
  <c r="G116" i="32"/>
  <c r="H116" i="32"/>
  <c r="F117" i="32"/>
  <c r="G117" i="32"/>
  <c r="H117" i="32"/>
  <c r="F118" i="32"/>
  <c r="G118" i="32"/>
  <c r="H118" i="32"/>
  <c r="F119" i="32"/>
  <c r="G119" i="32"/>
  <c r="H119" i="32"/>
  <c r="F120" i="32"/>
  <c r="G120" i="32"/>
  <c r="H120" i="32"/>
  <c r="F121" i="32"/>
  <c r="G121" i="32"/>
  <c r="H121" i="32"/>
  <c r="F122" i="32"/>
  <c r="G122" i="32"/>
  <c r="H122" i="32"/>
  <c r="F123" i="32"/>
  <c r="G123" i="32"/>
  <c r="H123" i="32"/>
  <c r="F124" i="32"/>
  <c r="G124" i="32"/>
  <c r="H124" i="32"/>
  <c r="F125" i="32"/>
  <c r="G125" i="32"/>
  <c r="H125" i="32"/>
  <c r="F126" i="32"/>
  <c r="G126" i="32"/>
  <c r="H126" i="32"/>
  <c r="D34" i="32"/>
  <c r="D93" i="32" s="1"/>
  <c r="F34" i="32"/>
  <c r="G34" i="32"/>
  <c r="H34" i="32"/>
  <c r="D35" i="32"/>
  <c r="D214" i="32" s="1"/>
  <c r="F35" i="32"/>
  <c r="G35" i="32"/>
  <c r="H35" i="32"/>
  <c r="D36" i="32"/>
  <c r="F36" i="32"/>
  <c r="G36" i="32"/>
  <c r="H36" i="32"/>
  <c r="D37" i="32"/>
  <c r="F37" i="32"/>
  <c r="G37" i="32"/>
  <c r="H37" i="32"/>
  <c r="D38" i="32"/>
  <c r="D97" i="32" s="1"/>
  <c r="F38" i="32"/>
  <c r="G38" i="32"/>
  <c r="H38" i="32"/>
  <c r="D39" i="32"/>
  <c r="D278" i="32" s="1"/>
  <c r="F39" i="32"/>
  <c r="G39" i="32"/>
  <c r="H39" i="32"/>
  <c r="D40" i="32"/>
  <c r="D159" i="32" s="1"/>
  <c r="F40" i="32"/>
  <c r="G40" i="32"/>
  <c r="H40" i="32"/>
  <c r="D41" i="32"/>
  <c r="D340" i="32" s="1"/>
  <c r="F41" i="32"/>
  <c r="G41" i="32"/>
  <c r="H41" i="32"/>
  <c r="D42" i="32"/>
  <c r="D221" i="32" s="1"/>
  <c r="F42" i="32"/>
  <c r="G42" i="32"/>
  <c r="H42" i="32"/>
  <c r="D43" i="32"/>
  <c r="D162" i="32" s="1"/>
  <c r="F43" i="32"/>
  <c r="G43" i="32"/>
  <c r="H43" i="32"/>
  <c r="D44" i="32"/>
  <c r="D103" i="32" s="1"/>
  <c r="F44" i="32"/>
  <c r="G44" i="32"/>
  <c r="H44" i="32"/>
  <c r="D45" i="32"/>
  <c r="D284" i="32" s="1"/>
  <c r="F45" i="32"/>
  <c r="G45" i="32"/>
  <c r="H45" i="32"/>
  <c r="D46" i="32"/>
  <c r="D105" i="32" s="1"/>
  <c r="F46" i="32"/>
  <c r="G46" i="32"/>
  <c r="H46" i="32"/>
  <c r="D47" i="32"/>
  <c r="D465" i="32" s="1"/>
  <c r="F47" i="32"/>
  <c r="G47" i="32"/>
  <c r="H47" i="32"/>
  <c r="D48" i="32"/>
  <c r="D107" i="32" s="1"/>
  <c r="F48" i="32"/>
  <c r="G48" i="32"/>
  <c r="H48" i="32"/>
  <c r="D49" i="32"/>
  <c r="D228" i="32" s="1"/>
  <c r="F49" i="32"/>
  <c r="G49" i="32"/>
  <c r="H49" i="32"/>
  <c r="D50" i="32"/>
  <c r="D109" i="32" s="1"/>
  <c r="F50" i="32"/>
  <c r="G50" i="32"/>
  <c r="H50" i="32"/>
  <c r="D51" i="32"/>
  <c r="D469" i="32" s="1"/>
  <c r="F51" i="32"/>
  <c r="G51" i="32"/>
  <c r="H51" i="32"/>
  <c r="D52" i="32"/>
  <c r="F52" i="32"/>
  <c r="G52" i="32"/>
  <c r="H52" i="32"/>
  <c r="D53" i="32"/>
  <c r="D411" i="32" s="1"/>
  <c r="F53" i="32"/>
  <c r="G53" i="32"/>
  <c r="H53" i="32"/>
  <c r="D54" i="32"/>
  <c r="D293" i="32" s="1"/>
  <c r="F54" i="32"/>
  <c r="G54" i="32"/>
  <c r="H54" i="32"/>
  <c r="D55" i="32"/>
  <c r="D234" i="32" s="1"/>
  <c r="F55" i="32"/>
  <c r="G55" i="32"/>
  <c r="H55" i="32"/>
  <c r="D56" i="32"/>
  <c r="D115" i="32" s="1"/>
  <c r="F56" i="32"/>
  <c r="G56" i="32"/>
  <c r="H56" i="32"/>
  <c r="D57" i="32"/>
  <c r="D176" i="32" s="1"/>
  <c r="F57" i="32"/>
  <c r="G57" i="32"/>
  <c r="H57" i="32"/>
  <c r="D58" i="32"/>
  <c r="D117" i="32"/>
  <c r="F58" i="32"/>
  <c r="G58" i="32"/>
  <c r="H58" i="32"/>
  <c r="D59" i="32"/>
  <c r="D238" i="32"/>
  <c r="F59" i="32"/>
  <c r="G59" i="32"/>
  <c r="H59" i="32"/>
  <c r="D60" i="32"/>
  <c r="D119" i="32" s="1"/>
  <c r="F60" i="32"/>
  <c r="G60" i="32"/>
  <c r="H60" i="32"/>
  <c r="D61" i="32"/>
  <c r="D479" i="32" s="1"/>
  <c r="F61" i="32"/>
  <c r="G61" i="32"/>
  <c r="H61" i="32"/>
  <c r="D62" i="32"/>
  <c r="F62" i="32"/>
  <c r="G62" i="32"/>
  <c r="H62" i="32"/>
  <c r="D63" i="32"/>
  <c r="F63" i="32"/>
  <c r="G63" i="32"/>
  <c r="H63" i="32"/>
  <c r="D64" i="32"/>
  <c r="D482" i="32"/>
  <c r="F64" i="32"/>
  <c r="G64" i="32"/>
  <c r="H64" i="32"/>
  <c r="D65" i="32"/>
  <c r="D483" i="32" s="1"/>
  <c r="F65" i="32"/>
  <c r="G65" i="32"/>
  <c r="H65" i="32"/>
  <c r="D66" i="32"/>
  <c r="D185" i="32" s="1"/>
  <c r="F66" i="32"/>
  <c r="G66" i="32"/>
  <c r="H66" i="32"/>
  <c r="D67" i="32"/>
  <c r="F67" i="32"/>
  <c r="G67" i="32"/>
  <c r="H67" i="32"/>
  <c r="B53" i="48"/>
  <c r="B46" i="48"/>
  <c r="B39" i="48"/>
  <c r="B32" i="48"/>
  <c r="B25" i="48"/>
  <c r="B60" i="48"/>
  <c r="B80" i="48"/>
  <c r="B79" i="48"/>
  <c r="B78" i="48"/>
  <c r="B77" i="48"/>
  <c r="B76" i="48"/>
  <c r="B75" i="48"/>
  <c r="B92" i="48"/>
  <c r="B91" i="48"/>
  <c r="B90" i="48"/>
  <c r="B89" i="48"/>
  <c r="B88" i="48"/>
  <c r="B99" i="48"/>
  <c r="B98" i="48"/>
  <c r="B97" i="48"/>
  <c r="B96" i="48"/>
  <c r="B95" i="48"/>
  <c r="E10" i="31" a="1"/>
  <c r="F10" i="31" s="1"/>
  <c r="D27" i="31"/>
  <c r="A28" i="31"/>
  <c r="D28" i="31"/>
  <c r="D29" i="31"/>
  <c r="D30" i="31"/>
  <c r="D31" i="31"/>
  <c r="D32" i="31"/>
  <c r="A33" i="31"/>
  <c r="D33" i="31"/>
  <c r="D34" i="31"/>
  <c r="A35" i="31"/>
  <c r="D35" i="31"/>
  <c r="D36" i="31"/>
  <c r="D37" i="31"/>
  <c r="D38" i="31"/>
  <c r="D39" i="31"/>
  <c r="D40" i="31"/>
  <c r="D41" i="31"/>
  <c r="A42" i="31"/>
  <c r="D42" i="31"/>
  <c r="A43" i="31"/>
  <c r="D43" i="31"/>
  <c r="A44" i="31"/>
  <c r="D44" i="31"/>
  <c r="D45" i="31"/>
  <c r="A46" i="31"/>
  <c r="D46" i="31"/>
  <c r="D47" i="31"/>
  <c r="D48" i="31"/>
  <c r="D49" i="31"/>
  <c r="D50" i="31"/>
  <c r="D51" i="31"/>
  <c r="D52" i="31"/>
  <c r="D53" i="31"/>
  <c r="D54" i="31"/>
  <c r="D55" i="31"/>
  <c r="D56" i="31"/>
  <c r="D57" i="31"/>
  <c r="A58" i="31"/>
  <c r="D58" i="31"/>
  <c r="A59" i="31"/>
  <c r="D59" i="31"/>
  <c r="A60" i="31"/>
  <c r="D60" i="31"/>
  <c r="D303" i="32"/>
  <c r="D277" i="32"/>
  <c r="D295" i="32"/>
  <c r="D279" i="32"/>
  <c r="D297" i="32"/>
  <c r="D299" i="32"/>
  <c r="D365" i="32"/>
  <c r="D289" i="32"/>
  <c r="D273" i="32"/>
  <c r="D243" i="32"/>
  <c r="D239" i="32"/>
  <c r="D237" i="32"/>
  <c r="D235" i="32"/>
  <c r="D233" i="32"/>
  <c r="D229" i="32"/>
  <c r="D225" i="32"/>
  <c r="D217" i="32"/>
  <c r="D213" i="32"/>
  <c r="D481" i="32"/>
  <c r="D477" i="32"/>
  <c r="D471" i="32"/>
  <c r="D463" i="32"/>
  <c r="D455" i="32"/>
  <c r="D453" i="32"/>
  <c r="D183" i="32"/>
  <c r="D179" i="32"/>
  <c r="D177" i="32"/>
  <c r="D175" i="32"/>
  <c r="D173" i="32"/>
  <c r="D157" i="32"/>
  <c r="D153" i="32"/>
  <c r="D245" i="32"/>
  <c r="D421" i="32"/>
  <c r="D419" i="32"/>
  <c r="D417" i="32"/>
  <c r="D409" i="32"/>
  <c r="D405" i="32"/>
  <c r="D401" i="32"/>
  <c r="D395" i="32"/>
  <c r="D393" i="32"/>
  <c r="D123" i="32"/>
  <c r="D362" i="32"/>
  <c r="D360" i="32"/>
  <c r="D358" i="32"/>
  <c r="D352" i="32"/>
  <c r="D346" i="32"/>
  <c r="D336" i="32"/>
  <c r="D334" i="32"/>
  <c r="D125" i="32"/>
  <c r="D302" i="32"/>
  <c r="D298" i="32"/>
  <c r="D292" i="32"/>
  <c r="D286" i="32"/>
  <c r="D280" i="32"/>
  <c r="D276" i="32"/>
  <c r="D274" i="32"/>
  <c r="D242" i="32"/>
  <c r="D240" i="32"/>
  <c r="D232" i="32"/>
  <c r="D226" i="32"/>
  <c r="D224" i="32"/>
  <c r="D222" i="32"/>
  <c r="D220" i="32"/>
  <c r="D218" i="32"/>
  <c r="D216" i="32"/>
  <c r="D478" i="32"/>
  <c r="D476" i="32"/>
  <c r="D474" i="32"/>
  <c r="D468" i="32"/>
  <c r="D462" i="32"/>
  <c r="D460" i="32"/>
  <c r="D456" i="32"/>
  <c r="D452" i="32"/>
  <c r="D182" i="32"/>
  <c r="D180" i="32"/>
  <c r="D178" i="32"/>
  <c r="D172" i="32"/>
  <c r="D166" i="32"/>
  <c r="D164" i="32"/>
  <c r="D156" i="32"/>
  <c r="D154" i="32"/>
  <c r="D422" i="32"/>
  <c r="D418" i="32"/>
  <c r="D416" i="32"/>
  <c r="D414" i="32"/>
  <c r="D412" i="32"/>
  <c r="D406" i="32"/>
  <c r="D396" i="32"/>
  <c r="D392" i="32"/>
  <c r="D484" i="32"/>
  <c r="D122" i="32"/>
  <c r="D120" i="32"/>
  <c r="D118" i="32"/>
  <c r="D112" i="32"/>
  <c r="D106" i="32"/>
  <c r="D102" i="32"/>
  <c r="D96" i="32"/>
  <c r="D94" i="32"/>
  <c r="D363" i="32"/>
  <c r="D359" i="32"/>
  <c r="D357" i="32"/>
  <c r="D355" i="32"/>
  <c r="D353" i="32"/>
  <c r="D351" i="32"/>
  <c r="D349" i="32"/>
  <c r="D343" i="32"/>
  <c r="D341" i="32"/>
  <c r="D337" i="32"/>
  <c r="D333" i="32"/>
  <c r="D424" i="32"/>
  <c r="D124" i="32"/>
  <c r="D184" i="32"/>
  <c r="D244" i="32"/>
  <c r="D304" i="32"/>
  <c r="D364" i="32"/>
  <c r="D423" i="32"/>
  <c r="E10" i="31"/>
  <c r="J10" i="31"/>
  <c r="I10" i="31"/>
  <c r="H10" i="31"/>
  <c r="G10" i="31"/>
  <c r="D20" i="34"/>
  <c r="D19" i="34"/>
  <c r="D18" i="34"/>
  <c r="D17" i="34"/>
  <c r="D16" i="34"/>
  <c r="A25" i="31"/>
  <c r="A26" i="31"/>
  <c r="D25" i="31"/>
  <c r="D26" i="31"/>
  <c r="F450" i="32"/>
  <c r="G450" i="32"/>
  <c r="H450" i="32"/>
  <c r="F451" i="32"/>
  <c r="G451" i="32"/>
  <c r="H451" i="32"/>
  <c r="F390" i="32"/>
  <c r="G390" i="32"/>
  <c r="H390" i="32"/>
  <c r="F391" i="32"/>
  <c r="G391" i="32"/>
  <c r="H391" i="32"/>
  <c r="F331" i="32"/>
  <c r="G331" i="32"/>
  <c r="H331" i="32"/>
  <c r="F332" i="32"/>
  <c r="G332" i="32"/>
  <c r="H332" i="32"/>
  <c r="F271" i="32"/>
  <c r="G271" i="32"/>
  <c r="H271" i="32"/>
  <c r="F272" i="32"/>
  <c r="G272" i="32"/>
  <c r="H272" i="32"/>
  <c r="F211" i="32"/>
  <c r="G211" i="32"/>
  <c r="H211" i="32"/>
  <c r="F212" i="32"/>
  <c r="G212" i="32"/>
  <c r="H212" i="32"/>
  <c r="F151" i="32"/>
  <c r="G151" i="32"/>
  <c r="H151" i="32"/>
  <c r="F152" i="32"/>
  <c r="G152" i="32"/>
  <c r="H152" i="32"/>
  <c r="F91" i="32"/>
  <c r="G91" i="32"/>
  <c r="H91" i="32"/>
  <c r="F92" i="32"/>
  <c r="G92" i="32"/>
  <c r="H92" i="32"/>
  <c r="D32" i="32"/>
  <c r="D390" i="32" s="1"/>
  <c r="F32" i="32"/>
  <c r="G32" i="32"/>
  <c r="H32" i="32"/>
  <c r="D33" i="32"/>
  <c r="D332" i="32" s="1"/>
  <c r="F33" i="32"/>
  <c r="G33" i="32"/>
  <c r="H33" i="32"/>
  <c r="D451" i="32"/>
  <c r="D152" i="32"/>
  <c r="D272" i="32"/>
  <c r="D391" i="32"/>
  <c r="F26" i="50"/>
  <c r="G26" i="50"/>
  <c r="H26" i="50"/>
  <c r="E497" i="32"/>
  <c r="D497" i="32"/>
  <c r="H495" i="32"/>
  <c r="G495" i="32"/>
  <c r="F495" i="32"/>
  <c r="E495" i="32"/>
  <c r="D16" i="25"/>
  <c r="D10" i="28"/>
  <c r="H28" i="50"/>
  <c r="G28" i="50"/>
  <c r="F28" i="50"/>
  <c r="H27" i="50"/>
  <c r="G27" i="50"/>
  <c r="F27" i="50"/>
  <c r="H18" i="50"/>
  <c r="H497" i="32" s="1"/>
  <c r="G18" i="50"/>
  <c r="G497" i="32" s="1"/>
  <c r="F18" i="50"/>
  <c r="F497" i="32" s="1"/>
  <c r="H24" i="50"/>
  <c r="G24" i="50"/>
  <c r="F24" i="50"/>
  <c r="E24" i="50"/>
  <c r="H16" i="50"/>
  <c r="G16" i="50"/>
  <c r="F16" i="50"/>
  <c r="E16" i="50"/>
  <c r="H10" i="50"/>
  <c r="G10" i="50"/>
  <c r="F10" i="50"/>
  <c r="E10" i="50"/>
  <c r="B10" i="50"/>
  <c r="M9" i="50"/>
  <c r="L9" i="50"/>
  <c r="K9" i="50"/>
  <c r="J9" i="50"/>
  <c r="B9" i="50"/>
  <c r="B8" i="50"/>
  <c r="B7" i="50"/>
  <c r="B6" i="50"/>
  <c r="B5" i="50"/>
  <c r="B4" i="50"/>
  <c r="B3" i="50"/>
  <c r="D18" i="25"/>
  <c r="F20" i="49"/>
  <c r="H18" i="49"/>
  <c r="G18" i="49"/>
  <c r="D18" i="49"/>
  <c r="H17" i="49"/>
  <c r="G17" i="49"/>
  <c r="D17" i="49"/>
  <c r="H16" i="49"/>
  <c r="G16" i="49"/>
  <c r="D16" i="49"/>
  <c r="H15" i="49"/>
  <c r="G15" i="49"/>
  <c r="D15" i="49"/>
  <c r="H14" i="49"/>
  <c r="G14" i="49"/>
  <c r="D14" i="49"/>
  <c r="H13" i="49"/>
  <c r="H20" i="49" s="1"/>
  <c r="G13" i="49"/>
  <c r="G20" i="49" s="1"/>
  <c r="D13" i="49"/>
  <c r="H11" i="49"/>
  <c r="G11" i="49"/>
  <c r="F11" i="49"/>
  <c r="E11" i="49"/>
  <c r="H5" i="49"/>
  <c r="G5" i="49"/>
  <c r="F5" i="49"/>
  <c r="E5" i="49"/>
  <c r="B5" i="49"/>
  <c r="B4" i="49"/>
  <c r="B3" i="49"/>
  <c r="O22" i="49"/>
  <c r="A22" i="49" s="1"/>
  <c r="A1" i="49" s="1"/>
  <c r="H18" i="25" s="1"/>
  <c r="P430" i="32"/>
  <c r="Q430" i="32"/>
  <c r="R430" i="32"/>
  <c r="S430" i="32"/>
  <c r="T430" i="32"/>
  <c r="H449" i="32"/>
  <c r="H448" i="32"/>
  <c r="H447" i="32"/>
  <c r="H446" i="32"/>
  <c r="H445" i="32"/>
  <c r="H444" i="32"/>
  <c r="H443" i="32"/>
  <c r="H442" i="32"/>
  <c r="H441" i="32"/>
  <c r="H440" i="32"/>
  <c r="H439" i="32"/>
  <c r="H438" i="32"/>
  <c r="H437" i="32"/>
  <c r="H436" i="32"/>
  <c r="H487" i="32"/>
  <c r="H434" i="32"/>
  <c r="H389" i="32"/>
  <c r="H388" i="32"/>
  <c r="H387" i="32"/>
  <c r="H386" i="32"/>
  <c r="H385" i="32"/>
  <c r="H384" i="32"/>
  <c r="H383" i="32"/>
  <c r="H382" i="32"/>
  <c r="H381" i="32"/>
  <c r="H380" i="32"/>
  <c r="H379" i="32"/>
  <c r="H378" i="32"/>
  <c r="H377" i="32"/>
  <c r="H376" i="32"/>
  <c r="H427" i="32"/>
  <c r="H374" i="32"/>
  <c r="H330" i="32"/>
  <c r="H329" i="32"/>
  <c r="H328" i="32"/>
  <c r="H327" i="32"/>
  <c r="H326" i="32"/>
  <c r="H325" i="32"/>
  <c r="H324" i="32"/>
  <c r="H323" i="32"/>
  <c r="H322" i="32"/>
  <c r="H321" i="32"/>
  <c r="H320" i="32"/>
  <c r="H319" i="32"/>
  <c r="H318" i="32"/>
  <c r="H317" i="32"/>
  <c r="H368" i="32"/>
  <c r="H315" i="32"/>
  <c r="H270" i="32"/>
  <c r="H269" i="32"/>
  <c r="H268" i="32"/>
  <c r="H267" i="32"/>
  <c r="H266" i="32"/>
  <c r="H265" i="32"/>
  <c r="H264" i="32"/>
  <c r="H263" i="32"/>
  <c r="H262" i="32"/>
  <c r="H261" i="32"/>
  <c r="H260" i="32"/>
  <c r="H259" i="32"/>
  <c r="H258" i="32"/>
  <c r="H257" i="32"/>
  <c r="H308" i="32"/>
  <c r="H255" i="32"/>
  <c r="H210" i="32"/>
  <c r="H209" i="32"/>
  <c r="H208" i="32"/>
  <c r="H207" i="32"/>
  <c r="H206" i="32"/>
  <c r="H205" i="32"/>
  <c r="H204" i="32"/>
  <c r="H203" i="32"/>
  <c r="H202" i="32"/>
  <c r="H201" i="32"/>
  <c r="H200" i="32"/>
  <c r="H199" i="32"/>
  <c r="H198" i="32"/>
  <c r="H197" i="32"/>
  <c r="H248" i="32"/>
  <c r="H195" i="32"/>
  <c r="H150" i="32"/>
  <c r="H149" i="32"/>
  <c r="H148" i="32"/>
  <c r="H147" i="32"/>
  <c r="H146" i="32"/>
  <c r="H145" i="32"/>
  <c r="H144" i="32"/>
  <c r="H143" i="32"/>
  <c r="H142" i="32"/>
  <c r="H141" i="32"/>
  <c r="H140" i="32"/>
  <c r="H139" i="32"/>
  <c r="H138" i="32"/>
  <c r="H137" i="32"/>
  <c r="H188" i="32"/>
  <c r="H135" i="32"/>
  <c r="H90" i="32"/>
  <c r="H89" i="32"/>
  <c r="H88" i="32"/>
  <c r="H87" i="32"/>
  <c r="H86" i="32"/>
  <c r="H85" i="32"/>
  <c r="H84" i="32"/>
  <c r="H83" i="32"/>
  <c r="H82" i="32"/>
  <c r="H81" i="32"/>
  <c r="H80" i="32"/>
  <c r="H79" i="32"/>
  <c r="H78" i="32"/>
  <c r="H77" i="32"/>
  <c r="H128" i="32"/>
  <c r="H75" i="32"/>
  <c r="H31" i="32"/>
  <c r="H30" i="32"/>
  <c r="H29" i="32"/>
  <c r="H28" i="32"/>
  <c r="H27" i="32"/>
  <c r="H26" i="32"/>
  <c r="H25" i="32"/>
  <c r="H24" i="32"/>
  <c r="H23" i="32"/>
  <c r="H22" i="32"/>
  <c r="H21" i="32"/>
  <c r="H20" i="32"/>
  <c r="H19" i="32"/>
  <c r="H18" i="32"/>
  <c r="H16" i="32"/>
  <c r="H10" i="32"/>
  <c r="H128" i="33"/>
  <c r="H127" i="33"/>
  <c r="H126" i="33"/>
  <c r="H125" i="33"/>
  <c r="H124" i="33"/>
  <c r="H123" i="33"/>
  <c r="H130" i="33"/>
  <c r="H121" i="33"/>
  <c r="H113" i="33"/>
  <c r="H112" i="33"/>
  <c r="H111" i="33"/>
  <c r="H110" i="33"/>
  <c r="H109" i="33"/>
  <c r="H108" i="33"/>
  <c r="H115" i="33"/>
  <c r="H106" i="33"/>
  <c r="H98" i="33"/>
  <c r="H97" i="33"/>
  <c r="H96" i="33"/>
  <c r="H95" i="33"/>
  <c r="H94" i="33"/>
  <c r="H93" i="33"/>
  <c r="H100" i="33"/>
  <c r="H91" i="33"/>
  <c r="H83" i="33"/>
  <c r="H82" i="33"/>
  <c r="H81" i="33"/>
  <c r="H80" i="33"/>
  <c r="H79" i="33"/>
  <c r="H78" i="33"/>
  <c r="H85" i="33"/>
  <c r="H76" i="33"/>
  <c r="H68" i="33"/>
  <c r="H67" i="33"/>
  <c r="H66" i="33"/>
  <c r="H65" i="33"/>
  <c r="H64" i="33"/>
  <c r="H63" i="33"/>
  <c r="H70" i="33"/>
  <c r="H61" i="33"/>
  <c r="H53" i="33"/>
  <c r="H52" i="33"/>
  <c r="H51" i="33"/>
  <c r="H50" i="33"/>
  <c r="H49" i="33"/>
  <c r="H48" i="33"/>
  <c r="H55" i="33"/>
  <c r="H46" i="33"/>
  <c r="H38" i="33"/>
  <c r="H37" i="33"/>
  <c r="H36" i="33"/>
  <c r="H35" i="33"/>
  <c r="H34" i="33"/>
  <c r="H33" i="33"/>
  <c r="H40" i="33"/>
  <c r="H31" i="33"/>
  <c r="H23" i="33"/>
  <c r="H22" i="33"/>
  <c r="H21" i="33"/>
  <c r="H20" i="33"/>
  <c r="H19" i="33"/>
  <c r="H18" i="33"/>
  <c r="H25" i="33"/>
  <c r="H16" i="33"/>
  <c r="H10" i="33"/>
  <c r="H106" i="34"/>
  <c r="H105" i="34"/>
  <c r="H104" i="34"/>
  <c r="H103" i="34"/>
  <c r="H102" i="34"/>
  <c r="H92" i="34"/>
  <c r="H91" i="34"/>
  <c r="H90" i="34"/>
  <c r="H89" i="34"/>
  <c r="H88" i="34"/>
  <c r="H78" i="34"/>
  <c r="H77" i="34"/>
  <c r="H76" i="34"/>
  <c r="H75" i="34"/>
  <c r="H74" i="34"/>
  <c r="H64" i="34"/>
  <c r="H63" i="34"/>
  <c r="H62" i="34"/>
  <c r="H61" i="34"/>
  <c r="H60" i="34"/>
  <c r="H50" i="34"/>
  <c r="H49" i="34"/>
  <c r="H48" i="34"/>
  <c r="H47" i="34"/>
  <c r="H46" i="34"/>
  <c r="H36" i="34"/>
  <c r="H35" i="34"/>
  <c r="H34" i="34"/>
  <c r="H33" i="34"/>
  <c r="H32" i="34"/>
  <c r="H20" i="34"/>
  <c r="H19" i="34"/>
  <c r="H18" i="34"/>
  <c r="H17" i="34"/>
  <c r="H16" i="34"/>
  <c r="H69" i="32"/>
  <c r="G20" i="34"/>
  <c r="F20" i="34"/>
  <c r="G19" i="34"/>
  <c r="F19" i="34"/>
  <c r="G18" i="34"/>
  <c r="F18" i="34"/>
  <c r="G17" i="34"/>
  <c r="F17" i="34"/>
  <c r="G16" i="34"/>
  <c r="G22" i="34"/>
  <c r="F16" i="34"/>
  <c r="F22" i="34"/>
  <c r="H14" i="34"/>
  <c r="G14" i="34"/>
  <c r="F14" i="34"/>
  <c r="E14" i="34"/>
  <c r="D25" i="33"/>
  <c r="D121" i="33"/>
  <c r="D130" i="33"/>
  <c r="D106" i="33"/>
  <c r="D115" i="33"/>
  <c r="D91" i="33"/>
  <c r="D100" i="33"/>
  <c r="D76" i="33"/>
  <c r="D85" i="33"/>
  <c r="D61" i="33"/>
  <c r="D70" i="33"/>
  <c r="D46" i="33"/>
  <c r="D55" i="33"/>
  <c r="D31" i="33"/>
  <c r="D40" i="33"/>
  <c r="D434" i="32"/>
  <c r="D374" i="32"/>
  <c r="D315" i="32"/>
  <c r="D255" i="32"/>
  <c r="D195" i="32"/>
  <c r="D135" i="32"/>
  <c r="D75" i="32"/>
  <c r="G113" i="33"/>
  <c r="F113" i="33"/>
  <c r="G112" i="33"/>
  <c r="F112" i="33"/>
  <c r="G111" i="33"/>
  <c r="F111" i="33"/>
  <c r="G110" i="33"/>
  <c r="F110" i="33"/>
  <c r="G109" i="33"/>
  <c r="F109" i="33"/>
  <c r="G108" i="33"/>
  <c r="G115" i="33"/>
  <c r="F108" i="33"/>
  <c r="F115" i="33"/>
  <c r="G106" i="33"/>
  <c r="F106" i="33"/>
  <c r="E106" i="33"/>
  <c r="G98" i="33"/>
  <c r="F98" i="33"/>
  <c r="G97" i="33"/>
  <c r="F97" i="33"/>
  <c r="G96" i="33"/>
  <c r="F96" i="33"/>
  <c r="G95" i="33"/>
  <c r="F95" i="33"/>
  <c r="G94" i="33"/>
  <c r="F94" i="33"/>
  <c r="G93" i="33"/>
  <c r="G100" i="33" s="1"/>
  <c r="F93" i="33"/>
  <c r="F100" i="33"/>
  <c r="G91" i="33"/>
  <c r="F91" i="33"/>
  <c r="E91" i="33"/>
  <c r="T427" i="32"/>
  <c r="T429" i="32" s="1"/>
  <c r="S427" i="32"/>
  <c r="S429" i="32" s="1"/>
  <c r="R427" i="32"/>
  <c r="R429" i="32" s="1"/>
  <c r="Q427" i="32"/>
  <c r="P427" i="32"/>
  <c r="N427" i="32"/>
  <c r="M427" i="32"/>
  <c r="M429" i="32" s="1"/>
  <c r="L427" i="32"/>
  <c r="L429" i="32" s="1"/>
  <c r="K427" i="32"/>
  <c r="G389" i="32"/>
  <c r="F389" i="32"/>
  <c r="G388" i="32"/>
  <c r="F388" i="32"/>
  <c r="G387" i="32"/>
  <c r="F387" i="32"/>
  <c r="G386" i="32"/>
  <c r="F386" i="32"/>
  <c r="G385" i="32"/>
  <c r="F385" i="32"/>
  <c r="G384" i="32"/>
  <c r="F384" i="32"/>
  <c r="G383" i="32"/>
  <c r="F383" i="32"/>
  <c r="G382" i="32"/>
  <c r="F382" i="32"/>
  <c r="G381" i="32"/>
  <c r="F381" i="32"/>
  <c r="G380" i="32"/>
  <c r="F380" i="32"/>
  <c r="G379" i="32"/>
  <c r="F379" i="32"/>
  <c r="G378" i="32"/>
  <c r="F378" i="32"/>
  <c r="G377" i="32"/>
  <c r="F377" i="32"/>
  <c r="G376" i="32"/>
  <c r="G427" i="32" s="1"/>
  <c r="F376" i="32"/>
  <c r="F427" i="32"/>
  <c r="G374" i="32"/>
  <c r="F374" i="32"/>
  <c r="E374" i="32"/>
  <c r="G330" i="32"/>
  <c r="F330" i="32"/>
  <c r="G329" i="32"/>
  <c r="F329" i="32"/>
  <c r="G328" i="32"/>
  <c r="F328" i="32"/>
  <c r="G327" i="32"/>
  <c r="F327" i="32"/>
  <c r="G326" i="32"/>
  <c r="F326" i="32"/>
  <c r="G325" i="32"/>
  <c r="F325" i="32"/>
  <c r="G324" i="32"/>
  <c r="F324" i="32"/>
  <c r="G323" i="32"/>
  <c r="F323" i="32"/>
  <c r="G322" i="32"/>
  <c r="F322" i="32"/>
  <c r="G321" i="32"/>
  <c r="F321" i="32"/>
  <c r="G320" i="32"/>
  <c r="F320" i="32"/>
  <c r="G319" i="32"/>
  <c r="F319" i="32"/>
  <c r="G318" i="32"/>
  <c r="F318" i="32"/>
  <c r="G317" i="32"/>
  <c r="G368" i="32"/>
  <c r="F317" i="32"/>
  <c r="F368" i="32" s="1"/>
  <c r="G315" i="32"/>
  <c r="F315" i="32"/>
  <c r="E315" i="32"/>
  <c r="P429" i="32"/>
  <c r="Q429" i="32"/>
  <c r="E106" i="34"/>
  <c r="E105" i="34"/>
  <c r="E104" i="34"/>
  <c r="E103" i="34"/>
  <c r="E102" i="34"/>
  <c r="E92" i="34"/>
  <c r="E91" i="34"/>
  <c r="E90" i="34"/>
  <c r="E89" i="34"/>
  <c r="E88" i="34"/>
  <c r="E78" i="34"/>
  <c r="E77" i="34"/>
  <c r="E76" i="34"/>
  <c r="E75" i="34"/>
  <c r="E74" i="34"/>
  <c r="E64" i="34"/>
  <c r="E63" i="34"/>
  <c r="E62" i="34"/>
  <c r="E61" i="34"/>
  <c r="E60" i="34"/>
  <c r="E50" i="34"/>
  <c r="E49" i="34"/>
  <c r="E48" i="34"/>
  <c r="E47" i="34"/>
  <c r="E46" i="34"/>
  <c r="D17" i="28"/>
  <c r="D11" i="28"/>
  <c r="D21" i="25"/>
  <c r="C98" i="34"/>
  <c r="G106" i="34"/>
  <c r="F106" i="34"/>
  <c r="D106" i="34"/>
  <c r="G105" i="34"/>
  <c r="F105" i="34"/>
  <c r="D105" i="34"/>
  <c r="G104" i="34"/>
  <c r="F104" i="34"/>
  <c r="D104" i="34"/>
  <c r="G103" i="34"/>
  <c r="F103" i="34"/>
  <c r="D103" i="34"/>
  <c r="G102" i="34"/>
  <c r="G108" i="34"/>
  <c r="F102" i="34"/>
  <c r="F108" i="34"/>
  <c r="D102" i="34"/>
  <c r="H100" i="34"/>
  <c r="G100" i="34"/>
  <c r="F100" i="34"/>
  <c r="E100" i="34"/>
  <c r="C84" i="34"/>
  <c r="G92" i="34"/>
  <c r="F92" i="34"/>
  <c r="D92" i="34"/>
  <c r="G91" i="34"/>
  <c r="F91" i="34"/>
  <c r="D91" i="34"/>
  <c r="G90" i="34"/>
  <c r="F90" i="34"/>
  <c r="D90" i="34"/>
  <c r="G89" i="34"/>
  <c r="F89" i="34"/>
  <c r="D89" i="34"/>
  <c r="G88" i="34"/>
  <c r="G94" i="34" s="1"/>
  <c r="F88" i="34"/>
  <c r="F94" i="34"/>
  <c r="D88" i="34"/>
  <c r="H86" i="34"/>
  <c r="G86" i="34"/>
  <c r="F86" i="34"/>
  <c r="E86" i="34"/>
  <c r="C70" i="34"/>
  <c r="G78" i="34"/>
  <c r="F78" i="34"/>
  <c r="D78" i="34"/>
  <c r="G77" i="34"/>
  <c r="F77" i="34"/>
  <c r="D77" i="34"/>
  <c r="G76" i="34"/>
  <c r="F76" i="34"/>
  <c r="D76" i="34"/>
  <c r="G75" i="34"/>
  <c r="F75" i="34"/>
  <c r="D75" i="34"/>
  <c r="G74" i="34"/>
  <c r="G80" i="34"/>
  <c r="F74" i="34"/>
  <c r="F80" i="34" s="1"/>
  <c r="D74" i="34"/>
  <c r="H72" i="34"/>
  <c r="G72" i="34"/>
  <c r="F72" i="34"/>
  <c r="E72" i="34"/>
  <c r="C56" i="34"/>
  <c r="G64" i="34"/>
  <c r="F64" i="34"/>
  <c r="D64" i="34"/>
  <c r="G63" i="34"/>
  <c r="F63" i="34"/>
  <c r="D63" i="34"/>
  <c r="G62" i="34"/>
  <c r="F62" i="34"/>
  <c r="D62" i="34"/>
  <c r="G61" i="34"/>
  <c r="F61" i="34"/>
  <c r="D61" i="34"/>
  <c r="G60" i="34"/>
  <c r="G66" i="34"/>
  <c r="F60" i="34"/>
  <c r="F66" i="34"/>
  <c r="D60" i="34"/>
  <c r="H58" i="34"/>
  <c r="G58" i="34"/>
  <c r="F58" i="34"/>
  <c r="E58" i="34"/>
  <c r="C42" i="34"/>
  <c r="G50" i="34"/>
  <c r="F50" i="34"/>
  <c r="D50" i="34"/>
  <c r="G49" i="34"/>
  <c r="F49" i="34"/>
  <c r="D49" i="34"/>
  <c r="G48" i="34"/>
  <c r="F48" i="34"/>
  <c r="D48" i="34"/>
  <c r="G47" i="34"/>
  <c r="F47" i="34"/>
  <c r="D47" i="34"/>
  <c r="G46" i="34"/>
  <c r="G52" i="34"/>
  <c r="F46" i="34"/>
  <c r="F52" i="34"/>
  <c r="D46" i="34"/>
  <c r="H44" i="34"/>
  <c r="G44" i="34"/>
  <c r="F44" i="34"/>
  <c r="E44" i="34"/>
  <c r="D36" i="34"/>
  <c r="D35" i="34"/>
  <c r="D34" i="34"/>
  <c r="D33" i="34"/>
  <c r="D32" i="34"/>
  <c r="C28" i="34"/>
  <c r="D21" i="28"/>
  <c r="G36" i="34"/>
  <c r="F36" i="34"/>
  <c r="G35" i="34"/>
  <c r="F35" i="34"/>
  <c r="G34" i="34"/>
  <c r="F34" i="34"/>
  <c r="G33" i="34"/>
  <c r="F33" i="34"/>
  <c r="G32" i="34"/>
  <c r="G38" i="34"/>
  <c r="F32" i="34"/>
  <c r="F38" i="34"/>
  <c r="H30" i="34"/>
  <c r="G30" i="34"/>
  <c r="F30" i="34"/>
  <c r="E30" i="34"/>
  <c r="H10" i="34"/>
  <c r="G10" i="34"/>
  <c r="F10" i="34"/>
  <c r="E10" i="34"/>
  <c r="B10" i="34"/>
  <c r="T9" i="34"/>
  <c r="S9" i="34"/>
  <c r="R9" i="34"/>
  <c r="Q9" i="34"/>
  <c r="P9" i="34"/>
  <c r="O9" i="34"/>
  <c r="N9" i="34"/>
  <c r="M9" i="34"/>
  <c r="L9" i="34"/>
  <c r="K9" i="34"/>
  <c r="J9" i="34"/>
  <c r="B9" i="34"/>
  <c r="B8" i="34"/>
  <c r="B7" i="34"/>
  <c r="B6" i="34"/>
  <c r="B5" i="34"/>
  <c r="B4" i="34"/>
  <c r="B3" i="34"/>
  <c r="D20" i="25"/>
  <c r="D19" i="25"/>
  <c r="D17" i="25"/>
  <c r="D23" i="33"/>
  <c r="D22" i="33"/>
  <c r="D21" i="33"/>
  <c r="D20" i="33"/>
  <c r="D19" i="33"/>
  <c r="D18" i="33"/>
  <c r="G128" i="33"/>
  <c r="F128" i="33"/>
  <c r="G127" i="33"/>
  <c r="F127" i="33"/>
  <c r="G126" i="33"/>
  <c r="F126" i="33"/>
  <c r="G125" i="33"/>
  <c r="F125" i="33"/>
  <c r="G124" i="33"/>
  <c r="F124" i="33"/>
  <c r="G123" i="33"/>
  <c r="G130" i="33"/>
  <c r="F123" i="33"/>
  <c r="F130" i="33"/>
  <c r="G121" i="33"/>
  <c r="F121" i="33"/>
  <c r="E121" i="33"/>
  <c r="G83" i="33"/>
  <c r="F83" i="33"/>
  <c r="G82" i="33"/>
  <c r="F82" i="33"/>
  <c r="G81" i="33"/>
  <c r="F81" i="33"/>
  <c r="G80" i="33"/>
  <c r="F80" i="33"/>
  <c r="G79" i="33"/>
  <c r="F79" i="33"/>
  <c r="G78" i="33"/>
  <c r="G85" i="33" s="1"/>
  <c r="F78" i="33"/>
  <c r="F85" i="33"/>
  <c r="G76" i="33"/>
  <c r="F76" i="33"/>
  <c r="E76" i="33"/>
  <c r="G68" i="33"/>
  <c r="F68" i="33"/>
  <c r="G67" i="33"/>
  <c r="F67" i="33"/>
  <c r="G66" i="33"/>
  <c r="F66" i="33"/>
  <c r="G65" i="33"/>
  <c r="F65" i="33"/>
  <c r="G64" i="33"/>
  <c r="F64" i="33"/>
  <c r="G63" i="33"/>
  <c r="G70" i="33"/>
  <c r="F63" i="33"/>
  <c r="F70" i="33" s="1"/>
  <c r="G61" i="33"/>
  <c r="F61" i="33"/>
  <c r="E61" i="33"/>
  <c r="G53" i="33"/>
  <c r="F53" i="33"/>
  <c r="G52" i="33"/>
  <c r="F52" i="33"/>
  <c r="G51" i="33"/>
  <c r="F51" i="33"/>
  <c r="G50" i="33"/>
  <c r="F50" i="33"/>
  <c r="G49" i="33"/>
  <c r="F49" i="33"/>
  <c r="G48" i="33"/>
  <c r="G55" i="33"/>
  <c r="F48" i="33"/>
  <c r="F55" i="33"/>
  <c r="G46" i="33"/>
  <c r="F46" i="33"/>
  <c r="E46" i="33"/>
  <c r="G38" i="33"/>
  <c r="F38" i="33"/>
  <c r="G37" i="33"/>
  <c r="F37" i="33"/>
  <c r="G36" i="33"/>
  <c r="F36" i="33"/>
  <c r="G35" i="33"/>
  <c r="F35" i="33"/>
  <c r="G34" i="33"/>
  <c r="F34" i="33"/>
  <c r="G33" i="33"/>
  <c r="G40" i="33" s="1"/>
  <c r="F33" i="33"/>
  <c r="F40" i="33"/>
  <c r="G31" i="33"/>
  <c r="F31" i="33"/>
  <c r="E31" i="33"/>
  <c r="G23" i="33"/>
  <c r="F23" i="33"/>
  <c r="G22" i="33"/>
  <c r="F22" i="33"/>
  <c r="G21" i="33"/>
  <c r="F21" i="33"/>
  <c r="G20" i="33"/>
  <c r="F20" i="33"/>
  <c r="G19" i="33"/>
  <c r="F19" i="33"/>
  <c r="G18" i="33"/>
  <c r="G25" i="33"/>
  <c r="F18" i="33"/>
  <c r="F25" i="33" s="1"/>
  <c r="G16" i="33"/>
  <c r="F16" i="33"/>
  <c r="E16" i="33"/>
  <c r="G10" i="33"/>
  <c r="F10" i="33"/>
  <c r="E10" i="33"/>
  <c r="B10" i="33"/>
  <c r="T9" i="33"/>
  <c r="S9" i="33"/>
  <c r="R9" i="33"/>
  <c r="Q9" i="33"/>
  <c r="P9" i="33"/>
  <c r="O9" i="33"/>
  <c r="N9" i="33"/>
  <c r="M9" i="33"/>
  <c r="L9" i="33"/>
  <c r="K9" i="33"/>
  <c r="J9" i="33"/>
  <c r="B9" i="33"/>
  <c r="B8" i="33"/>
  <c r="B7" i="33"/>
  <c r="B6" i="33"/>
  <c r="B5" i="33"/>
  <c r="B4" i="33"/>
  <c r="B3" i="33"/>
  <c r="F448" i="32"/>
  <c r="G448" i="32"/>
  <c r="F449" i="32"/>
  <c r="G449" i="32"/>
  <c r="F269" i="32"/>
  <c r="G269" i="32"/>
  <c r="F270" i="32"/>
  <c r="G270" i="32"/>
  <c r="F209" i="32"/>
  <c r="G209" i="32"/>
  <c r="F210" i="32"/>
  <c r="G210" i="32"/>
  <c r="F149" i="32"/>
  <c r="G149" i="32"/>
  <c r="F150" i="32"/>
  <c r="G150" i="32"/>
  <c r="F89" i="32"/>
  <c r="G89" i="32"/>
  <c r="F90" i="32"/>
  <c r="G90" i="32"/>
  <c r="D30" i="32"/>
  <c r="F30" i="32"/>
  <c r="G30" i="32"/>
  <c r="D31" i="32"/>
  <c r="F31" i="32"/>
  <c r="G31" i="32"/>
  <c r="D29" i="32"/>
  <c r="D208" i="32" s="1"/>
  <c r="D28" i="32"/>
  <c r="D27" i="32"/>
  <c r="D26" i="32"/>
  <c r="D25" i="32"/>
  <c r="D24" i="32"/>
  <c r="D23" i="32"/>
  <c r="D22" i="32"/>
  <c r="D440" i="32" s="1"/>
  <c r="D21" i="32"/>
  <c r="D320" i="32" s="1"/>
  <c r="D20" i="32"/>
  <c r="D19" i="32"/>
  <c r="D18" i="32"/>
  <c r="D22" i="31"/>
  <c r="D23" i="31"/>
  <c r="D24" i="31"/>
  <c r="D21" i="31"/>
  <c r="D12" i="31"/>
  <c r="D13" i="31"/>
  <c r="D14" i="31"/>
  <c r="D15" i="31"/>
  <c r="D16" i="31"/>
  <c r="D17" i="31"/>
  <c r="D18" i="31"/>
  <c r="D19" i="31"/>
  <c r="D20" i="31"/>
  <c r="D11" i="31"/>
  <c r="G447" i="32"/>
  <c r="F447" i="32"/>
  <c r="G446" i="32"/>
  <c r="F446" i="32"/>
  <c r="G445" i="32"/>
  <c r="F445" i="32"/>
  <c r="G444" i="32"/>
  <c r="F444" i="32"/>
  <c r="G443" i="32"/>
  <c r="F443" i="32"/>
  <c r="G442" i="32"/>
  <c r="F442" i="32"/>
  <c r="G441" i="32"/>
  <c r="F441" i="32"/>
  <c r="G440" i="32"/>
  <c r="F440" i="32"/>
  <c r="G439" i="32"/>
  <c r="F439" i="32"/>
  <c r="G438" i="32"/>
  <c r="F438" i="32"/>
  <c r="G437" i="32"/>
  <c r="F437" i="32"/>
  <c r="G436" i="32"/>
  <c r="G487" i="32" s="1"/>
  <c r="F436" i="32"/>
  <c r="F487" i="32"/>
  <c r="G434" i="32"/>
  <c r="F434" i="32"/>
  <c r="E434" i="32"/>
  <c r="G268" i="32"/>
  <c r="F268" i="32"/>
  <c r="G267" i="32"/>
  <c r="F267" i="32"/>
  <c r="G266" i="32"/>
  <c r="F266" i="32"/>
  <c r="G265" i="32"/>
  <c r="F265" i="32"/>
  <c r="G264" i="32"/>
  <c r="F264" i="32"/>
  <c r="G263" i="32"/>
  <c r="F263" i="32"/>
  <c r="G262" i="32"/>
  <c r="F262" i="32"/>
  <c r="G261" i="32"/>
  <c r="F261" i="32"/>
  <c r="G260" i="32"/>
  <c r="F260" i="32"/>
  <c r="G259" i="32"/>
  <c r="F259" i="32"/>
  <c r="G258" i="32"/>
  <c r="F258" i="32"/>
  <c r="G257" i="32"/>
  <c r="G308" i="32" s="1"/>
  <c r="F257" i="32"/>
  <c r="F308" i="32"/>
  <c r="G255" i="32"/>
  <c r="F255" i="32"/>
  <c r="E255" i="32"/>
  <c r="G208" i="32"/>
  <c r="F208" i="32"/>
  <c r="G207" i="32"/>
  <c r="F207" i="32"/>
  <c r="G206" i="32"/>
  <c r="F206" i="32"/>
  <c r="G205" i="32"/>
  <c r="F205" i="32"/>
  <c r="G204" i="32"/>
  <c r="F204" i="32"/>
  <c r="G203" i="32"/>
  <c r="F203" i="32"/>
  <c r="G202" i="32"/>
  <c r="F202" i="32"/>
  <c r="G201" i="32"/>
  <c r="F201" i="32"/>
  <c r="G200" i="32"/>
  <c r="F200" i="32"/>
  <c r="G199" i="32"/>
  <c r="F199" i="32"/>
  <c r="G198" i="32"/>
  <c r="F198" i="32"/>
  <c r="G197" i="32"/>
  <c r="G248" i="32"/>
  <c r="F197" i="32"/>
  <c r="F248" i="32"/>
  <c r="G195" i="32"/>
  <c r="F195" i="32"/>
  <c r="E195" i="32"/>
  <c r="G148" i="32"/>
  <c r="F148" i="32"/>
  <c r="G147" i="32"/>
  <c r="F147" i="32"/>
  <c r="G146" i="32"/>
  <c r="F146" i="32"/>
  <c r="G145" i="32"/>
  <c r="F145" i="32"/>
  <c r="G144" i="32"/>
  <c r="F144" i="32"/>
  <c r="G143" i="32"/>
  <c r="F143" i="32"/>
  <c r="G142" i="32"/>
  <c r="F142" i="32"/>
  <c r="G141" i="32"/>
  <c r="F141" i="32"/>
  <c r="G140" i="32"/>
  <c r="F140" i="32"/>
  <c r="G139" i="32"/>
  <c r="F139" i="32"/>
  <c r="G138" i="32"/>
  <c r="F138" i="32"/>
  <c r="G137" i="32"/>
  <c r="G188" i="32"/>
  <c r="F137" i="32"/>
  <c r="F188" i="32"/>
  <c r="G135" i="32"/>
  <c r="F135" i="32"/>
  <c r="E135" i="32"/>
  <c r="G88" i="32"/>
  <c r="F88" i="32"/>
  <c r="G87" i="32"/>
  <c r="F87" i="32"/>
  <c r="G86" i="32"/>
  <c r="F86" i="32"/>
  <c r="G85" i="32"/>
  <c r="F85" i="32"/>
  <c r="G84" i="32"/>
  <c r="F84" i="32"/>
  <c r="G83" i="32"/>
  <c r="F83" i="32"/>
  <c r="G82" i="32"/>
  <c r="F82" i="32"/>
  <c r="G81" i="32"/>
  <c r="F81" i="32"/>
  <c r="G80" i="32"/>
  <c r="F80" i="32"/>
  <c r="G79" i="32"/>
  <c r="F79" i="32"/>
  <c r="G78" i="32"/>
  <c r="F78" i="32"/>
  <c r="G77" i="32"/>
  <c r="G128" i="32"/>
  <c r="F77" i="32"/>
  <c r="F128" i="32"/>
  <c r="G75" i="32"/>
  <c r="F75" i="32"/>
  <c r="E75" i="32"/>
  <c r="D33" i="33"/>
  <c r="D108" i="33"/>
  <c r="D93" i="33"/>
  <c r="D64" i="33"/>
  <c r="D94" i="33"/>
  <c r="D109" i="33"/>
  <c r="D98" i="33"/>
  <c r="D113" i="33"/>
  <c r="D35" i="33"/>
  <c r="D110" i="33"/>
  <c r="D95" i="33"/>
  <c r="D66" i="33"/>
  <c r="D111" i="33"/>
  <c r="D96" i="33"/>
  <c r="D439" i="32"/>
  <c r="D379" i="32"/>
  <c r="D328" i="32"/>
  <c r="D387" i="32"/>
  <c r="D321" i="32"/>
  <c r="D380" i="32"/>
  <c r="D441" i="32"/>
  <c r="D322" i="32"/>
  <c r="D381" i="32"/>
  <c r="D84" i="32"/>
  <c r="D324" i="32"/>
  <c r="D383" i="32"/>
  <c r="D448" i="32"/>
  <c r="D329" i="32"/>
  <c r="D388" i="32"/>
  <c r="D265" i="32"/>
  <c r="D325" i="32"/>
  <c r="D384" i="32"/>
  <c r="D198" i="32"/>
  <c r="D318" i="32"/>
  <c r="D377" i="32"/>
  <c r="D445" i="32"/>
  <c r="D326" i="32"/>
  <c r="D385" i="32"/>
  <c r="D77" i="32"/>
  <c r="D317" i="32"/>
  <c r="D376" i="32"/>
  <c r="D139" i="32"/>
  <c r="D319" i="32"/>
  <c r="D378" i="32"/>
  <c r="D87" i="32"/>
  <c r="D386" i="32"/>
  <c r="D327" i="32"/>
  <c r="D267" i="32"/>
  <c r="D80" i="32"/>
  <c r="D140" i="32"/>
  <c r="D206" i="32"/>
  <c r="D79" i="32"/>
  <c r="D446" i="32"/>
  <c r="D147" i="32"/>
  <c r="D200" i="32"/>
  <c r="D438" i="32"/>
  <c r="D89" i="32"/>
  <c r="D209" i="32"/>
  <c r="D260" i="32"/>
  <c r="D149" i="32"/>
  <c r="D269" i="32"/>
  <c r="D34" i="33"/>
  <c r="D124" i="33"/>
  <c r="D79" i="33"/>
  <c r="D49" i="33"/>
  <c r="D38" i="33"/>
  <c r="D128" i="33"/>
  <c r="D83" i="33"/>
  <c r="D53" i="33"/>
  <c r="D123" i="33"/>
  <c r="D63" i="33"/>
  <c r="D78" i="33"/>
  <c r="D48" i="33"/>
  <c r="D68" i="33"/>
  <c r="D125" i="33"/>
  <c r="D65" i="33"/>
  <c r="D80" i="33"/>
  <c r="D50" i="33"/>
  <c r="D36" i="33"/>
  <c r="D81" i="33"/>
  <c r="D126" i="33"/>
  <c r="D51" i="33"/>
  <c r="D146" i="32"/>
  <c r="D266" i="32"/>
  <c r="D437" i="32"/>
  <c r="D86" i="32"/>
  <c r="D138" i="32"/>
  <c r="D258" i="32"/>
  <c r="D78" i="32"/>
  <c r="D207" i="32"/>
  <c r="D259" i="32"/>
  <c r="D199" i="32"/>
  <c r="D81" i="32"/>
  <c r="D141" i="32"/>
  <c r="D201" i="32"/>
  <c r="D261" i="32"/>
  <c r="D144" i="32"/>
  <c r="D264" i="32"/>
  <c r="D443" i="32"/>
  <c r="D204" i="32"/>
  <c r="D142" i="32"/>
  <c r="D262" i="32"/>
  <c r="D85" i="32"/>
  <c r="D205" i="32"/>
  <c r="D444" i="32"/>
  <c r="D82" i="32"/>
  <c r="D202" i="32"/>
  <c r="D145" i="32"/>
  <c r="D197" i="32"/>
  <c r="D436" i="32"/>
  <c r="D137" i="32"/>
  <c r="D257" i="32"/>
  <c r="T9" i="32"/>
  <c r="S9" i="32"/>
  <c r="R9" i="32"/>
  <c r="Q9" i="32"/>
  <c r="P9" i="32"/>
  <c r="O9" i="32"/>
  <c r="N9" i="32"/>
  <c r="M9" i="32"/>
  <c r="L9" i="32"/>
  <c r="K9" i="32"/>
  <c r="J9" i="32"/>
  <c r="G19" i="32"/>
  <c r="G20" i="32"/>
  <c r="G21" i="32"/>
  <c r="G22" i="32"/>
  <c r="G23" i="32"/>
  <c r="G24" i="32"/>
  <c r="G25" i="32"/>
  <c r="G26" i="32"/>
  <c r="G27" i="32"/>
  <c r="G28" i="32"/>
  <c r="G29" i="32"/>
  <c r="G18" i="32"/>
  <c r="G69" i="32" s="1"/>
  <c r="F20" i="32"/>
  <c r="F21" i="32"/>
  <c r="F22" i="32"/>
  <c r="F23" i="32"/>
  <c r="F24" i="32"/>
  <c r="F25" i="32"/>
  <c r="F26" i="32"/>
  <c r="F27" i="32"/>
  <c r="F28" i="32"/>
  <c r="F29" i="32"/>
  <c r="F19" i="32"/>
  <c r="F18" i="32"/>
  <c r="G16" i="32"/>
  <c r="F16" i="32"/>
  <c r="E16" i="32"/>
  <c r="G10" i="32"/>
  <c r="F10" i="32"/>
  <c r="E10" i="32"/>
  <c r="B10" i="32"/>
  <c r="B9" i="32"/>
  <c r="B8" i="32"/>
  <c r="B7" i="32"/>
  <c r="B6" i="32"/>
  <c r="B5" i="32"/>
  <c r="B4" i="32"/>
  <c r="B3" i="32"/>
  <c r="A24" i="31"/>
  <c r="A23" i="31"/>
  <c r="A22" i="31"/>
  <c r="A15" i="31"/>
  <c r="A16" i="31"/>
  <c r="A17" i="31"/>
  <c r="A18" i="31"/>
  <c r="A19" i="31"/>
  <c r="A11" i="31"/>
  <c r="F69" i="32"/>
  <c r="A20" i="31"/>
  <c r="B4" i="31"/>
  <c r="B3" i="31"/>
  <c r="D56" i="4"/>
  <c r="E64" i="4"/>
  <c r="D64" i="4"/>
  <c r="D51" i="4"/>
  <c r="J17" i="4"/>
  <c r="B3" i="25"/>
  <c r="B3" i="4"/>
  <c r="B6" i="28"/>
  <c r="B4" i="28"/>
  <c r="J15" i="4"/>
  <c r="J16" i="4" s="1"/>
  <c r="K15" i="4" s="1"/>
  <c r="K16" i="4" s="1"/>
  <c r="K17" i="4"/>
  <c r="L17" i="4"/>
  <c r="M17" i="4"/>
  <c r="B4" i="25"/>
  <c r="N17" i="4"/>
  <c r="B4" i="4"/>
  <c r="O17" i="4"/>
  <c r="P17" i="4"/>
  <c r="Q17" i="4"/>
  <c r="R17" i="4"/>
  <c r="J7" i="50"/>
  <c r="J7" i="33"/>
  <c r="J7" i="34"/>
  <c r="S17" i="4"/>
  <c r="J7" i="32"/>
  <c r="K7" i="50"/>
  <c r="K7" i="34"/>
  <c r="T17" i="4"/>
  <c r="K7" i="32"/>
  <c r="K7" i="33"/>
  <c r="L7" i="50"/>
  <c r="L7" i="34"/>
  <c r="U17" i="4"/>
  <c r="M7" i="32"/>
  <c r="L7" i="33"/>
  <c r="L7" i="32"/>
  <c r="V17" i="4"/>
  <c r="M7" i="33"/>
  <c r="M7" i="50"/>
  <c r="N7" i="33"/>
  <c r="N7" i="34"/>
  <c r="M7" i="34"/>
  <c r="W17" i="4"/>
  <c r="N7" i="32"/>
  <c r="O7" i="33"/>
  <c r="O7" i="34"/>
  <c r="O7" i="32"/>
  <c r="X17" i="4"/>
  <c r="P7" i="33"/>
  <c r="P7" i="34"/>
  <c r="P7" i="32"/>
  <c r="Y17" i="4"/>
  <c r="Q7" i="33"/>
  <c r="Q7" i="34"/>
  <c r="Q7" i="32"/>
  <c r="Z17" i="4"/>
  <c r="R7" i="33"/>
  <c r="R7" i="34"/>
  <c r="R7" i="32"/>
  <c r="AA17" i="4"/>
  <c r="S7" i="33"/>
  <c r="S7" i="34"/>
  <c r="S7" i="32"/>
  <c r="AB17" i="4"/>
  <c r="T7" i="33"/>
  <c r="T7" i="34"/>
  <c r="T7" i="32"/>
  <c r="J308" i="32"/>
  <c r="J310" i="32" s="1"/>
  <c r="T110" i="33"/>
  <c r="N110" i="33"/>
  <c r="S110" i="33"/>
  <c r="P110" i="33"/>
  <c r="R110" i="33"/>
  <c r="Q110" i="33"/>
  <c r="L110" i="33"/>
  <c r="K110" i="33"/>
  <c r="M110" i="33"/>
  <c r="J80" i="33"/>
  <c r="J64" i="34" s="1"/>
  <c r="C44" i="48" s="1"/>
  <c r="P109" i="33"/>
  <c r="M109" i="33"/>
  <c r="N109" i="33"/>
  <c r="Q109" i="33"/>
  <c r="K109" i="33"/>
  <c r="R109" i="33"/>
  <c r="T109" i="33"/>
  <c r="L109" i="33"/>
  <c r="S109" i="33"/>
  <c r="J79" i="33"/>
  <c r="J50" i="34" s="1"/>
  <c r="C37" i="48" s="1"/>
  <c r="T111" i="33"/>
  <c r="R111" i="33"/>
  <c r="K111" i="33"/>
  <c r="N111" i="33"/>
  <c r="Q111" i="33"/>
  <c r="P111" i="33"/>
  <c r="S111" i="33"/>
  <c r="M111" i="33"/>
  <c r="J81" i="33"/>
  <c r="J78" i="34" s="1"/>
  <c r="C51" i="48" s="1"/>
  <c r="L111" i="33"/>
  <c r="A14" i="31"/>
  <c r="N108" i="33"/>
  <c r="J78" i="33"/>
  <c r="J36" i="34" s="1"/>
  <c r="T108" i="33"/>
  <c r="K108" i="33"/>
  <c r="P108" i="33"/>
  <c r="S108" i="33"/>
  <c r="Q108" i="33"/>
  <c r="M108" i="33"/>
  <c r="L108" i="33"/>
  <c r="R108" i="33"/>
  <c r="A12" i="31"/>
  <c r="M113" i="33" l="1" a="1"/>
  <c r="M113" i="33" s="1"/>
  <c r="M115" i="33" s="1"/>
  <c r="M117" i="33" s="1"/>
  <c r="S113" i="33" a="1"/>
  <c r="S113" i="33" s="1"/>
  <c r="S115" i="33" s="1"/>
  <c r="S117" i="33" s="1"/>
  <c r="A1" i="31"/>
  <c r="H19" i="25" s="1"/>
  <c r="K429" i="32"/>
  <c r="N429" i="32"/>
  <c r="J311" i="32"/>
  <c r="K18" i="4"/>
  <c r="K20" i="4" s="1"/>
  <c r="L15" i="4"/>
  <c r="L16" i="4" s="1"/>
  <c r="J18" i="4"/>
  <c r="J20" i="4" s="1"/>
  <c r="D263" i="32"/>
  <c r="D83" i="32"/>
  <c r="D442" i="32"/>
  <c r="D203" i="32"/>
  <c r="D382" i="32"/>
  <c r="D143" i="32"/>
  <c r="D323" i="32"/>
  <c r="D90" i="32"/>
  <c r="D210" i="32"/>
  <c r="D330" i="32"/>
  <c r="D150" i="32"/>
  <c r="D389" i="32"/>
  <c r="D270" i="32"/>
  <c r="D121" i="32"/>
  <c r="D480" i="32"/>
  <c r="D241" i="32"/>
  <c r="D361" i="32"/>
  <c r="D301" i="32"/>
  <c r="D181" i="32"/>
  <c r="D449" i="32"/>
  <c r="D95" i="32"/>
  <c r="D454" i="32"/>
  <c r="D215" i="32"/>
  <c r="D275" i="32"/>
  <c r="D155" i="32"/>
  <c r="D394" i="32"/>
  <c r="D335" i="32"/>
  <c r="D420" i="32"/>
  <c r="D425" i="32"/>
  <c r="D485" i="32"/>
  <c r="D306" i="32"/>
  <c r="D186" i="32"/>
  <c r="D126" i="32"/>
  <c r="D246" i="32"/>
  <c r="D366" i="32"/>
  <c r="D112" i="33"/>
  <c r="D97" i="33"/>
  <c r="D127" i="33"/>
  <c r="D67" i="33"/>
  <c r="D82" i="33"/>
  <c r="D52" i="33"/>
  <c r="D37" i="33"/>
  <c r="D356" i="32"/>
  <c r="D475" i="32"/>
  <c r="D296" i="32"/>
  <c r="D236" i="32"/>
  <c r="D415" i="32"/>
  <c r="D116" i="32"/>
  <c r="D331" i="32"/>
  <c r="D212" i="32"/>
  <c r="D300" i="32"/>
  <c r="D271" i="32"/>
  <c r="D305" i="32"/>
  <c r="D447" i="32"/>
  <c r="D211" i="32"/>
  <c r="D92" i="32"/>
  <c r="D268" i="32"/>
  <c r="D151" i="32"/>
  <c r="D450" i="32"/>
  <c r="D113" i="32"/>
  <c r="D165" i="32"/>
  <c r="D472" i="32"/>
  <c r="D91" i="32"/>
  <c r="D148" i="32"/>
  <c r="D88" i="32"/>
  <c r="D114" i="32"/>
  <c r="D290" i="32"/>
  <c r="D473" i="32"/>
  <c r="D170" i="32"/>
  <c r="D408" i="32"/>
  <c r="D413" i="32"/>
  <c r="D348" i="32"/>
  <c r="D111" i="32"/>
  <c r="D350" i="32"/>
  <c r="D169" i="32"/>
  <c r="D294" i="32"/>
  <c r="D230" i="32"/>
  <c r="D110" i="32"/>
  <c r="D354" i="32"/>
  <c r="D174" i="32"/>
  <c r="D167" i="32"/>
  <c r="D466" i="32"/>
  <c r="D347" i="32"/>
  <c r="D227" i="32"/>
  <c r="D287" i="32"/>
  <c r="D291" i="32"/>
  <c r="D410" i="32"/>
  <c r="D288" i="32"/>
  <c r="D171" i="32"/>
  <c r="D231" i="32"/>
  <c r="D108" i="32"/>
  <c r="D470" i="32"/>
  <c r="D407" i="32"/>
  <c r="D467" i="32"/>
  <c r="D168" i="32"/>
  <c r="D464" i="32"/>
  <c r="D345" i="32"/>
  <c r="D285" i="32"/>
  <c r="D404" i="32"/>
  <c r="D403" i="32"/>
  <c r="D344" i="32"/>
  <c r="D104" i="32"/>
  <c r="D163" i="32"/>
  <c r="D223" i="32"/>
  <c r="D283" i="32"/>
  <c r="D402" i="32"/>
  <c r="D282" i="32"/>
  <c r="D342" i="32"/>
  <c r="D461" i="32"/>
  <c r="D281" i="32"/>
  <c r="D400" i="32"/>
  <c r="D161" i="32"/>
  <c r="D101" i="32"/>
  <c r="D100" i="32"/>
  <c r="D459" i="32"/>
  <c r="D160" i="32"/>
  <c r="D399" i="32"/>
  <c r="D458" i="32"/>
  <c r="D339" i="32"/>
  <c r="D398" i="32"/>
  <c r="D219" i="32"/>
  <c r="D99" i="32"/>
  <c r="D397" i="32"/>
  <c r="D457" i="32"/>
  <c r="D98" i="32"/>
  <c r="D158" i="32"/>
  <c r="D338" i="32"/>
  <c r="C30" i="48"/>
  <c r="P113" i="33" a="1"/>
  <c r="P113" i="33" s="1"/>
  <c r="P115" i="33" s="1"/>
  <c r="P117" i="33" s="1"/>
  <c r="L113" i="33" a="1"/>
  <c r="L113" i="33" s="1"/>
  <c r="L115" i="33" s="1"/>
  <c r="L117" i="33" s="1"/>
  <c r="R113" i="33" a="1"/>
  <c r="R113" i="33" s="1"/>
  <c r="R115" i="33" s="1"/>
  <c r="R117" i="33" s="1"/>
  <c r="J83" i="33" a="1"/>
  <c r="J83" i="33" s="1"/>
  <c r="J106" i="34" s="1"/>
  <c r="C65" i="48" s="1"/>
  <c r="T113" i="33" a="1"/>
  <c r="T113" i="33" s="1"/>
  <c r="T115" i="33" s="1"/>
  <c r="T117" i="33" s="1"/>
  <c r="Q113" i="33" a="1"/>
  <c r="Q113" i="33" s="1"/>
  <c r="Q115" i="33" s="1"/>
  <c r="Q117" i="33" s="1"/>
  <c r="N113" i="33" a="1"/>
  <c r="N113" i="33" s="1"/>
  <c r="N115" i="33" s="1"/>
  <c r="N117" i="33" s="1"/>
  <c r="K113" i="33" a="1"/>
  <c r="K113" i="33" s="1"/>
  <c r="K115" i="33" s="1"/>
  <c r="K117" i="33" s="1"/>
  <c r="M15" i="4" l="1"/>
  <c r="M16" i="4" s="1"/>
  <c r="L18" i="4"/>
  <c r="L20" i="4" s="1"/>
  <c r="J20" i="34"/>
  <c r="C17" i="48" s="1"/>
  <c r="J85" i="33"/>
  <c r="J87" i="33" s="1"/>
  <c r="M18" i="4" l="1"/>
  <c r="M20" i="4" s="1"/>
  <c r="N15" i="4"/>
  <c r="N16" i="4" s="1"/>
  <c r="N18" i="4" l="1"/>
  <c r="N20" i="4" s="1"/>
  <c r="AD20" i="4" s="1"/>
  <c r="O15" i="4"/>
  <c r="O16" i="4" s="1"/>
  <c r="O18" i="4" l="1"/>
  <c r="O20" i="4" s="1"/>
  <c r="P15" i="4"/>
  <c r="P16" i="4" s="1"/>
  <c r="P18" i="4" l="1"/>
  <c r="P20" i="4" s="1"/>
  <c r="Q15" i="4"/>
  <c r="Q16" i="4" s="1"/>
  <c r="R15" i="4" l="1"/>
  <c r="Q18" i="4"/>
  <c r="Q20" i="4" s="1"/>
  <c r="J5" i="34" l="1"/>
  <c r="J5" i="32"/>
  <c r="J5" i="50"/>
  <c r="R16" i="4"/>
  <c r="J5" i="33"/>
  <c r="J6" i="34" l="1"/>
  <c r="S15" i="4"/>
  <c r="J6" i="32"/>
  <c r="R18" i="4"/>
  <c r="J6" i="50"/>
  <c r="J6" i="33"/>
  <c r="J8" i="50" l="1"/>
  <c r="R20" i="4"/>
  <c r="J8" i="32"/>
  <c r="J8" i="33"/>
  <c r="J8" i="34"/>
  <c r="K5" i="32"/>
  <c r="K5" i="50"/>
  <c r="K5" i="33"/>
  <c r="K5" i="34"/>
  <c r="S16" i="4"/>
  <c r="K6" i="32" l="1"/>
  <c r="K6" i="50"/>
  <c r="S18" i="4"/>
  <c r="T15" i="4"/>
  <c r="K6" i="33"/>
  <c r="K6" i="34"/>
  <c r="J10" i="32"/>
  <c r="J10" i="34"/>
  <c r="J10" i="50"/>
  <c r="J10" i="33"/>
  <c r="K8" i="50" l="1"/>
  <c r="K8" i="33"/>
  <c r="S20" i="4"/>
  <c r="K8" i="34"/>
  <c r="K8" i="32"/>
  <c r="J75" i="32"/>
  <c r="J495" i="32"/>
  <c r="J195" i="32"/>
  <c r="J434" i="32"/>
  <c r="J255" i="32"/>
  <c r="J16" i="32"/>
  <c r="J315" i="32"/>
  <c r="J374" i="32"/>
  <c r="J135" i="32"/>
  <c r="L5" i="34"/>
  <c r="T16" i="4"/>
  <c r="L5" i="33"/>
  <c r="L5" i="50"/>
  <c r="L5" i="32"/>
  <c r="J121" i="33"/>
  <c r="J61" i="33"/>
  <c r="J106" i="33"/>
  <c r="J16" i="33"/>
  <c r="J91" i="33"/>
  <c r="J76" i="33"/>
  <c r="J46" i="33"/>
  <c r="J31" i="33"/>
  <c r="J58" i="34"/>
  <c r="J30" i="34"/>
  <c r="J44" i="34"/>
  <c r="J86" i="34"/>
  <c r="J72" i="34"/>
  <c r="J100" i="34"/>
  <c r="J14" i="34"/>
  <c r="C11" i="48" s="1"/>
  <c r="J16" i="50"/>
  <c r="J24" i="50"/>
  <c r="L6" i="50" l="1"/>
  <c r="T18" i="4"/>
  <c r="U15" i="4"/>
  <c r="L6" i="33"/>
  <c r="L6" i="34"/>
  <c r="L6" i="32"/>
  <c r="K10" i="50"/>
  <c r="K10" i="34"/>
  <c r="K10" i="32"/>
  <c r="K10" i="33"/>
  <c r="C24" i="48"/>
  <c r="C74" i="48"/>
  <c r="C86" i="48"/>
  <c r="K495" i="32" l="1"/>
  <c r="K374" i="32"/>
  <c r="K255" i="32"/>
  <c r="K195" i="32"/>
  <c r="K135" i="32"/>
  <c r="K315" i="32"/>
  <c r="K75" i="32"/>
  <c r="K16" i="32"/>
  <c r="K434" i="32"/>
  <c r="K24" i="50"/>
  <c r="K16" i="50"/>
  <c r="K30" i="34"/>
  <c r="K58" i="34"/>
  <c r="K14" i="34"/>
  <c r="D11" i="48" s="1"/>
  <c r="K44" i="34"/>
  <c r="K72" i="34"/>
  <c r="K100" i="34"/>
  <c r="K86" i="34"/>
  <c r="M5" i="33"/>
  <c r="M5" i="34"/>
  <c r="U16" i="4"/>
  <c r="M5" i="32"/>
  <c r="M5" i="50"/>
  <c r="K46" i="33"/>
  <c r="K76" i="33"/>
  <c r="K31" i="33"/>
  <c r="K106" i="33"/>
  <c r="K121" i="33"/>
  <c r="K61" i="33"/>
  <c r="K16" i="33"/>
  <c r="K91" i="33"/>
  <c r="T20" i="4"/>
  <c r="L8" i="33"/>
  <c r="L8" i="34"/>
  <c r="L8" i="50"/>
  <c r="L8" i="32"/>
  <c r="L10" i="32" l="1"/>
  <c r="L10" i="50"/>
  <c r="L10" i="33"/>
  <c r="L10" i="34"/>
  <c r="D86" i="48"/>
  <c r="D24" i="48"/>
  <c r="D74" i="48"/>
  <c r="M6" i="50"/>
  <c r="M6" i="32"/>
  <c r="V15" i="4"/>
  <c r="M6" i="33"/>
  <c r="M6" i="34"/>
  <c r="U18" i="4"/>
  <c r="L135" i="32" l="1"/>
  <c r="L255" i="32"/>
  <c r="L195" i="32"/>
  <c r="L75" i="32"/>
  <c r="L495" i="32"/>
  <c r="L374" i="32"/>
  <c r="L315" i="32"/>
  <c r="L434" i="32"/>
  <c r="L16" i="32"/>
  <c r="M8" i="32"/>
  <c r="M8" i="50"/>
  <c r="M8" i="33"/>
  <c r="U20" i="4"/>
  <c r="M8" i="34"/>
  <c r="L100" i="34"/>
  <c r="L30" i="34"/>
  <c r="L58" i="34"/>
  <c r="L86" i="34"/>
  <c r="L44" i="34"/>
  <c r="L72" i="34"/>
  <c r="L14" i="34"/>
  <c r="E11" i="48" s="1"/>
  <c r="L61" i="33"/>
  <c r="L31" i="33"/>
  <c r="L91" i="33"/>
  <c r="L76" i="33"/>
  <c r="L106" i="33"/>
  <c r="L46" i="33"/>
  <c r="L121" i="33"/>
  <c r="L16" i="33"/>
  <c r="N5" i="33"/>
  <c r="N5" i="34"/>
  <c r="V16" i="4"/>
  <c r="N5" i="32"/>
  <c r="L24" i="50"/>
  <c r="L16" i="50"/>
  <c r="M10" i="32" l="1"/>
  <c r="M10" i="50"/>
  <c r="M10" i="34"/>
  <c r="M10" i="33"/>
  <c r="E74" i="48"/>
  <c r="E24" i="48"/>
  <c r="E86" i="48"/>
  <c r="N6" i="32"/>
  <c r="W15" i="4"/>
  <c r="N6" i="33"/>
  <c r="N6" i="34"/>
  <c r="V18" i="4"/>
  <c r="M30" i="34" l="1"/>
  <c r="M58" i="34"/>
  <c r="M14" i="34"/>
  <c r="F11" i="48" s="1"/>
  <c r="M44" i="34"/>
  <c r="M72" i="34"/>
  <c r="M100" i="34"/>
  <c r="M86" i="34"/>
  <c r="M121" i="33"/>
  <c r="M46" i="33"/>
  <c r="M31" i="33"/>
  <c r="M106" i="33"/>
  <c r="M61" i="33"/>
  <c r="M76" i="33"/>
  <c r="M16" i="33"/>
  <c r="M91" i="33"/>
  <c r="M24" i="50"/>
  <c r="M16" i="50"/>
  <c r="N8" i="34"/>
  <c r="V20" i="4"/>
  <c r="N8" i="33"/>
  <c r="N8" i="32"/>
  <c r="W16" i="4"/>
  <c r="O5" i="32"/>
  <c r="O5" i="33"/>
  <c r="O5" i="34"/>
  <c r="M374" i="32"/>
  <c r="M255" i="32"/>
  <c r="M135" i="32"/>
  <c r="M434" i="32"/>
  <c r="M16" i="32"/>
  <c r="M195" i="32"/>
  <c r="M495" i="32"/>
  <c r="M315" i="32"/>
  <c r="M75" i="32"/>
  <c r="O6" i="34" l="1"/>
  <c r="W18" i="4"/>
  <c r="X15" i="4"/>
  <c r="O6" i="33"/>
  <c r="O6" i="32"/>
  <c r="F74" i="48"/>
  <c r="F86" i="48"/>
  <c r="F24" i="48"/>
  <c r="N10" i="33"/>
  <c r="N10" i="34"/>
  <c r="N10" i="32"/>
  <c r="N10" i="50"/>
  <c r="N61" i="33" l="1"/>
  <c r="N121" i="33"/>
  <c r="N16" i="33"/>
  <c r="N106" i="33"/>
  <c r="N91" i="33"/>
  <c r="N31" i="33"/>
  <c r="N76" i="33"/>
  <c r="N46" i="33"/>
  <c r="N16" i="50"/>
  <c r="N24" i="50"/>
  <c r="N374" i="32"/>
  <c r="N434" i="32"/>
  <c r="N255" i="32"/>
  <c r="N16" i="32"/>
  <c r="N75" i="32"/>
  <c r="N315" i="32"/>
  <c r="N495" i="32"/>
  <c r="N135" i="32"/>
  <c r="N195" i="32"/>
  <c r="P5" i="34"/>
  <c r="P5" i="33"/>
  <c r="X16" i="4"/>
  <c r="P5" i="32"/>
  <c r="N72" i="34"/>
  <c r="N14" i="34"/>
  <c r="C11" i="51" s="1"/>
  <c r="N100" i="34"/>
  <c r="N86" i="34"/>
  <c r="N58" i="34"/>
  <c r="N30" i="34"/>
  <c r="N44" i="34"/>
  <c r="O8" i="32"/>
  <c r="O8" i="33"/>
  <c r="O8" i="34"/>
  <c r="W20" i="4"/>
  <c r="Y15" i="4" l="1"/>
  <c r="X18" i="4"/>
  <c r="P6" i="33"/>
  <c r="P6" i="34"/>
  <c r="P6" i="32"/>
  <c r="O10" i="34"/>
  <c r="O10" i="32"/>
  <c r="O10" i="33"/>
  <c r="O10" i="50"/>
  <c r="C74" i="51"/>
  <c r="C24" i="51"/>
  <c r="C86" i="51"/>
  <c r="O374" i="32" l="1"/>
  <c r="O255" i="32"/>
  <c r="O495" i="32"/>
  <c r="O75" i="32"/>
  <c r="O434" i="32"/>
  <c r="O315" i="32"/>
  <c r="O195" i="32"/>
  <c r="O135" i="32"/>
  <c r="O16" i="32"/>
  <c r="O16" i="50"/>
  <c r="O24" i="50"/>
  <c r="O31" i="33"/>
  <c r="O121" i="33"/>
  <c r="O91" i="33"/>
  <c r="O16" i="33"/>
  <c r="O61" i="33"/>
  <c r="O46" i="33"/>
  <c r="O76" i="33"/>
  <c r="O106" i="33"/>
  <c r="Q5" i="33"/>
  <c r="Q5" i="34"/>
  <c r="Q5" i="32"/>
  <c r="Y16" i="4"/>
  <c r="O58" i="34"/>
  <c r="O86" i="34"/>
  <c r="O72" i="34"/>
  <c r="O30" i="34"/>
  <c r="O44" i="34"/>
  <c r="O14" i="34"/>
  <c r="D11" i="51" s="1"/>
  <c r="O100" i="34"/>
  <c r="P8" i="34"/>
  <c r="P8" i="33"/>
  <c r="X20" i="4"/>
  <c r="P8" i="32"/>
  <c r="D24" i="51" l="1"/>
  <c r="D86" i="51"/>
  <c r="D74" i="51"/>
  <c r="Q6" i="33"/>
  <c r="Q6" i="32"/>
  <c r="Q6" i="34"/>
  <c r="Y18" i="4"/>
  <c r="Z15" i="4"/>
  <c r="P10" i="50"/>
  <c r="P10" i="34"/>
  <c r="P10" i="32"/>
  <c r="P10" i="33"/>
  <c r="P24" i="50" l="1"/>
  <c r="P16" i="50"/>
  <c r="R5" i="34"/>
  <c r="R5" i="32"/>
  <c r="R5" i="33"/>
  <c r="Z16" i="4"/>
  <c r="Q8" i="34"/>
  <c r="Y20" i="4"/>
  <c r="Q8" i="32"/>
  <c r="Q8" i="33"/>
  <c r="P121" i="33"/>
  <c r="P91" i="33"/>
  <c r="P16" i="33"/>
  <c r="P76" i="33"/>
  <c r="P31" i="33"/>
  <c r="P106" i="33"/>
  <c r="P46" i="33"/>
  <c r="P61" i="33"/>
  <c r="P495" i="32"/>
  <c r="P434" i="32"/>
  <c r="P315" i="32"/>
  <c r="P255" i="32"/>
  <c r="P16" i="32"/>
  <c r="P75" i="32"/>
  <c r="P374" i="32"/>
  <c r="P195" i="32"/>
  <c r="P135" i="32"/>
  <c r="P30" i="34"/>
  <c r="P86" i="34"/>
  <c r="P58" i="34"/>
  <c r="P72" i="34"/>
  <c r="P100" i="34"/>
  <c r="P44" i="34"/>
  <c r="P14" i="34"/>
  <c r="E11" i="51" s="1"/>
  <c r="R6" i="33" l="1"/>
  <c r="R6" i="34"/>
  <c r="Z18" i="4"/>
  <c r="R6" i="32"/>
  <c r="AA15" i="4"/>
  <c r="Q10" i="33"/>
  <c r="Q10" i="34"/>
  <c r="Q10" i="50"/>
  <c r="Q10" i="32"/>
  <c r="E74" i="51"/>
  <c r="E24" i="51"/>
  <c r="E86" i="51"/>
  <c r="Q91" i="33" l="1"/>
  <c r="Q61" i="33"/>
  <c r="Q106" i="33"/>
  <c r="Q31" i="33"/>
  <c r="Q16" i="33"/>
  <c r="Q76" i="33"/>
  <c r="Q46" i="33"/>
  <c r="Q121" i="33"/>
  <c r="Z20" i="4"/>
  <c r="R8" i="32"/>
  <c r="R8" i="33"/>
  <c r="R8" i="34"/>
  <c r="Q16" i="50"/>
  <c r="Q24" i="50"/>
  <c r="Q44" i="34"/>
  <c r="Q30" i="34"/>
  <c r="Q72" i="34"/>
  <c r="Q86" i="34"/>
  <c r="Q14" i="34"/>
  <c r="F11" i="51" s="1"/>
  <c r="Q100" i="34"/>
  <c r="Q58" i="34"/>
  <c r="AA16" i="4"/>
  <c r="S5" i="32"/>
  <c r="S5" i="33"/>
  <c r="S5" i="34"/>
  <c r="Q255" i="32"/>
  <c r="Q434" i="32"/>
  <c r="Q75" i="32"/>
  <c r="Q195" i="32"/>
  <c r="Q495" i="32"/>
  <c r="Q16" i="32"/>
  <c r="Q135" i="32"/>
  <c r="Q374" i="32"/>
  <c r="Q315" i="32"/>
  <c r="R10" i="33" l="1"/>
  <c r="R10" i="50"/>
  <c r="R10" i="34"/>
  <c r="R10" i="32"/>
  <c r="F86" i="51"/>
  <c r="F24" i="51"/>
  <c r="F74" i="51"/>
  <c r="AA18" i="4"/>
  <c r="S6" i="32"/>
  <c r="AB15" i="4"/>
  <c r="S6" i="33"/>
  <c r="S6" i="34"/>
  <c r="R76" i="33" l="1"/>
  <c r="R46" i="33"/>
  <c r="R121" i="33"/>
  <c r="R61" i="33"/>
  <c r="R91" i="33"/>
  <c r="R31" i="33"/>
  <c r="R106" i="33"/>
  <c r="R16" i="33"/>
  <c r="R195" i="32"/>
  <c r="R315" i="32"/>
  <c r="R374" i="32"/>
  <c r="R434" i="32"/>
  <c r="R75" i="32"/>
  <c r="R135" i="32"/>
  <c r="R495" i="32"/>
  <c r="R16" i="32"/>
  <c r="R255" i="32"/>
  <c r="S8" i="34"/>
  <c r="AA20" i="4"/>
  <c r="S8" i="32"/>
  <c r="S8" i="33"/>
  <c r="R86" i="34"/>
  <c r="R72" i="34"/>
  <c r="R100" i="34"/>
  <c r="R30" i="34"/>
  <c r="R58" i="34"/>
  <c r="R14" i="34"/>
  <c r="G11" i="51" s="1"/>
  <c r="R44" i="34"/>
  <c r="AB16" i="4"/>
  <c r="T5" i="32"/>
  <c r="T5" i="33"/>
  <c r="T5" i="34"/>
  <c r="R24" i="50"/>
  <c r="R16" i="50"/>
  <c r="AB18" i="4" l="1"/>
  <c r="T6" i="33"/>
  <c r="T6" i="34"/>
  <c r="T6" i="32"/>
  <c r="G74" i="51"/>
  <c r="G24" i="51"/>
  <c r="G86" i="51"/>
  <c r="S10" i="34"/>
  <c r="S10" i="50"/>
  <c r="S10" i="32"/>
  <c r="S10" i="33"/>
  <c r="S72" i="34" l="1"/>
  <c r="S30" i="34"/>
  <c r="S14" i="34"/>
  <c r="H11" i="51" s="1"/>
  <c r="S100" i="34"/>
  <c r="S58" i="34"/>
  <c r="S44" i="34"/>
  <c r="S86" i="34"/>
  <c r="S76" i="33"/>
  <c r="S31" i="33"/>
  <c r="S16" i="33"/>
  <c r="S61" i="33"/>
  <c r="S91" i="33"/>
  <c r="S106" i="33"/>
  <c r="S46" i="33"/>
  <c r="S121" i="33"/>
  <c r="S315" i="32"/>
  <c r="S374" i="32"/>
  <c r="S75" i="32"/>
  <c r="S195" i="32"/>
  <c r="S135" i="32"/>
  <c r="S434" i="32"/>
  <c r="S255" i="32"/>
  <c r="S495" i="32"/>
  <c r="S16" i="32"/>
  <c r="S24" i="50"/>
  <c r="S16" i="50"/>
  <c r="T8" i="33"/>
  <c r="T8" i="34"/>
  <c r="T8" i="32"/>
  <c r="AB20" i="4"/>
  <c r="T10" i="32" l="1"/>
  <c r="T10" i="33"/>
  <c r="T10" i="34"/>
  <c r="T10" i="50"/>
  <c r="AE20" i="4"/>
  <c r="H24" i="51"/>
  <c r="H86" i="51"/>
  <c r="H74" i="51"/>
  <c r="T495" i="32" l="1"/>
  <c r="T374" i="32"/>
  <c r="T135" i="32"/>
  <c r="T195" i="32"/>
  <c r="T315" i="32"/>
  <c r="T75" i="32"/>
  <c r="T434" i="32"/>
  <c r="T16" i="32"/>
  <c r="T255" i="32"/>
  <c r="T100" i="34"/>
  <c r="T58" i="34"/>
  <c r="T44" i="34"/>
  <c r="T30" i="34"/>
  <c r="T14" i="34"/>
  <c r="I11" i="51" s="1"/>
  <c r="T86" i="34"/>
  <c r="T72" i="34"/>
  <c r="T24" i="50"/>
  <c r="T16" i="50"/>
  <c r="T16" i="33"/>
  <c r="T31" i="33"/>
  <c r="T61" i="33"/>
  <c r="T121" i="33"/>
  <c r="T106" i="33"/>
  <c r="T46" i="33"/>
  <c r="T91" i="33"/>
  <c r="T76" i="33"/>
  <c r="I24" i="51" l="1"/>
  <c r="I74" i="51"/>
  <c r="I86" i="51"/>
  <c r="K497" i="32" l="1"/>
  <c r="L497" i="32"/>
  <c r="M497" i="32"/>
  <c r="N497" i="32"/>
  <c r="O497" i="32" l="1"/>
  <c r="N26" i="50"/>
  <c r="J497" i="32"/>
  <c r="K27" i="50"/>
  <c r="L27" i="50" s="1"/>
  <c r="M27" i="50" s="1"/>
  <c r="N27" i="50" s="1"/>
  <c r="O27" i="50" s="1"/>
  <c r="J65" i="33" l="1"/>
  <c r="J64" i="33"/>
  <c r="J66" i="33"/>
  <c r="J67" i="33" a="1"/>
  <c r="J67" i="33" s="1"/>
  <c r="J68" i="33" a="1"/>
  <c r="J68" i="33" s="1"/>
  <c r="J248" i="32"/>
  <c r="J63" i="33"/>
  <c r="P27" i="50"/>
  <c r="O30" i="50"/>
  <c r="J125" i="32"/>
  <c r="J101" i="32"/>
  <c r="J119" i="32"/>
  <c r="J359" i="32" s="1"/>
  <c r="J478" i="32" s="1"/>
  <c r="K60" i="32" s="1"/>
  <c r="K119" i="32" s="1"/>
  <c r="K359" i="32" s="1"/>
  <c r="K478" i="32" s="1"/>
  <c r="L60" i="32" s="1"/>
  <c r="L119" i="32" s="1"/>
  <c r="L359" i="32" s="1"/>
  <c r="L478" i="32" s="1"/>
  <c r="M60" i="32" s="1"/>
  <c r="M119" i="32" s="1"/>
  <c r="M359" i="32" s="1"/>
  <c r="M478" i="32" s="1"/>
  <c r="N60" i="32" s="1"/>
  <c r="N119" i="32" s="1"/>
  <c r="N359" i="32" s="1"/>
  <c r="N478" i="32" s="1"/>
  <c r="O60" i="32" s="1"/>
  <c r="O119" i="32" s="1"/>
  <c r="O359" i="32" s="1"/>
  <c r="O478" i="32" s="1"/>
  <c r="J121" i="32"/>
  <c r="J361" i="32" s="1"/>
  <c r="J480" i="32" s="1"/>
  <c r="K62" i="32" s="1"/>
  <c r="K121" i="32" s="1"/>
  <c r="K361" i="32" s="1"/>
  <c r="K480" i="32" s="1"/>
  <c r="L62" i="32" s="1"/>
  <c r="L121" i="32" s="1"/>
  <c r="L361" i="32" s="1"/>
  <c r="L480" i="32" s="1"/>
  <c r="M62" i="32" s="1"/>
  <c r="M121" i="32" s="1"/>
  <c r="M361" i="32" s="1"/>
  <c r="M480" i="32" s="1"/>
  <c r="N62" i="32" s="1"/>
  <c r="N121" i="32" s="1"/>
  <c r="N361" i="32" s="1"/>
  <c r="N480" i="32" s="1"/>
  <c r="O62" i="32" s="1"/>
  <c r="O121" i="32" s="1"/>
  <c r="O361" i="32" s="1"/>
  <c r="O480" i="32" s="1"/>
  <c r="J100" i="32"/>
  <c r="J118" i="32"/>
  <c r="J358" i="32" s="1"/>
  <c r="J477" i="32" s="1"/>
  <c r="K59" i="32" s="1"/>
  <c r="K118" i="32" s="1"/>
  <c r="K358" i="32" s="1"/>
  <c r="K477" i="32" s="1"/>
  <c r="L59" i="32" s="1"/>
  <c r="L118" i="32" s="1"/>
  <c r="L358" i="32" s="1"/>
  <c r="L477" i="32" s="1"/>
  <c r="M59" i="32" s="1"/>
  <c r="M118" i="32" s="1"/>
  <c r="M358" i="32" s="1"/>
  <c r="M477" i="32" s="1"/>
  <c r="N59" i="32" s="1"/>
  <c r="N118" i="32" s="1"/>
  <c r="N358" i="32" s="1"/>
  <c r="N477" i="32" s="1"/>
  <c r="O59" i="32" s="1"/>
  <c r="O118" i="32" s="1"/>
  <c r="O358" i="32" s="1"/>
  <c r="O477" i="32" s="1"/>
  <c r="J115" i="32"/>
  <c r="J355" i="32" s="1"/>
  <c r="J474" i="32" s="1"/>
  <c r="K56" i="32" s="1"/>
  <c r="K115" i="32" s="1"/>
  <c r="K355" i="32" s="1"/>
  <c r="K474" i="32" s="1"/>
  <c r="L56" i="32" s="1"/>
  <c r="L115" i="32" s="1"/>
  <c r="L355" i="32" s="1"/>
  <c r="L474" i="32" s="1"/>
  <c r="M56" i="32" s="1"/>
  <c r="M115" i="32" s="1"/>
  <c r="M355" i="32" s="1"/>
  <c r="M474" i="32" s="1"/>
  <c r="N56" i="32" s="1"/>
  <c r="N115" i="32" s="1"/>
  <c r="N355" i="32" s="1"/>
  <c r="N474" i="32" s="1"/>
  <c r="O56" i="32" s="1"/>
  <c r="O115" i="32" s="1"/>
  <c r="O355" i="32" s="1"/>
  <c r="O474" i="32" s="1"/>
  <c r="J123" i="32"/>
  <c r="J363" i="32" s="1"/>
  <c r="J482" i="32" s="1"/>
  <c r="K64" i="32" s="1"/>
  <c r="K123" i="32" s="1"/>
  <c r="K363" i="32" s="1"/>
  <c r="K482" i="32" s="1"/>
  <c r="L64" i="32" s="1"/>
  <c r="L123" i="32" s="1"/>
  <c r="L363" i="32" s="1"/>
  <c r="L482" i="32" s="1"/>
  <c r="M64" i="32" s="1"/>
  <c r="M123" i="32" s="1"/>
  <c r="M363" i="32" s="1"/>
  <c r="M482" i="32" s="1"/>
  <c r="N64" i="32" s="1"/>
  <c r="N123" i="32" s="1"/>
  <c r="N363" i="32" s="1"/>
  <c r="N482" i="32" s="1"/>
  <c r="O64" i="32" s="1"/>
  <c r="O123" i="32" s="1"/>
  <c r="O363" i="32" s="1"/>
  <c r="O482" i="32" s="1"/>
  <c r="J102" i="32"/>
  <c r="J117" i="32"/>
  <c r="J357" i="32" s="1"/>
  <c r="J476" i="32" s="1"/>
  <c r="K58" i="32" s="1"/>
  <c r="J104" i="32"/>
  <c r="J110" i="32"/>
  <c r="J350" i="32" s="1"/>
  <c r="J469" i="32" s="1"/>
  <c r="K51" i="32" s="1"/>
  <c r="K110" i="32" s="1"/>
  <c r="K350" i="32" s="1"/>
  <c r="K469" i="32" s="1"/>
  <c r="L51" i="32" s="1"/>
  <c r="L110" i="32" s="1"/>
  <c r="L350" i="32" s="1"/>
  <c r="L469" i="32" s="1"/>
  <c r="M51" i="32" s="1"/>
  <c r="M110" i="32" s="1"/>
  <c r="M350" i="32" s="1"/>
  <c r="M469" i="32" s="1"/>
  <c r="N51" i="32" s="1"/>
  <c r="N110" i="32" s="1"/>
  <c r="N350" i="32" s="1"/>
  <c r="N469" i="32" s="1"/>
  <c r="O51" i="32" s="1"/>
  <c r="O110" i="32" s="1"/>
  <c r="O350" i="32" s="1"/>
  <c r="O469" i="32" s="1"/>
  <c r="J112" i="32"/>
  <c r="J352" i="32" s="1"/>
  <c r="J471" i="32" s="1"/>
  <c r="K53" i="32" s="1"/>
  <c r="K112" i="32" s="1"/>
  <c r="K352" i="32" s="1"/>
  <c r="K471" i="32" s="1"/>
  <c r="L53" i="32" s="1"/>
  <c r="L112" i="32" s="1"/>
  <c r="L352" i="32" s="1"/>
  <c r="L471" i="32" s="1"/>
  <c r="M53" i="32" s="1"/>
  <c r="M112" i="32" s="1"/>
  <c r="M352" i="32" s="1"/>
  <c r="M471" i="32" s="1"/>
  <c r="N53" i="32" s="1"/>
  <c r="N112" i="32" s="1"/>
  <c r="N352" i="32" s="1"/>
  <c r="N471" i="32" s="1"/>
  <c r="O53" i="32" s="1"/>
  <c r="O112" i="32" s="1"/>
  <c r="O352" i="32" s="1"/>
  <c r="O471" i="32" s="1"/>
  <c r="J98" i="32"/>
  <c r="J124" i="32"/>
  <c r="J116" i="32"/>
  <c r="J356" i="32" s="1"/>
  <c r="J475" i="32" s="1"/>
  <c r="K57" i="32" s="1"/>
  <c r="K116" i="32" s="1"/>
  <c r="K356" i="32" s="1"/>
  <c r="K475" i="32" s="1"/>
  <c r="L57" i="32" s="1"/>
  <c r="L116" i="32" s="1"/>
  <c r="L356" i="32" s="1"/>
  <c r="L475" i="32" s="1"/>
  <c r="M57" i="32" s="1"/>
  <c r="M116" i="32" s="1"/>
  <c r="M356" i="32" s="1"/>
  <c r="M475" i="32" s="1"/>
  <c r="N57" i="32" s="1"/>
  <c r="N116" i="32" s="1"/>
  <c r="N356" i="32" s="1"/>
  <c r="N475" i="32" s="1"/>
  <c r="O57" i="32" s="1"/>
  <c r="O116" i="32" s="1"/>
  <c r="O356" i="32" s="1"/>
  <c r="O475" i="32" s="1"/>
  <c r="J99" i="32"/>
  <c r="J108" i="32"/>
  <c r="J114" i="32"/>
  <c r="J354" i="32" s="1"/>
  <c r="J473" i="32" s="1"/>
  <c r="K55" i="32" s="1"/>
  <c r="K114" i="32" s="1"/>
  <c r="K354" i="32" s="1"/>
  <c r="K473" i="32" s="1"/>
  <c r="L55" i="32" s="1"/>
  <c r="L114" i="32" s="1"/>
  <c r="L354" i="32" s="1"/>
  <c r="L473" i="32" s="1"/>
  <c r="M55" i="32" s="1"/>
  <c r="M114" i="32" s="1"/>
  <c r="M354" i="32" s="1"/>
  <c r="M473" i="32" s="1"/>
  <c r="N55" i="32" s="1"/>
  <c r="N114" i="32" s="1"/>
  <c r="N354" i="32" s="1"/>
  <c r="N473" i="32" s="1"/>
  <c r="O55" i="32" s="1"/>
  <c r="O114" i="32" s="1"/>
  <c r="O354" i="32" s="1"/>
  <c r="O473" i="32" s="1"/>
  <c r="J111" i="32"/>
  <c r="J351" i="32" s="1"/>
  <c r="J470" i="32" s="1"/>
  <c r="K52" i="32" s="1"/>
  <c r="K111" i="32" s="1"/>
  <c r="K351" i="32" s="1"/>
  <c r="K470" i="32" s="1"/>
  <c r="L52" i="32" s="1"/>
  <c r="L111" i="32" s="1"/>
  <c r="L351" i="32" s="1"/>
  <c r="L470" i="32" s="1"/>
  <c r="M52" i="32" s="1"/>
  <c r="M111" i="32" s="1"/>
  <c r="M351" i="32" s="1"/>
  <c r="M470" i="32" s="1"/>
  <c r="N52" i="32" s="1"/>
  <c r="N111" i="32" s="1"/>
  <c r="N351" i="32" s="1"/>
  <c r="N470" i="32" s="1"/>
  <c r="O52" i="32" s="1"/>
  <c r="O111" i="32" s="1"/>
  <c r="O351" i="32" s="1"/>
  <c r="O470" i="32" s="1"/>
  <c r="J109" i="32"/>
  <c r="J349" i="32" s="1"/>
  <c r="J468" i="32" s="1"/>
  <c r="K50" i="32" s="1"/>
  <c r="K109" i="32" s="1"/>
  <c r="K349" i="32" s="1"/>
  <c r="K468" i="32" s="1"/>
  <c r="L50" i="32" s="1"/>
  <c r="L109" i="32" s="1"/>
  <c r="L349" i="32" s="1"/>
  <c r="L468" i="32" s="1"/>
  <c r="M50" i="32" s="1"/>
  <c r="M109" i="32" s="1"/>
  <c r="M349" i="32" s="1"/>
  <c r="M468" i="32" s="1"/>
  <c r="N50" i="32" s="1"/>
  <c r="N109" i="32" s="1"/>
  <c r="N349" i="32" s="1"/>
  <c r="N468" i="32" s="1"/>
  <c r="O50" i="32" s="1"/>
  <c r="O109" i="32" s="1"/>
  <c r="O349" i="32" s="1"/>
  <c r="O468" i="32" s="1"/>
  <c r="J122" i="32"/>
  <c r="J362" i="32" s="1"/>
  <c r="J481" i="32" s="1"/>
  <c r="K63" i="32" s="1"/>
  <c r="K122" i="32" s="1"/>
  <c r="K362" i="32" s="1"/>
  <c r="K481" i="32" s="1"/>
  <c r="L63" i="32" s="1"/>
  <c r="L122" i="32" s="1"/>
  <c r="L362" i="32" s="1"/>
  <c r="L481" i="32" s="1"/>
  <c r="M63" i="32" s="1"/>
  <c r="M122" i="32" s="1"/>
  <c r="M362" i="32" s="1"/>
  <c r="M481" i="32" s="1"/>
  <c r="N63" i="32" s="1"/>
  <c r="N122" i="32" s="1"/>
  <c r="N362" i="32" s="1"/>
  <c r="N481" i="32" s="1"/>
  <c r="O63" i="32" s="1"/>
  <c r="O122" i="32" s="1"/>
  <c r="O362" i="32" s="1"/>
  <c r="O481" i="32" s="1"/>
  <c r="J103" i="32"/>
  <c r="J113" i="32"/>
  <c r="J353" i="32" s="1"/>
  <c r="J472" i="32" s="1"/>
  <c r="K54" i="32" s="1"/>
  <c r="K113" i="32" s="1"/>
  <c r="K353" i="32" s="1"/>
  <c r="K472" i="32" s="1"/>
  <c r="L54" i="32" s="1"/>
  <c r="L113" i="32" s="1"/>
  <c r="L353" i="32" s="1"/>
  <c r="L472" i="32" s="1"/>
  <c r="M54" i="32" s="1"/>
  <c r="M113" i="32" s="1"/>
  <c r="M353" i="32" s="1"/>
  <c r="M472" i="32" s="1"/>
  <c r="N54" i="32" s="1"/>
  <c r="N113" i="32" s="1"/>
  <c r="N353" i="32" s="1"/>
  <c r="N472" i="32" s="1"/>
  <c r="O54" i="32" s="1"/>
  <c r="O113" i="32" s="1"/>
  <c r="O353" i="32" s="1"/>
  <c r="O472" i="32" s="1"/>
  <c r="J107" i="32"/>
  <c r="J105" i="32"/>
  <c r="J120" i="32"/>
  <c r="J360" i="32" s="1"/>
  <c r="J479" i="32" s="1"/>
  <c r="K61" i="32" s="1"/>
  <c r="K120" i="32" s="1"/>
  <c r="K360" i="32" s="1"/>
  <c r="K479" i="32" s="1"/>
  <c r="L61" i="32" s="1"/>
  <c r="L120" i="32" s="1"/>
  <c r="L360" i="32" s="1"/>
  <c r="L479" i="32" s="1"/>
  <c r="M61" i="32" s="1"/>
  <c r="M120" i="32" s="1"/>
  <c r="M360" i="32" s="1"/>
  <c r="M479" i="32" s="1"/>
  <c r="N61" i="32" s="1"/>
  <c r="N120" i="32" s="1"/>
  <c r="N360" i="32" s="1"/>
  <c r="N479" i="32" s="1"/>
  <c r="O61" i="32" s="1"/>
  <c r="O120" i="32" s="1"/>
  <c r="O360" i="32" s="1"/>
  <c r="O479" i="32" s="1"/>
  <c r="N30" i="50"/>
  <c r="M26" i="50"/>
  <c r="J70" i="33" l="1"/>
  <c r="J72" i="33" s="1"/>
  <c r="J250" i="32"/>
  <c r="K117" i="32"/>
  <c r="K357" i="32" s="1"/>
  <c r="K476" i="32" s="1"/>
  <c r="L58" i="32" s="1"/>
  <c r="L117" i="32" s="1"/>
  <c r="L357" i="32" s="1"/>
  <c r="L476" i="32" s="1"/>
  <c r="M58" i="32" s="1"/>
  <c r="M117" i="32" s="1"/>
  <c r="M357" i="32" s="1"/>
  <c r="M476" i="32" s="1"/>
  <c r="N58" i="32" s="1"/>
  <c r="N117" i="32" s="1"/>
  <c r="N357" i="32" s="1"/>
  <c r="N476" i="32" s="1"/>
  <c r="O58" i="32" s="1"/>
  <c r="L26" i="50"/>
  <c r="M30" i="50"/>
  <c r="L30" i="50" l="1"/>
  <c r="K26" i="50"/>
  <c r="O117" i="32"/>
  <c r="O357" i="32" s="1"/>
  <c r="O476" i="32" s="1"/>
  <c r="J26" i="50" l="1"/>
  <c r="J30" i="50" s="1"/>
  <c r="K30" i="50"/>
  <c r="J126" i="32" l="1"/>
  <c r="J80" i="32" l="1"/>
  <c r="J82" i="32"/>
  <c r="J84" i="32"/>
  <c r="J86" i="32"/>
  <c r="J88" i="32"/>
  <c r="J90" i="32"/>
  <c r="J92" i="32"/>
  <c r="J332" i="32"/>
  <c r="J451" i="32" s="1"/>
  <c r="K33" i="32" s="1"/>
  <c r="K92" i="32" s="1"/>
  <c r="J94" i="32"/>
  <c r="J96" i="32"/>
  <c r="J338" i="32"/>
  <c r="J457" i="32" s="1"/>
  <c r="K39" i="32" s="1"/>
  <c r="K98" i="32" s="1"/>
  <c r="J340" i="32"/>
  <c r="J459" i="32" s="1"/>
  <c r="K41" i="32" s="1"/>
  <c r="K100" i="32" s="1"/>
  <c r="J342" i="32"/>
  <c r="J461" i="32" s="1"/>
  <c r="K43" i="32" s="1"/>
  <c r="K102" i="32" s="1"/>
  <c r="J344" i="32"/>
  <c r="J463" i="32" s="1"/>
  <c r="K45" i="32" s="1"/>
  <c r="K104" i="32" s="1"/>
  <c r="J106" i="32"/>
  <c r="J81" i="32"/>
  <c r="J321" i="32"/>
  <c r="J440" i="32" s="1"/>
  <c r="K22" i="32" s="1"/>
  <c r="K81" i="32" s="1"/>
  <c r="J83" i="32"/>
  <c r="J323" i="32"/>
  <c r="J442" i="32" s="1"/>
  <c r="K24" i="32" s="1"/>
  <c r="K83" i="32" s="1"/>
  <c r="J85" i="32"/>
  <c r="J87" i="32"/>
  <c r="J89" i="32"/>
  <c r="J91" i="32"/>
  <c r="J331" i="32"/>
  <c r="J450" i="32" s="1"/>
  <c r="K32" i="32" s="1"/>
  <c r="K91" i="32" s="1"/>
  <c r="J93" i="32"/>
  <c r="J333" i="32"/>
  <c r="J452" i="32" s="1"/>
  <c r="K34" i="32" s="1"/>
  <c r="K93" i="32" s="1"/>
  <c r="J95" i="32"/>
  <c r="J335" i="32"/>
  <c r="J454" i="32" s="1"/>
  <c r="K36" i="32" s="1"/>
  <c r="K95" i="32" s="1"/>
  <c r="J97" i="32"/>
  <c r="J339" i="32"/>
  <c r="J458" i="32" s="1"/>
  <c r="K40" i="32" s="1"/>
  <c r="K99" i="32" s="1"/>
  <c r="J341" i="32"/>
  <c r="J460" i="32" s="1"/>
  <c r="K42" i="32" s="1"/>
  <c r="K101" i="32" s="1"/>
  <c r="J343" i="32"/>
  <c r="J462" i="32" s="1"/>
  <c r="K44" i="32" s="1"/>
  <c r="K103" i="32" s="1"/>
  <c r="J345" i="32"/>
  <c r="J464" i="32" s="1"/>
  <c r="K46" i="32" s="1"/>
  <c r="K105" i="32" s="1"/>
  <c r="J348" i="32"/>
  <c r="J467" i="32" s="1"/>
  <c r="K49" i="32" s="1"/>
  <c r="K108" i="32" s="1"/>
  <c r="J365" i="32"/>
  <c r="J484" i="32" s="1"/>
  <c r="K66" i="32" s="1"/>
  <c r="K125" i="32" s="1"/>
  <c r="J347" i="32"/>
  <c r="J466" i="32" s="1"/>
  <c r="K48" i="32" s="1"/>
  <c r="K107" i="32" s="1"/>
  <c r="J364" i="32"/>
  <c r="J483" i="32" s="1"/>
  <c r="K65" i="32" s="1"/>
  <c r="K124" i="32" s="1"/>
  <c r="J366" i="32"/>
  <c r="J485" i="32" s="1"/>
  <c r="K67" i="32" s="1"/>
  <c r="K126" i="32" s="1"/>
  <c r="J346" i="32" l="1"/>
  <c r="J465" i="32" s="1"/>
  <c r="K47" i="32" s="1"/>
  <c r="K106" i="32" s="1"/>
  <c r="J328" i="32"/>
  <c r="J447" i="32" s="1"/>
  <c r="K29" i="32" s="1"/>
  <c r="K88" i="32" s="1"/>
  <c r="J334" i="32"/>
  <c r="J453" i="32" s="1"/>
  <c r="K35" i="32" s="1"/>
  <c r="K94" i="32" s="1"/>
  <c r="J337" i="32"/>
  <c r="J456" i="32" s="1"/>
  <c r="K38" i="32" s="1"/>
  <c r="K97" i="32" s="1"/>
  <c r="J325" i="32"/>
  <c r="J444" i="32" s="1"/>
  <c r="K26" i="32" s="1"/>
  <c r="K85" i="32" s="1"/>
  <c r="J336" i="32"/>
  <c r="J455" i="32" s="1"/>
  <c r="K37" i="32" s="1"/>
  <c r="K96" i="32" s="1"/>
  <c r="J329" i="32"/>
  <c r="J448" i="32" s="1"/>
  <c r="K30" i="32" s="1"/>
  <c r="K89" i="32" s="1"/>
  <c r="J327" i="32"/>
  <c r="J446" i="32" s="1"/>
  <c r="K28" i="32" s="1"/>
  <c r="K87" i="32" s="1"/>
  <c r="J326" i="32"/>
  <c r="J445" i="32" s="1"/>
  <c r="K27" i="32" s="1"/>
  <c r="K86" i="32" s="1"/>
  <c r="J320" i="32"/>
  <c r="J439" i="32" s="1"/>
  <c r="K21" i="32" s="1"/>
  <c r="K80" i="32" s="1"/>
  <c r="J330" i="32"/>
  <c r="J449" i="32" s="1"/>
  <c r="K31" i="32" s="1"/>
  <c r="K90" i="32" s="1"/>
  <c r="J322" i="32"/>
  <c r="J441" i="32" s="1"/>
  <c r="K23" i="32" s="1"/>
  <c r="K82" i="32" s="1"/>
  <c r="J324" i="32"/>
  <c r="J443" i="32" s="1"/>
  <c r="K25" i="32" s="1"/>
  <c r="K84" i="32" s="1"/>
  <c r="K248" i="32" l="1"/>
  <c r="K65" i="33"/>
  <c r="K63" i="34" s="1"/>
  <c r="D43" i="48" s="1"/>
  <c r="K64" i="33"/>
  <c r="K49" i="34" s="1"/>
  <c r="D36" i="48" s="1"/>
  <c r="K66" i="33"/>
  <c r="K77" i="34" s="1"/>
  <c r="D50" i="48" s="1"/>
  <c r="K63" i="33"/>
  <c r="K67" i="33" a="1"/>
  <c r="K67" i="33" s="1"/>
  <c r="K91" i="34" s="1"/>
  <c r="D57" i="48" s="1"/>
  <c r="K68" i="33" a="1"/>
  <c r="K68" i="33" s="1"/>
  <c r="K105" i="34" s="1"/>
  <c r="D64" i="48" s="1"/>
  <c r="K308" i="32"/>
  <c r="K80" i="33"/>
  <c r="K64" i="34" s="1"/>
  <c r="D44" i="48" s="1"/>
  <c r="K81" i="33"/>
  <c r="K78" i="34" s="1"/>
  <c r="D51" i="48" s="1"/>
  <c r="K83" i="33" a="1"/>
  <c r="K83" i="33" s="1"/>
  <c r="K106" i="34" s="1"/>
  <c r="D65" i="48" s="1"/>
  <c r="K79" i="33"/>
  <c r="K50" i="34" s="1"/>
  <c r="D37" i="48" s="1"/>
  <c r="K78" i="33"/>
  <c r="K82" i="33" a="1"/>
  <c r="K82" i="33" s="1"/>
  <c r="K92" i="34" s="1"/>
  <c r="D58" i="48" s="1"/>
  <c r="K366" i="32"/>
  <c r="K485" i="32" s="1"/>
  <c r="L67" i="32" s="1"/>
  <c r="L126" i="32" s="1"/>
  <c r="K334" i="32"/>
  <c r="K453" i="32" s="1"/>
  <c r="L35" i="32" s="1"/>
  <c r="L94" i="32" s="1"/>
  <c r="K348" i="32"/>
  <c r="K467" i="32" s="1"/>
  <c r="L49" i="32" s="1"/>
  <c r="L108" i="32" s="1"/>
  <c r="K337" i="32"/>
  <c r="K456" i="32" s="1"/>
  <c r="L38" i="32" s="1"/>
  <c r="L97" i="32" s="1"/>
  <c r="K327" i="32"/>
  <c r="K446" i="32" s="1"/>
  <c r="L28" i="32" s="1"/>
  <c r="L87" i="32" s="1"/>
  <c r="K324" i="32"/>
  <c r="K443" i="32" s="1"/>
  <c r="L25" i="32" s="1"/>
  <c r="L84" i="32" s="1"/>
  <c r="K347" i="32"/>
  <c r="K466" i="32" s="1"/>
  <c r="L48" i="32" s="1"/>
  <c r="L107" i="32" s="1"/>
  <c r="K345" i="32"/>
  <c r="K464" i="32" s="1"/>
  <c r="L46" i="32" s="1"/>
  <c r="L105" i="32" s="1"/>
  <c r="K320" i="32"/>
  <c r="K439" i="32" s="1"/>
  <c r="L21" i="32" s="1"/>
  <c r="L80" i="32" s="1"/>
  <c r="K346" i="32"/>
  <c r="K465" i="32" s="1"/>
  <c r="L47" i="32" s="1"/>
  <c r="L106" i="32" s="1"/>
  <c r="K336" i="32"/>
  <c r="K455" i="32" s="1"/>
  <c r="L37" i="32" s="1"/>
  <c r="L96" i="32" s="1"/>
  <c r="K344" i="32"/>
  <c r="K463" i="32" s="1"/>
  <c r="L45" i="32" s="1"/>
  <c r="L104" i="32" s="1"/>
  <c r="K333" i="32"/>
  <c r="K452" i="32" s="1"/>
  <c r="L34" i="32" s="1"/>
  <c r="L93" i="32" s="1"/>
  <c r="K321" i="32"/>
  <c r="K440" i="32" s="1"/>
  <c r="L22" i="32" s="1"/>
  <c r="L81" i="32" s="1"/>
  <c r="K329" i="32"/>
  <c r="K448" i="32" s="1"/>
  <c r="L30" i="32" s="1"/>
  <c r="L89" i="32" s="1"/>
  <c r="K250" i="32" l="1"/>
  <c r="K310" i="32"/>
  <c r="L79" i="33"/>
  <c r="L50" i="34" s="1"/>
  <c r="E37" i="48" s="1"/>
  <c r="L78" i="33"/>
  <c r="L83" i="33" a="1"/>
  <c r="L83" i="33" s="1"/>
  <c r="L106" i="34" s="1"/>
  <c r="E65" i="48" s="1"/>
  <c r="L81" i="33"/>
  <c r="L78" i="34" s="1"/>
  <c r="E51" i="48" s="1"/>
  <c r="L308" i="32"/>
  <c r="L82" i="33" a="1"/>
  <c r="L82" i="33" s="1"/>
  <c r="L92" i="34" s="1"/>
  <c r="E58" i="48" s="1"/>
  <c r="L80" i="33"/>
  <c r="L64" i="34" s="1"/>
  <c r="E44" i="48" s="1"/>
  <c r="K35" i="34"/>
  <c r="K70" i="33"/>
  <c r="K72" i="33" s="1"/>
  <c r="K85" i="33"/>
  <c r="K87" i="33" s="1"/>
  <c r="K36" i="34"/>
  <c r="L66" i="33"/>
  <c r="L77" i="34" s="1"/>
  <c r="E50" i="48" s="1"/>
  <c r="L65" i="33"/>
  <c r="L63" i="34" s="1"/>
  <c r="E43" i="48" s="1"/>
  <c r="L64" i="33"/>
  <c r="L49" i="34" s="1"/>
  <c r="E36" i="48" s="1"/>
  <c r="L248" i="32"/>
  <c r="L67" i="33" a="1"/>
  <c r="L67" i="33" s="1"/>
  <c r="L91" i="34" s="1"/>
  <c r="E57" i="48" s="1"/>
  <c r="L63" i="33"/>
  <c r="L68" i="33" a="1"/>
  <c r="L68" i="33" s="1"/>
  <c r="L105" i="34" s="1"/>
  <c r="E64" i="48" s="1"/>
  <c r="K322" i="32"/>
  <c r="K441" i="32" s="1"/>
  <c r="L23" i="32" s="1"/>
  <c r="L82" i="32" s="1"/>
  <c r="K332" i="32"/>
  <c r="K451" i="32" s="1"/>
  <c r="L33" i="32" s="1"/>
  <c r="L92" i="32" s="1"/>
  <c r="K342" i="32"/>
  <c r="K461" i="32" s="1"/>
  <c r="L43" i="32" s="1"/>
  <c r="K339" i="32"/>
  <c r="K458" i="32" s="1"/>
  <c r="L40" i="32" s="1"/>
  <c r="L333" i="32"/>
  <c r="L452" i="32" s="1"/>
  <c r="M34" i="32" s="1"/>
  <c r="M93" i="32" s="1"/>
  <c r="K364" i="32"/>
  <c r="K483" i="32" s="1"/>
  <c r="L65" i="32" s="1"/>
  <c r="L346" i="32"/>
  <c r="L465" i="32" s="1"/>
  <c r="M47" i="32" s="1"/>
  <c r="M106" i="32" s="1"/>
  <c r="K331" i="32"/>
  <c r="K450" i="32" s="1"/>
  <c r="L32" i="32" s="1"/>
  <c r="L91" i="32" s="1"/>
  <c r="K335" i="32"/>
  <c r="K454" i="32" s="1"/>
  <c r="L36" i="32" s="1"/>
  <c r="L95" i="32" s="1"/>
  <c r="L337" i="32"/>
  <c r="L456" i="32" s="1"/>
  <c r="M38" i="32" s="1"/>
  <c r="M97" i="32" s="1"/>
  <c r="K323" i="32"/>
  <c r="K442" i="32" s="1"/>
  <c r="L24" i="32" s="1"/>
  <c r="L83" i="32" s="1"/>
  <c r="K343" i="32"/>
  <c r="K462" i="32" s="1"/>
  <c r="L44" i="32" s="1"/>
  <c r="K341" i="32"/>
  <c r="K460" i="32" s="1"/>
  <c r="L42" i="32" s="1"/>
  <c r="L101" i="32" s="1"/>
  <c r="K365" i="32"/>
  <c r="K484" i="32" s="1"/>
  <c r="L66" i="32" s="1"/>
  <c r="K330" i="32"/>
  <c r="K449" i="32" s="1"/>
  <c r="L31" i="32" s="1"/>
  <c r="K328" i="32"/>
  <c r="K447" i="32" s="1"/>
  <c r="L29" i="32" s="1"/>
  <c r="L88" i="32" s="1"/>
  <c r="K340" i="32"/>
  <c r="K459" i="32" s="1"/>
  <c r="L41" i="32" s="1"/>
  <c r="K325" i="32"/>
  <c r="K444" i="32" s="1"/>
  <c r="L26" i="32" s="1"/>
  <c r="K338" i="32"/>
  <c r="K457" i="32" s="1"/>
  <c r="L39" i="32" s="1"/>
  <c r="K326" i="32"/>
  <c r="K445" i="32" s="1"/>
  <c r="L27" i="32" s="1"/>
  <c r="L86" i="32" s="1"/>
  <c r="L347" i="32"/>
  <c r="L466" i="32" s="1"/>
  <c r="M48" i="32" s="1"/>
  <c r="L344" i="32"/>
  <c r="L463" i="32" s="1"/>
  <c r="M45" i="32" s="1"/>
  <c r="M104" i="32" s="1"/>
  <c r="L336" i="32"/>
  <c r="L455" i="32" s="1"/>
  <c r="M37" i="32" s="1"/>
  <c r="M96" i="32" s="1"/>
  <c r="L326" i="32" l="1"/>
  <c r="L445" i="32" s="1"/>
  <c r="M27" i="32" s="1"/>
  <c r="M86" i="32" s="1"/>
  <c r="L341" i="32"/>
  <c r="L460" i="32" s="1"/>
  <c r="M42" i="32" s="1"/>
  <c r="M101" i="32" s="1"/>
  <c r="M341" i="32" s="1"/>
  <c r="M460" i="32" s="1"/>
  <c r="N42" i="32" s="1"/>
  <c r="N101" i="32" s="1"/>
  <c r="L335" i="32"/>
  <c r="L454" i="32" s="1"/>
  <c r="M36" i="32" s="1"/>
  <c r="M95" i="32" s="1"/>
  <c r="L124" i="32"/>
  <c r="L364" i="32" s="1"/>
  <c r="L483" i="32" s="1"/>
  <c r="M65" i="32" s="1"/>
  <c r="M124" i="32" s="1"/>
  <c r="M364" i="32" s="1"/>
  <c r="M483" i="32" s="1"/>
  <c r="N65" i="32" s="1"/>
  <c r="N124" i="32" s="1"/>
  <c r="L85" i="32"/>
  <c r="L35" i="34"/>
  <c r="L70" i="33"/>
  <c r="L72" i="33" s="1"/>
  <c r="L90" i="32"/>
  <c r="L330" i="32" s="1"/>
  <c r="L449" i="32" s="1"/>
  <c r="M31" i="32" s="1"/>
  <c r="M90" i="32" s="1"/>
  <c r="L100" i="32"/>
  <c r="L340" i="32" s="1"/>
  <c r="L459" i="32" s="1"/>
  <c r="M41" i="32" s="1"/>
  <c r="M100" i="32" s="1"/>
  <c r="L125" i="32"/>
  <c r="L365" i="32" s="1"/>
  <c r="L484" i="32" s="1"/>
  <c r="M66" i="32" s="1"/>
  <c r="M125" i="32" s="1"/>
  <c r="L99" i="32"/>
  <c r="L339" i="32" s="1"/>
  <c r="L458" i="32" s="1"/>
  <c r="M40" i="32" s="1"/>
  <c r="M99" i="32" s="1"/>
  <c r="L250" i="32"/>
  <c r="L331" i="32"/>
  <c r="L450" i="32" s="1"/>
  <c r="M32" i="32" s="1"/>
  <c r="M91" i="32" s="1"/>
  <c r="L102" i="32"/>
  <c r="L342" i="32" s="1"/>
  <c r="L461" i="32" s="1"/>
  <c r="M43" i="32" s="1"/>
  <c r="M102" i="32" s="1"/>
  <c r="M79" i="33"/>
  <c r="M50" i="34" s="1"/>
  <c r="F37" i="48" s="1"/>
  <c r="M81" i="33"/>
  <c r="M78" i="34" s="1"/>
  <c r="F51" i="48" s="1"/>
  <c r="M80" i="33"/>
  <c r="M64" i="34" s="1"/>
  <c r="F44" i="48" s="1"/>
  <c r="M78" i="33"/>
  <c r="M83" i="33" a="1"/>
  <c r="M83" i="33" s="1"/>
  <c r="M106" i="34" s="1"/>
  <c r="F65" i="48" s="1"/>
  <c r="M308" i="32"/>
  <c r="M82" i="33" a="1"/>
  <c r="M82" i="33" s="1"/>
  <c r="M92" i="34" s="1"/>
  <c r="F58" i="48" s="1"/>
  <c r="M107" i="32"/>
  <c r="M347" i="32" s="1"/>
  <c r="M466" i="32" s="1"/>
  <c r="N48" i="32" s="1"/>
  <c r="L98" i="32"/>
  <c r="L338" i="32" s="1"/>
  <c r="L457" i="32" s="1"/>
  <c r="M39" i="32" s="1"/>
  <c r="M98" i="32" s="1"/>
  <c r="L103" i="32"/>
  <c r="L343" i="32" s="1"/>
  <c r="L462" i="32" s="1"/>
  <c r="M44" i="32" s="1"/>
  <c r="K19" i="34"/>
  <c r="D16" i="48" s="1"/>
  <c r="D29" i="48"/>
  <c r="M66" i="33"/>
  <c r="M77" i="34" s="1"/>
  <c r="F50" i="48" s="1"/>
  <c r="M248" i="32"/>
  <c r="M65" i="33"/>
  <c r="M63" i="34" s="1"/>
  <c r="F43" i="48" s="1"/>
  <c r="M64" i="33"/>
  <c r="M49" i="34" s="1"/>
  <c r="F36" i="48" s="1"/>
  <c r="M68" i="33" a="1"/>
  <c r="M68" i="33" s="1"/>
  <c r="M105" i="34" s="1"/>
  <c r="F64" i="48" s="1"/>
  <c r="M63" i="33"/>
  <c r="M67" i="33" a="1"/>
  <c r="M67" i="33" s="1"/>
  <c r="M91" i="34" s="1"/>
  <c r="F57" i="48" s="1"/>
  <c r="K20" i="34"/>
  <c r="D17" i="48" s="1"/>
  <c r="D30" i="48"/>
  <c r="L310" i="32"/>
  <c r="L85" i="33"/>
  <c r="L87" i="33" s="1"/>
  <c r="L36" i="34"/>
  <c r="L323" i="32"/>
  <c r="L442" i="32" s="1"/>
  <c r="M24" i="32" s="1"/>
  <c r="L325" i="32"/>
  <c r="L444" i="32" s="1"/>
  <c r="M26" i="32" s="1"/>
  <c r="L329" i="32"/>
  <c r="L448" i="32" s="1"/>
  <c r="M30" i="32" s="1"/>
  <c r="L322" i="32"/>
  <c r="L441" i="32" s="1"/>
  <c r="M23" i="32" s="1"/>
  <c r="M82" i="32" s="1"/>
  <c r="L324" i="32"/>
  <c r="L443" i="32" s="1"/>
  <c r="M25" i="32" s="1"/>
  <c r="M84" i="32" s="1"/>
  <c r="L328" i="32"/>
  <c r="L447" i="32" s="1"/>
  <c r="M29" i="32" s="1"/>
  <c r="M88" i="32" s="1"/>
  <c r="L321" i="32"/>
  <c r="L440" i="32" s="1"/>
  <c r="M22" i="32" s="1"/>
  <c r="M81" i="32" s="1"/>
  <c r="L366" i="32"/>
  <c r="L485" i="32" s="1"/>
  <c r="M67" i="32" s="1"/>
  <c r="M126" i="32" s="1"/>
  <c r="L334" i="32"/>
  <c r="L453" i="32" s="1"/>
  <c r="M35" i="32" s="1"/>
  <c r="M94" i="32" s="1"/>
  <c r="M336" i="32"/>
  <c r="M455" i="32" s="1"/>
  <c r="N37" i="32" s="1"/>
  <c r="N96" i="32" s="1"/>
  <c r="M344" i="32"/>
  <c r="M463" i="32" s="1"/>
  <c r="N45" i="32" s="1"/>
  <c r="N104" i="32" s="1"/>
  <c r="M333" i="32"/>
  <c r="M452" i="32" s="1"/>
  <c r="N34" i="32" s="1"/>
  <c r="N93" i="32" s="1"/>
  <c r="M346" i="32"/>
  <c r="M465" i="32" s="1"/>
  <c r="N47" i="32" s="1"/>
  <c r="N106" i="32" s="1"/>
  <c r="L348" i="32"/>
  <c r="L467" i="32" s="1"/>
  <c r="M49" i="32" s="1"/>
  <c r="M108" i="32" s="1"/>
  <c r="L332" i="32"/>
  <c r="L451" i="32" s="1"/>
  <c r="M33" i="32" s="1"/>
  <c r="L320" i="32"/>
  <c r="L439" i="32" s="1"/>
  <c r="M21" i="32" s="1"/>
  <c r="M80" i="32" s="1"/>
  <c r="L345" i="32"/>
  <c r="L464" i="32" s="1"/>
  <c r="M46" i="32" s="1"/>
  <c r="L327" i="32"/>
  <c r="L446" i="32" s="1"/>
  <c r="M28" i="32" s="1"/>
  <c r="M348" i="32" l="1"/>
  <c r="M467" i="32" s="1"/>
  <c r="N49" i="32" s="1"/>
  <c r="N108" i="32" s="1"/>
  <c r="M339" i="32"/>
  <c r="M458" i="32" s="1"/>
  <c r="N40" i="32" s="1"/>
  <c r="N99" i="32" s="1"/>
  <c r="M330" i="32"/>
  <c r="M449" i="32" s="1"/>
  <c r="N31" i="32" s="1"/>
  <c r="N90" i="32" s="1"/>
  <c r="M324" i="32"/>
  <c r="M443" i="32" s="1"/>
  <c r="N25" i="32" s="1"/>
  <c r="N84" i="32" s="1"/>
  <c r="M92" i="32"/>
  <c r="M332" i="32" s="1"/>
  <c r="M451" i="32" s="1"/>
  <c r="N33" i="32" s="1"/>
  <c r="N92" i="32" s="1"/>
  <c r="M89" i="32"/>
  <c r="M329" i="32" s="1"/>
  <c r="M448" i="32" s="1"/>
  <c r="N30" i="32" s="1"/>
  <c r="M85" i="32"/>
  <c r="M250" i="32"/>
  <c r="M103" i="32"/>
  <c r="M343" i="32" s="1"/>
  <c r="M462" i="32" s="1"/>
  <c r="N44" i="32" s="1"/>
  <c r="M366" i="32"/>
  <c r="M485" i="32" s="1"/>
  <c r="N67" i="32" s="1"/>
  <c r="E30" i="48"/>
  <c r="L20" i="34"/>
  <c r="E17" i="48" s="1"/>
  <c r="N107" i="32"/>
  <c r="N347" i="32" s="1"/>
  <c r="N466" i="32" s="1"/>
  <c r="O48" i="32" s="1"/>
  <c r="O107" i="32" s="1"/>
  <c r="M105" i="32"/>
  <c r="M345" i="32" s="1"/>
  <c r="M464" i="32" s="1"/>
  <c r="N46" i="32" s="1"/>
  <c r="N105" i="32" s="1"/>
  <c r="M335" i="32"/>
  <c r="M454" i="32" s="1"/>
  <c r="N36" i="32" s="1"/>
  <c r="M87" i="32"/>
  <c r="M327" i="32" s="1"/>
  <c r="M446" i="32" s="1"/>
  <c r="N28" i="32" s="1"/>
  <c r="N87" i="32" s="1"/>
  <c r="M322" i="32"/>
  <c r="M441" i="32" s="1"/>
  <c r="N23" i="32" s="1"/>
  <c r="M83" i="32"/>
  <c r="M323" i="32" s="1"/>
  <c r="M442" i="32" s="1"/>
  <c r="N24" i="32" s="1"/>
  <c r="N83" i="32" s="1"/>
  <c r="M35" i="34"/>
  <c r="M70" i="33"/>
  <c r="M72" i="33" s="1"/>
  <c r="N364" i="32"/>
  <c r="N483" i="32" s="1"/>
  <c r="O65" i="32" s="1"/>
  <c r="O124" i="32" s="1"/>
  <c r="N66" i="33"/>
  <c r="N77" i="34" s="1"/>
  <c r="C50" i="51" s="1"/>
  <c r="N248" i="32"/>
  <c r="N65" i="33"/>
  <c r="N63" i="34" s="1"/>
  <c r="C43" i="51" s="1"/>
  <c r="N64" i="33"/>
  <c r="N49" i="34" s="1"/>
  <c r="C36" i="51" s="1"/>
  <c r="N63" i="33"/>
  <c r="N67" i="33" a="1"/>
  <c r="N67" i="33" s="1"/>
  <c r="N91" i="34" s="1"/>
  <c r="C57" i="51" s="1"/>
  <c r="N68" i="33" a="1"/>
  <c r="N68" i="33" s="1"/>
  <c r="N105" i="34" s="1"/>
  <c r="C64" i="51" s="1"/>
  <c r="N308" i="32"/>
  <c r="N82" i="33" a="1"/>
  <c r="N82" i="33" s="1"/>
  <c r="N92" i="34" s="1"/>
  <c r="C58" i="51" s="1"/>
  <c r="N79" i="33"/>
  <c r="N50" i="34" s="1"/>
  <c r="C37" i="51" s="1"/>
  <c r="N78" i="33"/>
  <c r="N81" i="33"/>
  <c r="N78" i="34" s="1"/>
  <c r="C51" i="51" s="1"/>
  <c r="N83" i="33" a="1"/>
  <c r="N83" i="33" s="1"/>
  <c r="N106" i="34" s="1"/>
  <c r="C65" i="51" s="1"/>
  <c r="N80" i="33"/>
  <c r="N64" i="34" s="1"/>
  <c r="C44" i="51" s="1"/>
  <c r="E29" i="48"/>
  <c r="L19" i="34"/>
  <c r="E16" i="48" s="1"/>
  <c r="M310" i="32"/>
  <c r="M85" i="33"/>
  <c r="M87" i="33" s="1"/>
  <c r="M36" i="34"/>
  <c r="M331" i="32"/>
  <c r="M450" i="32" s="1"/>
  <c r="N32" i="32" s="1"/>
  <c r="N330" i="32"/>
  <c r="N449" i="32" s="1"/>
  <c r="O31" i="32" s="1"/>
  <c r="O90" i="32" s="1"/>
  <c r="M340" i="32"/>
  <c r="M459" i="32" s="1"/>
  <c r="N41" i="32" s="1"/>
  <c r="N100" i="32" s="1"/>
  <c r="M334" i="32"/>
  <c r="M453" i="32" s="1"/>
  <c r="N35" i="32" s="1"/>
  <c r="N94" i="32" s="1"/>
  <c r="N334" i="32" s="1"/>
  <c r="N453" i="32" s="1"/>
  <c r="O35" i="32" s="1"/>
  <c r="O94" i="32" s="1"/>
  <c r="M342" i="32"/>
  <c r="M461" i="32" s="1"/>
  <c r="N43" i="32" s="1"/>
  <c r="M328" i="32"/>
  <c r="M447" i="32" s="1"/>
  <c r="N29" i="32" s="1"/>
  <c r="M365" i="32"/>
  <c r="M484" i="32" s="1"/>
  <c r="N66" i="32" s="1"/>
  <c r="N125" i="32" s="1"/>
  <c r="N339" i="32"/>
  <c r="N458" i="32" s="1"/>
  <c r="O40" i="32" s="1"/>
  <c r="O99" i="32" s="1"/>
  <c r="N346" i="32"/>
  <c r="N465" i="32" s="1"/>
  <c r="O47" i="32" s="1"/>
  <c r="O106" i="32" s="1"/>
  <c r="M326" i="32"/>
  <c r="M445" i="32" s="1"/>
  <c r="N27" i="32" s="1"/>
  <c r="N86" i="32" s="1"/>
  <c r="M338" i="32"/>
  <c r="M457" i="32" s="1"/>
  <c r="N39" i="32" s="1"/>
  <c r="M337" i="32"/>
  <c r="M456" i="32" s="1"/>
  <c r="N38" i="32" s="1"/>
  <c r="N97" i="32" s="1"/>
  <c r="M320" i="32"/>
  <c r="M439" i="32" s="1"/>
  <c r="N21" i="32" s="1"/>
  <c r="M321" i="32"/>
  <c r="M440" i="32" s="1"/>
  <c r="N22" i="32" s="1"/>
  <c r="N81" i="32" s="1"/>
  <c r="N341" i="32"/>
  <c r="N460" i="32" s="1"/>
  <c r="O42" i="32" s="1"/>
  <c r="O101" i="32" s="1"/>
  <c r="N326" i="32" l="1"/>
  <c r="N445" i="32" s="1"/>
  <c r="O27" i="32" s="1"/>
  <c r="O86" i="32" s="1"/>
  <c r="N323" i="32"/>
  <c r="N442" i="32" s="1"/>
  <c r="O24" i="32" s="1"/>
  <c r="O83" i="32" s="1"/>
  <c r="M325" i="32"/>
  <c r="M444" i="32" s="1"/>
  <c r="N26" i="32" s="1"/>
  <c r="N85" i="32" s="1"/>
  <c r="N325" i="32" s="1"/>
  <c r="N444" i="32" s="1"/>
  <c r="O26" i="32" s="1"/>
  <c r="N102" i="32"/>
  <c r="N342" i="32"/>
  <c r="N461" i="32" s="1"/>
  <c r="O43" i="32" s="1"/>
  <c r="N36" i="34"/>
  <c r="N85" i="33"/>
  <c r="N87" i="33" s="1"/>
  <c r="N80" i="32"/>
  <c r="N320" i="32" s="1"/>
  <c r="N439" i="32" s="1"/>
  <c r="O21" i="32" s="1"/>
  <c r="O80" i="32" s="1"/>
  <c r="N321" i="32"/>
  <c r="N440" i="32" s="1"/>
  <c r="O22" i="32" s="1"/>
  <c r="N88" i="32"/>
  <c r="N328" i="32" s="1"/>
  <c r="N447" i="32" s="1"/>
  <c r="O29" i="32" s="1"/>
  <c r="O88" i="32" s="1"/>
  <c r="M20" i="34"/>
  <c r="F17" i="48" s="1"/>
  <c r="F30" i="48"/>
  <c r="N250" i="32"/>
  <c r="M19" i="34"/>
  <c r="F16" i="48" s="1"/>
  <c r="F29" i="48"/>
  <c r="N91" i="32"/>
  <c r="N331" i="32" s="1"/>
  <c r="N450" i="32" s="1"/>
  <c r="O32" i="32" s="1"/>
  <c r="O91" i="32" s="1"/>
  <c r="N103" i="32"/>
  <c r="N343" i="32" s="1"/>
  <c r="N462" i="32" s="1"/>
  <c r="O44" i="32" s="1"/>
  <c r="O103" i="32" s="1"/>
  <c r="N310" i="32"/>
  <c r="N337" i="32"/>
  <c r="N456" i="32" s="1"/>
  <c r="O38" i="32" s="1"/>
  <c r="O97" i="32" s="1"/>
  <c r="N82" i="32"/>
  <c r="N322" i="32" s="1"/>
  <c r="N441" i="32" s="1"/>
  <c r="O23" i="32" s="1"/>
  <c r="O82" i="32" s="1"/>
  <c r="N98" i="32"/>
  <c r="N365" i="32"/>
  <c r="N484" i="32" s="1"/>
  <c r="O66" i="32" s="1"/>
  <c r="O125" i="32" s="1"/>
  <c r="N35" i="34"/>
  <c r="N70" i="33"/>
  <c r="N72" i="33" s="1"/>
  <c r="N327" i="32"/>
  <c r="N446" i="32" s="1"/>
  <c r="O28" i="32" s="1"/>
  <c r="O87" i="32" s="1"/>
  <c r="O79" i="33"/>
  <c r="O50" i="34" s="1"/>
  <c r="D37" i="51" s="1"/>
  <c r="O80" i="33"/>
  <c r="O64" i="34" s="1"/>
  <c r="D44" i="51" s="1"/>
  <c r="O82" i="33" a="1"/>
  <c r="O82" i="33" s="1"/>
  <c r="O92" i="34" s="1"/>
  <c r="D58" i="51" s="1"/>
  <c r="O81" i="33"/>
  <c r="O78" i="34" s="1"/>
  <c r="D51" i="51" s="1"/>
  <c r="O83" i="33" a="1"/>
  <c r="O83" i="33" s="1"/>
  <c r="O106" i="34" s="1"/>
  <c r="D65" i="51" s="1"/>
  <c r="O78" i="33"/>
  <c r="O308" i="32"/>
  <c r="O65" i="33"/>
  <c r="O64" i="33"/>
  <c r="O63" i="33"/>
  <c r="O67" i="33" a="1"/>
  <c r="O67" i="33" s="1"/>
  <c r="O66" i="33"/>
  <c r="O248" i="32"/>
  <c r="O68" i="33" a="1"/>
  <c r="O68" i="33" s="1"/>
  <c r="N89" i="32"/>
  <c r="N329" i="32" s="1"/>
  <c r="N448" i="32" s="1"/>
  <c r="O30" i="32" s="1"/>
  <c r="O89" i="32" s="1"/>
  <c r="N126" i="32"/>
  <c r="N366" i="32" s="1"/>
  <c r="N485" i="32" s="1"/>
  <c r="O67" i="32" s="1"/>
  <c r="O126" i="32" s="1"/>
  <c r="N95" i="32"/>
  <c r="N335" i="32" s="1"/>
  <c r="N454" i="32" s="1"/>
  <c r="O36" i="32" s="1"/>
  <c r="N332" i="32"/>
  <c r="N451" i="32" s="1"/>
  <c r="O33" i="32" s="1"/>
  <c r="O92" i="32" s="1"/>
  <c r="N345" i="32"/>
  <c r="N464" i="32" s="1"/>
  <c r="O46" i="32" s="1"/>
  <c r="N340" i="32"/>
  <c r="N459" i="32" s="1"/>
  <c r="O41" i="32" s="1"/>
  <c r="O100" i="32" s="1"/>
  <c r="N344" i="32"/>
  <c r="N463" i="32" s="1"/>
  <c r="O45" i="32" s="1"/>
  <c r="O104" i="32" s="1"/>
  <c r="N333" i="32"/>
  <c r="N452" i="32" s="1"/>
  <c r="O34" i="32" s="1"/>
  <c r="O93" i="32" s="1"/>
  <c r="N324" i="32"/>
  <c r="N443" i="32" s="1"/>
  <c r="O25" i="32" s="1"/>
  <c r="O84" i="32" s="1"/>
  <c r="O347" i="32"/>
  <c r="N348" i="32"/>
  <c r="N467" i="32" s="1"/>
  <c r="O49" i="32" s="1"/>
  <c r="N336" i="32"/>
  <c r="N455" i="32" s="1"/>
  <c r="O37" i="32" s="1"/>
  <c r="O364" i="32"/>
  <c r="O334" i="32"/>
  <c r="O341" i="32"/>
  <c r="N338" i="32" l="1"/>
  <c r="N457" i="32" s="1"/>
  <c r="O39" i="32" s="1"/>
  <c r="O331" i="32"/>
  <c r="O108" i="32"/>
  <c r="O348" i="32" s="1"/>
  <c r="O96" i="32"/>
  <c r="O336" i="32" s="1"/>
  <c r="O85" i="32"/>
  <c r="O105" i="32"/>
  <c r="O345" i="32" s="1"/>
  <c r="O95" i="32"/>
  <c r="O335" i="32" s="1"/>
  <c r="O98" i="32"/>
  <c r="O338" i="32" s="1"/>
  <c r="O323" i="32"/>
  <c r="O70" i="33"/>
  <c r="O72" i="33" s="1"/>
  <c r="N19" i="34"/>
  <c r="C16" i="51" s="1"/>
  <c r="C29" i="51"/>
  <c r="O337" i="32"/>
  <c r="O365" i="32"/>
  <c r="O322" i="32"/>
  <c r="O102" i="32"/>
  <c r="O342" i="32" s="1"/>
  <c r="O250" i="32"/>
  <c r="O310" i="32"/>
  <c r="N20" i="34"/>
  <c r="C17" i="51" s="1"/>
  <c r="C30" i="51"/>
  <c r="O36" i="34"/>
  <c r="O85" i="33"/>
  <c r="O87" i="33" s="1"/>
  <c r="O81" i="32"/>
  <c r="O321" i="32" s="1"/>
  <c r="O330" i="32"/>
  <c r="O340" i="32"/>
  <c r="O366" i="32"/>
  <c r="O326" i="32"/>
  <c r="O332" i="32"/>
  <c r="O344" i="32"/>
  <c r="O324" i="32"/>
  <c r="O346" i="32"/>
  <c r="O327" i="32"/>
  <c r="O343" i="32"/>
  <c r="O328" i="32"/>
  <c r="O329" i="32"/>
  <c r="O333" i="32"/>
  <c r="O339" i="32"/>
  <c r="O320" i="32"/>
  <c r="O325" i="32" l="1"/>
  <c r="D30" i="51"/>
  <c r="O20" i="34"/>
  <c r="D17" i="51" s="1"/>
  <c r="J79" i="32" l="1"/>
  <c r="J78" i="32"/>
  <c r="J23" i="33" l="1" a="1"/>
  <c r="J23" i="33" s="1"/>
  <c r="J102" i="34" s="1"/>
  <c r="C61" i="48" s="1"/>
  <c r="J77" i="32"/>
  <c r="J19" i="33" a="1"/>
  <c r="J19" i="33" s="1"/>
  <c r="J46" i="34" s="1"/>
  <c r="C33" i="48" s="1"/>
  <c r="J20" i="33" a="1"/>
  <c r="J20" i="33" s="1"/>
  <c r="J60" i="34" s="1"/>
  <c r="C40" i="48" s="1"/>
  <c r="J69" i="32"/>
  <c r="J71" i="32" s="1"/>
  <c r="J21" i="33" a="1"/>
  <c r="J21" i="33" s="1"/>
  <c r="J74" i="34" s="1"/>
  <c r="C47" i="48" s="1"/>
  <c r="J22" i="33" a="1"/>
  <c r="J22" i="33" s="1"/>
  <c r="J88" i="34" s="1"/>
  <c r="C54" i="48" s="1"/>
  <c r="J18" i="33" a="1"/>
  <c r="J18" i="33" s="1"/>
  <c r="J319" i="32"/>
  <c r="J32" i="34" l="1"/>
  <c r="J25" i="33"/>
  <c r="J27" i="33" s="1"/>
  <c r="J37" i="33" a="1"/>
  <c r="J37" i="33" s="1"/>
  <c r="J89" i="34" s="1"/>
  <c r="C55" i="48" s="1"/>
  <c r="J34" i="33"/>
  <c r="J47" i="34" s="1"/>
  <c r="C34" i="48" s="1"/>
  <c r="J36" i="33"/>
  <c r="J75" i="34" s="1"/>
  <c r="C48" i="48" s="1"/>
  <c r="J35" i="33"/>
  <c r="J61" i="34" s="1"/>
  <c r="C41" i="48" s="1"/>
  <c r="J128" i="32"/>
  <c r="J130" i="32" s="1"/>
  <c r="J38" i="33" a="1"/>
  <c r="J38" i="33" s="1"/>
  <c r="J103" i="34" s="1"/>
  <c r="C62" i="48" s="1"/>
  <c r="J33" i="33"/>
  <c r="J317" i="32"/>
  <c r="J318" i="32"/>
  <c r="J33" i="34" l="1"/>
  <c r="J40" i="33"/>
  <c r="J42" i="33" s="1"/>
  <c r="J16" i="34"/>
  <c r="C13" i="48" s="1"/>
  <c r="C26" i="48"/>
  <c r="J53" i="33" a="1"/>
  <c r="J53" i="33" s="1"/>
  <c r="J104" i="34" s="1"/>
  <c r="J51" i="33"/>
  <c r="J76" i="34" s="1"/>
  <c r="J368" i="32"/>
  <c r="J370" i="32" s="1"/>
  <c r="J48" i="33"/>
  <c r="J52" i="33" a="1"/>
  <c r="J52" i="33" s="1"/>
  <c r="J49" i="33"/>
  <c r="J50" i="33"/>
  <c r="J188" i="32"/>
  <c r="C27" i="48" l="1"/>
  <c r="J17" i="34"/>
  <c r="C14" i="48" s="1"/>
  <c r="J96" i="33"/>
  <c r="J98" i="33"/>
  <c r="J90" i="34"/>
  <c r="J97" i="33"/>
  <c r="J93" i="33"/>
  <c r="J34" i="34"/>
  <c r="J55" i="33"/>
  <c r="J57" i="33" s="1"/>
  <c r="C49" i="48"/>
  <c r="J190" i="32"/>
  <c r="J62" i="34"/>
  <c r="J95" i="33"/>
  <c r="J48" i="34"/>
  <c r="J94" i="33"/>
  <c r="C63" i="48"/>
  <c r="C42" i="48" l="1"/>
  <c r="C99" i="48"/>
  <c r="C35" i="48"/>
  <c r="J18" i="34"/>
  <c r="C15" i="48" s="1"/>
  <c r="C28" i="48"/>
  <c r="J100" i="33"/>
  <c r="J102" i="33" s="1"/>
  <c r="C56" i="48"/>
  <c r="C95" i="48" l="1"/>
  <c r="C98" i="48"/>
  <c r="C96" i="48"/>
  <c r="C97" i="48"/>
  <c r="J438" i="32" l="1"/>
  <c r="K20" i="32" s="1"/>
  <c r="K79" i="32" s="1"/>
  <c r="J437" i="32"/>
  <c r="K19" i="32" s="1"/>
  <c r="K78" i="32" s="1"/>
  <c r="J110" i="33" l="1"/>
  <c r="J427" i="32"/>
  <c r="J111" i="33"/>
  <c r="J112" i="33" a="1"/>
  <c r="J112" i="33" s="1"/>
  <c r="J108" i="33"/>
  <c r="J109" i="33"/>
  <c r="J113" i="33" a="1"/>
  <c r="J113" i="33" s="1"/>
  <c r="J436" i="32"/>
  <c r="J105" i="34" l="1"/>
  <c r="J128" i="33"/>
  <c r="K23" i="33" s="1"/>
  <c r="K102" i="34" s="1"/>
  <c r="D61" i="48" s="1"/>
  <c r="J49" i="34"/>
  <c r="J124" i="33"/>
  <c r="K19" i="33" s="1"/>
  <c r="K46" i="34" s="1"/>
  <c r="D33" i="48" s="1"/>
  <c r="J115" i="33"/>
  <c r="J117" i="33" s="1"/>
  <c r="J35" i="34"/>
  <c r="J123" i="33"/>
  <c r="J91" i="34"/>
  <c r="J127" i="33"/>
  <c r="K22" i="33" s="1"/>
  <c r="K88" i="34" s="1"/>
  <c r="D54" i="48" s="1"/>
  <c r="J77" i="34"/>
  <c r="J126" i="33"/>
  <c r="K21" i="33" s="1"/>
  <c r="K74" i="34" s="1"/>
  <c r="D47" i="48" s="1"/>
  <c r="K18" i="32"/>
  <c r="J487" i="32"/>
  <c r="J491" i="32"/>
  <c r="J429" i="32"/>
  <c r="J63" i="34"/>
  <c r="J125" i="33"/>
  <c r="K20" i="33" s="1"/>
  <c r="K60" i="34" s="1"/>
  <c r="D40" i="48" s="1"/>
  <c r="C57" i="48" l="1"/>
  <c r="J94" i="34"/>
  <c r="J96" i="34" s="1"/>
  <c r="J130" i="33"/>
  <c r="J132" i="33" s="1"/>
  <c r="K18" i="33"/>
  <c r="C29" i="48"/>
  <c r="J19" i="34"/>
  <c r="C16" i="48" s="1"/>
  <c r="J38" i="34"/>
  <c r="K69" i="32"/>
  <c r="K71" i="32" s="1"/>
  <c r="K77" i="32"/>
  <c r="C36" i="48"/>
  <c r="J52" i="34"/>
  <c r="J54" i="34" s="1"/>
  <c r="C43" i="48"/>
  <c r="J66" i="34"/>
  <c r="J68" i="34" s="1"/>
  <c r="C50" i="48"/>
  <c r="J80" i="34"/>
  <c r="J82" i="34" s="1"/>
  <c r="J489" i="32"/>
  <c r="C64" i="48"/>
  <c r="J108" i="34"/>
  <c r="J110" i="34" s="1"/>
  <c r="C52" i="48" l="1"/>
  <c r="J22" i="34"/>
  <c r="J40" i="34"/>
  <c r="C45" i="48"/>
  <c r="C31" i="48"/>
  <c r="K25" i="33"/>
  <c r="K27" i="33" s="1"/>
  <c r="K32" i="34"/>
  <c r="C38" i="48"/>
  <c r="C66" i="48"/>
  <c r="K37" i="33" a="1"/>
  <c r="K37" i="33" s="1"/>
  <c r="K89" i="34" s="1"/>
  <c r="D55" i="48" s="1"/>
  <c r="K128" i="32"/>
  <c r="K36" i="33"/>
  <c r="K75" i="34" s="1"/>
  <c r="D48" i="48" s="1"/>
  <c r="K38" i="33" a="1"/>
  <c r="K38" i="33" s="1"/>
  <c r="K103" i="34" s="1"/>
  <c r="D62" i="48" s="1"/>
  <c r="K33" i="33"/>
  <c r="K34" i="33"/>
  <c r="K47" i="34" s="1"/>
  <c r="D34" i="48" s="1"/>
  <c r="K35" i="33"/>
  <c r="K61" i="34" s="1"/>
  <c r="D41" i="48" s="1"/>
  <c r="C59" i="48"/>
  <c r="K130" i="32" l="1"/>
  <c r="C32" i="48"/>
  <c r="C75" i="48"/>
  <c r="C80" i="48"/>
  <c r="C67" i="48"/>
  <c r="C77" i="48"/>
  <c r="C46" i="48"/>
  <c r="C60" i="48"/>
  <c r="C79" i="48"/>
  <c r="C76" i="48"/>
  <c r="C39" i="48"/>
  <c r="K33" i="34"/>
  <c r="K40" i="33"/>
  <c r="K42" i="33" s="1"/>
  <c r="C18" i="48"/>
  <c r="J24" i="34"/>
  <c r="D26" i="48"/>
  <c r="K16" i="34"/>
  <c r="D13" i="48" s="1"/>
  <c r="C78" i="48"/>
  <c r="C53" i="48"/>
  <c r="C19" i="48" l="1"/>
  <c r="D27" i="48"/>
  <c r="K17" i="34"/>
  <c r="D14" i="48" s="1"/>
  <c r="K319" i="32" l="1"/>
  <c r="K438" i="32" s="1"/>
  <c r="L20" i="32" s="1"/>
  <c r="L79" i="32" s="1"/>
  <c r="K318" i="32"/>
  <c r="K437" i="32" s="1"/>
  <c r="L19" i="32" s="1"/>
  <c r="L78" i="32" s="1"/>
  <c r="L318" i="32" l="1"/>
  <c r="L437" i="32" s="1"/>
  <c r="M19" i="32" s="1"/>
  <c r="M78" i="32" s="1"/>
  <c r="L319" i="32"/>
  <c r="L438" i="32" s="1"/>
  <c r="M20" i="32" s="1"/>
  <c r="M79" i="32" s="1"/>
  <c r="K49" i="33" l="1"/>
  <c r="K53" i="33" a="1"/>
  <c r="K53" i="33" s="1"/>
  <c r="K52" i="33" a="1"/>
  <c r="K52" i="33" s="1"/>
  <c r="K48" i="33"/>
  <c r="K188" i="32"/>
  <c r="K50" i="33"/>
  <c r="K51" i="33"/>
  <c r="K317" i="32"/>
  <c r="M319" i="32"/>
  <c r="M438" i="32" s="1"/>
  <c r="N20" i="32" s="1"/>
  <c r="N79" i="32" s="1"/>
  <c r="M318" i="32"/>
  <c r="M437" i="32" s="1"/>
  <c r="N19" i="32" s="1"/>
  <c r="N78" i="32" s="1"/>
  <c r="L49" i="33" l="1"/>
  <c r="L48" i="34" s="1"/>
  <c r="E35" i="48" s="1"/>
  <c r="L48" i="33"/>
  <c r="L188" i="32"/>
  <c r="L53" i="33" a="1"/>
  <c r="L53" i="33" s="1"/>
  <c r="L104" i="34" s="1"/>
  <c r="E63" i="48" s="1"/>
  <c r="L52" i="33" a="1"/>
  <c r="L52" i="33" s="1"/>
  <c r="L90" i="34" s="1"/>
  <c r="E56" i="48" s="1"/>
  <c r="L51" i="33"/>
  <c r="L76" i="34" s="1"/>
  <c r="E49" i="48" s="1"/>
  <c r="L50" i="33"/>
  <c r="L62" i="34" s="1"/>
  <c r="E42" i="48" s="1"/>
  <c r="K368" i="32"/>
  <c r="K370" i="32" s="1"/>
  <c r="K436" i="32"/>
  <c r="K76" i="34"/>
  <c r="K96" i="33"/>
  <c r="K126" i="33" s="1"/>
  <c r="L21" i="33" s="1"/>
  <c r="K62" i="34"/>
  <c r="K95" i="33"/>
  <c r="K125" i="33" s="1"/>
  <c r="L20" i="33" s="1"/>
  <c r="K190" i="32"/>
  <c r="K55" i="33"/>
  <c r="K57" i="33" s="1"/>
  <c r="K34" i="34"/>
  <c r="K93" i="33"/>
  <c r="K90" i="34"/>
  <c r="K97" i="33"/>
  <c r="K127" i="33" s="1"/>
  <c r="L22" i="33" s="1"/>
  <c r="K104" i="34"/>
  <c r="K98" i="33"/>
  <c r="K128" i="33" s="1"/>
  <c r="L23" i="33" s="1"/>
  <c r="K48" i="34"/>
  <c r="K94" i="33"/>
  <c r="K124" i="33" s="1"/>
  <c r="L19" i="33" s="1"/>
  <c r="N319" i="32"/>
  <c r="N438" i="32" s="1"/>
  <c r="O20" i="32" s="1"/>
  <c r="O79" i="32" s="1"/>
  <c r="N318" i="32"/>
  <c r="N437" i="32" s="1"/>
  <c r="O19" i="32" s="1"/>
  <c r="O78" i="32" s="1"/>
  <c r="D35" i="48" l="1"/>
  <c r="K52" i="34"/>
  <c r="K54" i="34" s="1"/>
  <c r="L102" i="34"/>
  <c r="D63" i="48"/>
  <c r="K108" i="34"/>
  <c r="K110" i="34" s="1"/>
  <c r="D56" i="48"/>
  <c r="K94" i="34"/>
  <c r="K96" i="34" s="1"/>
  <c r="D42" i="48"/>
  <c r="K66" i="34"/>
  <c r="K68" i="34" s="1"/>
  <c r="L88" i="34"/>
  <c r="N49" i="33"/>
  <c r="N48" i="34" s="1"/>
  <c r="C35" i="51" s="1"/>
  <c r="N52" i="33" a="1"/>
  <c r="N52" i="33" s="1"/>
  <c r="N90" i="34" s="1"/>
  <c r="C56" i="51" s="1"/>
  <c r="N50" i="33"/>
  <c r="N62" i="34" s="1"/>
  <c r="C42" i="51" s="1"/>
  <c r="N48" i="33"/>
  <c r="N51" i="33"/>
  <c r="N76" i="34" s="1"/>
  <c r="C49" i="51" s="1"/>
  <c r="N188" i="32"/>
  <c r="N53" i="33" a="1"/>
  <c r="N53" i="33" s="1"/>
  <c r="N104" i="34" s="1"/>
  <c r="C63" i="51" s="1"/>
  <c r="K100" i="33"/>
  <c r="K102" i="33" s="1"/>
  <c r="K123" i="33"/>
  <c r="L74" i="34"/>
  <c r="L190" i="32"/>
  <c r="L60" i="34"/>
  <c r="K18" i="34"/>
  <c r="D15" i="48" s="1"/>
  <c r="D28" i="48"/>
  <c r="K38" i="34"/>
  <c r="D49" i="48"/>
  <c r="K80" i="34"/>
  <c r="K82" i="34" s="1"/>
  <c r="L55" i="33"/>
  <c r="L57" i="33" s="1"/>
  <c r="L34" i="34"/>
  <c r="M53" i="33" a="1"/>
  <c r="M53" i="33" s="1"/>
  <c r="M104" i="34" s="1"/>
  <c r="F63" i="48" s="1"/>
  <c r="M52" i="33" a="1"/>
  <c r="M52" i="33" s="1"/>
  <c r="M90" i="34" s="1"/>
  <c r="F56" i="48" s="1"/>
  <c r="M49" i="33"/>
  <c r="M48" i="34" s="1"/>
  <c r="F35" i="48" s="1"/>
  <c r="M51" i="33"/>
  <c r="M76" i="34" s="1"/>
  <c r="F49" i="48" s="1"/>
  <c r="M188" i="32"/>
  <c r="M50" i="33"/>
  <c r="M62" i="34" s="1"/>
  <c r="F42" i="48" s="1"/>
  <c r="M48" i="33"/>
  <c r="L46" i="34"/>
  <c r="L18" i="32"/>
  <c r="K487" i="32"/>
  <c r="K491" i="32"/>
  <c r="K40" i="34" l="1"/>
  <c r="K22" i="34"/>
  <c r="E47" i="48"/>
  <c r="K489" i="32"/>
  <c r="D95" i="48"/>
  <c r="D31" i="48"/>
  <c r="K130" i="33"/>
  <c r="K132" i="33" s="1"/>
  <c r="L18" i="33"/>
  <c r="D99" i="48"/>
  <c r="D66" i="48"/>
  <c r="N34" i="34"/>
  <c r="N55" i="33"/>
  <c r="N57" i="33" s="1"/>
  <c r="M190" i="32"/>
  <c r="L69" i="32"/>
  <c r="L77" i="32"/>
  <c r="L317" i="32" s="1"/>
  <c r="D98" i="48"/>
  <c r="D59" i="48"/>
  <c r="E54" i="48"/>
  <c r="E61" i="48"/>
  <c r="D52" i="48"/>
  <c r="E33" i="48"/>
  <c r="L18" i="34"/>
  <c r="E15" i="48" s="1"/>
  <c r="E28" i="48"/>
  <c r="E40" i="48"/>
  <c r="N190" i="32"/>
  <c r="M55" i="33"/>
  <c r="M57" i="33" s="1"/>
  <c r="M34" i="34"/>
  <c r="D97" i="48"/>
  <c r="D45" i="48"/>
  <c r="D96" i="48"/>
  <c r="D38" i="48"/>
  <c r="O319" i="32"/>
  <c r="O318" i="32"/>
  <c r="E96" i="48" l="1"/>
  <c r="N18" i="34"/>
  <c r="C15" i="51" s="1"/>
  <c r="C28" i="51"/>
  <c r="D39" i="48"/>
  <c r="D76" i="48"/>
  <c r="D53" i="48"/>
  <c r="D78" i="48"/>
  <c r="D80" i="48"/>
  <c r="D67" i="48"/>
  <c r="M18" i="34"/>
  <c r="F15" i="48" s="1"/>
  <c r="F28" i="48"/>
  <c r="D79" i="48"/>
  <c r="D60" i="48"/>
  <c r="L38" i="33" a="1"/>
  <c r="L38" i="33" s="1"/>
  <c r="L34" i="33"/>
  <c r="L128" i="32"/>
  <c r="L37" i="33" a="1"/>
  <c r="L37" i="33" s="1"/>
  <c r="L35" i="33"/>
  <c r="L33" i="33"/>
  <c r="L93" i="33" s="1"/>
  <c r="L36" i="33"/>
  <c r="L368" i="32"/>
  <c r="L370" i="32" s="1"/>
  <c r="L436" i="32"/>
  <c r="O53" i="33" a="1"/>
  <c r="O53" i="33" s="1"/>
  <c r="O104" i="34" s="1"/>
  <c r="D63" i="51" s="1"/>
  <c r="O51" i="33"/>
  <c r="O76" i="34" s="1"/>
  <c r="D49" i="51" s="1"/>
  <c r="O52" i="33" a="1"/>
  <c r="O52" i="33" s="1"/>
  <c r="O90" i="34" s="1"/>
  <c r="D56" i="51" s="1"/>
  <c r="O48" i="33"/>
  <c r="O49" i="33"/>
  <c r="O48" i="34" s="1"/>
  <c r="D35" i="51" s="1"/>
  <c r="O50" i="33"/>
  <c r="O62" i="34" s="1"/>
  <c r="D42" i="51" s="1"/>
  <c r="O188" i="32"/>
  <c r="D46" i="48"/>
  <c r="D77" i="48"/>
  <c r="E97" i="48"/>
  <c r="E99" i="48"/>
  <c r="L71" i="32"/>
  <c r="L32" i="34"/>
  <c r="L25" i="33"/>
  <c r="L27" i="33" s="1"/>
  <c r="D18" i="48"/>
  <c r="K24" i="34"/>
  <c r="E98" i="48"/>
  <c r="D32" i="48"/>
  <c r="D75" i="48"/>
  <c r="L89" i="34" l="1"/>
  <c r="L97" i="33"/>
  <c r="L127" i="33" s="1"/>
  <c r="M22" i="33" s="1"/>
  <c r="L130" i="32"/>
  <c r="L61" i="34"/>
  <c r="L95" i="33"/>
  <c r="L125" i="33" s="1"/>
  <c r="M20" i="33" s="1"/>
  <c r="L47" i="34"/>
  <c r="L94" i="33"/>
  <c r="L124" i="33" s="1"/>
  <c r="M19" i="33" s="1"/>
  <c r="M18" i="32"/>
  <c r="L487" i="32"/>
  <c r="L491" i="32"/>
  <c r="L103" i="34"/>
  <c r="L98" i="33"/>
  <c r="L128" i="33" s="1"/>
  <c r="M23" i="33" s="1"/>
  <c r="D19" i="48"/>
  <c r="O190" i="32"/>
  <c r="L75" i="34"/>
  <c r="L96" i="33"/>
  <c r="L126" i="33" s="1"/>
  <c r="M21" i="33" s="1"/>
  <c r="O55" i="33"/>
  <c r="O57" i="33" s="1"/>
  <c r="O34" i="34"/>
  <c r="E26" i="48"/>
  <c r="L16" i="34"/>
  <c r="E13" i="48" s="1"/>
  <c r="L123" i="33"/>
  <c r="L40" i="33"/>
  <c r="L42" i="33" s="1"/>
  <c r="L33" i="34"/>
  <c r="L38" i="34" s="1"/>
  <c r="M46" i="34" l="1"/>
  <c r="E34" i="48"/>
  <c r="L52" i="34"/>
  <c r="L54" i="34" s="1"/>
  <c r="E95" i="48"/>
  <c r="M60" i="34"/>
  <c r="L40" i="34"/>
  <c r="O18" i="34"/>
  <c r="D15" i="51" s="1"/>
  <c r="D28" i="51"/>
  <c r="M102" i="34"/>
  <c r="E41" i="48"/>
  <c r="L66" i="34"/>
  <c r="L68" i="34" s="1"/>
  <c r="L17" i="34"/>
  <c r="E14" i="48" s="1"/>
  <c r="E27" i="48"/>
  <c r="E62" i="48"/>
  <c r="L108" i="34"/>
  <c r="L110" i="34" s="1"/>
  <c r="M74" i="34"/>
  <c r="L130" i="33"/>
  <c r="L132" i="33" s="1"/>
  <c r="M18" i="33"/>
  <c r="E48" i="48"/>
  <c r="L80" i="34"/>
  <c r="L82" i="34" s="1"/>
  <c r="L489" i="32"/>
  <c r="M88" i="34"/>
  <c r="L100" i="33"/>
  <c r="L102" i="33" s="1"/>
  <c r="M69" i="32"/>
  <c r="M71" i="32" s="1"/>
  <c r="M77" i="32"/>
  <c r="E55" i="48"/>
  <c r="L94" i="34"/>
  <c r="L96" i="34" s="1"/>
  <c r="E31" i="48" l="1"/>
  <c r="E45" i="48"/>
  <c r="F40" i="48"/>
  <c r="F47" i="48"/>
  <c r="F61" i="48"/>
  <c r="E32" i="48"/>
  <c r="F54" i="48"/>
  <c r="E66" i="48"/>
  <c r="E59" i="48"/>
  <c r="L22" i="34"/>
  <c r="E38" i="48"/>
  <c r="M317" i="32"/>
  <c r="M36" i="33"/>
  <c r="M35" i="33"/>
  <c r="M37" i="33" a="1"/>
  <c r="M37" i="33" s="1"/>
  <c r="M38" i="33" a="1"/>
  <c r="M38" i="33" s="1"/>
  <c r="M128" i="32"/>
  <c r="M33" i="33"/>
  <c r="M34" i="33"/>
  <c r="E52" i="48"/>
  <c r="M32" i="34"/>
  <c r="M25" i="33"/>
  <c r="M27" i="33" s="1"/>
  <c r="F33" i="48"/>
  <c r="E75" i="48" l="1"/>
  <c r="F96" i="48"/>
  <c r="F26" i="48"/>
  <c r="M16" i="34"/>
  <c r="F13" i="48" s="1"/>
  <c r="M61" i="34"/>
  <c r="M95" i="33"/>
  <c r="M125" i="33" s="1"/>
  <c r="N20" i="33" s="1"/>
  <c r="E67" i="48"/>
  <c r="E80" i="48"/>
  <c r="F99" i="48"/>
  <c r="M75" i="34"/>
  <c r="M96" i="33"/>
  <c r="M126" i="33" s="1"/>
  <c r="N21" i="33" s="1"/>
  <c r="M368" i="32"/>
  <c r="M370" i="32" s="1"/>
  <c r="M436" i="32"/>
  <c r="M47" i="34"/>
  <c r="M94" i="33"/>
  <c r="M124" i="33" s="1"/>
  <c r="N19" i="33" s="1"/>
  <c r="E76" i="48"/>
  <c r="E39" i="48"/>
  <c r="F98" i="48"/>
  <c r="E53" i="48"/>
  <c r="E78" i="48"/>
  <c r="M93" i="33"/>
  <c r="M40" i="33"/>
  <c r="M42" i="33" s="1"/>
  <c r="M33" i="34"/>
  <c r="M38" i="34" s="1"/>
  <c r="F97" i="48"/>
  <c r="M130" i="32"/>
  <c r="E18" i="48"/>
  <c r="L24" i="34"/>
  <c r="E46" i="48"/>
  <c r="E77" i="48"/>
  <c r="M103" i="34"/>
  <c r="M98" i="33"/>
  <c r="M128" i="33" s="1"/>
  <c r="N23" i="33" s="1"/>
  <c r="E79" i="48"/>
  <c r="E60" i="48"/>
  <c r="M89" i="34"/>
  <c r="M97" i="33"/>
  <c r="M127" i="33" s="1"/>
  <c r="N22" i="33" s="1"/>
  <c r="M123" i="33" l="1"/>
  <c r="M100" i="33"/>
  <c r="M102" i="33" s="1"/>
  <c r="N60" i="34"/>
  <c r="N46" i="34"/>
  <c r="M40" i="34"/>
  <c r="F41" i="48"/>
  <c r="M66" i="34"/>
  <c r="M68" i="34" s="1"/>
  <c r="F95" i="48"/>
  <c r="E19" i="48"/>
  <c r="N74" i="34"/>
  <c r="F48" i="48"/>
  <c r="M80" i="34"/>
  <c r="M82" i="34" s="1"/>
  <c r="N102" i="34"/>
  <c r="F62" i="48"/>
  <c r="M108" i="34"/>
  <c r="M110" i="34" s="1"/>
  <c r="F34" i="48"/>
  <c r="M52" i="34"/>
  <c r="M54" i="34" s="1"/>
  <c r="N88" i="34"/>
  <c r="F55" i="48"/>
  <c r="M94" i="34"/>
  <c r="M96" i="34" s="1"/>
  <c r="F27" i="48"/>
  <c r="M17" i="34"/>
  <c r="F14" i="48" s="1"/>
  <c r="M491" i="32"/>
  <c r="M487" i="32"/>
  <c r="N18" i="32"/>
  <c r="F31" i="48" l="1"/>
  <c r="M22" i="34"/>
  <c r="F18" i="48" s="1"/>
  <c r="F66" i="48"/>
  <c r="C40" i="51"/>
  <c r="N77" i="32"/>
  <c r="N69" i="32"/>
  <c r="N71" i="32" s="1"/>
  <c r="C54" i="51"/>
  <c r="F52" i="48"/>
  <c r="F38" i="48"/>
  <c r="C47" i="51"/>
  <c r="F32" i="48"/>
  <c r="A32" i="48" s="1"/>
  <c r="F75" i="48"/>
  <c r="C33" i="51"/>
  <c r="F59" i="48"/>
  <c r="C61" i="51"/>
  <c r="M489" i="32"/>
  <c r="F45" i="48"/>
  <c r="M130" i="33"/>
  <c r="M132" i="33" s="1"/>
  <c r="N18" i="33"/>
  <c r="N25" i="33" l="1"/>
  <c r="N27" i="33" s="1"/>
  <c r="N32" i="34"/>
  <c r="F76" i="48"/>
  <c r="F39" i="48"/>
  <c r="A39" i="48" s="1"/>
  <c r="N128" i="32"/>
  <c r="N34" i="33"/>
  <c r="N37" i="33" a="1"/>
  <c r="N37" i="33" s="1"/>
  <c r="N33" i="33"/>
  <c r="N36" i="33"/>
  <c r="N35" i="33"/>
  <c r="N38" i="33" a="1"/>
  <c r="N38" i="33" s="1"/>
  <c r="F46" i="48"/>
  <c r="A46" i="48" s="1"/>
  <c r="F77" i="48"/>
  <c r="F78" i="48"/>
  <c r="F53" i="48"/>
  <c r="A53" i="48" s="1"/>
  <c r="F80" i="48"/>
  <c r="F67" i="48"/>
  <c r="F79" i="48"/>
  <c r="F60" i="48"/>
  <c r="A60" i="48" s="1"/>
  <c r="F19" i="48"/>
  <c r="A19" i="48" s="1"/>
  <c r="N317" i="32"/>
  <c r="M24" i="34"/>
  <c r="N89" i="34" l="1"/>
  <c r="N97" i="33"/>
  <c r="N127" i="33" s="1"/>
  <c r="O22" i="33" s="1"/>
  <c r="N47" i="34"/>
  <c r="N94" i="33"/>
  <c r="N124" i="33" s="1"/>
  <c r="O19" i="33" s="1"/>
  <c r="N130" i="32"/>
  <c r="N436" i="32"/>
  <c r="N368" i="32"/>
  <c r="N370" i="32" s="1"/>
  <c r="N103" i="34"/>
  <c r="N98" i="33"/>
  <c r="N128" i="33" s="1"/>
  <c r="O23" i="33" s="1"/>
  <c r="N61" i="34"/>
  <c r="N95" i="33"/>
  <c r="N125" i="33" s="1"/>
  <c r="O20" i="33" s="1"/>
  <c r="N75" i="34"/>
  <c r="N96" i="33"/>
  <c r="N126" i="33" s="1"/>
  <c r="O21" i="33" s="1"/>
  <c r="C26" i="51"/>
  <c r="N16" i="34"/>
  <c r="C13" i="51" s="1"/>
  <c r="A6" i="48"/>
  <c r="H22" i="25" s="1"/>
  <c r="N93" i="33"/>
  <c r="N40" i="33"/>
  <c r="N42" i="33" s="1"/>
  <c r="N33" i="34"/>
  <c r="O74" i="34" l="1"/>
  <c r="D47" i="51" s="1"/>
  <c r="C27" i="51"/>
  <c r="N17" i="34"/>
  <c r="C14" i="51" s="1"/>
  <c r="C48" i="51"/>
  <c r="N80" i="34"/>
  <c r="N82" i="34" s="1"/>
  <c r="O60" i="34"/>
  <c r="O46" i="34"/>
  <c r="N123" i="33"/>
  <c r="N100" i="33"/>
  <c r="N102" i="33" s="1"/>
  <c r="C41" i="51"/>
  <c r="N66" i="34"/>
  <c r="N68" i="34" s="1"/>
  <c r="C34" i="51"/>
  <c r="N52" i="34"/>
  <c r="N54" i="34" s="1"/>
  <c r="O102" i="34"/>
  <c r="D61" i="51" s="1"/>
  <c r="N38" i="34"/>
  <c r="C62" i="51"/>
  <c r="N108" i="34"/>
  <c r="N110" i="34" s="1"/>
  <c r="O88" i="34"/>
  <c r="N487" i="32"/>
  <c r="O18" i="32"/>
  <c r="N491" i="32"/>
  <c r="C55" i="51"/>
  <c r="N94" i="34"/>
  <c r="N96" i="34" s="1"/>
  <c r="C38" i="51" l="1"/>
  <c r="C39" i="51" s="1"/>
  <c r="C52" i="51"/>
  <c r="C78" i="51" s="1"/>
  <c r="C45" i="51"/>
  <c r="C77" i="51" s="1"/>
  <c r="C31" i="51"/>
  <c r="C66" i="51"/>
  <c r="C80" i="51" s="1"/>
  <c r="C59" i="51"/>
  <c r="C60" i="51" s="1"/>
  <c r="C75" i="51"/>
  <c r="C32" i="51"/>
  <c r="D40" i="51"/>
  <c r="D54" i="51"/>
  <c r="C76" i="51"/>
  <c r="O77" i="32"/>
  <c r="O317" i="32" s="1"/>
  <c r="O69" i="32"/>
  <c r="N40" i="34"/>
  <c r="N22" i="34"/>
  <c r="O18" i="33"/>
  <c r="N130" i="33"/>
  <c r="N132" i="33" s="1"/>
  <c r="N489" i="32"/>
  <c r="D33" i="51"/>
  <c r="C53" i="51" l="1"/>
  <c r="C46" i="51"/>
  <c r="C79" i="51"/>
  <c r="C67" i="51"/>
  <c r="O368" i="32"/>
  <c r="O370" i="32" s="1"/>
  <c r="O32" i="34"/>
  <c r="O25" i="33"/>
  <c r="O27" i="33" s="1"/>
  <c r="C18" i="51"/>
  <c r="N24" i="34"/>
  <c r="O71" i="32"/>
  <c r="O35" i="33"/>
  <c r="O38" i="33" a="1"/>
  <c r="O38" i="33" s="1"/>
  <c r="O33" i="33"/>
  <c r="O93" i="33" s="1"/>
  <c r="O36" i="33"/>
  <c r="O37" i="33" a="1"/>
  <c r="O37" i="33" s="1"/>
  <c r="O128" i="32"/>
  <c r="O34" i="33"/>
  <c r="C19" i="51" l="1"/>
  <c r="O47" i="34"/>
  <c r="O94" i="33"/>
  <c r="O89" i="34"/>
  <c r="O97" i="33"/>
  <c r="O75" i="34"/>
  <c r="D48" i="51" s="1"/>
  <c r="O96" i="33"/>
  <c r="O40" i="33"/>
  <c r="O42" i="33" s="1"/>
  <c r="O33" i="34"/>
  <c r="O103" i="34"/>
  <c r="D62" i="51" s="1"/>
  <c r="O98" i="33"/>
  <c r="D26" i="51"/>
  <c r="O16" i="34"/>
  <c r="D13" i="51" s="1"/>
  <c r="O61" i="34"/>
  <c r="O95" i="33"/>
  <c r="O130" i="32"/>
  <c r="A131" i="32"/>
  <c r="O462" i="32"/>
  <c r="O456" i="32"/>
  <c r="O437" i="32"/>
  <c r="O438" i="32"/>
  <c r="O460" i="32"/>
  <c r="O453" i="32"/>
  <c r="O440" i="32"/>
  <c r="O441" i="32"/>
  <c r="O466" i="32"/>
  <c r="O461" i="32"/>
  <c r="O484" i="32"/>
  <c r="O457" i="32"/>
  <c r="O452" i="32"/>
  <c r="O443" i="32"/>
  <c r="O449" i="32"/>
  <c r="O447" i="32"/>
  <c r="O467" i="32"/>
  <c r="O445" i="32"/>
  <c r="O459" i="32"/>
  <c r="O444" i="32"/>
  <c r="O439" i="32"/>
  <c r="O485" i="32"/>
  <c r="O483" i="32"/>
  <c r="O465" i="32"/>
  <c r="O454" i="32"/>
  <c r="O464" i="32"/>
  <c r="O448" i="32"/>
  <c r="O463" i="32"/>
  <c r="O450" i="32"/>
  <c r="O458" i="32"/>
  <c r="O451" i="32"/>
  <c r="O100" i="33" l="1"/>
  <c r="O102" i="33" s="1"/>
  <c r="O442" i="32"/>
  <c r="O436" i="32"/>
  <c r="O455" i="32"/>
  <c r="D55" i="51"/>
  <c r="D34" i="51"/>
  <c r="D27" i="51"/>
  <c r="O17" i="34"/>
  <c r="D14" i="51" s="1"/>
  <c r="D41" i="51"/>
  <c r="O446" i="32"/>
  <c r="O111" i="33" l="1"/>
  <c r="O126" i="33" s="1"/>
  <c r="P21" i="33" s="1"/>
  <c r="P74" i="34" s="1"/>
  <c r="O110" i="33"/>
  <c r="O108" i="33"/>
  <c r="O427" i="32"/>
  <c r="O112" i="33" a="1"/>
  <c r="O112" i="33" s="1"/>
  <c r="O491" i="32"/>
  <c r="O487" i="32"/>
  <c r="O113" i="33" a="1"/>
  <c r="O113" i="33" s="1"/>
  <c r="O109" i="33"/>
  <c r="O77" i="34" l="1"/>
  <c r="O124" i="33"/>
  <c r="P19" i="33" s="1"/>
  <c r="P46" i="34" s="1"/>
  <c r="O49" i="34"/>
  <c r="O123" i="33"/>
  <c r="O115" i="33"/>
  <c r="O117" i="33" s="1"/>
  <c r="A117" i="33" s="1"/>
  <c r="O35" i="34"/>
  <c r="O128" i="33"/>
  <c r="P23" i="33" s="1"/>
  <c r="P102" i="34" s="1"/>
  <c r="O105" i="34"/>
  <c r="O80" i="34"/>
  <c r="O82" i="34" s="1"/>
  <c r="D50" i="51"/>
  <c r="O63" i="34"/>
  <c r="O125" i="33"/>
  <c r="P20" i="33" s="1"/>
  <c r="P60" i="34" s="1"/>
  <c r="O91" i="34"/>
  <c r="O127" i="33"/>
  <c r="P22" i="33" s="1"/>
  <c r="P88" i="34" s="1"/>
  <c r="O429" i="32"/>
  <c r="A429" i="32" s="1"/>
  <c r="O489" i="32"/>
  <c r="D52" i="51" l="1"/>
  <c r="O38" i="34"/>
  <c r="D29" i="51"/>
  <c r="O19" i="34"/>
  <c r="D16" i="51" s="1"/>
  <c r="D57" i="51"/>
  <c r="O94" i="34"/>
  <c r="O96" i="34" s="1"/>
  <c r="D43" i="51"/>
  <c r="O66" i="34"/>
  <c r="O68" i="34" s="1"/>
  <c r="D53" i="51"/>
  <c r="D78" i="51"/>
  <c r="P18" i="33"/>
  <c r="O130" i="33"/>
  <c r="O132" i="33" s="1"/>
  <c r="D36" i="51"/>
  <c r="O52" i="34"/>
  <c r="O54" i="34" s="1"/>
  <c r="O108" i="34"/>
  <c r="O110" i="34" s="1"/>
  <c r="D64" i="51"/>
  <c r="D45" i="51" l="1"/>
  <c r="D38" i="51"/>
  <c r="D59" i="51"/>
  <c r="D79" i="51" s="1"/>
  <c r="D31" i="51"/>
  <c r="D32" i="51" s="1"/>
  <c r="D66" i="51"/>
  <c r="D67" i="51" s="1"/>
  <c r="D77" i="51"/>
  <c r="D46" i="51"/>
  <c r="D76" i="51"/>
  <c r="D39" i="51"/>
  <c r="P25" i="33"/>
  <c r="P32" i="34"/>
  <c r="P16" i="34" s="1"/>
  <c r="O40" i="34"/>
  <c r="O22" i="34"/>
  <c r="D80" i="51" l="1"/>
  <c r="D75" i="51"/>
  <c r="D60" i="51"/>
  <c r="O24" i="34"/>
  <c r="D18" i="51"/>
  <c r="D19" i="51" l="1"/>
  <c r="A430" i="32" l="1"/>
  <c r="P26" i="50" l="1"/>
  <c r="S497" i="32"/>
  <c r="R497" i="32"/>
  <c r="T497" i="32"/>
  <c r="Q497" i="32"/>
  <c r="P28" i="50" l="1"/>
  <c r="Q28" i="50" s="1"/>
  <c r="R28" i="50" s="1"/>
  <c r="S28" i="50" s="1"/>
  <c r="T28" i="50" s="1"/>
  <c r="P497" i="32"/>
  <c r="Q27" i="50"/>
  <c r="R27" i="50" s="1"/>
  <c r="S27" i="50" s="1"/>
  <c r="T27" i="50" s="1"/>
  <c r="Q26" i="50"/>
  <c r="P30" i="50"/>
  <c r="E33" i="51"/>
  <c r="E47" i="51"/>
  <c r="E61" i="51"/>
  <c r="E40" i="51"/>
  <c r="E54" i="51"/>
  <c r="E26" i="51"/>
  <c r="E13" i="51"/>
  <c r="R26" i="50" l="1"/>
  <c r="Q30" i="50"/>
  <c r="S26" i="50" l="1"/>
  <c r="R30" i="50"/>
  <c r="T26" i="50" l="1"/>
  <c r="T30" i="50" s="1"/>
  <c r="S30" i="50"/>
  <c r="A30" i="50" l="1"/>
  <c r="A1" i="50" s="1"/>
  <c r="H16" i="25" s="1"/>
  <c r="P122" i="32" l="1"/>
  <c r="P116" i="32"/>
  <c r="P120" i="32"/>
  <c r="P123" i="32"/>
  <c r="P117" i="32"/>
  <c r="P118" i="32"/>
  <c r="P121" i="32"/>
  <c r="P119" i="32"/>
  <c r="S82" i="33" l="1" a="1"/>
  <c r="S82" i="33" s="1"/>
  <c r="S92" i="34" s="1"/>
  <c r="H58" i="51" s="1"/>
  <c r="S81" i="33"/>
  <c r="S78" i="34" s="1"/>
  <c r="H51" i="51" s="1"/>
  <c r="S79" i="33"/>
  <c r="S50" i="34" s="1"/>
  <c r="H37" i="51" s="1"/>
  <c r="S83" i="33" a="1"/>
  <c r="S83" i="33" s="1"/>
  <c r="S106" i="34" s="1"/>
  <c r="H65" i="51" s="1"/>
  <c r="S78" i="33"/>
  <c r="S308" i="32"/>
  <c r="S80" i="33"/>
  <c r="S64" i="34" s="1"/>
  <c r="H44" i="51" s="1"/>
  <c r="P361" i="32"/>
  <c r="P480" i="32" s="1"/>
  <c r="Q62" i="32" s="1"/>
  <c r="Q121" i="32" s="1"/>
  <c r="Q361" i="32" s="1"/>
  <c r="Q480" i="32" s="1"/>
  <c r="R62" i="32" s="1"/>
  <c r="R121" i="32" s="1"/>
  <c r="R361" i="32" s="1"/>
  <c r="R480" i="32" s="1"/>
  <c r="S62" i="32" s="1"/>
  <c r="S121" i="32" s="1"/>
  <c r="S361" i="32" s="1"/>
  <c r="S480" i="32" s="1"/>
  <c r="T62" i="32" s="1"/>
  <c r="T121" i="32" s="1"/>
  <c r="T361" i="32" s="1"/>
  <c r="T480" i="32" s="1"/>
  <c r="P114" i="32"/>
  <c r="P354" i="32" s="1"/>
  <c r="P473" i="32" s="1"/>
  <c r="Q55" i="32" s="1"/>
  <c r="Q114" i="32" s="1"/>
  <c r="P113" i="32"/>
  <c r="P353" i="32" s="1"/>
  <c r="P472" i="32" s="1"/>
  <c r="Q54" i="32" s="1"/>
  <c r="Q113" i="32" s="1"/>
  <c r="T78" i="33"/>
  <c r="T80" i="33"/>
  <c r="T64" i="34" s="1"/>
  <c r="I44" i="51" s="1"/>
  <c r="T83" i="33" a="1"/>
  <c r="T83" i="33" s="1"/>
  <c r="T106" i="34" s="1"/>
  <c r="I65" i="51" s="1"/>
  <c r="T81" i="33"/>
  <c r="T78" i="34" s="1"/>
  <c r="I51" i="51" s="1"/>
  <c r="T79" i="33"/>
  <c r="T50" i="34" s="1"/>
  <c r="I37" i="51" s="1"/>
  <c r="T82" i="33" a="1"/>
  <c r="T82" i="33" s="1"/>
  <c r="T92" i="34" s="1"/>
  <c r="I58" i="51" s="1"/>
  <c r="T308" i="32"/>
  <c r="Q83" i="33" a="1"/>
  <c r="Q83" i="33" s="1"/>
  <c r="Q106" i="34" s="1"/>
  <c r="F65" i="51" s="1"/>
  <c r="Q78" i="33"/>
  <c r="Q82" i="33" a="1"/>
  <c r="Q82" i="33" s="1"/>
  <c r="Q92" i="34" s="1"/>
  <c r="F58" i="51" s="1"/>
  <c r="Q308" i="32"/>
  <c r="Q80" i="33"/>
  <c r="Q64" i="34" s="1"/>
  <c r="F44" i="51" s="1"/>
  <c r="Q81" i="33"/>
  <c r="Q78" i="34" s="1"/>
  <c r="F51" i="51" s="1"/>
  <c r="Q79" i="33"/>
  <c r="Q50" i="34" s="1"/>
  <c r="F37" i="51" s="1"/>
  <c r="P111" i="32"/>
  <c r="P351" i="32" s="1"/>
  <c r="P470" i="32" s="1"/>
  <c r="Q52" i="32" s="1"/>
  <c r="Q111" i="32" s="1"/>
  <c r="P359" i="32"/>
  <c r="P478" i="32" s="1"/>
  <c r="Q60" i="32" s="1"/>
  <c r="Q119" i="32" s="1"/>
  <c r="Q359" i="32" s="1"/>
  <c r="Q478" i="32" s="1"/>
  <c r="R60" i="32" s="1"/>
  <c r="R119" i="32" s="1"/>
  <c r="R359" i="32" s="1"/>
  <c r="R478" i="32" s="1"/>
  <c r="S60" i="32" s="1"/>
  <c r="S119" i="32" s="1"/>
  <c r="S359" i="32" s="1"/>
  <c r="S478" i="32" s="1"/>
  <c r="T60" i="32" s="1"/>
  <c r="T119" i="32" s="1"/>
  <c r="T359" i="32" s="1"/>
  <c r="T478" i="32" s="1"/>
  <c r="R78" i="33"/>
  <c r="R83" i="33" a="1"/>
  <c r="R83" i="33" s="1"/>
  <c r="R106" i="34" s="1"/>
  <c r="G65" i="51" s="1"/>
  <c r="R81" i="33"/>
  <c r="R78" i="34" s="1"/>
  <c r="G51" i="51" s="1"/>
  <c r="R308" i="32"/>
  <c r="R82" i="33" a="1"/>
  <c r="R82" i="33" s="1"/>
  <c r="R92" i="34" s="1"/>
  <c r="G58" i="51" s="1"/>
  <c r="R80" i="33"/>
  <c r="R64" i="34" s="1"/>
  <c r="G44" i="51" s="1"/>
  <c r="R79" i="33"/>
  <c r="R50" i="34" s="1"/>
  <c r="G37" i="51" s="1"/>
  <c r="P109" i="32"/>
  <c r="P349" i="32" s="1"/>
  <c r="P468" i="32" s="1"/>
  <c r="Q50" i="32" s="1"/>
  <c r="Q109" i="32" s="1"/>
  <c r="P363" i="32"/>
  <c r="P482" i="32" s="1"/>
  <c r="Q64" i="32" s="1"/>
  <c r="Q123" i="32" s="1"/>
  <c r="Q363" i="32" s="1"/>
  <c r="Q482" i="32" s="1"/>
  <c r="R64" i="32" s="1"/>
  <c r="R123" i="32" s="1"/>
  <c r="R363" i="32" s="1"/>
  <c r="R482" i="32" s="1"/>
  <c r="S64" i="32" s="1"/>
  <c r="S123" i="32" s="1"/>
  <c r="S363" i="32" s="1"/>
  <c r="S482" i="32" s="1"/>
  <c r="T64" i="32" s="1"/>
  <c r="T123" i="32" s="1"/>
  <c r="T363" i="32" s="1"/>
  <c r="T482" i="32" s="1"/>
  <c r="P110" i="32"/>
  <c r="P350" i="32" s="1"/>
  <c r="P469" i="32" s="1"/>
  <c r="Q51" i="32" s="1"/>
  <c r="Q110" i="32" s="1"/>
  <c r="P82" i="33" a="1"/>
  <c r="P82" i="33" s="1"/>
  <c r="P92" i="34" s="1"/>
  <c r="E58" i="51" s="1"/>
  <c r="P80" i="33"/>
  <c r="P64" i="34" s="1"/>
  <c r="E44" i="51" s="1"/>
  <c r="P308" i="32"/>
  <c r="P78" i="33"/>
  <c r="P81" i="33"/>
  <c r="P78" i="34" s="1"/>
  <c r="E51" i="51" s="1"/>
  <c r="P79" i="33"/>
  <c r="P50" i="34" s="1"/>
  <c r="E37" i="51" s="1"/>
  <c r="P83" i="33" a="1"/>
  <c r="P83" i="33" s="1"/>
  <c r="P106" i="34" s="1"/>
  <c r="E65" i="51" s="1"/>
  <c r="P115" i="32"/>
  <c r="P355" i="32" s="1"/>
  <c r="P474" i="32" s="1"/>
  <c r="Q56" i="32" s="1"/>
  <c r="Q115" i="32" s="1"/>
  <c r="P357" i="32"/>
  <c r="P476" i="32" s="1"/>
  <c r="Q58" i="32" s="1"/>
  <c r="Q117" i="32" s="1"/>
  <c r="Q357" i="32" s="1"/>
  <c r="Q476" i="32" s="1"/>
  <c r="R58" i="32" s="1"/>
  <c r="R117" i="32" s="1"/>
  <c r="R357" i="32" s="1"/>
  <c r="R476" i="32" s="1"/>
  <c r="S58" i="32" s="1"/>
  <c r="S117" i="32" s="1"/>
  <c r="S357" i="32" s="1"/>
  <c r="S476" i="32" s="1"/>
  <c r="T58" i="32" s="1"/>
  <c r="T117" i="32" s="1"/>
  <c r="T357" i="32" s="1"/>
  <c r="T476" i="32" s="1"/>
  <c r="P112" i="32"/>
  <c r="P352" i="32" s="1"/>
  <c r="P471" i="32" s="1"/>
  <c r="Q53" i="32" s="1"/>
  <c r="Q112" i="32" s="1"/>
  <c r="P360" i="32"/>
  <c r="P479" i="32" s="1"/>
  <c r="Q61" i="32" s="1"/>
  <c r="Q120" i="32" s="1"/>
  <c r="Q360" i="32" s="1"/>
  <c r="Q479" i="32" s="1"/>
  <c r="R61" i="32" s="1"/>
  <c r="R120" i="32" s="1"/>
  <c r="R360" i="32" s="1"/>
  <c r="R479" i="32" s="1"/>
  <c r="S61" i="32" s="1"/>
  <c r="S120" i="32" s="1"/>
  <c r="S360" i="32" s="1"/>
  <c r="S479" i="32" s="1"/>
  <c r="T61" i="32" s="1"/>
  <c r="T120" i="32" s="1"/>
  <c r="T360" i="32" s="1"/>
  <c r="T479" i="32" s="1"/>
  <c r="P358" i="32"/>
  <c r="P477" i="32" s="1"/>
  <c r="Q59" i="32" s="1"/>
  <c r="Q118" i="32" s="1"/>
  <c r="Q358" i="32" s="1"/>
  <c r="Q477" i="32" s="1"/>
  <c r="R59" i="32" s="1"/>
  <c r="R118" i="32" s="1"/>
  <c r="R358" i="32" s="1"/>
  <c r="R477" i="32" s="1"/>
  <c r="S59" i="32" s="1"/>
  <c r="S118" i="32" s="1"/>
  <c r="S358" i="32" s="1"/>
  <c r="S477" i="32" s="1"/>
  <c r="T59" i="32" s="1"/>
  <c r="T118" i="32" s="1"/>
  <c r="T358" i="32" s="1"/>
  <c r="T477" i="32" s="1"/>
  <c r="P356" i="32"/>
  <c r="P475" i="32" s="1"/>
  <c r="Q57" i="32" s="1"/>
  <c r="Q116" i="32" s="1"/>
  <c r="Q356" i="32" s="1"/>
  <c r="Q475" i="32" s="1"/>
  <c r="R57" i="32" s="1"/>
  <c r="R116" i="32" s="1"/>
  <c r="R356" i="32" s="1"/>
  <c r="R475" i="32" s="1"/>
  <c r="S57" i="32" s="1"/>
  <c r="S116" i="32" s="1"/>
  <c r="S356" i="32" s="1"/>
  <c r="S475" i="32" s="1"/>
  <c r="T57" i="32" s="1"/>
  <c r="T116" i="32" s="1"/>
  <c r="T356" i="32" s="1"/>
  <c r="T475" i="32" s="1"/>
  <c r="P362" i="32"/>
  <c r="P481" i="32" s="1"/>
  <c r="Q63" i="32" s="1"/>
  <c r="Q122" i="32" s="1"/>
  <c r="Q362" i="32" s="1"/>
  <c r="Q481" i="32" s="1"/>
  <c r="R63" i="32" s="1"/>
  <c r="R122" i="32" s="1"/>
  <c r="R362" i="32" s="1"/>
  <c r="R481" i="32" s="1"/>
  <c r="S63" i="32" s="1"/>
  <c r="S122" i="32" s="1"/>
  <c r="S362" i="32" s="1"/>
  <c r="S481" i="32" s="1"/>
  <c r="T63" i="32" s="1"/>
  <c r="T122" i="32" s="1"/>
  <c r="T362" i="32" s="1"/>
  <c r="T481" i="32" s="1"/>
  <c r="S310" i="32" l="1"/>
  <c r="S85" i="33"/>
  <c r="S87" i="33" s="1"/>
  <c r="S36" i="34"/>
  <c r="R85" i="33"/>
  <c r="R87" i="33" s="1"/>
  <c r="R36" i="34"/>
  <c r="Q85" i="33"/>
  <c r="Q87" i="33" s="1"/>
  <c r="Q36" i="34"/>
  <c r="P85" i="33"/>
  <c r="P87" i="33" s="1"/>
  <c r="P36" i="34"/>
  <c r="T36" i="34"/>
  <c r="T85" i="33"/>
  <c r="T87" i="33" s="1"/>
  <c r="R310" i="32"/>
  <c r="P310" i="32"/>
  <c r="Q310" i="32"/>
  <c r="T310" i="32"/>
  <c r="H30" i="51" l="1"/>
  <c r="S20" i="34"/>
  <c r="H17" i="51" s="1"/>
  <c r="A310" i="32"/>
  <c r="A87" i="33"/>
  <c r="I30" i="51"/>
  <c r="T20" i="34"/>
  <c r="I17" i="51" s="1"/>
  <c r="E30" i="51"/>
  <c r="P20" i="34"/>
  <c r="E17" i="51" s="1"/>
  <c r="Q20" i="34"/>
  <c r="F17" i="51" s="1"/>
  <c r="F30" i="51"/>
  <c r="G30" i="51"/>
  <c r="R20" i="34"/>
  <c r="G17" i="51" s="1"/>
  <c r="A311" i="32"/>
  <c r="P84" i="32" l="1"/>
  <c r="P93" i="32"/>
  <c r="P81" i="32" l="1"/>
  <c r="P79" i="32"/>
  <c r="P97" i="32"/>
  <c r="P104" i="32"/>
  <c r="P91" i="32"/>
  <c r="P94" i="32"/>
  <c r="P102" i="32"/>
  <c r="P107" i="32"/>
  <c r="P78" i="32"/>
  <c r="P106" i="32"/>
  <c r="P83" i="32"/>
  <c r="P86" i="32"/>
  <c r="P89" i="32"/>
  <c r="P103" i="32"/>
  <c r="P87" i="32"/>
  <c r="P95" i="32"/>
  <c r="P98" i="32"/>
  <c r="P101" i="32"/>
  <c r="P90" i="32"/>
  <c r="P85" i="32"/>
  <c r="P82" i="32"/>
  <c r="P80" i="32"/>
  <c r="P88" i="32"/>
  <c r="P96" i="32"/>
  <c r="P92" i="32"/>
  <c r="P126" i="32"/>
  <c r="P108" i="32"/>
  <c r="P99" i="32"/>
  <c r="P105" i="32"/>
  <c r="P100" i="32"/>
  <c r="P125" i="32"/>
  <c r="P124" i="32"/>
  <c r="P69" i="32" l="1"/>
  <c r="P77" i="32"/>
  <c r="P36" i="33" l="1"/>
  <c r="P75" i="34" s="1"/>
  <c r="E48" i="51" s="1"/>
  <c r="P34" i="33"/>
  <c r="P47" i="34" s="1"/>
  <c r="E34" i="51" s="1"/>
  <c r="P38" i="33" a="1"/>
  <c r="P38" i="33" s="1"/>
  <c r="P103" i="34" s="1"/>
  <c r="E62" i="51" s="1"/>
  <c r="P37" i="33" a="1"/>
  <c r="P37" i="33" s="1"/>
  <c r="P89" i="34" s="1"/>
  <c r="E55" i="51" s="1"/>
  <c r="P35" i="33"/>
  <c r="P61" i="34" s="1"/>
  <c r="E41" i="51" s="1"/>
  <c r="P128" i="32"/>
  <c r="P130" i="32" s="1"/>
  <c r="P33" i="33"/>
  <c r="P71" i="32"/>
  <c r="P490" i="32"/>
  <c r="A490" i="32" s="1"/>
  <c r="P27" i="33"/>
  <c r="P33" i="34" l="1"/>
  <c r="P40" i="33"/>
  <c r="P42" i="33" s="1"/>
  <c r="P17" i="34" l="1"/>
  <c r="E14" i="51" s="1"/>
  <c r="E27" i="51"/>
  <c r="P366" i="32" l="1"/>
  <c r="P485" i="32" s="1"/>
  <c r="Q67" i="32" s="1"/>
  <c r="Q126" i="32" s="1"/>
  <c r="P188" i="32" l="1"/>
  <c r="P50" i="33"/>
  <c r="P51" i="33"/>
  <c r="P49" i="33"/>
  <c r="P48" i="33"/>
  <c r="P53" i="33" a="1"/>
  <c r="P53" i="33" s="1"/>
  <c r="P52" i="33" a="1"/>
  <c r="P52" i="33" s="1"/>
  <c r="P90" i="34" l="1"/>
  <c r="P104" i="34"/>
  <c r="P55" i="33"/>
  <c r="P57" i="33" s="1"/>
  <c r="P34" i="34"/>
  <c r="P62" i="34"/>
  <c r="P48" i="34"/>
  <c r="P76" i="34"/>
  <c r="P190" i="32"/>
  <c r="E42" i="51" l="1"/>
  <c r="E28" i="51"/>
  <c r="P18" i="34"/>
  <c r="E15" i="51" s="1"/>
  <c r="E49" i="51"/>
  <c r="E63" i="51"/>
  <c r="E35" i="51"/>
  <c r="E56" i="51"/>
  <c r="Q354" i="32" l="1"/>
  <c r="Q473" i="32" s="1"/>
  <c r="R55" i="32" s="1"/>
  <c r="R114" i="32" s="1"/>
  <c r="P347" i="32"/>
  <c r="P466" i="32" s="1"/>
  <c r="Q48" i="32" s="1"/>
  <c r="Q107" i="32" s="1"/>
  <c r="Q351" i="32"/>
  <c r="Q470" i="32" s="1"/>
  <c r="R52" i="32" s="1"/>
  <c r="R111" i="32" s="1"/>
  <c r="P326" i="32"/>
  <c r="P445" i="32" s="1"/>
  <c r="Q27" i="32" s="1"/>
  <c r="Q86" i="32" s="1"/>
  <c r="Q355" i="32"/>
  <c r="Q474" i="32" s="1"/>
  <c r="R56" i="32" s="1"/>
  <c r="R115" i="32" s="1"/>
  <c r="Q353" i="32"/>
  <c r="Q472" i="32" s="1"/>
  <c r="R54" i="32" s="1"/>
  <c r="R113" i="32" s="1"/>
  <c r="P332" i="32"/>
  <c r="P451" i="32" s="1"/>
  <c r="Q33" i="32" s="1"/>
  <c r="Q92" i="32" s="1"/>
  <c r="P336" i="32"/>
  <c r="P455" i="32" s="1"/>
  <c r="Q37" i="32" s="1"/>
  <c r="Q96" i="32" s="1"/>
  <c r="P334" i="32"/>
  <c r="P453" i="32" s="1"/>
  <c r="Q35" i="32" s="1"/>
  <c r="Q94" i="32" s="1"/>
  <c r="P333" i="32"/>
  <c r="P452" i="32" s="1"/>
  <c r="Q34" i="32" s="1"/>
  <c r="Q93" i="32" s="1"/>
  <c r="P322" i="32"/>
  <c r="P441" i="32" s="1"/>
  <c r="Q23" i="32" s="1"/>
  <c r="Q82" i="32" s="1"/>
  <c r="P335" i="32"/>
  <c r="P454" i="32" s="1"/>
  <c r="Q36" i="32" s="1"/>
  <c r="Q95" i="32" s="1"/>
  <c r="Q352" i="32"/>
  <c r="Q471" i="32" s="1"/>
  <c r="R53" i="32" s="1"/>
  <c r="R112" i="32" s="1"/>
  <c r="P324" i="32"/>
  <c r="P443" i="32" s="1"/>
  <c r="Q25" i="32" s="1"/>
  <c r="Q84" i="32" s="1"/>
  <c r="P345" i="32"/>
  <c r="P464" i="32" s="1"/>
  <c r="Q46" i="32" s="1"/>
  <c r="Q105" i="32" s="1"/>
  <c r="P321" i="32"/>
  <c r="P440" i="32" s="1"/>
  <c r="Q22" i="32" s="1"/>
  <c r="Q81" i="32" s="1"/>
  <c r="P330" i="32"/>
  <c r="P449" i="32" s="1"/>
  <c r="Q31" i="32" s="1"/>
  <c r="Q90" i="32" s="1"/>
  <c r="P318" i="32"/>
  <c r="P437" i="32" s="1"/>
  <c r="Q19" i="32" s="1"/>
  <c r="Q78" i="32" s="1"/>
  <c r="P331" i="32"/>
  <c r="P450" i="32" s="1"/>
  <c r="Q32" i="32" s="1"/>
  <c r="Q91" i="32" s="1"/>
  <c r="Q350" i="32"/>
  <c r="Q469" i="32" s="1"/>
  <c r="R51" i="32" s="1"/>
  <c r="R110" i="32" s="1"/>
  <c r="P327" i="32"/>
  <c r="P446" i="32" s="1"/>
  <c r="Q28" i="32" s="1"/>
  <c r="Q87" i="32" s="1"/>
  <c r="P337" i="32"/>
  <c r="P456" i="32" s="1"/>
  <c r="Q38" i="32" s="1"/>
  <c r="Q97" i="32" s="1"/>
  <c r="P320" i="32"/>
  <c r="P439" i="32" s="1"/>
  <c r="Q21" i="32" s="1"/>
  <c r="Q80" i="32" s="1"/>
  <c r="P323" i="32"/>
  <c r="P442" i="32" s="1"/>
  <c r="Q24" i="32" s="1"/>
  <c r="Q83" i="32" s="1"/>
  <c r="P325" i="32"/>
  <c r="P444" i="32" s="1"/>
  <c r="Q26" i="32" s="1"/>
  <c r="Q85" i="32" s="1"/>
  <c r="Q349" i="32"/>
  <c r="Q468" i="32" s="1"/>
  <c r="R50" i="32" s="1"/>
  <c r="R109" i="32" s="1"/>
  <c r="P319" i="32"/>
  <c r="P438" i="32" s="1"/>
  <c r="Q20" i="32" s="1"/>
  <c r="Q79" i="32" s="1"/>
  <c r="P329" i="32"/>
  <c r="P448" i="32" s="1"/>
  <c r="Q30" i="32" s="1"/>
  <c r="Q89" i="32" s="1"/>
  <c r="P348" i="32"/>
  <c r="P467" i="32" s="1"/>
  <c r="Q49" i="32" s="1"/>
  <c r="Q108" i="32" s="1"/>
  <c r="P328" i="32"/>
  <c r="P447" i="32" s="1"/>
  <c r="Q29" i="32" s="1"/>
  <c r="Q88" i="32" s="1"/>
  <c r="Q327" i="32" l="1"/>
  <c r="Q446" i="32" s="1"/>
  <c r="R28" i="32" s="1"/>
  <c r="R87" i="32" s="1"/>
  <c r="Q331" i="32"/>
  <c r="Q450" i="32" s="1"/>
  <c r="R32" i="32" s="1"/>
  <c r="R91" i="32" s="1"/>
  <c r="Q336" i="32"/>
  <c r="Q455" i="32" s="1"/>
  <c r="R37" i="32" s="1"/>
  <c r="R96" i="32" s="1"/>
  <c r="Q337" i="32"/>
  <c r="Q456" i="32" s="1"/>
  <c r="R38" i="32" s="1"/>
  <c r="R97" i="32" s="1"/>
  <c r="Q329" i="32"/>
  <c r="Q448" i="32" s="1"/>
  <c r="R30" i="32" s="1"/>
  <c r="R89" i="32" s="1"/>
  <c r="Q328" i="32"/>
  <c r="Q447" i="32" s="1"/>
  <c r="R29" i="32" s="1"/>
  <c r="R88" i="32" s="1"/>
  <c r="Q323" i="32"/>
  <c r="Q442" i="32" s="1"/>
  <c r="R24" i="32" s="1"/>
  <c r="Q324" i="32"/>
  <c r="Q443" i="32" s="1"/>
  <c r="R25" i="32" s="1"/>
  <c r="R84" i="32" s="1"/>
  <c r="P317" i="32"/>
  <c r="Q321" i="32"/>
  <c r="Q440" i="32" s="1"/>
  <c r="R22" i="32" s="1"/>
  <c r="R81" i="32" s="1"/>
  <c r="Q319" i="32"/>
  <c r="Q438" i="32" s="1"/>
  <c r="R20" i="32" s="1"/>
  <c r="R79" i="32" s="1"/>
  <c r="Q325" i="32"/>
  <c r="Q444" i="32" s="1"/>
  <c r="R26" i="32" s="1"/>
  <c r="R85" i="32" s="1"/>
  <c r="Q318" i="32"/>
  <c r="Q437" i="32" s="1"/>
  <c r="R19" i="32" s="1"/>
  <c r="R78" i="32" s="1"/>
  <c r="R337" i="32" l="1"/>
  <c r="R456" i="32" s="1"/>
  <c r="S38" i="32" s="1"/>
  <c r="S97" i="32" s="1"/>
  <c r="R327" i="32"/>
  <c r="R446" i="32" s="1"/>
  <c r="S28" i="32" s="1"/>
  <c r="S87" i="32" s="1"/>
  <c r="R328" i="32"/>
  <c r="R447" i="32" s="1"/>
  <c r="S29" i="32" s="1"/>
  <c r="S88" i="32" s="1"/>
  <c r="R321" i="32"/>
  <c r="R440" i="32" s="1"/>
  <c r="S22" i="32" s="1"/>
  <c r="R324" i="32"/>
  <c r="R443" i="32" s="1"/>
  <c r="S25" i="32" s="1"/>
  <c r="S84" i="32" s="1"/>
  <c r="R336" i="32"/>
  <c r="R455" i="32" s="1"/>
  <c r="S37" i="32" s="1"/>
  <c r="S96" i="32" s="1"/>
  <c r="R351" i="32"/>
  <c r="R470" i="32" s="1"/>
  <c r="S52" i="32" s="1"/>
  <c r="S111" i="32" s="1"/>
  <c r="R353" i="32"/>
  <c r="R472" i="32" s="1"/>
  <c r="S54" i="32" s="1"/>
  <c r="Q347" i="32"/>
  <c r="Q466" i="32" s="1"/>
  <c r="R48" i="32" s="1"/>
  <c r="Q345" i="32"/>
  <c r="Q464" i="32" s="1"/>
  <c r="R46" i="32" s="1"/>
  <c r="R355" i="32"/>
  <c r="R474" i="32" s="1"/>
  <c r="S56" i="32" s="1"/>
  <c r="Q334" i="32"/>
  <c r="Q453" i="32" s="1"/>
  <c r="R35" i="32" s="1"/>
  <c r="R94" i="32" s="1"/>
  <c r="Q330" i="32"/>
  <c r="Q449" i="32" s="1"/>
  <c r="R31" i="32" s="1"/>
  <c r="P436" i="32"/>
  <c r="Q333" i="32"/>
  <c r="Q452" i="32" s="1"/>
  <c r="R34" i="32" s="1"/>
  <c r="R93" i="32" s="1"/>
  <c r="Q322" i="32"/>
  <c r="Q441" i="32" s="1"/>
  <c r="R23" i="32" s="1"/>
  <c r="R82" i="32" s="1"/>
  <c r="Q348" i="32"/>
  <c r="Q467" i="32" s="1"/>
  <c r="R49" i="32" s="1"/>
  <c r="R354" i="32"/>
  <c r="R473" i="32" s="1"/>
  <c r="S55" i="32" s="1"/>
  <c r="S114" i="32" s="1"/>
  <c r="Q332" i="32"/>
  <c r="Q451" i="32" s="1"/>
  <c r="R33" i="32" s="1"/>
  <c r="Q335" i="32"/>
  <c r="Q454" i="32" s="1"/>
  <c r="R36" i="32" s="1"/>
  <c r="R95" i="32" s="1"/>
  <c r="R349" i="32"/>
  <c r="R468" i="32" s="1"/>
  <c r="S50" i="32" s="1"/>
  <c r="S109" i="32" s="1"/>
  <c r="R350" i="32"/>
  <c r="R469" i="32" s="1"/>
  <c r="S51" i="32" s="1"/>
  <c r="S110" i="32" s="1"/>
  <c r="Q326" i="32"/>
  <c r="Q445" i="32" s="1"/>
  <c r="R27" i="32" s="1"/>
  <c r="Q320" i="32"/>
  <c r="Q439" i="32" s="1"/>
  <c r="R21" i="32" s="1"/>
  <c r="R80" i="32" s="1"/>
  <c r="R83" i="32"/>
  <c r="R352" i="32"/>
  <c r="R471" i="32" s="1"/>
  <c r="S53" i="32" s="1"/>
  <c r="S112" i="32" s="1"/>
  <c r="R329" i="32" l="1"/>
  <c r="R448" i="32" s="1"/>
  <c r="S30" i="32" s="1"/>
  <c r="S352" i="32"/>
  <c r="S471" i="32" s="1"/>
  <c r="T53" i="32" s="1"/>
  <c r="T112" i="32" s="1"/>
  <c r="S324" i="32"/>
  <c r="S443" i="32" s="1"/>
  <c r="T25" i="32" s="1"/>
  <c r="T84" i="32" s="1"/>
  <c r="R320" i="32"/>
  <c r="R439" i="32" s="1"/>
  <c r="S21" i="32" s="1"/>
  <c r="S80" i="32" s="1"/>
  <c r="R90" i="32"/>
  <c r="S337" i="32"/>
  <c r="S456" i="32" s="1"/>
  <c r="T38" i="32" s="1"/>
  <c r="T97" i="32" s="1"/>
  <c r="R86" i="32"/>
  <c r="S349" i="32"/>
  <c r="S468" i="32" s="1"/>
  <c r="T50" i="32" s="1"/>
  <c r="R331" i="32"/>
  <c r="R450" i="32" s="1"/>
  <c r="S32" i="32" s="1"/>
  <c r="S91" i="32" s="1"/>
  <c r="S354" i="32"/>
  <c r="S473" i="32" s="1"/>
  <c r="T55" i="32" s="1"/>
  <c r="T114" i="32" s="1"/>
  <c r="S336" i="32"/>
  <c r="S455" i="32" s="1"/>
  <c r="T37" i="32" s="1"/>
  <c r="T96" i="32" s="1"/>
  <c r="S89" i="32"/>
  <c r="S329" i="32" s="1"/>
  <c r="S448" i="32" s="1"/>
  <c r="T30" i="32" s="1"/>
  <c r="R108" i="32"/>
  <c r="R348" i="32" s="1"/>
  <c r="R467" i="32" s="1"/>
  <c r="S49" i="32" s="1"/>
  <c r="S108" i="32" s="1"/>
  <c r="S348" i="32" s="1"/>
  <c r="S467" i="32" s="1"/>
  <c r="T49" i="32" s="1"/>
  <c r="T108" i="32" s="1"/>
  <c r="T348" i="32" s="1"/>
  <c r="T467" i="32" s="1"/>
  <c r="R323" i="32"/>
  <c r="R442" i="32" s="1"/>
  <c r="S24" i="32" s="1"/>
  <c r="S350" i="32"/>
  <c r="S469" i="32" s="1"/>
  <c r="T51" i="32" s="1"/>
  <c r="R334" i="32"/>
  <c r="R453" i="32" s="1"/>
  <c r="S35" i="32" s="1"/>
  <c r="S94" i="32" s="1"/>
  <c r="S113" i="32"/>
  <c r="S81" i="32"/>
  <c r="Q18" i="32"/>
  <c r="R319" i="32"/>
  <c r="R438" i="32" s="1"/>
  <c r="S20" i="32" s="1"/>
  <c r="S79" i="32" s="1"/>
  <c r="R105" i="32"/>
  <c r="R345" i="32" s="1"/>
  <c r="R464" i="32" s="1"/>
  <c r="S46" i="32" s="1"/>
  <c r="R107" i="32"/>
  <c r="R347" i="32" s="1"/>
  <c r="R466" i="32" s="1"/>
  <c r="S48" i="32" s="1"/>
  <c r="S107" i="32" s="1"/>
  <c r="S347" i="32" s="1"/>
  <c r="S466" i="32" s="1"/>
  <c r="T48" i="32" s="1"/>
  <c r="T107" i="32" s="1"/>
  <c r="T347" i="32" s="1"/>
  <c r="T466" i="32" s="1"/>
  <c r="R335" i="32"/>
  <c r="R454" i="32" s="1"/>
  <c r="S36" i="32" s="1"/>
  <c r="R325" i="32"/>
  <c r="R444" i="32" s="1"/>
  <c r="S26" i="32" s="1"/>
  <c r="S85" i="32" s="1"/>
  <c r="S351" i="32"/>
  <c r="S470" i="32" s="1"/>
  <c r="T52" i="32" s="1"/>
  <c r="R92" i="32"/>
  <c r="R333" i="32"/>
  <c r="R452" i="32" s="1"/>
  <c r="S34" i="32" s="1"/>
  <c r="S115" i="32"/>
  <c r="S328" i="32"/>
  <c r="S447" i="32" s="1"/>
  <c r="T29" i="32" s="1"/>
  <c r="T88" i="32" s="1"/>
  <c r="R322" i="32"/>
  <c r="R441" i="32" s="1"/>
  <c r="S23" i="32" s="1"/>
  <c r="S82" i="32" s="1"/>
  <c r="S327" i="32" l="1"/>
  <c r="S446" i="32" s="1"/>
  <c r="T28" i="32" s="1"/>
  <c r="T87" i="32" s="1"/>
  <c r="S355" i="32"/>
  <c r="S474" i="32" s="1"/>
  <c r="T56" i="32" s="1"/>
  <c r="T115" i="32" s="1"/>
  <c r="R332" i="32"/>
  <c r="R451" i="32" s="1"/>
  <c r="S33" i="32" s="1"/>
  <c r="S92" i="32" s="1"/>
  <c r="S320" i="32"/>
  <c r="S439" i="32" s="1"/>
  <c r="T21" i="32" s="1"/>
  <c r="T80" i="32" s="1"/>
  <c r="R326" i="32"/>
  <c r="R445" i="32" s="1"/>
  <c r="S27" i="32" s="1"/>
  <c r="S86" i="32" s="1"/>
  <c r="T337" i="32"/>
  <c r="T456" i="32" s="1"/>
  <c r="S321" i="32"/>
  <c r="S440" i="32" s="1"/>
  <c r="T22" i="32" s="1"/>
  <c r="T81" i="32" s="1"/>
  <c r="T352" i="32"/>
  <c r="T471" i="32" s="1"/>
  <c r="T354" i="32"/>
  <c r="T473" i="32" s="1"/>
  <c r="S353" i="32"/>
  <c r="S472" i="32" s="1"/>
  <c r="T54" i="32" s="1"/>
  <c r="T113" i="32" s="1"/>
  <c r="S105" i="32"/>
  <c r="S345" i="32" s="1"/>
  <c r="S464" i="32" s="1"/>
  <c r="T46" i="32" s="1"/>
  <c r="T105" i="32" s="1"/>
  <c r="T345" i="32" s="1"/>
  <c r="T464" i="32" s="1"/>
  <c r="S83" i="32"/>
  <c r="S331" i="32"/>
  <c r="S450" i="32" s="1"/>
  <c r="T32" i="32" s="1"/>
  <c r="T91" i="32" s="1"/>
  <c r="S95" i="32"/>
  <c r="S335" i="32" s="1"/>
  <c r="S454" i="32" s="1"/>
  <c r="T36" i="32" s="1"/>
  <c r="R330" i="32"/>
  <c r="R449" i="32" s="1"/>
  <c r="S31" i="32" s="1"/>
  <c r="S325" i="32"/>
  <c r="S444" i="32" s="1"/>
  <c r="T26" i="32" s="1"/>
  <c r="T85" i="32" s="1"/>
  <c r="T89" i="32"/>
  <c r="T329" i="32" s="1"/>
  <c r="T448" i="32" s="1"/>
  <c r="Q77" i="32"/>
  <c r="Q317" i="32" s="1"/>
  <c r="T111" i="32"/>
  <c r="S93" i="32"/>
  <c r="S333" i="32" s="1"/>
  <c r="S452" i="32" s="1"/>
  <c r="T34" i="32" s="1"/>
  <c r="T327" i="32"/>
  <c r="T446" i="32" s="1"/>
  <c r="T336" i="32"/>
  <c r="T455" i="32" s="1"/>
  <c r="S319" i="32"/>
  <c r="S438" i="32" s="1"/>
  <c r="T20" i="32" s="1"/>
  <c r="S334" i="32"/>
  <c r="S453" i="32" s="1"/>
  <c r="T35" i="32" s="1"/>
  <c r="T109" i="32"/>
  <c r="S322" i="32"/>
  <c r="S441" i="32" s="1"/>
  <c r="T23" i="32" s="1"/>
  <c r="T82" i="32" s="1"/>
  <c r="T328" i="32"/>
  <c r="T447" i="32" s="1"/>
  <c r="T110" i="32"/>
  <c r="T324" i="32" l="1"/>
  <c r="T443" i="32" s="1"/>
  <c r="T350" i="32"/>
  <c r="T469" i="32" s="1"/>
  <c r="T349" i="32"/>
  <c r="T468" i="32" s="1"/>
  <c r="T355" i="32"/>
  <c r="T474" i="32" s="1"/>
  <c r="T320" i="32"/>
  <c r="T439" i="32" s="1"/>
  <c r="S323" i="32"/>
  <c r="S442" i="32" s="1"/>
  <c r="T24" i="32" s="1"/>
  <c r="T83" i="32" s="1"/>
  <c r="T323" i="32" s="1"/>
  <c r="T442" i="32" s="1"/>
  <c r="T93" i="32"/>
  <c r="T333" i="32" s="1"/>
  <c r="T452" i="32" s="1"/>
  <c r="T353" i="32"/>
  <c r="T472" i="32" s="1"/>
  <c r="S326" i="32"/>
  <c r="S445" i="32" s="1"/>
  <c r="T27" i="32" s="1"/>
  <c r="T86" i="32" s="1"/>
  <c r="T321" i="32"/>
  <c r="T440" i="32" s="1"/>
  <c r="T351" i="32"/>
  <c r="T470" i="32" s="1"/>
  <c r="S332" i="32"/>
  <c r="S451" i="32" s="1"/>
  <c r="T33" i="32" s="1"/>
  <c r="T92" i="32" s="1"/>
  <c r="T95" i="32"/>
  <c r="T335" i="32" s="1"/>
  <c r="T454" i="32" s="1"/>
  <c r="T322" i="32"/>
  <c r="T441" i="32" s="1"/>
  <c r="T331" i="32"/>
  <c r="T450" i="32" s="1"/>
  <c r="T79" i="32"/>
  <c r="T325" i="32"/>
  <c r="T444" i="32" s="1"/>
  <c r="R318" i="32"/>
  <c r="R437" i="32" s="1"/>
  <c r="S19" i="32" s="1"/>
  <c r="Q436" i="32"/>
  <c r="T94" i="32"/>
  <c r="S90" i="32"/>
  <c r="S330" i="32" s="1"/>
  <c r="S449" i="32" s="1"/>
  <c r="T31" i="32" s="1"/>
  <c r="T334" i="32" l="1"/>
  <c r="T453" i="32" s="1"/>
  <c r="T319" i="32"/>
  <c r="T438" i="32" s="1"/>
  <c r="T332" i="32"/>
  <c r="T451" i="32" s="1"/>
  <c r="T326" i="32"/>
  <c r="T445" i="32" s="1"/>
  <c r="T90" i="32"/>
  <c r="T330" i="32" s="1"/>
  <c r="T449" i="32" s="1"/>
  <c r="S78" i="32"/>
  <c r="S318" i="32" s="1"/>
  <c r="S437" i="32" s="1"/>
  <c r="T19" i="32" s="1"/>
  <c r="R18" i="32"/>
  <c r="T78" i="32" l="1"/>
  <c r="T318" i="32" s="1"/>
  <c r="T437" i="32" s="1"/>
  <c r="T68" i="33" a="1"/>
  <c r="T68" i="33" s="1"/>
  <c r="T105" i="34" s="1"/>
  <c r="I64" i="51" s="1"/>
  <c r="P364" i="32"/>
  <c r="P483" i="32" s="1"/>
  <c r="Q65" i="32" s="1"/>
  <c r="Q124" i="32" s="1"/>
  <c r="P341" i="32"/>
  <c r="P460" i="32" s="1"/>
  <c r="Q42" i="32" s="1"/>
  <c r="Q101" i="32" s="1"/>
  <c r="Q68" i="33" a="1"/>
  <c r="Q68" i="33" s="1"/>
  <c r="Q105" i="34" s="1"/>
  <c r="F64" i="51" s="1"/>
  <c r="P365" i="32"/>
  <c r="P484" i="32" s="1"/>
  <c r="Q66" i="32" s="1"/>
  <c r="Q125" i="32" s="1"/>
  <c r="P339" i="32"/>
  <c r="P458" i="32" s="1"/>
  <c r="Q40" i="32" s="1"/>
  <c r="Q99" i="32" s="1"/>
  <c r="P343" i="32"/>
  <c r="P462" i="32" s="1"/>
  <c r="Q44" i="32" s="1"/>
  <c r="Q103" i="32" s="1"/>
  <c r="P340" i="32"/>
  <c r="P459" i="32" s="1"/>
  <c r="Q41" i="32" s="1"/>
  <c r="Q100" i="32" s="1"/>
  <c r="P346" i="32"/>
  <c r="P465" i="32" s="1"/>
  <c r="Q47" i="32" s="1"/>
  <c r="Q106" i="32" s="1"/>
  <c r="Q346" i="32" s="1"/>
  <c r="Q465" i="32" s="1"/>
  <c r="R47" i="32" s="1"/>
  <c r="R106" i="32" s="1"/>
  <c r="R346" i="32" s="1"/>
  <c r="R465" i="32" s="1"/>
  <c r="S47" i="32" s="1"/>
  <c r="S106" i="32" s="1"/>
  <c r="S346" i="32" s="1"/>
  <c r="S465" i="32" s="1"/>
  <c r="T47" i="32" s="1"/>
  <c r="T106" i="32" s="1"/>
  <c r="T346" i="32" s="1"/>
  <c r="T465" i="32" s="1"/>
  <c r="P344" i="32"/>
  <c r="P463" i="32" s="1"/>
  <c r="Q45" i="32" s="1"/>
  <c r="Q104" i="32" s="1"/>
  <c r="R77" i="32"/>
  <c r="R317" i="32" s="1"/>
  <c r="R63" i="33"/>
  <c r="R248" i="32"/>
  <c r="R64" i="33"/>
  <c r="R49" i="34" s="1"/>
  <c r="G36" i="51" s="1"/>
  <c r="R65" i="33"/>
  <c r="R63" i="34" s="1"/>
  <c r="G43" i="51" s="1"/>
  <c r="R66" i="33"/>
  <c r="R77" i="34" s="1"/>
  <c r="G50" i="51" s="1"/>
  <c r="R68" i="33" a="1"/>
  <c r="R68" i="33" s="1"/>
  <c r="R105" i="34" s="1"/>
  <c r="G64" i="51" s="1"/>
  <c r="R67" i="33" a="1"/>
  <c r="R67" i="33" s="1"/>
  <c r="R91" i="34" s="1"/>
  <c r="G57" i="51" s="1"/>
  <c r="P342" i="32"/>
  <c r="P461" i="32" s="1"/>
  <c r="Q43" i="32" s="1"/>
  <c r="Q102" i="32" s="1"/>
  <c r="Q248" i="32"/>
  <c r="S66" i="33"/>
  <c r="S77" i="34" s="1"/>
  <c r="H50" i="51" s="1"/>
  <c r="S63" i="33"/>
  <c r="S68" i="33" a="1"/>
  <c r="S68" i="33" s="1"/>
  <c r="S105" i="34" s="1"/>
  <c r="H64" i="51" s="1"/>
  <c r="S64" i="33"/>
  <c r="S49" i="34" s="1"/>
  <c r="H36" i="51" s="1"/>
  <c r="S65" i="33"/>
  <c r="S63" i="34" s="1"/>
  <c r="H43" i="51" s="1"/>
  <c r="S248" i="32"/>
  <c r="S67" i="33" a="1"/>
  <c r="S67" i="33" s="1"/>
  <c r="S91" i="34" s="1"/>
  <c r="H57" i="51" s="1"/>
  <c r="T67" i="33" l="1" a="1"/>
  <c r="T67" i="33" s="1"/>
  <c r="T91" i="34" s="1"/>
  <c r="I57" i="51" s="1"/>
  <c r="T64" i="33"/>
  <c r="T49" i="34" s="1"/>
  <c r="I36" i="51" s="1"/>
  <c r="T63" i="33"/>
  <c r="T66" i="33"/>
  <c r="T77" i="34" s="1"/>
  <c r="I50" i="51" s="1"/>
  <c r="T65" i="33"/>
  <c r="T63" i="34" s="1"/>
  <c r="I43" i="51" s="1"/>
  <c r="Q65" i="33"/>
  <c r="Q63" i="34" s="1"/>
  <c r="F43" i="51" s="1"/>
  <c r="Q67" i="33" a="1"/>
  <c r="Q67" i="33" s="1"/>
  <c r="Q91" i="34" s="1"/>
  <c r="F57" i="51" s="1"/>
  <c r="Q66" i="33"/>
  <c r="Q77" i="34" s="1"/>
  <c r="F50" i="51" s="1"/>
  <c r="Q63" i="33"/>
  <c r="Q35" i="34" s="1"/>
  <c r="Q64" i="33"/>
  <c r="Q49" i="34" s="1"/>
  <c r="F36" i="51" s="1"/>
  <c r="T248" i="32"/>
  <c r="R436" i="32"/>
  <c r="Q250" i="32"/>
  <c r="Q342" i="32"/>
  <c r="Q461" i="32" s="1"/>
  <c r="R43" i="32" s="1"/>
  <c r="R102" i="32" s="1"/>
  <c r="Q364" i="32"/>
  <c r="Q483" i="32" s="1"/>
  <c r="R65" i="32" s="1"/>
  <c r="S35" i="34"/>
  <c r="S70" i="33"/>
  <c r="S72" i="33" s="1"/>
  <c r="Q341" i="32"/>
  <c r="Q460" i="32" s="1"/>
  <c r="R42" i="32" s="1"/>
  <c r="R101" i="32" s="1"/>
  <c r="Q344" i="32"/>
  <c r="Q463" i="32" s="1"/>
  <c r="R45" i="32" s="1"/>
  <c r="Q343" i="32"/>
  <c r="Q462" i="32" s="1"/>
  <c r="R44" i="32" s="1"/>
  <c r="R103" i="32" s="1"/>
  <c r="Q340" i="32"/>
  <c r="Q459" i="32" s="1"/>
  <c r="R41" i="32" s="1"/>
  <c r="T35" i="34"/>
  <c r="T70" i="33"/>
  <c r="T72" i="33" s="1"/>
  <c r="P338" i="32"/>
  <c r="P65" i="33"/>
  <c r="P64" i="33"/>
  <c r="P66" i="33"/>
  <c r="P248" i="32"/>
  <c r="P63" i="33"/>
  <c r="P67" i="33" a="1"/>
  <c r="P67" i="33" s="1"/>
  <c r="P68" i="33" a="1"/>
  <c r="P68" i="33" s="1"/>
  <c r="R250" i="32"/>
  <c r="R35" i="34"/>
  <c r="R70" i="33"/>
  <c r="R72" i="33" s="1"/>
  <c r="T250" i="32"/>
  <c r="Q339" i="32"/>
  <c r="Q458" i="32" s="1"/>
  <c r="R40" i="32" s="1"/>
  <c r="R99" i="32" s="1"/>
  <c r="S250" i="32"/>
  <c r="Q365" i="32"/>
  <c r="Q484" i="32" s="1"/>
  <c r="R66" i="32" s="1"/>
  <c r="R125" i="32" s="1"/>
  <c r="Q70" i="33" l="1"/>
  <c r="Q72" i="33" s="1"/>
  <c r="R343" i="32"/>
  <c r="R462" i="32" s="1"/>
  <c r="S44" i="32" s="1"/>
  <c r="S103" i="32" s="1"/>
  <c r="R341" i="32"/>
  <c r="R460" i="32" s="1"/>
  <c r="S42" i="32" s="1"/>
  <c r="S101" i="32" s="1"/>
  <c r="S341" i="32" s="1"/>
  <c r="S460" i="32" s="1"/>
  <c r="T42" i="32" s="1"/>
  <c r="T101" i="32" s="1"/>
  <c r="T341" i="32" s="1"/>
  <c r="T460" i="32" s="1"/>
  <c r="R339" i="32"/>
  <c r="R458" i="32" s="1"/>
  <c r="S40" i="32" s="1"/>
  <c r="S99" i="32" s="1"/>
  <c r="R19" i="34"/>
  <c r="G16" i="51" s="1"/>
  <c r="G29" i="51"/>
  <c r="P250" i="32"/>
  <c r="A250" i="32" s="1"/>
  <c r="A251" i="32"/>
  <c r="S18" i="32"/>
  <c r="P77" i="34"/>
  <c r="P96" i="33"/>
  <c r="P126" i="33" s="1"/>
  <c r="Q21" i="33" s="1"/>
  <c r="H29" i="51"/>
  <c r="S19" i="34"/>
  <c r="H16" i="51" s="1"/>
  <c r="P49" i="34"/>
  <c r="P94" i="33"/>
  <c r="P124" i="33" s="1"/>
  <c r="Q19" i="33" s="1"/>
  <c r="Q366" i="32"/>
  <c r="Q485" i="32" s="1"/>
  <c r="R67" i="32" s="1"/>
  <c r="P63" i="34"/>
  <c r="P95" i="33"/>
  <c r="P125" i="33" s="1"/>
  <c r="Q20" i="33" s="1"/>
  <c r="P457" i="32"/>
  <c r="P368" i="32"/>
  <c r="P370" i="32" s="1"/>
  <c r="T19" i="34"/>
  <c r="I16" i="51" s="1"/>
  <c r="I29" i="51"/>
  <c r="R104" i="32"/>
  <c r="R344" i="32" s="1"/>
  <c r="R463" i="32" s="1"/>
  <c r="S45" i="32" s="1"/>
  <c r="S104" i="32" s="1"/>
  <c r="S344" i="32" s="1"/>
  <c r="S463" i="32" s="1"/>
  <c r="T45" i="32" s="1"/>
  <c r="T104" i="32" s="1"/>
  <c r="T344" i="32" s="1"/>
  <c r="T463" i="32" s="1"/>
  <c r="R342" i="32"/>
  <c r="R461" i="32" s="1"/>
  <c r="S43" i="32" s="1"/>
  <c r="S102" i="32" s="1"/>
  <c r="S342" i="32" s="1"/>
  <c r="S461" i="32" s="1"/>
  <c r="T43" i="32" s="1"/>
  <c r="T102" i="32" s="1"/>
  <c r="T342" i="32" s="1"/>
  <c r="T461" i="32" s="1"/>
  <c r="R124" i="32"/>
  <c r="R364" i="32" s="1"/>
  <c r="R483" i="32" s="1"/>
  <c r="S65" i="32" s="1"/>
  <c r="R100" i="32"/>
  <c r="R340" i="32" s="1"/>
  <c r="R459" i="32" s="1"/>
  <c r="S41" i="32" s="1"/>
  <c r="S100" i="32" s="1"/>
  <c r="P105" i="34"/>
  <c r="P98" i="33"/>
  <c r="P128" i="33" s="1"/>
  <c r="Q23" i="33" s="1"/>
  <c r="P91" i="34"/>
  <c r="P97" i="33"/>
  <c r="P127" i="33" s="1"/>
  <c r="Q22" i="33" s="1"/>
  <c r="R365" i="32"/>
  <c r="R484" i="32" s="1"/>
  <c r="S66" i="32" s="1"/>
  <c r="S125" i="32" s="1"/>
  <c r="S365" i="32" s="1"/>
  <c r="S484" i="32" s="1"/>
  <c r="T66" i="32" s="1"/>
  <c r="T125" i="32" s="1"/>
  <c r="T365" i="32" s="1"/>
  <c r="T484" i="32" s="1"/>
  <c r="P35" i="34"/>
  <c r="P70" i="33"/>
  <c r="P72" i="33" s="1"/>
  <c r="A72" i="33" s="1"/>
  <c r="P93" i="33"/>
  <c r="Q19" i="34"/>
  <c r="F16" i="51" s="1"/>
  <c r="F29" i="51"/>
  <c r="S339" i="32" l="1"/>
  <c r="S458" i="32" s="1"/>
  <c r="T40" i="32" s="1"/>
  <c r="T99" i="32" s="1"/>
  <c r="T339" i="32" s="1"/>
  <c r="T458" i="32" s="1"/>
  <c r="S340" i="32"/>
  <c r="S459" i="32" s="1"/>
  <c r="T41" i="32" s="1"/>
  <c r="T100" i="32" s="1"/>
  <c r="T340" i="32" s="1"/>
  <c r="T459" i="32" s="1"/>
  <c r="S343" i="32"/>
  <c r="S462" i="32" s="1"/>
  <c r="T44" i="32" s="1"/>
  <c r="T103" i="32" s="1"/>
  <c r="T343" i="32" s="1"/>
  <c r="T462" i="32" s="1"/>
  <c r="S124" i="32"/>
  <c r="S364" i="32" s="1"/>
  <c r="S483" i="32" s="1"/>
  <c r="T65" i="32" s="1"/>
  <c r="T124" i="32" s="1"/>
  <c r="T364" i="32" s="1"/>
  <c r="T483" i="32" s="1"/>
  <c r="R126" i="32"/>
  <c r="E64" i="51"/>
  <c r="P108" i="34"/>
  <c r="P110" i="34" s="1"/>
  <c r="S77" i="32"/>
  <c r="Q102" i="34"/>
  <c r="P123" i="33"/>
  <c r="P100" i="33"/>
  <c r="P102" i="33" s="1"/>
  <c r="Q74" i="34"/>
  <c r="P19" i="34"/>
  <c r="E16" i="51" s="1"/>
  <c r="E29" i="51"/>
  <c r="P38" i="34"/>
  <c r="Q60" i="34"/>
  <c r="Q88" i="34"/>
  <c r="E43" i="51"/>
  <c r="P66" i="34"/>
  <c r="P68" i="34" s="1"/>
  <c r="Q46" i="34"/>
  <c r="E50" i="51"/>
  <c r="P80" i="34"/>
  <c r="P82" i="34" s="1"/>
  <c r="E36" i="51"/>
  <c r="P52" i="34"/>
  <c r="P54" i="34" s="1"/>
  <c r="Q52" i="33" a="1"/>
  <c r="Q52" i="33" s="1"/>
  <c r="Q90" i="34" s="1"/>
  <c r="F56" i="51" s="1"/>
  <c r="Q53" i="33" a="1"/>
  <c r="Q53" i="33" s="1"/>
  <c r="Q104" i="34" s="1"/>
  <c r="F63" i="51" s="1"/>
  <c r="Q51" i="33"/>
  <c r="Q76" i="34" s="1"/>
  <c r="F49" i="51" s="1"/>
  <c r="Q49" i="33"/>
  <c r="Q48" i="34" s="1"/>
  <c r="F35" i="51" s="1"/>
  <c r="Q188" i="32"/>
  <c r="Q50" i="33"/>
  <c r="Q62" i="34" s="1"/>
  <c r="F42" i="51" s="1"/>
  <c r="Q48" i="33"/>
  <c r="E57" i="51"/>
  <c r="P94" i="34"/>
  <c r="P96" i="34" s="1"/>
  <c r="Q39" i="32"/>
  <c r="P487" i="32"/>
  <c r="P489" i="32" s="1"/>
  <c r="P491" i="32"/>
  <c r="E31" i="51" l="1"/>
  <c r="E52" i="51"/>
  <c r="E59" i="51"/>
  <c r="E66" i="51"/>
  <c r="E45" i="51"/>
  <c r="E38" i="51"/>
  <c r="F40" i="51"/>
  <c r="F61" i="51"/>
  <c r="E80" i="51"/>
  <c r="E67" i="51"/>
  <c r="Q190" i="32"/>
  <c r="S317" i="32"/>
  <c r="E79" i="51"/>
  <c r="E60" i="51"/>
  <c r="E53" i="51"/>
  <c r="E78" i="51"/>
  <c r="F54" i="51"/>
  <c r="Q98" i="32"/>
  <c r="Q338" i="32" s="1"/>
  <c r="Q69" i="32"/>
  <c r="Q71" i="32" s="1"/>
  <c r="F33" i="51"/>
  <c r="F47" i="51"/>
  <c r="E39" i="51"/>
  <c r="E76" i="51"/>
  <c r="Q18" i="33"/>
  <c r="P130" i="33"/>
  <c r="P132" i="33" s="1"/>
  <c r="P22" i="34"/>
  <c r="P40" i="34"/>
  <c r="E75" i="51"/>
  <c r="E32" i="51"/>
  <c r="Q34" i="34"/>
  <c r="Q55" i="33"/>
  <c r="Q57" i="33" s="1"/>
  <c r="E77" i="51"/>
  <c r="E46" i="51"/>
  <c r="R52" i="33" l="1" a="1"/>
  <c r="R52" i="33" s="1"/>
  <c r="R90" i="34" s="1"/>
  <c r="G56" i="51" s="1"/>
  <c r="R53" i="33" a="1"/>
  <c r="R53" i="33" s="1"/>
  <c r="R104" i="34" s="1"/>
  <c r="G63" i="51" s="1"/>
  <c r="R48" i="33"/>
  <c r="R188" i="32"/>
  <c r="R50" i="33"/>
  <c r="R62" i="34" s="1"/>
  <c r="G42" i="51" s="1"/>
  <c r="R51" i="33"/>
  <c r="R76" i="34" s="1"/>
  <c r="G49" i="51" s="1"/>
  <c r="R49" i="33"/>
  <c r="R48" i="34" s="1"/>
  <c r="G35" i="51" s="1"/>
  <c r="S53" i="33" a="1"/>
  <c r="S53" i="33" s="1"/>
  <c r="S104" i="34" s="1"/>
  <c r="H63" i="51" s="1"/>
  <c r="S50" i="33"/>
  <c r="S62" i="34" s="1"/>
  <c r="H42" i="51" s="1"/>
  <c r="S51" i="33"/>
  <c r="S76" i="34" s="1"/>
  <c r="H49" i="51" s="1"/>
  <c r="S188" i="32"/>
  <c r="S49" i="33"/>
  <c r="S48" i="34" s="1"/>
  <c r="H35" i="51" s="1"/>
  <c r="S48" i="33"/>
  <c r="S52" i="33" a="1"/>
  <c r="S52" i="33" s="1"/>
  <c r="S90" i="34" s="1"/>
  <c r="H56" i="51" s="1"/>
  <c r="Q25" i="33"/>
  <c r="Q27" i="33" s="1"/>
  <c r="Q32" i="34"/>
  <c r="P24" i="34"/>
  <c r="E18" i="51"/>
  <c r="Q457" i="32"/>
  <c r="Q368" i="32"/>
  <c r="Q370" i="32" s="1"/>
  <c r="S436" i="32"/>
  <c r="Q38" i="33" a="1"/>
  <c r="Q38" i="33" s="1"/>
  <c r="Q33" i="33"/>
  <c r="Q93" i="33" s="1"/>
  <c r="Q36" i="33"/>
  <c r="Q34" i="33"/>
  <c r="Q35" i="33"/>
  <c r="Q128" i="32"/>
  <c r="Q130" i="32" s="1"/>
  <c r="Q37" i="33" a="1"/>
  <c r="Q37" i="33" s="1"/>
  <c r="F28" i="51"/>
  <c r="Q18" i="34"/>
  <c r="F15" i="51" s="1"/>
  <c r="T50" i="33"/>
  <c r="T62" i="34" s="1"/>
  <c r="I42" i="51" s="1"/>
  <c r="T53" i="33" a="1"/>
  <c r="T53" i="33" s="1"/>
  <c r="T104" i="34" s="1"/>
  <c r="I63" i="51" s="1"/>
  <c r="T51" i="33"/>
  <c r="T76" i="34" s="1"/>
  <c r="I49" i="51" s="1"/>
  <c r="T48" i="33"/>
  <c r="T49" i="33"/>
  <c r="T48" i="34" s="1"/>
  <c r="I35" i="51" s="1"/>
  <c r="T52" i="33" a="1"/>
  <c r="T52" i="33" s="1"/>
  <c r="T90" i="34" s="1"/>
  <c r="I56" i="51" s="1"/>
  <c r="T188" i="32"/>
  <c r="R366" i="32"/>
  <c r="R485" i="32" s="1"/>
  <c r="S67" i="32" s="1"/>
  <c r="S126" i="32" s="1"/>
  <c r="S366" i="32" s="1"/>
  <c r="S485" i="32" s="1"/>
  <c r="T67" i="32" s="1"/>
  <c r="T126" i="32" s="1"/>
  <c r="T366" i="32" s="1"/>
  <c r="T485" i="32" s="1"/>
  <c r="E19" i="51" l="1"/>
  <c r="Q123" i="33"/>
  <c r="Q103" i="34"/>
  <c r="Q98" i="33"/>
  <c r="Q128" i="33" s="1"/>
  <c r="R23" i="33" s="1"/>
  <c r="T190" i="32"/>
  <c r="Q16" i="34"/>
  <c r="F13" i="51" s="1"/>
  <c r="F26" i="51"/>
  <c r="T55" i="33"/>
  <c r="T57" i="33" s="1"/>
  <c r="T34" i="34"/>
  <c r="R39" i="32"/>
  <c r="Q491" i="32"/>
  <c r="Q487" i="32"/>
  <c r="Q489" i="32" s="1"/>
  <c r="S34" i="34"/>
  <c r="S55" i="33"/>
  <c r="S57" i="33" s="1"/>
  <c r="R190" i="32"/>
  <c r="Q89" i="34"/>
  <c r="Q97" i="33"/>
  <c r="Q127" i="33" s="1"/>
  <c r="R22" i="33" s="1"/>
  <c r="R55" i="33"/>
  <c r="R57" i="33" s="1"/>
  <c r="R34" i="34"/>
  <c r="S190" i="32"/>
  <c r="Q61" i="34"/>
  <c r="Q95" i="33"/>
  <c r="Q125" i="33" s="1"/>
  <c r="R20" i="33" s="1"/>
  <c r="Q47" i="34"/>
  <c r="Q94" i="33"/>
  <c r="Q124" i="33" s="1"/>
  <c r="R19" i="33" s="1"/>
  <c r="Q75" i="34"/>
  <c r="Q96" i="33"/>
  <c r="Q126" i="33" s="1"/>
  <c r="R21" i="33" s="1"/>
  <c r="T18" i="32"/>
  <c r="Q40" i="33"/>
  <c r="Q42" i="33" s="1"/>
  <c r="Q33" i="34"/>
  <c r="A57" i="33" l="1"/>
  <c r="G28" i="51"/>
  <c r="R18" i="34"/>
  <c r="G15" i="51" s="1"/>
  <c r="R88" i="34"/>
  <c r="F55" i="51"/>
  <c r="Q94" i="34"/>
  <c r="Q96" i="34" s="1"/>
  <c r="R60" i="34"/>
  <c r="F41" i="51"/>
  <c r="Q66" i="34"/>
  <c r="Q68" i="34" s="1"/>
  <c r="H28" i="51"/>
  <c r="S18" i="34"/>
  <c r="H15" i="51" s="1"/>
  <c r="A190" i="32"/>
  <c r="T77" i="32"/>
  <c r="R46" i="34"/>
  <c r="F34" i="51"/>
  <c r="Q52" i="34"/>
  <c r="Q54" i="34" s="1"/>
  <c r="I28" i="51"/>
  <c r="T18" i="34"/>
  <c r="I15" i="51" s="1"/>
  <c r="Q100" i="33"/>
  <c r="Q102" i="33" s="1"/>
  <c r="R74" i="34"/>
  <c r="Q130" i="33"/>
  <c r="Q132" i="33" s="1"/>
  <c r="R18" i="33"/>
  <c r="F48" i="51"/>
  <c r="Q80" i="34"/>
  <c r="Q82" i="34" s="1"/>
  <c r="R98" i="32"/>
  <c r="R338" i="32" s="1"/>
  <c r="R69" i="32"/>
  <c r="R71" i="32" s="1"/>
  <c r="R102" i="34"/>
  <c r="Q38" i="34"/>
  <c r="F27" i="51"/>
  <c r="Q17" i="34"/>
  <c r="F14" i="51" s="1"/>
  <c r="F62" i="51"/>
  <c r="Q108" i="34"/>
  <c r="Q110" i="34" s="1"/>
  <c r="F38" i="51" l="1"/>
  <c r="F45" i="51"/>
  <c r="F31" i="51"/>
  <c r="F75" i="51" s="1"/>
  <c r="F59" i="51"/>
  <c r="F66" i="51"/>
  <c r="F67" i="51" s="1"/>
  <c r="F52" i="51"/>
  <c r="F78" i="51" s="1"/>
  <c r="R457" i="32"/>
  <c r="R368" i="32"/>
  <c r="R370" i="32" s="1"/>
  <c r="F32" i="51"/>
  <c r="Q22" i="34"/>
  <c r="F39" i="51"/>
  <c r="F76" i="51"/>
  <c r="F46" i="51"/>
  <c r="F77" i="51"/>
  <c r="R38" i="33" a="1"/>
  <c r="R38" i="33" s="1"/>
  <c r="R34" i="33"/>
  <c r="R35" i="33"/>
  <c r="R36" i="33"/>
  <c r="R37" i="33" a="1"/>
  <c r="R37" i="33" s="1"/>
  <c r="R33" i="33"/>
  <c r="R93" i="33" s="1"/>
  <c r="R128" i="32"/>
  <c r="R130" i="32" s="1"/>
  <c r="G33" i="51"/>
  <c r="G61" i="51"/>
  <c r="F53" i="51"/>
  <c r="R32" i="34"/>
  <c r="R25" i="33"/>
  <c r="R27" i="33" s="1"/>
  <c r="T317" i="32"/>
  <c r="G54" i="51"/>
  <c r="G40" i="51"/>
  <c r="Q40" i="34"/>
  <c r="G47" i="51"/>
  <c r="F60" i="51"/>
  <c r="F79" i="51"/>
  <c r="F80" i="51" l="1"/>
  <c r="A191" i="32"/>
  <c r="G26" i="51"/>
  <c r="R16" i="34"/>
  <c r="G13" i="51" s="1"/>
  <c r="F18" i="51"/>
  <c r="Q24" i="34"/>
  <c r="S39" i="32"/>
  <c r="R487" i="32"/>
  <c r="R489" i="32" s="1"/>
  <c r="R491" i="32"/>
  <c r="T436" i="32"/>
  <c r="R40" i="33"/>
  <c r="R42" i="33" s="1"/>
  <c r="R33" i="34"/>
  <c r="R89" i="34"/>
  <c r="R97" i="33"/>
  <c r="R127" i="33" s="1"/>
  <c r="S22" i="33" s="1"/>
  <c r="R75" i="34"/>
  <c r="R96" i="33"/>
  <c r="R126" i="33" s="1"/>
  <c r="S21" i="33" s="1"/>
  <c r="R61" i="34"/>
  <c r="R95" i="33"/>
  <c r="R125" i="33" s="1"/>
  <c r="S20" i="33" s="1"/>
  <c r="R123" i="33"/>
  <c r="R47" i="34"/>
  <c r="R94" i="33"/>
  <c r="R124" i="33" s="1"/>
  <c r="S19" i="33" s="1"/>
  <c r="R103" i="34"/>
  <c r="R98" i="33"/>
  <c r="R128" i="33" s="1"/>
  <c r="S23" i="33" s="1"/>
  <c r="F19" i="51" l="1"/>
  <c r="R38" i="34"/>
  <c r="R40" i="34" s="1"/>
  <c r="R17" i="34"/>
  <c r="G14" i="51" s="1"/>
  <c r="G27" i="51"/>
  <c r="S18" i="33"/>
  <c r="R130" i="33"/>
  <c r="R132" i="33" s="1"/>
  <c r="G41" i="51"/>
  <c r="R66" i="34"/>
  <c r="R68" i="34" s="1"/>
  <c r="R100" i="33"/>
  <c r="R102" i="33" s="1"/>
  <c r="S88" i="34"/>
  <c r="G55" i="51"/>
  <c r="R94" i="34"/>
  <c r="R96" i="34" s="1"/>
  <c r="S46" i="34"/>
  <c r="S74" i="34"/>
  <c r="S98" i="32"/>
  <c r="S69" i="32"/>
  <c r="S71" i="32" s="1"/>
  <c r="S60" i="34"/>
  <c r="S102" i="34"/>
  <c r="G34" i="51"/>
  <c r="R52" i="34"/>
  <c r="R54" i="34" s="1"/>
  <c r="G48" i="51"/>
  <c r="R80" i="34"/>
  <c r="R82" i="34" s="1"/>
  <c r="G62" i="51"/>
  <c r="R108" i="34"/>
  <c r="R110" i="34" s="1"/>
  <c r="G52" i="51" l="1"/>
  <c r="G38" i="51"/>
  <c r="G59" i="51"/>
  <c r="G45" i="51"/>
  <c r="G31" i="51"/>
  <c r="G66" i="51"/>
  <c r="H33" i="51"/>
  <c r="G76" i="51"/>
  <c r="G39" i="51"/>
  <c r="H61" i="51"/>
  <c r="S32" i="34"/>
  <c r="S25" i="33"/>
  <c r="S27" i="33" s="1"/>
  <c r="R22" i="34"/>
  <c r="H40" i="51"/>
  <c r="H47" i="51"/>
  <c r="H54" i="51"/>
  <c r="G80" i="51"/>
  <c r="G67" i="51"/>
  <c r="G53" i="51"/>
  <c r="G78" i="51"/>
  <c r="G32" i="51"/>
  <c r="G75" i="51"/>
  <c r="G77" i="51"/>
  <c r="G46" i="51"/>
  <c r="S338" i="32"/>
  <c r="S38" i="33" a="1"/>
  <c r="S38" i="33" s="1"/>
  <c r="S35" i="33"/>
  <c r="S33" i="33"/>
  <c r="S93" i="33" s="1"/>
  <c r="S37" i="33" a="1"/>
  <c r="S37" i="33" s="1"/>
  <c r="S36" i="33"/>
  <c r="S128" i="32"/>
  <c r="S130" i="32" s="1"/>
  <c r="S34" i="33"/>
  <c r="G79" i="51"/>
  <c r="G60" i="51"/>
  <c r="S123" i="33" l="1"/>
  <c r="R24" i="34"/>
  <c r="G18" i="51"/>
  <c r="S47" i="34"/>
  <c r="S94" i="33"/>
  <c r="S124" i="33" s="1"/>
  <c r="T19" i="33" s="1"/>
  <c r="S75" i="34"/>
  <c r="S96" i="33"/>
  <c r="S126" i="33" s="1"/>
  <c r="T21" i="33" s="1"/>
  <c r="S33" i="34"/>
  <c r="S40" i="33"/>
  <c r="S42" i="33" s="1"/>
  <c r="S61" i="34"/>
  <c r="S95" i="33"/>
  <c r="S125" i="33" s="1"/>
  <c r="T20" i="33" s="1"/>
  <c r="H26" i="51"/>
  <c r="S16" i="34"/>
  <c r="H13" i="51" s="1"/>
  <c r="S89" i="34"/>
  <c r="S97" i="33"/>
  <c r="S127" i="33" s="1"/>
  <c r="T22" i="33" s="1"/>
  <c r="S103" i="34"/>
  <c r="S98" i="33"/>
  <c r="S128" i="33" s="1"/>
  <c r="T23" i="33" s="1"/>
  <c r="S457" i="32"/>
  <c r="S368" i="32"/>
  <c r="S370" i="32" s="1"/>
  <c r="G19" i="51" l="1"/>
  <c r="T102" i="34"/>
  <c r="H62" i="51"/>
  <c r="S108" i="34"/>
  <c r="S110" i="34" s="1"/>
  <c r="T60" i="34"/>
  <c r="H41" i="51"/>
  <c r="S66" i="34"/>
  <c r="S68" i="34" s="1"/>
  <c r="S38" i="34"/>
  <c r="S17" i="34"/>
  <c r="H14" i="51" s="1"/>
  <c r="H27" i="51"/>
  <c r="T46" i="34"/>
  <c r="S130" i="33"/>
  <c r="T18" i="33"/>
  <c r="H34" i="51"/>
  <c r="S52" i="34"/>
  <c r="S54" i="34" s="1"/>
  <c r="S100" i="33"/>
  <c r="S102" i="33" s="1"/>
  <c r="T88" i="34"/>
  <c r="T74" i="34"/>
  <c r="H55" i="51"/>
  <c r="S94" i="34"/>
  <c r="S96" i="34" s="1"/>
  <c r="T39" i="32"/>
  <c r="S487" i="32"/>
  <c r="S489" i="32" s="1"/>
  <c r="S491" i="32"/>
  <c r="H48" i="51"/>
  <c r="S80" i="34"/>
  <c r="S82" i="34" s="1"/>
  <c r="H66" i="51" l="1"/>
  <c r="H59" i="51"/>
  <c r="H38" i="51"/>
  <c r="H52" i="51"/>
  <c r="H31" i="51"/>
  <c r="H32" i="51" s="1"/>
  <c r="H45" i="51"/>
  <c r="S132" i="33"/>
  <c r="I54" i="51"/>
  <c r="H80" i="51"/>
  <c r="H67" i="51"/>
  <c r="I40" i="51"/>
  <c r="H75" i="51"/>
  <c r="I61" i="51"/>
  <c r="T98" i="32"/>
  <c r="T69" i="32"/>
  <c r="T71" i="32" s="1"/>
  <c r="A71" i="32" s="1"/>
  <c r="I47" i="51"/>
  <c r="T32" i="34"/>
  <c r="T25" i="33"/>
  <c r="I33" i="51"/>
  <c r="S40" i="34"/>
  <c r="S22" i="34"/>
  <c r="H53" i="51"/>
  <c r="H78" i="51"/>
  <c r="H76" i="51"/>
  <c r="H39" i="51"/>
  <c r="H79" i="51"/>
  <c r="H60" i="51"/>
  <c r="H46" i="51"/>
  <c r="H77" i="51"/>
  <c r="T27" i="33" l="1"/>
  <c r="A27" i="33" s="1"/>
  <c r="T338" i="32"/>
  <c r="T37" i="33" a="1"/>
  <c r="T37" i="33" s="1"/>
  <c r="T128" i="32"/>
  <c r="T130" i="32" s="1"/>
  <c r="A130" i="32" s="1"/>
  <c r="T33" i="33"/>
  <c r="T36" i="33"/>
  <c r="T34" i="33"/>
  <c r="T38" i="33" a="1"/>
  <c r="T38" i="33" s="1"/>
  <c r="T35" i="33"/>
  <c r="H18" i="51"/>
  <c r="S24" i="34"/>
  <c r="I26" i="51"/>
  <c r="T16" i="34"/>
  <c r="I13" i="51" s="1"/>
  <c r="H19" i="51" l="1"/>
  <c r="T75" i="34"/>
  <c r="T96" i="33"/>
  <c r="T126" i="33" s="1"/>
  <c r="T33" i="34"/>
  <c r="T40" i="33"/>
  <c r="T42" i="33" s="1"/>
  <c r="A42" i="33" s="1"/>
  <c r="T93" i="33"/>
  <c r="T89" i="34"/>
  <c r="T97" i="33"/>
  <c r="T127" i="33" s="1"/>
  <c r="T457" i="32"/>
  <c r="T368" i="32"/>
  <c r="T370" i="32" s="1"/>
  <c r="A370" i="32" s="1"/>
  <c r="T61" i="34"/>
  <c r="T95" i="33"/>
  <c r="T125" i="33" s="1"/>
  <c r="T103" i="34"/>
  <c r="T98" i="33"/>
  <c r="T128" i="33" s="1"/>
  <c r="T47" i="34"/>
  <c r="T94" i="33"/>
  <c r="T124" i="33" s="1"/>
  <c r="I34" i="51" l="1"/>
  <c r="T52" i="34"/>
  <c r="T54" i="34" s="1"/>
  <c r="A54" i="34" s="1"/>
  <c r="T487" i="32"/>
  <c r="T489" i="32" s="1"/>
  <c r="A489" i="32" s="1"/>
  <c r="A1" i="32" s="1"/>
  <c r="H17" i="25" s="1"/>
  <c r="T491" i="32"/>
  <c r="I55" i="51"/>
  <c r="T94" i="34"/>
  <c r="T96" i="34" s="1"/>
  <c r="A96" i="34" s="1"/>
  <c r="I62" i="51"/>
  <c r="T108" i="34"/>
  <c r="T110" i="34" s="1"/>
  <c r="A110" i="34" s="1"/>
  <c r="I48" i="51"/>
  <c r="T80" i="34"/>
  <c r="T82" i="34" s="1"/>
  <c r="A82" i="34" s="1"/>
  <c r="I41" i="51"/>
  <c r="T66" i="34"/>
  <c r="T68" i="34" s="1"/>
  <c r="A68" i="34" s="1"/>
  <c r="T123" i="33"/>
  <c r="T130" i="33" s="1"/>
  <c r="T100" i="33"/>
  <c r="T102" i="33" s="1"/>
  <c r="A102" i="33" s="1"/>
  <c r="T17" i="34"/>
  <c r="I14" i="51" s="1"/>
  <c r="I27" i="51"/>
  <c r="T38" i="34"/>
  <c r="I45" i="51" l="1"/>
  <c r="I52" i="51"/>
  <c r="I38" i="51"/>
  <c r="I31" i="51"/>
  <c r="I32" i="51" s="1"/>
  <c r="A32" i="51" s="1"/>
  <c r="I66" i="51"/>
  <c r="I80" i="51" s="1"/>
  <c r="I59" i="51"/>
  <c r="I79" i="51" s="1"/>
  <c r="T132" i="33"/>
  <c r="A132" i="33" s="1"/>
  <c r="A1" i="33" s="1"/>
  <c r="H20" i="25" s="1"/>
  <c r="I60" i="51"/>
  <c r="A60" i="51" s="1"/>
  <c r="I76" i="51"/>
  <c r="I39" i="51"/>
  <c r="A39" i="51" s="1"/>
  <c r="T40" i="34"/>
  <c r="A40" i="34" s="1"/>
  <c r="T22" i="34"/>
  <c r="I77" i="51"/>
  <c r="I46" i="51"/>
  <c r="A46" i="51" s="1"/>
  <c r="I78" i="51"/>
  <c r="I53" i="51"/>
  <c r="A53" i="51" s="1"/>
  <c r="I67" i="51" l="1"/>
  <c r="I75" i="51"/>
  <c r="I18" i="51"/>
  <c r="T24" i="34"/>
  <c r="A24" i="34" s="1"/>
  <c r="A1" i="34" s="1"/>
  <c r="H21" i="25" s="1"/>
  <c r="I19" i="51" l="1"/>
  <c r="A19" i="51" s="1"/>
  <c r="A6" i="51" s="1"/>
  <c r="H23" i="25" s="1"/>
  <c r="H25" i="25" s="1"/>
  <c r="H8" i="25" s="1"/>
  <c r="H10" i="25" s="1"/>
  <c r="B2" i="34" l="1"/>
  <c r="B2" i="31"/>
  <c r="B2" i="32"/>
  <c r="B2" i="28"/>
  <c r="B2" i="25"/>
  <c r="B2" i="49"/>
  <c r="B2" i="50"/>
  <c r="B2" i="4"/>
  <c r="B2"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<sst xmlns="http://schemas.openxmlformats.org/spreadsheetml/2006/main" count="764" uniqueCount="289">
  <si>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</si>
  <si>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</si>
  <si>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</si>
  <si>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</si>
  <si>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</si>
  <si>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</si>
  <si>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</si>
  <si>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</si>
  <si>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</si>
  <si>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</si>
  <si>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</si>
  <si>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</si>
  <si>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</si>
  <si>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</si>
  <si>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</si>
  <si>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</si>
  <si>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</si>
  <si>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</si>
  <si>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</si>
  <si>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</si>
  <si>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</si>
  <si>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</si>
  <si>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</si>
  <si>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</si>
  <si>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</si>
  <si>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</si>
  <si>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</si>
  <si>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</si>
  <si>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</si>
  <si>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</si>
  <si>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</si>
  <si>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</si>
  <si>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</si>
  <si>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</si>
  <si>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</si>
  <si>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</si>
  <si>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</si>
  <si>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</si>
  <si>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</si>
  <si>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</si>
  <si>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</si>
  <si>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</si>
  <si>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</si>
  <si>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</si>
  <si>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</si>
  <si>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</si>
  <si>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</si>
  <si>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</si>
  <si>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</si>
  <si>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</si>
  <si>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</si>
  <si>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</si>
  <si>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</si>
  <si>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</si>
  <si>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</si>
  <si>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</si>
  <si>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</si>
  <si>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</si>
  <si>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</si>
  <si>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</si>
  <si>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</si>
  <si>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</si>
  <si>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</si>
  <si>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</si>
  <si>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</si>
  <si>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</si>
  <si>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</si>
  <si>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</si>
  <si>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</si>
  <si>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</si>
  <si>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</si>
  <si>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Nominal</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</si>
  <si>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</si>
  <si>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</si>
  <si>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</si>
  <si>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</si>
  <si>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</si>
  <si>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</si>
  <si>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</si>
  <si>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</si>
  <si>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</si>
  <si>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</si>
  <si>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</si>
  <si>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</si>
  <si>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</si>
  <si>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</si>
  <si>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</si>
  <si>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</si>
  <si>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</si>
  <si>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</si>
  <si>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Category Heading</t>
  </si>
  <si>
    <t>Total</t>
  </si>
  <si>
    <t>Calculated</t>
  </si>
  <si>
    <t>Not Applicable</t>
  </si>
  <si>
    <t>Number</t>
  </si>
  <si>
    <t>Check</t>
  </si>
  <si>
    <t>AER / RIN Lookups</t>
  </si>
  <si>
    <t>Km</t>
  </si>
  <si>
    <t>Kilometres</t>
  </si>
  <si>
    <t>Disclaimer:</t>
  </si>
  <si>
    <t>Summary of Allocations</t>
  </si>
  <si>
    <t>Easements</t>
  </si>
  <si>
    <t>“Other” asset items with short lives</t>
  </si>
  <si>
    <t>“Other” asset items with long lives</t>
  </si>
  <si>
    <t>RAB by Asset Category</t>
  </si>
  <si>
    <t>Opening Balance</t>
  </si>
  <si>
    <t>Inflation</t>
  </si>
  <si>
    <t>Straight Line Depreciation</t>
  </si>
  <si>
    <t>RAB Additions</t>
  </si>
  <si>
    <t>Disposals</t>
  </si>
  <si>
    <t>Closing Balance</t>
  </si>
  <si>
    <t>RAB Asset Classes</t>
  </si>
  <si>
    <t>LU_RAB_Assets</t>
  </si>
  <si>
    <t>RAB by EB RIN Category</t>
  </si>
  <si>
    <t>EB RIN Asset Classes</t>
  </si>
  <si>
    <t>LU_EB_RIN_Assets</t>
  </si>
  <si>
    <t>Interim Closing Balance</t>
  </si>
  <si>
    <t>Adjustments</t>
  </si>
  <si>
    <t>RAB Asset Class</t>
  </si>
  <si>
    <t>RAB Asset Category</t>
  </si>
  <si>
    <t>EB RIN Categories</t>
  </si>
  <si>
    <t>Check - Calculation</t>
  </si>
  <si>
    <t>Check - Source</t>
  </si>
  <si>
    <t>Years</t>
  </si>
  <si>
    <t>Summary - Total Asset Base</t>
  </si>
  <si>
    <t>REGULATORY REPORTING STATEMENT</t>
  </si>
  <si>
    <r>
      <t xml:space="preserve">There are </t>
    </r>
    <r>
      <rPr>
        <b/>
        <sz val="11"/>
        <color rgb="FFFF0000"/>
        <rFont val="Calibri"/>
        <family val="2"/>
        <scheme val="minor"/>
      </rPr>
      <t>FOUR</t>
    </r>
    <r>
      <rPr>
        <sz val="11"/>
        <rFont val="Calibri"/>
        <family val="2"/>
        <scheme val="minor"/>
      </rPr>
      <t xml:space="preserve"> tables on this worksheet.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in each have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</si>
  <si>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</si>
  <si>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</si>
  <si>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</si>
  <si>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</si>
  <si>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</si>
  <si>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</si>
  <si>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</si>
  <si>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</si>
  <si>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</si>
  <si>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</si>
  <si>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</si>
  <si>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</si>
  <si>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</si>
  <si>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</si>
  <si>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</si>
  <si>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</si>
  <si>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</si>
  <si>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</si>
  <si>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</si>
  <si>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</si>
  <si>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</si>
  <si>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</si>
  <si>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</si>
  <si>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</si>
  <si>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</si>
  <si>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</si>
  <si>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</si>
  <si>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</si>
  <si>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</si>
  <si>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</si>
  <si>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</si>
  <si>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</si>
  <si>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</si>
  <si>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</si>
  <si>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</si>
  <si>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</si>
  <si>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</si>
  <si>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</si>
  <si>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</si>
  <si>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</si>
  <si>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</si>
  <si>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</si>
  <si>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</si>
  <si>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</si>
  <si>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</si>
  <si>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DRAB1101</t>
  </si>
  <si>
    <t>DRAB1102</t>
  </si>
  <si>
    <t>DRAB1103</t>
  </si>
  <si>
    <t>DRAB1105</t>
  </si>
  <si>
    <t>DRAB1106</t>
  </si>
  <si>
    <t>DRAB1107</t>
  </si>
  <si>
    <t>3.3.3 - TOTAL DISAGGREGATED RAB ASSET VALUES</t>
  </si>
  <si>
    <t>DRAB1201</t>
  </si>
  <si>
    <t>DRAB1202</t>
  </si>
  <si>
    <t>DRAB1203</t>
  </si>
  <si>
    <t>DRAB1204</t>
  </si>
  <si>
    <t>DRAB1205</t>
  </si>
  <si>
    <t>DRAB13</t>
  </si>
  <si>
    <t>3.3.4 - ASSET LIVES</t>
  </si>
  <si>
    <t>ESTIMATED SERVICE LIFE OF NEW ASSETS</t>
  </si>
  <si>
    <t>DRAB1401</t>
  </si>
  <si>
    <t>DRAB1402</t>
  </si>
  <si>
    <t>DRAB1403</t>
  </si>
  <si>
    <t>DRAB1404</t>
  </si>
  <si>
    <t>DRAB1405</t>
  </si>
  <si>
    <t>ESTIMATED RESIDUAL SERVICE LIFE</t>
  </si>
  <si>
    <t>DRAB1501</t>
  </si>
  <si>
    <t>DRAB1502</t>
  </si>
  <si>
    <t>DRAB1503</t>
  </si>
  <si>
    <t>DRAB1504</t>
  </si>
  <si>
    <t>DRAB1505</t>
  </si>
  <si>
    <t>Summary Outputs</t>
  </si>
  <si>
    <t>CPI Assumptions</t>
  </si>
  <si>
    <t>CPI Indexation Calculations</t>
  </si>
  <si>
    <t>CPI Input</t>
  </si>
  <si>
    <t>ABS/RBA</t>
  </si>
  <si>
    <t>Inflation Profiles</t>
  </si>
  <si>
    <t>Item</t>
  </si>
  <si>
    <t>Adjustments - [Note these are mapped into Actual additions (recognised in RAB) within the RAB template as there is no adjustment line]</t>
  </si>
  <si>
    <t>Note: The 'Actual additions (recognised in RAB)' line item includes net capex and any end of regulatory period adjustments</t>
  </si>
  <si>
    <t>TransGrid</t>
  </si>
  <si>
    <t>The purpose of this model is to apply the AER's standard approach to disaggregate TGDs RAB into economic benchmarking categories</t>
  </si>
  <si>
    <t>RAB asset classes to EB categories</t>
  </si>
  <si>
    <t>Estimate</t>
  </si>
  <si>
    <t>Real$2023</t>
  </si>
  <si>
    <t>Real $2023</t>
  </si>
  <si>
    <t>Overhead assets</t>
  </si>
  <si>
    <t>Underground assets</t>
  </si>
  <si>
    <t>Switchyards, substations</t>
  </si>
  <si>
    <t>Transmission Lines (pre 2004-05)</t>
  </si>
  <si>
    <t>Underground Cables (pre 2004-05)</t>
  </si>
  <si>
    <t>Substations including Buildings (pre 2004-05)</t>
  </si>
  <si>
    <t>Transmission Lines (2004-09)</t>
  </si>
  <si>
    <t>Underground Cables (2004-09)</t>
  </si>
  <si>
    <t>Substations including Buildings (2004-09)</t>
  </si>
  <si>
    <t>SCADA and Communications (2004-09)</t>
  </si>
  <si>
    <t>Transmission Lines &amp; Cables (09-14)</t>
  </si>
  <si>
    <t>Substations (09-14)</t>
  </si>
  <si>
    <t>Secondary Systems (09-14)</t>
  </si>
  <si>
    <t>Communications (09-14)</t>
  </si>
  <si>
    <t>Minor Plant, Motor Vehicles &amp; Mobile Plant (2009-14)</t>
  </si>
  <si>
    <t>Transmission Lines (2014-18)</t>
  </si>
  <si>
    <t>Underground Cables (2014-18)</t>
  </si>
  <si>
    <t>Substations (2014-18)</t>
  </si>
  <si>
    <t>Secondary Systems (2014-18)</t>
  </si>
  <si>
    <t>Communications (short life) (2014-18)</t>
  </si>
  <si>
    <t>Business IT (2014-18)</t>
  </si>
  <si>
    <t>Minor Plant, Motor Vehicles &amp; Mobile Plant (2014-18)</t>
  </si>
  <si>
    <t>Transmission Line Life Extension (2014-18)</t>
  </si>
  <si>
    <t>Residual - other</t>
  </si>
  <si>
    <t>Transmission Lines (2018-23)</t>
  </si>
  <si>
    <t>Underground Cables (2018-23)</t>
  </si>
  <si>
    <t>Substations (2018-23)</t>
  </si>
  <si>
    <t>Secondary Systems (2018-23)</t>
  </si>
  <si>
    <t>Communications (short life) (2018-23)</t>
  </si>
  <si>
    <t>Business IT (2018-23)</t>
  </si>
  <si>
    <t>Minor Plant, Motor Vehicles &amp; Mobile Plant (2018-23)</t>
  </si>
  <si>
    <t>Transmission Line Life Extension (2018-23)</t>
  </si>
  <si>
    <t xml:space="preserve">Land and Easements </t>
  </si>
  <si>
    <t>In-house software</t>
  </si>
  <si>
    <t>Equity raising costs</t>
  </si>
  <si>
    <t>ECONOMIC BENCHMARKING</t>
  </si>
  <si>
    <t>Real 2023 to Nominal</t>
  </si>
  <si>
    <t>Real 2018 to Nominal - Lagged</t>
  </si>
  <si>
    <t>Actuals</t>
  </si>
  <si>
    <t>($0's, Nominal)</t>
  </si>
  <si>
    <t>($0's, Real 2023)</t>
  </si>
  <si>
    <t>RFM / PTRM</t>
  </si>
  <si>
    <r>
      <rPr>
        <b/>
        <sz val="10"/>
        <color theme="1"/>
        <rFont val="Helvetica"/>
      </rPr>
      <t>Note</t>
    </r>
    <r>
      <rPr>
        <sz val="10"/>
        <color theme="1"/>
        <rFont val="Helvetica"/>
        <family val="2"/>
      </rPr>
      <t>: The inflation rates used for RY18 to RY24 are based on inputs used in the RFM and PTRM models.</t>
    </r>
  </si>
  <si>
    <t>Nominal to Real 2023</t>
  </si>
  <si>
    <t>Alert - Negative Balance</t>
  </si>
  <si>
    <t>Buildings - capital works</t>
  </si>
  <si>
    <t>This model is confidential information of, and is owned by,TransGrid ABN/ACN 70 250 995 390 (TGD).  It may not be disclosed to, or used or relied on by, any person without the consent of TGD.
TGD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TGD will not be liable to any person for any loss or damage of any kind arising out of or in any way connected with the use of this model (including negligence).   The references to TGD in this disclaimer includes their respective directors, officers, employees, contractors, advisers or agents.</t>
  </si>
  <si>
    <t>Calculation - RAB movements by EB RIN category</t>
  </si>
  <si>
    <t>Outputs - EB RIN view</t>
  </si>
  <si>
    <t>Calc_EB</t>
  </si>
  <si>
    <t>3.3 Assets (Historical)</t>
  </si>
  <si>
    <t>3.3 Assets (Forecast)</t>
  </si>
  <si>
    <t>Inputs - CPI Assumptions and Associated Indexes</t>
  </si>
  <si>
    <t>Inputs - RAB by RFM and PTRM asset categories</t>
  </si>
  <si>
    <t>Inputs - Standard Lives by EB RIN asset class</t>
  </si>
  <si>
    <t>Synchronous Condensers (2018-23)</t>
  </si>
  <si>
    <t>Transmission Lines (2018 onwards)</t>
  </si>
  <si>
    <t>Underground Cables (2018 onwards)</t>
  </si>
  <si>
    <t>Substations (2018 onwards)</t>
  </si>
  <si>
    <t>Secondary Systems (2018 onwards)</t>
  </si>
  <si>
    <t>Communications (short life) (2018 onwards)</t>
  </si>
  <si>
    <t>Business IT (2018 onwards)</t>
  </si>
  <si>
    <t>Minor Plant, Motor Vehicles &amp; Mobile Plant (2018 onwards)</t>
  </si>
  <si>
    <t>Transmission Line Life Extension (2018 onwards)</t>
  </si>
  <si>
    <t>Synchronous Condensers</t>
  </si>
  <si>
    <t>LU_RAB_Assets_RFM</t>
  </si>
  <si>
    <t>Disposals - as commissioned (including half year of WACC, where relevant)</t>
  </si>
  <si>
    <t>RAB Net Additions - as commissioned (including half year of WACC, where relevant)</t>
  </si>
  <si>
    <t>Opening Balance - as commissioned</t>
  </si>
  <si>
    <t>Closing Balance - as commissioned</t>
  </si>
  <si>
    <t>Standard Lives - Historical and Forecast values</t>
  </si>
  <si>
    <t xml:space="preserve">Buildings </t>
  </si>
  <si>
    <t>Leasehold Land and Property</t>
  </si>
  <si>
    <t>EB RIN</t>
  </si>
  <si>
    <t>Inputs - Allocation from RAB asset classes to EB RIN categories</t>
  </si>
  <si>
    <t>TransGrid - EB RIN RAB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</si>
</sst>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0_);\(#,##0.000\);_(&quot;-&quot;_)"/>
    <numFmt numFmtId="176" formatCode="_-* #,##0_-;[Red]\(#,##0\)_-;_-* &quot;-&quot;??_-;_-@_-"/>
    <numFmt numFmtId="177" formatCode="#,##0.000_ ;[Red]\-#,##0.000\ "/>
    <numFmt numFmtId="178" formatCode="_(* #,##0.00_);_(* \(#,##0.00\);_(* &quot;-&quot;??_);_(@_)"/>
    <numFmt numFmtId="179" formatCode="_-* #,##0_-;\-* #,##0_-;_-* &quot;-&quot;??_-;_-@_-"/>
    <numFmt numFmtId="180" formatCode="_-* #,##0.0_-;[Red]\(#,##0.0\)_-;_-* &quot;-&quot;??_-;_-@_-"/>
    <numFmt numFmtId="181" formatCode="_(#,##0.00%_);\(#,##0.00%\);_(&quot;-&quot;_)"/>
    <numFmt numFmtId="182" formatCode="_(#,##0.0000_);\(#,##0.0000\);_(&quot;-&quot;_)"/>
    <numFmt numFmtId="183" formatCode="_(#,##0.00_);\(#,##0.00\);_(&quot;-&quot;_)"/>
  </numFmts>
  <fonts count="83" x14ac:knownFonts="1">
    <font>
      <sz val="8"/>
      <color rgb="FFFF0066"/>
      <name val="Helvetica"/>
      <family val="2"/>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0"/>
      <color theme="1"/>
      <name val="Helvetica"/>
      <family val="2"/>
    </font>
    <font>
      <sz val="10"/>
      <color theme="1"/>
      <name val="Helvetica"/>
      <family val="2"/>
    </font>
    <font>
      <b/>
      <sz val="10"/>
      <name val="Helvetica"/>
      <family val="2"/>
    </font>
    <font>
      <b/>
      <sz val="12"/>
      <color theme="0"/>
      <name val="Helvetica"/>
      <family val="2"/>
    </font>
    <font>
      <b/>
      <sz val="11"/>
      <color theme="4"/>
      <name val="Helvetica"/>
      <family val="2"/>
    </font>
    <font>
      <sz val="10"/>
      <color theme="4"/>
      <name val="Helvetica"/>
      <family val="2"/>
    </font>
    <font>
      <b/>
      <sz val="10"/>
      <color theme="1"/>
      <name val="Helvetica"/>
    </font>
    <font>
      <sz val="10"/>
      <name val="Arial"/>
      <family val="2"/>
    </font>
    <font>
      <sz val="11"/>
      <color theme="0"/>
      <name val="Calibri"/>
      <family val="2"/>
      <scheme val="minor"/>
    </font>
    <font>
      <b/>
      <sz val="16"/>
      <color indexed="9"/>
      <name val="Arial"/>
      <family val="2"/>
    </font>
    <font>
      <b/>
      <sz val="16"/>
      <color rgb="FFFFFFFF"/>
      <name val="Arial"/>
      <family val="2"/>
    </font>
    <font>
      <sz val="11"/>
      <name val="Calibri"/>
      <family val="2"/>
      <scheme val="minor"/>
    </font>
    <font>
      <b/>
      <sz val="11"/>
      <color rgb="FFFF0000"/>
      <name val="Calibri"/>
      <family val="2"/>
      <scheme val="minor"/>
    </font>
    <font>
      <i/>
      <sz val="11"/>
      <name val="Calibri"/>
      <family val="2"/>
      <scheme val="minor"/>
    </font>
    <font>
      <b/>
      <sz val="14"/>
      <color theme="0"/>
      <name val="Calibri"/>
      <family val="2"/>
      <scheme val="minor"/>
    </font>
    <font>
      <b/>
      <sz val="11"/>
      <color indexed="8"/>
      <name val="Calibri"/>
      <family val="2"/>
    </font>
    <font>
      <b/>
      <sz val="16"/>
      <color indexed="8"/>
      <name val="Calibri"/>
      <family val="2"/>
    </font>
    <font>
      <sz val="11"/>
      <color indexed="8"/>
      <name val="Calibri"/>
      <family val="2"/>
    </font>
    <font>
      <b/>
      <sz val="12"/>
      <color indexed="8"/>
      <name val="Calibri"/>
      <family val="2"/>
    </font>
    <font>
      <sz val="8"/>
      <name val="Helvetica"/>
      <family val="2"/>
    </font>
    <font>
      <sz val="8"/>
      <color rgb="FFFF0066"/>
      <name val="Helvetica"/>
      <family val="2"/>
    </font>
    <font>
      <sz val="10"/>
      <color theme="1"/>
      <name val="Helvetica"/>
      <family val="2"/>
    </font>
    <font>
      <b/>
      <sz val="10"/>
      <name val="Helvetica"/>
      <family val="2"/>
    </font>
    <font>
      <b/>
      <sz val="10"/>
      <color theme="1"/>
      <name val="Helvetica"/>
    </font>
    <font>
      <sz val="10"/>
      <color theme="4"/>
      <name val="Helvetica"/>
      <family val="2"/>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8"/>
      <color theme="0"/>
      <name val="Helvetica"/>
      <family val="2"/>
    </font>
    <font>
      <b/>
      <sz val="8"/>
      <color theme="4"/>
      <name val="Helvetica"/>
      <family val="2"/>
    </font>
    <font>
      <sz val="8"/>
      <name val="Helvetica"/>
      <family val="2"/>
    </font>
    <font>
      <u/>
      <sz val="8"/>
      <color theme="10"/>
      <name val="Helvetica"/>
      <family val="2"/>
    </font>
    <font>
      <sz val="10"/>
      <color theme="1"/>
      <name val="Helvetica"/>
    </font>
    <font>
      <b/>
      <i/>
      <sz val="11"/>
      <color rgb="FFFF0000"/>
      <name val="Calibri"/>
      <family val="2"/>
    </font>
    <font>
      <sz val="8"/>
      <color theme="1"/>
      <name val="Arial"/>
      <family val="2"/>
    </font>
    <font>
      <sz val="10"/>
      <color rgb="FFFF0066"/>
      <name val="Calibri"/>
      <family val="2"/>
      <scheme val="minor"/>
    </font>
    <font>
      <b/>
      <sz val="16"/>
      <color theme="4"/>
      <name val="Calibri"/>
      <family val="2"/>
      <scheme val="minor"/>
    </font>
    <font>
      <b/>
      <sz val="10"/>
      <color theme="1"/>
      <name val="Calibri"/>
      <family val="2"/>
      <scheme val="minor"/>
    </font>
    <font>
      <b/>
      <sz val="10"/>
      <color theme="0"/>
      <name val="Calibri"/>
      <family val="2"/>
      <scheme val="minor"/>
    </font>
  </fonts>
  <fills count="32">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rgb="FF808080"/>
        <bgColor rgb="FF000000"/>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39997558519241921"/>
        <bgColor indexed="64"/>
      </patternFill>
    </fill>
    <fill>
      <patternFill patternType="lightUp">
        <bgColor auto="1"/>
      </patternFill>
    </fill>
    <fill>
      <patternFill patternType="solid">
        <fgColor rgb="FF2A3D6F"/>
        <bgColor indexed="64"/>
      </patternFill>
    </fill>
    <fill>
      <patternFill patternType="solid">
        <fgColor rgb="FF75842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bottom/>
      <diagonal/>
    </border>
    <border>
      <left/>
      <right style="dotted">
        <color auto="1"/>
      </right>
      <top/>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top style="thin">
        <color auto="1"/>
      </top>
      <bottom/>
      <diagonal/>
    </border>
    <border>
      <left/>
      <right style="dotted">
        <color auto="1"/>
      </right>
      <top style="thin">
        <color auto="1"/>
      </top>
      <bottom/>
      <diagonal/>
    </border>
    <border>
      <left style="dotted">
        <color auto="1"/>
      </left>
      <right/>
      <top style="thin">
        <color theme="0"/>
      </top>
      <bottom style="thin">
        <color theme="0"/>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thin">
        <color theme="0"/>
      </left>
      <right/>
      <top style="thin">
        <color theme="0"/>
      </top>
      <bottom style="thin">
        <color theme="0"/>
      </bottom>
      <diagonal/>
    </border>
    <border>
      <left style="dotted">
        <color auto="1"/>
      </left>
      <right style="dotted">
        <color auto="1"/>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medium">
        <color auto="1"/>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style="medium">
        <color auto="1"/>
      </left>
      <right style="medium">
        <color indexed="64"/>
      </right>
      <top style="thin">
        <color theme="0" tint="-0.34998626667073579"/>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auto="1"/>
      </bottom>
      <diagonal/>
    </border>
    <border>
      <left style="thin">
        <color theme="0" tint="-0.24994659260841701"/>
      </left>
      <right/>
      <top style="thin">
        <color theme="0" tint="-0.24994659260841701"/>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thin">
        <color theme="0"/>
      </right>
      <top style="thin">
        <color theme="0"/>
      </top>
      <bottom style="thin">
        <color theme="0"/>
      </bottom>
      <diagonal/>
    </border>
    <border>
      <left style="dotted">
        <color theme="1"/>
      </left>
      <right style="thin">
        <color theme="0"/>
      </right>
      <top style="thin">
        <color theme="0"/>
      </top>
      <bottom style="thin">
        <color theme="0"/>
      </bottom>
      <diagonal/>
    </border>
    <border>
      <left style="dotted">
        <color theme="1"/>
      </left>
      <right style="dotted">
        <color theme="1"/>
      </right>
      <top style="thin">
        <color theme="0"/>
      </top>
      <bottom style="thin">
        <color theme="0"/>
      </bottom>
      <diagonal/>
    </border>
    <border>
      <left style="thin">
        <color theme="0" tint="-0.24994659260841701"/>
      </left>
      <right style="thin">
        <color theme="0" tint="-0.24994659260841701"/>
      </right>
      <top style="medium">
        <color auto="1"/>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dotted">
        <color auto="1"/>
      </left>
      <right style="dotted">
        <color auto="1"/>
      </right>
      <top style="dotted">
        <color auto="1"/>
      </top>
      <bottom style="dotted">
        <color auto="1"/>
      </bottom>
      <diagonal/>
    </border>
  </borders>
  <cellStyleXfs count="92">
    <xf numFmtId="0" fontId="0" fillId="0" borderId="0"/>
    <xf numFmtId="168" fontId="4" fillId="0" borderId="0" applyFill="0" applyBorder="0" applyProtection="0">
      <alignment vertical="center"/>
    </xf>
    <xf numFmtId="0" fontId="8" fillId="0" borderId="0" applyNumberFormat="0" applyFill="0" applyBorder="0" applyAlignment="0" applyProtection="0"/>
    <xf numFmtId="0" fontId="33" fillId="11" borderId="0" applyBorder="0">
      <alignment horizontal="left" vertical="center"/>
    </xf>
    <xf numFmtId="0" fontId="3" fillId="3" borderId="0" applyProtection="0">
      <alignment vertical="center"/>
    </xf>
    <xf numFmtId="0" fontId="5" fillId="0" borderId="0" applyFill="0" applyProtection="0">
      <alignment vertical="center"/>
    </xf>
    <xf numFmtId="0" fontId="4" fillId="0" borderId="0" applyFill="0" applyBorder="0" applyProtection="0">
      <alignment vertical="center"/>
    </xf>
    <xf numFmtId="0" fontId="6"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5" fillId="0" borderId="0" applyFill="0" applyBorder="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4"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lignment horizontal="left" vertical="center"/>
    </xf>
    <xf numFmtId="0" fontId="20" fillId="0" borderId="0" applyFill="0" applyBorder="0">
      <alignment vertical="center"/>
    </xf>
    <xf numFmtId="0" fontId="30" fillId="0" borderId="0" applyFill="0" applyBorder="0">
      <alignment horizontal="left" vertical="center"/>
    </xf>
    <xf numFmtId="0" fontId="36"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4" fillId="0" borderId="0">
      <alignment horizontal="right" vertical="center"/>
    </xf>
    <xf numFmtId="0" fontId="22" fillId="13" borderId="0">
      <alignment horizontal="left" indent="3"/>
    </xf>
    <xf numFmtId="0" fontId="22" fillId="14" borderId="0">
      <alignment horizontal="left" indent="3"/>
    </xf>
    <xf numFmtId="173" fontId="7" fillId="0" borderId="0">
      <alignment horizontal="center" vertical="center"/>
    </xf>
    <xf numFmtId="174" fontId="23" fillId="12" borderId="4">
      <alignment horizontal="center" vertical="center"/>
      <protection locked="0"/>
    </xf>
    <xf numFmtId="174" fontId="7"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7" fillId="17" borderId="0"/>
    <xf numFmtId="165" fontId="34" fillId="3" borderId="4">
      <alignment horizontal="right" vertical="center"/>
      <protection locked="0"/>
    </xf>
    <xf numFmtId="0" fontId="49" fillId="0" borderId="0"/>
    <xf numFmtId="0" fontId="2" fillId="0" borderId="0"/>
    <xf numFmtId="0" fontId="52" fillId="21" borderId="0">
      <alignment horizontal="left" vertical="center"/>
      <protection locked="0"/>
    </xf>
    <xf numFmtId="0" fontId="49" fillId="0" borderId="0"/>
    <xf numFmtId="0" fontId="16" fillId="20" borderId="0">
      <alignment vertical="center"/>
      <protection locked="0"/>
    </xf>
    <xf numFmtId="176" fontId="53" fillId="26" borderId="41" applyBorder="0">
      <alignment horizontal="right"/>
      <protection locked="0"/>
    </xf>
    <xf numFmtId="176" fontId="6" fillId="27" borderId="52" applyBorder="0"/>
    <xf numFmtId="178" fontId="2" fillId="0" borderId="0" applyFont="0" applyFill="0" applyBorder="0" applyAlignment="0" applyProtection="0"/>
    <xf numFmtId="180" fontId="53" fillId="26" borderId="41" applyBorder="0">
      <alignment horizontal="right"/>
      <protection locked="0"/>
    </xf>
    <xf numFmtId="0" fontId="78" fillId="0" borderId="0"/>
    <xf numFmtId="0" fontId="3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9" fillId="0" borderId="0"/>
    <xf numFmtId="0" fontId="16" fillId="31" borderId="0" applyBorder="0">
      <alignment horizontal="left" vertical="center"/>
    </xf>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0" fillId="0" borderId="0" applyFill="0" applyBorder="0">
      <alignment horizontal="left" vertical="center"/>
    </xf>
    <xf numFmtId="0" fontId="81" fillId="0" borderId="0" applyFill="0" applyBorder="0">
      <alignment horizontal="left" vertical="center"/>
    </xf>
    <xf numFmtId="0" fontId="82" fillId="30" borderId="0" applyBorder="0">
      <alignment horizontal="left" vertical="center"/>
    </xf>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9">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5"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36"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1" fillId="0" borderId="0" xfId="37" applyFont="1" applyFill="1">
      <alignment vertical="center"/>
    </xf>
    <xf numFmtId="0" fontId="29" fillId="0" borderId="0" xfId="36" applyAlignment="1">
      <alignment horizontal="righ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33" fillId="11" borderId="0" xfId="3" applyFill="1">
      <alignment horizontal="left" vertical="center"/>
    </xf>
    <xf numFmtId="0" fontId="26" fillId="0" borderId="0" xfId="37" applyFont="1" applyFill="1">
      <alignment vertical="center"/>
    </xf>
    <xf numFmtId="0" fontId="29" fillId="0" borderId="0" xfId="36" applyAlignment="1">
      <alignment horizontal="left" vertical="center" indent="1"/>
    </xf>
    <xf numFmtId="169" fontId="28" fillId="0" borderId="0" xfId="13" applyNumberFormat="1">
      <alignment horizontal="right" vertical="center"/>
    </xf>
    <xf numFmtId="173" fontId="7" fillId="0" borderId="0" xfId="44" applyAlignment="1">
      <alignment horizontal="center"/>
    </xf>
    <xf numFmtId="173" fontId="7" fillId="0" borderId="3" xfId="44" applyBorder="1" applyAlignment="1">
      <alignment horizontal="center"/>
    </xf>
    <xf numFmtId="0" fontId="28" fillId="0" borderId="3" xfId="37" applyBorder="1">
      <alignment vertical="center"/>
    </xf>
    <xf numFmtId="0" fontId="0" fillId="0" borderId="0" xfId="0" applyAlignment="1"/>
    <xf numFmtId="0" fontId="27" fillId="0" borderId="0" xfId="3" applyFont="1" applyFill="1">
      <alignment horizontal="left" vertical="center"/>
    </xf>
    <xf numFmtId="0" fontId="19" fillId="0" borderId="0" xfId="32">
      <alignment horizontal="left" vertical="center"/>
    </xf>
    <xf numFmtId="0" fontId="19"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6" fillId="0" borderId="0" xfId="35" applyAlignment="1">
      <alignment horizontal="right" vertical="center"/>
    </xf>
    <xf numFmtId="0" fontId="36" fillId="0" borderId="0" xfId="35" applyAlignment="1">
      <alignment horizontal="center" vertical="center"/>
    </xf>
    <xf numFmtId="170" fontId="28" fillId="0" borderId="0" xfId="11" applyAlignment="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0" fontId="36" fillId="0" borderId="2" xfId="35" applyBorder="1" applyAlignment="1">
      <alignment horizontal="center" vertical="center"/>
    </xf>
    <xf numFmtId="165" fontId="35" fillId="0" borderId="3" xfId="13" applyFont="1" applyFill="1" applyBorder="1" applyAlignment="1">
      <alignment horizontal="center" vertical="center"/>
    </xf>
    <xf numFmtId="0" fontId="36" fillId="0" borderId="3" xfId="35" applyFill="1" applyBorder="1" applyAlignment="1">
      <alignment horizontal="center" vertical="center"/>
    </xf>
    <xf numFmtId="0" fontId="29" fillId="0" borderId="0" xfId="36" applyFill="1" applyAlignment="1">
      <alignment horizontal="center" vertical="center"/>
    </xf>
    <xf numFmtId="173" fontId="7" fillId="0" borderId="0" xfId="44" applyBorder="1" applyAlignment="1">
      <alignment horizontal="center" vertical="center"/>
    </xf>
    <xf numFmtId="0" fontId="36" fillId="0" borderId="2" xfId="35" applyBorder="1">
      <alignment horizontal="left" vertical="center"/>
    </xf>
    <xf numFmtId="0" fontId="36" fillId="0" borderId="3" xfId="35" applyFill="1" applyBorder="1">
      <alignment horizontal="left" vertical="center"/>
    </xf>
    <xf numFmtId="0" fontId="28" fillId="0" borderId="0" xfId="37" applyFill="1" applyAlignment="1">
      <alignment horizontal="center" vertical="center"/>
    </xf>
    <xf numFmtId="173" fontId="7" fillId="0" borderId="0" xfId="44" applyBorder="1" applyAlignment="1">
      <alignment horizontal="center"/>
    </xf>
    <xf numFmtId="0" fontId="36" fillId="0" borderId="18" xfId="35" applyBorder="1" applyAlignment="1">
      <alignment horizontal="center" vertical="center"/>
    </xf>
    <xf numFmtId="0" fontId="36" fillId="0" borderId="19" xfId="35" applyBorder="1" applyAlignment="1">
      <alignment horizontal="center" vertical="center"/>
    </xf>
    <xf numFmtId="0" fontId="0" fillId="0" borderId="20" xfId="0" applyFont="1" applyBorder="1"/>
    <xf numFmtId="0" fontId="0" fillId="0" borderId="0" xfId="0" applyFont="1" applyBorder="1"/>
    <xf numFmtId="0" fontId="0" fillId="0" borderId="21" xfId="0" applyFont="1" applyBorder="1"/>
    <xf numFmtId="165" fontId="35" fillId="0" borderId="24" xfId="13" applyFont="1" applyFill="1" applyBorder="1" applyAlignment="1">
      <alignment horizontal="center" vertical="center"/>
    </xf>
    <xf numFmtId="165" fontId="35" fillId="0" borderId="25" xfId="13" applyFont="1" applyFill="1" applyBorder="1" applyAlignment="1">
      <alignment horizontal="center" vertical="center"/>
    </xf>
    <xf numFmtId="165" fontId="28" fillId="0" borderId="20" xfId="13" applyFill="1" applyBorder="1" applyAlignment="1">
      <alignment horizontal="center" vertical="center"/>
    </xf>
    <xf numFmtId="165" fontId="28" fillId="0" borderId="0" xfId="13" applyFill="1" applyBorder="1" applyAlignment="1">
      <alignment horizontal="center" vertical="center"/>
    </xf>
    <xf numFmtId="165" fontId="28" fillId="0" borderId="21" xfId="13" applyFill="1" applyBorder="1" applyAlignment="1">
      <alignment horizontal="center" vertical="center"/>
    </xf>
    <xf numFmtId="0" fontId="36" fillId="0" borderId="0" xfId="35" applyFill="1" applyAlignment="1">
      <alignment horizontal="center" vertical="center" wrapText="1"/>
    </xf>
    <xf numFmtId="173" fontId="7" fillId="0" borderId="0" xfId="44" applyFill="1" applyBorder="1" applyAlignment="1">
      <alignment horizontal="center" vertical="center"/>
    </xf>
    <xf numFmtId="167" fontId="29" fillId="12" borderId="4" xfId="16" applyAlignment="1">
      <alignment horizontal="center" vertical="center"/>
      <protection locked="0"/>
    </xf>
    <xf numFmtId="0" fontId="30" fillId="0" borderId="0" xfId="34" applyFill="1" applyAlignment="1">
      <alignment horizontal="left"/>
    </xf>
    <xf numFmtId="0" fontId="36" fillId="0" borderId="27" xfId="35" applyBorder="1" applyAlignment="1">
      <alignment horizontal="center" vertical="center"/>
    </xf>
    <xf numFmtId="0" fontId="0" fillId="0" borderId="17" xfId="0" applyFont="1" applyBorder="1"/>
    <xf numFmtId="165" fontId="29" fillId="12" borderId="30" xfId="14" applyBorder="1" applyAlignment="1">
      <alignment horizontal="center" vertical="center"/>
      <protection locked="0"/>
    </xf>
    <xf numFmtId="173" fontId="37" fillId="0" borderId="0" xfId="44" applyFont="1" applyBorder="1" applyAlignment="1">
      <alignment horizontal="center" vertical="center"/>
    </xf>
    <xf numFmtId="0" fontId="39" fillId="0" borderId="0" xfId="0" applyFont="1"/>
    <xf numFmtId="0" fontId="40" fillId="0" borderId="0" xfId="37" applyFont="1" applyFill="1">
      <alignment vertical="center"/>
    </xf>
    <xf numFmtId="0" fontId="41" fillId="0" borderId="0" xfId="32" applyFont="1" applyFill="1">
      <alignment horizontal="left" vertical="center"/>
    </xf>
    <xf numFmtId="0" fontId="41" fillId="0" borderId="0" xfId="32" applyFont="1">
      <alignment horizontal="left" vertical="center"/>
    </xf>
    <xf numFmtId="0" fontId="42" fillId="0" borderId="0" xfId="3" applyFont="1" applyFill="1">
      <alignment horizontal="left" vertical="center"/>
    </xf>
    <xf numFmtId="0" fontId="43" fillId="0" borderId="0" xfId="37" applyFont="1" applyFill="1">
      <alignment vertical="center"/>
    </xf>
    <xf numFmtId="170" fontId="43" fillId="0" borderId="0" xfId="11" applyFont="1" applyAlignment="1">
      <alignment horizontal="center" vertical="center"/>
    </xf>
    <xf numFmtId="169" fontId="43" fillId="0" borderId="0" xfId="13" applyNumberFormat="1" applyFont="1" applyAlignment="1">
      <alignment horizontal="center" vertical="center"/>
    </xf>
    <xf numFmtId="0" fontId="43" fillId="0" borderId="0" xfId="37" applyFont="1" applyAlignment="1">
      <alignment horizontal="center" vertical="center"/>
    </xf>
    <xf numFmtId="0" fontId="44" fillId="0" borderId="0" xfId="35" applyFont="1" applyFill="1">
      <alignment horizontal="left" vertical="center"/>
    </xf>
    <xf numFmtId="0" fontId="44" fillId="0" borderId="0" xfId="35" applyFont="1" applyAlignment="1">
      <alignment horizontal="center" vertical="center"/>
    </xf>
    <xf numFmtId="0" fontId="45" fillId="11" borderId="0" xfId="3" applyFont="1">
      <alignment horizontal="left" vertical="center"/>
    </xf>
    <xf numFmtId="0" fontId="39" fillId="0" borderId="0" xfId="0" applyFont="1" applyFill="1"/>
    <xf numFmtId="0" fontId="46" fillId="15" borderId="0" xfId="38" applyFont="1">
      <alignment horizontal="left" vertical="center"/>
    </xf>
    <xf numFmtId="0" fontId="44" fillId="0" borderId="2" xfId="35" applyFont="1" applyBorder="1">
      <alignment horizontal="left" vertical="center"/>
    </xf>
    <xf numFmtId="0" fontId="44" fillId="0" borderId="2" xfId="35" applyFont="1" applyBorder="1" applyAlignment="1">
      <alignment horizontal="center" vertical="center"/>
    </xf>
    <xf numFmtId="0" fontId="44" fillId="0" borderId="18" xfId="35" applyFont="1" applyBorder="1" applyAlignment="1">
      <alignment horizontal="center" vertical="center"/>
    </xf>
    <xf numFmtId="0" fontId="44" fillId="0" borderId="19" xfId="35" applyFont="1" applyBorder="1" applyAlignment="1">
      <alignment horizontal="center" vertical="center"/>
    </xf>
    <xf numFmtId="0" fontId="39" fillId="0" borderId="20" xfId="0" applyFont="1" applyBorder="1"/>
    <xf numFmtId="0" fontId="39" fillId="0" borderId="0" xfId="0" applyFont="1" applyBorder="1"/>
    <xf numFmtId="0" fontId="39" fillId="0" borderId="17" xfId="0" applyFont="1" applyBorder="1"/>
    <xf numFmtId="0" fontId="39" fillId="0" borderId="21" xfId="0" applyFont="1" applyBorder="1"/>
    <xf numFmtId="0" fontId="47" fillId="12" borderId="4" xfId="8" applyFont="1" applyBorder="1">
      <alignment horizontal="left" vertical="center"/>
      <protection locked="0"/>
    </xf>
    <xf numFmtId="0" fontId="43" fillId="0" borderId="0" xfId="37" applyFont="1" applyFill="1" applyAlignment="1">
      <alignment horizontal="center" vertical="center"/>
    </xf>
    <xf numFmtId="165" fontId="47" fillId="12" borderId="26" xfId="14" applyFont="1" applyBorder="1" applyAlignment="1">
      <alignment horizontal="center" vertical="center"/>
      <protection locked="0"/>
    </xf>
    <xf numFmtId="165" fontId="43" fillId="0" borderId="0" xfId="13" applyFont="1" applyFill="1" applyBorder="1" applyAlignment="1">
      <alignment horizontal="center" vertical="center"/>
    </xf>
    <xf numFmtId="165" fontId="43" fillId="0" borderId="20" xfId="13" applyFont="1" applyFill="1" applyBorder="1" applyAlignment="1">
      <alignment horizontal="center" vertical="center"/>
    </xf>
    <xf numFmtId="165" fontId="43" fillId="0" borderId="21" xfId="13" applyFont="1" applyFill="1" applyBorder="1" applyAlignment="1">
      <alignment horizontal="center" vertical="center"/>
    </xf>
    <xf numFmtId="0" fontId="44" fillId="0" borderId="3" xfId="35" applyFont="1" applyFill="1" applyBorder="1">
      <alignment horizontal="left" vertical="center"/>
    </xf>
    <xf numFmtId="0" fontId="44" fillId="0" borderId="3" xfId="35" applyFont="1" applyFill="1" applyBorder="1" applyAlignment="1">
      <alignment horizontal="center" vertical="center"/>
    </xf>
    <xf numFmtId="165" fontId="48" fillId="0" borderId="24" xfId="13" applyFont="1" applyFill="1" applyBorder="1" applyAlignment="1">
      <alignment horizontal="center" vertical="center"/>
    </xf>
    <xf numFmtId="165" fontId="48" fillId="0" borderId="3" xfId="13" applyFont="1" applyFill="1" applyBorder="1" applyAlignment="1">
      <alignment horizontal="center" vertical="center"/>
    </xf>
    <xf numFmtId="165" fontId="48" fillId="0" borderId="25" xfId="13" applyFont="1" applyFill="1" applyBorder="1" applyAlignment="1">
      <alignment horizontal="center" vertical="center"/>
    </xf>
    <xf numFmtId="173" fontId="37" fillId="0" borderId="0" xfId="44" applyFont="1" applyFill="1" applyBorder="1" applyAlignment="1">
      <alignment horizontal="center" vertical="center"/>
    </xf>
    <xf numFmtId="165" fontId="47" fillId="12" borderId="4" xfId="14" applyFont="1" applyBorder="1" applyAlignment="1">
      <alignment horizontal="center" vertical="center"/>
      <protection locked="0"/>
    </xf>
    <xf numFmtId="165" fontId="47" fillId="12" borderId="30" xfId="14" applyFont="1" applyBorder="1" applyAlignment="1">
      <alignment horizontal="center" vertical="center"/>
      <protection locked="0"/>
    </xf>
    <xf numFmtId="165" fontId="47" fillId="12" borderId="22" xfId="14" applyFont="1" applyBorder="1" applyAlignment="1">
      <alignment horizontal="center" vertical="center"/>
      <protection locked="0"/>
    </xf>
    <xf numFmtId="165" fontId="47" fillId="12" borderId="23" xfId="14" applyFont="1" applyBorder="1" applyAlignment="1">
      <alignment horizontal="center" vertical="center"/>
      <protection locked="0"/>
    </xf>
    <xf numFmtId="173" fontId="37" fillId="0" borderId="17" xfId="44" applyFont="1" applyFill="1" applyBorder="1" applyAlignment="1">
      <alignment horizontal="center" vertical="center"/>
    </xf>
    <xf numFmtId="173" fontId="37" fillId="0" borderId="20" xfId="44" applyFont="1" applyFill="1" applyBorder="1" applyAlignment="1">
      <alignment horizontal="center" vertical="center"/>
    </xf>
    <xf numFmtId="173" fontId="37" fillId="0" borderId="21" xfId="44" applyFont="1" applyFill="1" applyBorder="1" applyAlignment="1">
      <alignment horizontal="center" vertical="center"/>
    </xf>
    <xf numFmtId="0" fontId="50" fillId="18" borderId="0" xfId="57" applyFont="1" applyFill="1" applyAlignment="1" applyProtection="1">
      <alignment horizontal="right" indent="1"/>
      <protection locked="0"/>
    </xf>
    <xf numFmtId="0" fontId="51" fillId="19" borderId="0" xfId="57" applyFont="1" applyFill="1" applyBorder="1" applyAlignment="1">
      <alignment vertical="center"/>
    </xf>
    <xf numFmtId="0" fontId="2" fillId="20" borderId="0" xfId="57" applyFill="1" applyBorder="1"/>
    <xf numFmtId="0" fontId="2" fillId="18" borderId="0" xfId="57" applyFill="1"/>
    <xf numFmtId="0" fontId="2" fillId="0" borderId="0" xfId="57"/>
    <xf numFmtId="0" fontId="51" fillId="19" borderId="0" xfId="57" applyFont="1" applyFill="1" applyBorder="1" applyAlignment="1" applyProtection="1">
      <alignment horizontal="left" vertical="center"/>
    </xf>
    <xf numFmtId="0" fontId="51" fillId="20" borderId="0" xfId="57" applyFont="1" applyFill="1" applyBorder="1" applyAlignment="1">
      <alignment horizontal="left" vertical="center" wrapText="1"/>
    </xf>
    <xf numFmtId="0" fontId="52" fillId="21" borderId="0" xfId="58">
      <alignment horizontal="left" vertical="center"/>
      <protection locked="0"/>
    </xf>
    <xf numFmtId="0" fontId="53" fillId="22" borderId="1" xfId="59" applyFont="1" applyFill="1" applyBorder="1" applyAlignment="1" applyProtection="1">
      <alignment vertical="center" wrapText="1"/>
    </xf>
    <xf numFmtId="0" fontId="50" fillId="18" borderId="0" xfId="57" applyFont="1" applyFill="1" applyAlignment="1">
      <alignment horizontal="right" indent="1"/>
    </xf>
    <xf numFmtId="0" fontId="56" fillId="20" borderId="0" xfId="60" applyFont="1">
      <alignment vertical="center"/>
      <protection locked="0"/>
    </xf>
    <xf numFmtId="0" fontId="57" fillId="18" borderId="0" xfId="57" applyFont="1" applyFill="1"/>
    <xf numFmtId="0" fontId="2" fillId="18" borderId="0" xfId="57" applyFill="1" applyAlignment="1">
      <alignment vertical="center"/>
    </xf>
    <xf numFmtId="0" fontId="2" fillId="0" borderId="0" xfId="57" applyAlignment="1">
      <alignment vertical="center"/>
    </xf>
    <xf numFmtId="0" fontId="16" fillId="18" borderId="0" xfId="57" applyFont="1" applyFill="1" applyAlignment="1">
      <alignment horizontal="right" indent="1"/>
    </xf>
    <xf numFmtId="0" fontId="6" fillId="23" borderId="35" xfId="57" applyFont="1" applyFill="1" applyBorder="1" applyAlignment="1" applyProtection="1">
      <alignment horizontal="center" vertical="center"/>
    </xf>
    <xf numFmtId="0" fontId="6" fillId="23" borderId="36" xfId="57" applyFont="1" applyFill="1" applyBorder="1" applyAlignment="1" applyProtection="1">
      <alignment horizontal="center" vertical="center"/>
    </xf>
    <xf numFmtId="0" fontId="6" fillId="23" borderId="37" xfId="57" applyFont="1" applyFill="1" applyBorder="1" applyAlignment="1" applyProtection="1">
      <alignment horizontal="center" vertical="center"/>
    </xf>
    <xf numFmtId="0" fontId="2" fillId="0" borderId="0" xfId="57" applyFill="1"/>
    <xf numFmtId="0" fontId="57" fillId="25" borderId="38" xfId="57" applyFont="1" applyFill="1" applyBorder="1" applyAlignment="1">
      <alignment horizontal="left" vertical="center" wrapText="1"/>
    </xf>
    <xf numFmtId="0" fontId="57" fillId="25" borderId="39" xfId="57" applyFont="1" applyFill="1" applyBorder="1" applyAlignment="1">
      <alignment horizontal="left" vertical="center" wrapText="1"/>
    </xf>
    <xf numFmtId="0" fontId="2" fillId="18" borderId="0" xfId="57" applyFont="1" applyFill="1" applyAlignment="1">
      <alignment horizontal="right" indent="1"/>
    </xf>
    <xf numFmtId="0" fontId="2" fillId="0" borderId="40" xfId="57" applyFont="1" applyBorder="1" applyAlignment="1">
      <alignment horizontal="left" vertical="center" wrapText="1" indent="1"/>
    </xf>
    <xf numFmtId="176" fontId="53" fillId="26" borderId="42" xfId="61" applyBorder="1">
      <alignment horizontal="right"/>
      <protection locked="0"/>
    </xf>
    <xf numFmtId="176" fontId="53" fillId="26" borderId="43" xfId="61" applyBorder="1">
      <alignment horizontal="right"/>
      <protection locked="0"/>
    </xf>
    <xf numFmtId="176" fontId="53" fillId="26" borderId="44" xfId="61" applyBorder="1">
      <alignment horizontal="right"/>
      <protection locked="0"/>
    </xf>
    <xf numFmtId="176" fontId="53" fillId="26" borderId="45" xfId="61" applyBorder="1">
      <alignment horizontal="right"/>
      <protection locked="0"/>
    </xf>
    <xf numFmtId="0" fontId="2" fillId="0" borderId="46" xfId="57" applyFont="1" applyBorder="1" applyAlignment="1">
      <alignment horizontal="left" vertical="center" wrapText="1" indent="2"/>
    </xf>
    <xf numFmtId="176" fontId="53" fillId="26" borderId="47" xfId="61" applyBorder="1">
      <alignment horizontal="right"/>
      <protection locked="0"/>
    </xf>
    <xf numFmtId="176" fontId="53" fillId="26" borderId="48" xfId="61" applyBorder="1">
      <alignment horizontal="right"/>
      <protection locked="0"/>
    </xf>
    <xf numFmtId="176" fontId="53" fillId="26" borderId="49" xfId="61" applyBorder="1">
      <alignment horizontal="right"/>
      <protection locked="0"/>
    </xf>
    <xf numFmtId="176" fontId="53" fillId="26" borderId="50" xfId="61" applyBorder="1">
      <alignment horizontal="right"/>
      <protection locked="0"/>
    </xf>
    <xf numFmtId="0" fontId="2" fillId="0" borderId="51" xfId="57" applyFont="1" applyBorder="1" applyAlignment="1">
      <alignment horizontal="left" vertical="center" wrapText="1" indent="1"/>
    </xf>
    <xf numFmtId="176" fontId="6" fillId="27" borderId="36" xfId="62" applyBorder="1"/>
    <xf numFmtId="176" fontId="6" fillId="27" borderId="53" xfId="62" applyBorder="1"/>
    <xf numFmtId="176" fontId="6" fillId="27" borderId="54" xfId="62" applyBorder="1"/>
    <xf numFmtId="176" fontId="6" fillId="27" borderId="55" xfId="62" applyBorder="1"/>
    <xf numFmtId="0" fontId="2" fillId="0" borderId="0" xfId="57" applyFont="1"/>
    <xf numFmtId="177" fontId="2" fillId="0" borderId="0" xfId="57" applyNumberFormat="1" applyFont="1" applyBorder="1" applyAlignment="1">
      <alignment horizontal="center" vertical="center" wrapText="1"/>
    </xf>
    <xf numFmtId="0" fontId="2" fillId="18" borderId="56" xfId="57" applyFill="1" applyBorder="1"/>
    <xf numFmtId="0" fontId="57" fillId="25" borderId="57" xfId="57" applyFont="1" applyFill="1" applyBorder="1" applyAlignment="1">
      <alignment horizontal="left" vertical="center" wrapText="1"/>
    </xf>
    <xf numFmtId="0" fontId="2" fillId="18" borderId="0" xfId="57" applyFill="1" applyBorder="1"/>
    <xf numFmtId="179" fontId="0" fillId="0" borderId="0" xfId="63" applyNumberFormat="1" applyFont="1" applyFill="1" applyBorder="1"/>
    <xf numFmtId="0" fontId="2" fillId="18" borderId="0" xfId="57" applyFill="1" applyAlignment="1">
      <alignment horizontal="right" indent="1"/>
    </xf>
    <xf numFmtId="0" fontId="2" fillId="0" borderId="46" xfId="57" applyFont="1" applyBorder="1" applyAlignment="1">
      <alignment horizontal="left" vertical="center" wrapText="1" indent="1"/>
    </xf>
    <xf numFmtId="0" fontId="59" fillId="0" borderId="51" xfId="57" applyFont="1" applyBorder="1" applyAlignment="1">
      <alignment horizontal="left" vertical="center" wrapText="1" indent="1"/>
    </xf>
    <xf numFmtId="176" fontId="53" fillId="26" borderId="53" xfId="61" applyBorder="1">
      <alignment horizontal="right"/>
      <protection locked="0"/>
    </xf>
    <xf numFmtId="176" fontId="53" fillId="26" borderId="55" xfId="61" applyBorder="1">
      <alignment horizontal="right"/>
      <protection locked="0"/>
    </xf>
    <xf numFmtId="177" fontId="0" fillId="18" borderId="0" xfId="63" applyNumberFormat="1" applyFont="1" applyFill="1" applyBorder="1"/>
    <xf numFmtId="0" fontId="6" fillId="28" borderId="33" xfId="57" applyNumberFormat="1" applyFont="1" applyFill="1" applyBorder="1" applyAlignment="1">
      <alignment horizontal="center" vertical="center"/>
    </xf>
    <xf numFmtId="0" fontId="6" fillId="28" borderId="34" xfId="57" applyNumberFormat="1" applyFont="1" applyFill="1" applyBorder="1" applyAlignment="1">
      <alignment horizontal="center" vertical="center"/>
    </xf>
    <xf numFmtId="0" fontId="60" fillId="25" borderId="65" xfId="57" applyFont="1" applyFill="1" applyBorder="1" applyAlignment="1">
      <alignment horizontal="left" vertical="center" wrapText="1" indent="1"/>
    </xf>
    <xf numFmtId="180" fontId="53" fillId="26" borderId="58" xfId="64" applyBorder="1">
      <alignment horizontal="right"/>
      <protection locked="0"/>
    </xf>
    <xf numFmtId="180" fontId="53" fillId="26" borderId="59" xfId="64" applyBorder="1">
      <alignment horizontal="right"/>
      <protection locked="0"/>
    </xf>
    <xf numFmtId="180" fontId="53" fillId="26" borderId="60" xfId="64" applyBorder="1">
      <alignment horizontal="right"/>
      <protection locked="0"/>
    </xf>
    <xf numFmtId="180" fontId="53" fillId="26" borderId="61" xfId="64" applyBorder="1">
      <alignment horizontal="right"/>
      <protection locked="0"/>
    </xf>
    <xf numFmtId="180" fontId="53" fillId="26" borderId="47" xfId="64" applyBorder="1">
      <alignment horizontal="right"/>
      <protection locked="0"/>
    </xf>
    <xf numFmtId="180" fontId="53" fillId="26" borderId="48" xfId="64" applyBorder="1">
      <alignment horizontal="right"/>
      <protection locked="0"/>
    </xf>
    <xf numFmtId="180" fontId="53" fillId="26" borderId="62" xfId="64" applyBorder="1">
      <alignment horizontal="right"/>
      <protection locked="0"/>
    </xf>
    <xf numFmtId="180" fontId="53" fillId="26" borderId="36" xfId="64" applyBorder="1">
      <alignment horizontal="right"/>
      <protection locked="0"/>
    </xf>
    <xf numFmtId="180" fontId="53" fillId="26" borderId="53" xfId="64" applyBorder="1">
      <alignment horizontal="right"/>
      <protection locked="0"/>
    </xf>
    <xf numFmtId="180" fontId="53" fillId="26" borderId="42" xfId="64" applyBorder="1">
      <alignment horizontal="right"/>
      <protection locked="0"/>
    </xf>
    <xf numFmtId="180" fontId="53" fillId="26" borderId="43" xfId="64" applyBorder="1">
      <alignment horizontal="right"/>
      <protection locked="0"/>
    </xf>
    <xf numFmtId="0" fontId="50" fillId="0" borderId="0" xfId="57" applyFont="1" applyAlignment="1">
      <alignment horizontal="right" indent="1"/>
    </xf>
    <xf numFmtId="173" fontId="61" fillId="0" borderId="0" xfId="44" applyFont="1" applyBorder="1" applyAlignment="1">
      <alignment horizontal="center" vertical="center"/>
    </xf>
    <xf numFmtId="0" fontId="62" fillId="0" borderId="0" xfId="0" applyFont="1"/>
    <xf numFmtId="0" fontId="63" fillId="0" borderId="0" xfId="37" applyFont="1" applyFill="1">
      <alignment vertical="center"/>
    </xf>
    <xf numFmtId="0" fontId="62" fillId="0" borderId="0" xfId="0" applyFont="1" applyFill="1"/>
    <xf numFmtId="0" fontId="64" fillId="0" borderId="2" xfId="35" applyFont="1" applyBorder="1">
      <alignment horizontal="left" vertical="center"/>
    </xf>
    <xf numFmtId="0" fontId="64" fillId="0" borderId="2" xfId="35" applyFont="1" applyBorder="1" applyAlignment="1">
      <alignment horizontal="center" vertical="center"/>
    </xf>
    <xf numFmtId="0" fontId="62" fillId="0" borderId="0" xfId="0" applyFont="1" applyBorder="1"/>
    <xf numFmtId="0" fontId="63" fillId="0" borderId="0" xfId="37" applyFont="1" applyFill="1" applyAlignment="1">
      <alignment horizontal="center" vertical="center"/>
    </xf>
    <xf numFmtId="0" fontId="64" fillId="0" borderId="3" xfId="35" applyFont="1" applyFill="1" applyBorder="1">
      <alignment horizontal="left" vertical="center"/>
    </xf>
    <xf numFmtId="0" fontId="64" fillId="0" borderId="3" xfId="35" applyFont="1" applyFill="1" applyBorder="1" applyAlignment="1">
      <alignment horizontal="center" vertical="center"/>
    </xf>
    <xf numFmtId="165" fontId="65" fillId="0" borderId="3" xfId="13" applyFont="1" applyFill="1" applyBorder="1" applyAlignment="1">
      <alignment horizontal="center" vertical="center"/>
    </xf>
    <xf numFmtId="173" fontId="61" fillId="0" borderId="0" xfId="44" applyFont="1" applyFill="1" applyBorder="1" applyAlignment="1">
      <alignment horizontal="center" vertical="center"/>
    </xf>
    <xf numFmtId="165" fontId="66" fillId="12" borderId="4" xfId="14" applyFont="1" applyBorder="1" applyAlignment="1">
      <alignment horizontal="center" vertical="center"/>
      <protection locked="0"/>
    </xf>
    <xf numFmtId="0" fontId="67" fillId="0" borderId="0" xfId="0" applyFont="1"/>
    <xf numFmtId="0" fontId="68" fillId="0" borderId="0" xfId="20" applyFont="1">
      <alignment horizontal="left" vertical="center"/>
    </xf>
    <xf numFmtId="0" fontId="67" fillId="0" borderId="0" xfId="0" applyFont="1" applyFill="1"/>
    <xf numFmtId="0" fontId="69" fillId="0" borderId="0" xfId="34" applyFont="1" applyFill="1" applyBorder="1" applyAlignment="1">
      <alignment vertical="center"/>
    </xf>
    <xf numFmtId="0" fontId="70" fillId="0" borderId="0" xfId="36" applyFont="1" applyFill="1" applyBorder="1">
      <alignment horizontal="left" vertical="center"/>
    </xf>
    <xf numFmtId="0" fontId="69" fillId="0" borderId="0" xfId="34" applyFont="1" applyFill="1">
      <alignment horizontal="left" vertical="center"/>
    </xf>
    <xf numFmtId="0" fontId="70" fillId="0" borderId="0" xfId="36" applyFont="1" applyFill="1">
      <alignment horizontal="left" vertical="center"/>
    </xf>
    <xf numFmtId="0" fontId="67" fillId="0" borderId="14" xfId="0" applyFont="1" applyBorder="1"/>
    <xf numFmtId="0" fontId="67" fillId="0" borderId="3" xfId="0" applyFont="1" applyBorder="1"/>
    <xf numFmtId="0" fontId="67" fillId="0" borderId="15" xfId="0" applyFont="1" applyBorder="1"/>
    <xf numFmtId="0" fontId="67" fillId="0" borderId="12" xfId="0" applyFont="1" applyBorder="1"/>
    <xf numFmtId="0" fontId="70" fillId="12" borderId="4" xfId="8" applyFont="1" applyBorder="1" applyAlignment="1">
      <alignment horizontal="center" vertical="center"/>
      <protection locked="0"/>
    </xf>
    <xf numFmtId="0" fontId="67" fillId="0" borderId="0" xfId="0" applyFont="1" applyBorder="1"/>
    <xf numFmtId="0" fontId="70" fillId="0" borderId="0" xfId="36" applyFont="1" applyBorder="1">
      <alignment horizontal="left" vertical="center"/>
    </xf>
    <xf numFmtId="0" fontId="67" fillId="0" borderId="11" xfId="0" applyFont="1" applyBorder="1"/>
    <xf numFmtId="0" fontId="70" fillId="16" borderId="4" xfId="53" applyFont="1">
      <alignment horizontal="center" vertical="center"/>
      <protection locked="0"/>
    </xf>
    <xf numFmtId="0" fontId="69" fillId="0" borderId="0" xfId="34" applyFont="1" applyBorder="1" applyAlignment="1">
      <alignment horizontal="center" vertical="center"/>
    </xf>
    <xf numFmtId="0" fontId="71" fillId="0" borderId="0" xfId="35" applyFont="1" applyBorder="1" applyAlignment="1">
      <alignment horizontal="center" vertical="center"/>
    </xf>
    <xf numFmtId="0" fontId="72" fillId="11" borderId="0" xfId="3" applyFont="1" applyBorder="1" applyAlignment="1">
      <alignment horizontal="center" vertical="center"/>
    </xf>
    <xf numFmtId="0" fontId="73" fillId="15" borderId="0" xfId="38" applyFont="1" applyBorder="1" applyAlignment="1">
      <alignment horizontal="center" vertical="center"/>
    </xf>
    <xf numFmtId="0" fontId="74" fillId="17" borderId="0" xfId="54" applyFont="1"/>
    <xf numFmtId="0" fontId="75" fillId="0" borderId="0" xfId="32" applyFont="1" applyAlignment="1">
      <alignment horizontal="center" vertical="center"/>
    </xf>
    <xf numFmtId="165" fontId="70" fillId="3" borderId="4" xfId="14" applyFont="1" applyFill="1">
      <alignment horizontal="right" vertical="center"/>
      <protection locked="0"/>
    </xf>
    <xf numFmtId="0" fontId="67" fillId="0" borderId="16" xfId="0" applyFont="1" applyBorder="1"/>
    <xf numFmtId="0" fontId="67" fillId="0" borderId="2" xfId="0" applyFont="1" applyBorder="1"/>
    <xf numFmtId="0" fontId="67" fillId="0" borderId="13" xfId="0" applyFont="1" applyBorder="1"/>
    <xf numFmtId="0" fontId="75" fillId="0" borderId="0" xfId="32" applyFont="1" applyBorder="1">
      <alignment horizontal="left" vertical="center"/>
    </xf>
    <xf numFmtId="173" fontId="7" fillId="0" borderId="0" xfId="44" applyFill="1" applyBorder="1" applyAlignment="1">
      <alignment horizontal="right" vertical="center"/>
    </xf>
    <xf numFmtId="181" fontId="29" fillId="12" borderId="4" xfId="16" applyNumberFormat="1" applyAlignment="1">
      <alignment horizontal="center" vertical="center"/>
      <protection locked="0"/>
    </xf>
    <xf numFmtId="175" fontId="28" fillId="0" borderId="0" xfId="13" applyNumberFormat="1" applyFill="1" applyBorder="1" applyAlignment="1">
      <alignment horizontal="center" vertical="center"/>
    </xf>
    <xf numFmtId="175" fontId="28" fillId="0" borderId="21" xfId="13" applyNumberFormat="1" applyFill="1" applyBorder="1" applyAlignment="1">
      <alignment horizontal="center" vertical="center"/>
    </xf>
    <xf numFmtId="175" fontId="28" fillId="0" borderId="0" xfId="13" applyNumberFormat="1" applyFill="1" applyAlignment="1">
      <alignment horizontal="center" vertical="center"/>
    </xf>
    <xf numFmtId="175" fontId="28" fillId="0" borderId="20" xfId="13" applyNumberFormat="1" applyFill="1" applyBorder="1" applyAlignment="1">
      <alignment horizontal="center" vertical="center"/>
    </xf>
    <xf numFmtId="181" fontId="28" fillId="0" borderId="20" xfId="15" applyNumberFormat="1" applyFill="1" applyBorder="1" applyAlignment="1">
      <alignment horizontal="center" vertical="center"/>
    </xf>
    <xf numFmtId="181" fontId="28" fillId="0" borderId="0" xfId="15" applyNumberFormat="1" applyFill="1" applyBorder="1" applyAlignment="1">
      <alignment horizontal="center" vertical="center"/>
    </xf>
    <xf numFmtId="181" fontId="28" fillId="0" borderId="21" xfId="15" applyNumberFormat="1" applyFill="1" applyBorder="1" applyAlignment="1">
      <alignment horizontal="center" vertical="center"/>
    </xf>
    <xf numFmtId="43" fontId="39" fillId="0" borderId="20" xfId="0" applyNumberFormat="1" applyFont="1" applyBorder="1"/>
    <xf numFmtId="0" fontId="44" fillId="0" borderId="18" xfId="35" applyFont="1" applyFill="1" applyBorder="1" applyAlignment="1">
      <alignment horizontal="center" vertical="center"/>
    </xf>
    <xf numFmtId="0" fontId="44" fillId="0" borderId="2" xfId="35" applyFont="1" applyFill="1" applyBorder="1" applyAlignment="1">
      <alignment horizontal="center" vertical="center"/>
    </xf>
    <xf numFmtId="0" fontId="44" fillId="0" borderId="19" xfId="35" applyFont="1" applyFill="1" applyBorder="1" applyAlignment="1">
      <alignment horizontal="center" vertical="center"/>
    </xf>
    <xf numFmtId="182" fontId="43" fillId="0" borderId="0" xfId="13" applyNumberFormat="1" applyFont="1" applyFill="1" applyBorder="1" applyAlignment="1">
      <alignment horizontal="center" vertical="center"/>
    </xf>
    <xf numFmtId="0" fontId="44" fillId="0" borderId="27" xfId="35" applyFont="1" applyFill="1" applyBorder="1" applyAlignment="1">
      <alignment horizontal="center" vertical="center"/>
    </xf>
    <xf numFmtId="165" fontId="47" fillId="29" borderId="4" xfId="14" applyFont="1" applyFill="1" applyBorder="1" applyAlignment="1">
      <alignment horizontal="center" vertical="center"/>
      <protection locked="0"/>
    </xf>
    <xf numFmtId="165" fontId="47" fillId="29" borderId="22" xfId="14" applyFont="1" applyFill="1" applyBorder="1" applyAlignment="1">
      <alignment horizontal="center" vertical="center"/>
      <protection locked="0"/>
    </xf>
    <xf numFmtId="165" fontId="47" fillId="29" borderId="23" xfId="14" applyFont="1" applyFill="1" applyBorder="1" applyAlignment="1">
      <alignment horizontal="center" vertical="center"/>
      <protection locked="0"/>
    </xf>
    <xf numFmtId="181" fontId="29" fillId="12" borderId="29" xfId="16" applyNumberFormat="1" applyBorder="1" applyAlignment="1">
      <alignment horizontal="center" vertical="center"/>
      <protection locked="0"/>
    </xf>
    <xf numFmtId="175" fontId="28" fillId="0" borderId="17" xfId="13" applyNumberFormat="1" applyFill="1" applyBorder="1" applyAlignment="1">
      <alignment horizontal="center" vertical="center"/>
    </xf>
    <xf numFmtId="181" fontId="29" fillId="12" borderId="67" xfId="16" applyNumberFormat="1" applyBorder="1" applyAlignment="1">
      <alignment horizontal="center" vertical="center"/>
      <protection locked="0"/>
    </xf>
    <xf numFmtId="175" fontId="28" fillId="17" borderId="0" xfId="13" applyNumberFormat="1" applyFill="1" applyBorder="1" applyAlignment="1">
      <alignment horizontal="center" vertical="center"/>
    </xf>
    <xf numFmtId="175" fontId="29" fillId="12" borderId="4" xfId="14" applyNumberFormat="1" applyAlignment="1">
      <alignment horizontal="center" vertical="center"/>
      <protection locked="0"/>
    </xf>
    <xf numFmtId="43" fontId="39" fillId="0" borderId="0" xfId="0" applyNumberFormat="1" applyFont="1" applyFill="1"/>
    <xf numFmtId="165" fontId="47" fillId="12" borderId="66" xfId="14" applyFont="1" applyBorder="1" applyAlignment="1">
      <alignment horizontal="center" vertical="center"/>
      <protection locked="0"/>
    </xf>
    <xf numFmtId="0" fontId="39" fillId="0" borderId="0" xfId="0" applyFont="1" applyFill="1" applyBorder="1"/>
    <xf numFmtId="0" fontId="77" fillId="0" borderId="0" xfId="57" applyFont="1" applyAlignment="1">
      <alignment horizontal="left" vertical="center"/>
    </xf>
    <xf numFmtId="0" fontId="38" fillId="0" borderId="0" xfId="20" applyFont="1" applyFill="1">
      <alignment horizontal="left" vertical="center"/>
    </xf>
    <xf numFmtId="0" fontId="25" fillId="0" borderId="0" xfId="20" applyFill="1">
      <alignment horizontal="left" vertical="center"/>
    </xf>
    <xf numFmtId="181" fontId="29" fillId="12" borderId="66" xfId="16" applyNumberFormat="1" applyBorder="1" applyAlignment="1">
      <alignment horizontal="center" vertical="center"/>
      <protection locked="0"/>
    </xf>
    <xf numFmtId="181" fontId="29" fillId="12" borderId="68" xfId="16" applyNumberFormat="1" applyBorder="1" applyAlignment="1">
      <alignment horizontal="center" vertical="center"/>
      <protection locked="0"/>
    </xf>
    <xf numFmtId="0" fontId="64" fillId="0" borderId="2" xfId="35" applyFont="1" applyFill="1" applyBorder="1" applyAlignment="1">
      <alignment horizontal="center" vertical="center" wrapText="1"/>
    </xf>
    <xf numFmtId="0" fontId="0" fillId="17" borderId="0" xfId="0" applyFont="1" applyFill="1"/>
    <xf numFmtId="165" fontId="29" fillId="12" borderId="22" xfId="14" applyBorder="1" applyAlignment="1">
      <alignment horizontal="center" vertical="center"/>
      <protection locked="0"/>
    </xf>
    <xf numFmtId="0" fontId="19" fillId="0" borderId="0" xfId="32" quotePrefix="1" applyFill="1">
      <alignment horizontal="left" vertical="center"/>
    </xf>
    <xf numFmtId="183" fontId="48" fillId="0" borderId="28" xfId="13" applyNumberFormat="1" applyFont="1" applyFill="1" applyBorder="1" applyAlignment="1">
      <alignment horizontal="center" vertical="center"/>
    </xf>
    <xf numFmtId="183" fontId="48" fillId="0" borderId="24" xfId="13" applyNumberFormat="1" applyFont="1" applyFill="1" applyBorder="1" applyAlignment="1">
      <alignment horizontal="center" vertical="center"/>
    </xf>
    <xf numFmtId="183" fontId="48" fillId="0" borderId="3" xfId="13" applyNumberFormat="1" applyFont="1" applyFill="1" applyBorder="1" applyAlignment="1">
      <alignment horizontal="center" vertical="center"/>
    </xf>
    <xf numFmtId="183" fontId="48" fillId="0" borderId="25" xfId="13" applyNumberFormat="1" applyFont="1" applyFill="1" applyBorder="1" applyAlignment="1">
      <alignment horizontal="center" vertical="center"/>
    </xf>
    <xf numFmtId="0" fontId="39" fillId="17" borderId="17" xfId="0" applyFont="1" applyFill="1" applyBorder="1"/>
    <xf numFmtId="0" fontId="76" fillId="0" borderId="0" xfId="37" applyFont="1" applyFill="1">
      <alignment vertical="center"/>
    </xf>
    <xf numFmtId="165" fontId="63" fillId="0" borderId="0" xfId="13" applyFont="1" applyFill="1" applyBorder="1" applyAlignment="1">
      <alignment horizontal="center" vertical="center"/>
    </xf>
    <xf numFmtId="0" fontId="0" fillId="0" borderId="0" xfId="0"/>
    <xf numFmtId="0" fontId="29" fillId="0" borderId="0" xfId="36">
      <alignment horizontal="left" vertical="center"/>
    </xf>
    <xf numFmtId="0" fontId="19" fillId="0" borderId="0" xfId="32" applyFill="1">
      <alignment horizontal="left" vertical="center"/>
    </xf>
    <xf numFmtId="176" fontId="2" fillId="0" borderId="0" xfId="57" applyNumberFormat="1"/>
    <xf numFmtId="0" fontId="6" fillId="23" borderId="69" xfId="57" applyFont="1" applyFill="1" applyBorder="1" applyAlignment="1" applyProtection="1">
      <alignment horizontal="center" vertical="center"/>
    </xf>
    <xf numFmtId="0" fontId="6" fillId="23" borderId="70" xfId="57" applyFont="1" applyFill="1" applyBorder="1" applyAlignment="1" applyProtection="1">
      <alignment horizontal="center" vertical="center"/>
    </xf>
    <xf numFmtId="176" fontId="53" fillId="26" borderId="71" xfId="61" applyBorder="1">
      <alignment horizontal="right"/>
      <protection locked="0"/>
    </xf>
    <xf numFmtId="176" fontId="53" fillId="26" borderId="72" xfId="61" applyBorder="1">
      <alignment horizontal="right"/>
      <protection locked="0"/>
    </xf>
    <xf numFmtId="176" fontId="53" fillId="26" borderId="73" xfId="61" applyBorder="1">
      <alignment horizontal="right"/>
      <protection locked="0"/>
    </xf>
    <xf numFmtId="176" fontId="53" fillId="26" borderId="74" xfId="61" applyBorder="1">
      <alignment horizontal="right"/>
      <protection locked="0"/>
    </xf>
    <xf numFmtId="176" fontId="53" fillId="26" borderId="75" xfId="61" applyBorder="1">
      <alignment horizontal="right"/>
      <protection locked="0"/>
    </xf>
    <xf numFmtId="176" fontId="53" fillId="26" borderId="76" xfId="61" applyBorder="1">
      <alignment horizontal="right"/>
      <protection locked="0"/>
    </xf>
    <xf numFmtId="165" fontId="63" fillId="0" borderId="77" xfId="13" applyFont="1" applyFill="1" applyBorder="1" applyAlignment="1">
      <alignment horizontal="center" vertical="center"/>
    </xf>
    <xf numFmtId="0" fontId="29" fillId="0" borderId="0" xfId="36" applyFill="1" applyAlignment="1">
      <alignment horizontal="left" vertical="center" wrapText="1"/>
    </xf>
    <xf numFmtId="0" fontId="6" fillId="24" borderId="33" xfId="57" applyFont="1" applyFill="1" applyBorder="1" applyAlignment="1">
      <alignment horizontal="center" vertical="center" wrapText="1"/>
    </xf>
    <xf numFmtId="0" fontId="6" fillId="24" borderId="34" xfId="57" applyFont="1" applyFill="1" applyBorder="1" applyAlignment="1">
      <alignment horizontal="center" vertical="center" wrapText="1"/>
    </xf>
    <xf numFmtId="177" fontId="6" fillId="28" borderId="31" xfId="57" applyNumberFormat="1" applyFont="1" applyFill="1" applyBorder="1" applyAlignment="1">
      <alignment horizontal="center" vertical="center" wrapText="1"/>
    </xf>
    <xf numFmtId="177" fontId="6" fillId="28" borderId="32" xfId="57" applyNumberFormat="1" applyFont="1" applyFill="1" applyBorder="1" applyAlignment="1">
      <alignment horizontal="center" vertical="center" wrapText="1"/>
    </xf>
    <xf numFmtId="177" fontId="6" fillId="28" borderId="63" xfId="57" applyNumberFormat="1" applyFont="1" applyFill="1" applyBorder="1" applyAlignment="1">
      <alignment horizontal="center" vertical="center" wrapText="1"/>
    </xf>
    <xf numFmtId="177" fontId="6" fillId="28" borderId="64" xfId="57" applyNumberFormat="1" applyFont="1" applyFill="1" applyBorder="1" applyAlignment="1">
      <alignment horizontal="center" vertical="center" wrapText="1"/>
    </xf>
    <xf numFmtId="0" fontId="58" fillId="24" borderId="31" xfId="57" applyFont="1" applyFill="1" applyBorder="1" applyAlignment="1" applyProtection="1">
      <alignment horizontal="center" vertical="center" wrapText="1"/>
      <protection locked="0"/>
    </xf>
    <xf numFmtId="0" fontId="58" fillId="24" borderId="32" xfId="57" applyFont="1" applyFill="1" applyBorder="1" applyAlignment="1" applyProtection="1">
      <alignment horizontal="center" vertical="center" wrapText="1"/>
      <protection locked="0"/>
    </xf>
  </cellXfs>
  <cellStyles count="92">
    <cellStyle name="Bad" xfId="22" builtinId="27" hidden="1"/>
    <cellStyle name="Calculation" xfId="26" builtinId="22" hidden="1"/>
    <cellStyle name="Check Cell" xfId="28" builtinId="23" hidden="1"/>
    <cellStyle name="Check RedRedGreen" xfId="44"/>
    <cellStyle name="Comma 2" xfId="63"/>
    <cellStyle name="Comma 2 2" xfId="83"/>
    <cellStyle name="Comma 2 2 2" xfId="91"/>
    <cellStyle name="Comma 2 3" xfId="87"/>
    <cellStyle name="Comma 2 4" xfId="76"/>
    <cellStyle name="Comma 2 5" xfId="70"/>
    <cellStyle name="Currency" xfId="1" builtinId="4" hidden="1" customBuiltin="1"/>
    <cellStyle name="Currency" xfId="40"/>
    <cellStyle name="Currency 2" xfId="68"/>
    <cellStyle name="Currency 2 2" xfId="81"/>
    <cellStyle name="Currency 2 2 2" xfId="89"/>
    <cellStyle name="Currency 2 3" xfId="85"/>
    <cellStyle name="Currency 2 4" xfId="74"/>
    <cellStyle name="Currency Assumptions" xfId="19"/>
    <cellStyle name="Currency Input" xfId="49"/>
    <cellStyle name="Date" xfId="11"/>
    <cellStyle name="Date Assumptions" xfId="12"/>
    <cellStyle name="Date Input" xfId="48"/>
    <cellStyle name="dms_NUM" xfId="61"/>
    <cellStyle name="dms_NUM 2_1dp" xfId="64"/>
    <cellStyle name="dms_NUM_grey" xfId="62"/>
    <cellStyle name="Dropdown" xfId="53"/>
    <cellStyle name="Explanatory Text" xfId="31" builtinId="53" hidden="1"/>
    <cellStyle name="External Link" xfId="55"/>
    <cellStyle name="Good" xfId="21" builtinId="26" hidden="1"/>
    <cellStyle name="Heading 1" xfId="3" builtinId="16" customBuiltin="1"/>
    <cellStyle name="Heading 1 2" xfId="79"/>
    <cellStyle name="Heading 2" xfId="4" builtinId="17" hidden="1" customBuiltin="1"/>
    <cellStyle name="Heading 2" xfId="72"/>
    <cellStyle name="Heading 2 Input" xfId="38"/>
    <cellStyle name="Heading 2 Output" xfId="39"/>
    <cellStyle name="Heading 3" xfId="5" builtinId="18" hidden="1" customBuiltin="1"/>
    <cellStyle name="Heading 3 Input" xfId="34"/>
    <cellStyle name="Heading 3 Output" xfId="35"/>
    <cellStyle name="Heading 3 Output 2" xfId="78"/>
    <cellStyle name="Heading 4" xfId="6" builtinId="19" hidden="1" customBuiltin="1"/>
    <cellStyle name="Heading 4 Assumptions" xfId="8"/>
    <cellStyle name="Heading 4 Input" xfId="36"/>
    <cellStyle name="Heading 4 Output" xfId="37"/>
    <cellStyle name="Hyperlink" xfId="32" builtinId="8" customBuiltin="1"/>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rmal 10 2" xfId="65"/>
    <cellStyle name="Normal 2" xfId="56"/>
    <cellStyle name="Normal 2 2" xfId="66"/>
    <cellStyle name="Normal 3" xfId="57"/>
    <cellStyle name="Normal 3 2" xfId="80"/>
    <cellStyle name="Normal 3 2 2" xfId="88"/>
    <cellStyle name="Normal 3 3" xfId="84"/>
    <cellStyle name="Normal 3 4" xfId="73"/>
    <cellStyle name="Normal 3 5" xfId="67"/>
    <cellStyle name="Normal 4" xfId="59"/>
    <cellStyle name="Normal 4 2" xfId="71"/>
    <cellStyle name="Not Applicable" xfId="54"/>
    <cellStyle name="Note" xfId="30" builtinId="10" hidden="1"/>
    <cellStyle name="Number" xfId="13"/>
    <cellStyle name="Number Assumptions" xfId="14"/>
    <cellStyle name="Number Input" xfId="47"/>
    <cellStyle name="Output" xfId="25" builtinId="21" hidden="1"/>
    <cellStyle name="Percent 2" xfId="69"/>
    <cellStyle name="Percent 2 2" xfId="82"/>
    <cellStyle name="Percent 2 2 2" xfId="90"/>
    <cellStyle name="Percent 2 3" xfId="86"/>
    <cellStyle name="Percent 2 4" xfId="75"/>
    <cellStyle name="Percentage" xfId="15"/>
    <cellStyle name="Percentage Assumptions" xfId="16"/>
    <cellStyle name="Percentage Input" xfId="51"/>
    <cellStyle name="RIN_TB2" xfId="58"/>
    <cellStyle name="RIN_TB3" xfId="60"/>
    <cellStyle name="Sheet Title Input" xfId="20"/>
    <cellStyle name="Sheet Title Input 2" xfId="77"/>
    <cellStyle name="Sheet Title Output" xfId="33"/>
    <cellStyle name="Table Header 1" xfId="42"/>
    <cellStyle name="Table Header 2" xfId="43"/>
    <cellStyle name="Title" xfId="2" builtinId="15" hidde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12">
    <dxf>
      <font>
        <b val="0"/>
        <i val="0"/>
        <color rgb="FF00B050"/>
      </font>
    </dxf>
    <dxf>
      <font>
        <b val="0"/>
        <i val="0"/>
        <color rgb="FF00B050"/>
      </font>
    </dxf>
    <dxf>
      <font>
        <b val="0"/>
        <i val="0"/>
        <color rgb="FF00B05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xdr:colOff>
      <xdr:row>5</xdr:row>
      <xdr:rowOff>0</xdr:rowOff>
    </xdr:from>
    <xdr:to>
      <xdr:col>4</xdr:col>
      <xdr:colOff>324083</xdr:colOff>
      <xdr:row>9</xdr:row>
      <xdr:rowOff>86</xdr:rowOff>
    </xdr:to>
    <xdr:pic>
      <xdr:nvPicPr>
        <xdr:cNvPr id="2" name="Picture 1">
          <a:extLst>
            <a:ext uri="{FF2B5EF4-FFF2-40B4-BE49-F238E27FC236}">
              <a16:creationId xmlns:a16="http://schemas.microsoft.com/office/drawing/2014/main" id="{B7472E67-9C66-4433-9A31-7271C7FB6B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 y="809625"/>
          <a:ext cx="1373738" cy="56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12</xdr:col>
      <xdr:colOff>1017360</xdr:colOff>
      <xdr:row>2</xdr:row>
      <xdr:rowOff>276237</xdr:rowOff>
    </xdr:to>
    <xdr:grpSp>
      <xdr:nvGrpSpPr>
        <xdr:cNvPr id="28" name="Group 27">
          <a:extLst>
            <a:ext uri="{FF2B5EF4-FFF2-40B4-BE49-F238E27FC236}">
              <a16:creationId xmlns:a16="http://schemas.microsoft.com/office/drawing/2014/main" id="{9A0FF348-F8C7-451F-BCA4-C1E82E5A9F5B}"/>
            </a:ext>
          </a:extLst>
        </xdr:cNvPr>
        <xdr:cNvGrpSpPr/>
      </xdr:nvGrpSpPr>
      <xdr:grpSpPr>
        <a:xfrm>
          <a:off x="14073188" y="0"/>
          <a:ext cx="5967502" cy="1036332"/>
          <a:chOff x="6257924" y="76200"/>
          <a:chExt cx="5973778" cy="1034035"/>
        </a:xfrm>
      </xdr:grpSpPr>
      <xdr:grpSp>
        <xdr:nvGrpSpPr>
          <xdr:cNvPr id="29" name="Group 28">
            <a:extLst>
              <a:ext uri="{FF2B5EF4-FFF2-40B4-BE49-F238E27FC236}">
                <a16:creationId xmlns:a16="http://schemas.microsoft.com/office/drawing/2014/main" id="{7E40BBEC-FAA0-4784-81F1-C949475409E4}"/>
              </a:ext>
            </a:extLst>
          </xdr:cNvPr>
          <xdr:cNvGrpSpPr/>
        </xdr:nvGrpSpPr>
        <xdr:grpSpPr>
          <a:xfrm>
            <a:off x="6257924" y="94034"/>
            <a:ext cx="1753561" cy="971060"/>
            <a:chOff x="11448892" y="2483864"/>
            <a:chExt cx="1750813" cy="517167"/>
          </a:xfrm>
        </xdr:grpSpPr>
        <xdr:sp macro="[0]!MarkConfidential" textlink="">
          <xdr:nvSpPr>
            <xdr:cNvPr id="36" name="Rounded Rectangle 47">
              <a:extLst>
                <a:ext uri="{FF2B5EF4-FFF2-40B4-BE49-F238E27FC236}">
                  <a16:creationId xmlns:a16="http://schemas.microsoft.com/office/drawing/2014/main" id="{77E8C7DD-93EB-4B0D-817D-C7552E6D556B}"/>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48">
              <a:extLst>
                <a:ext uri="{FF2B5EF4-FFF2-40B4-BE49-F238E27FC236}">
                  <a16:creationId xmlns:a16="http://schemas.microsoft.com/office/drawing/2014/main" id="{16AFD152-66FA-4380-AED8-D2832CFFF685}"/>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C939297-8F83-4005-AD4A-AB777EAE3592}"/>
              </a:ext>
            </a:extLst>
          </xdr:cNvPr>
          <xdr:cNvGrpSpPr/>
        </xdr:nvGrpSpPr>
        <xdr:grpSpPr>
          <a:xfrm>
            <a:off x="9047916" y="76200"/>
            <a:ext cx="3183786" cy="1034035"/>
            <a:chOff x="8959453" y="47625"/>
            <a:chExt cx="3191911" cy="1037397"/>
          </a:xfrm>
        </xdr:grpSpPr>
        <xdr:sp macro="" textlink="">
          <xdr:nvSpPr>
            <xdr:cNvPr id="31" name="Rounded Rectangle 42">
              <a:extLst>
                <a:ext uri="{FF2B5EF4-FFF2-40B4-BE49-F238E27FC236}">
                  <a16:creationId xmlns:a16="http://schemas.microsoft.com/office/drawing/2014/main" id="{8BAC0287-4157-4B28-929E-AC917BD3F7C4}"/>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68FFABF-F5E5-4A21-9CBC-7208428030F3}"/>
                </a:ext>
              </a:extLst>
            </xdr:cNvPr>
            <xdr:cNvGrpSpPr/>
          </xdr:nvGrpSpPr>
          <xdr:grpSpPr>
            <a:xfrm>
              <a:off x="10422881" y="79536"/>
              <a:ext cx="1576451" cy="972629"/>
              <a:chOff x="24351211" y="420304"/>
              <a:chExt cx="1935032" cy="711040"/>
            </a:xfrm>
          </xdr:grpSpPr>
          <xdr:sp macro="[0]!dms_ReturnNonAmended" textlink="">
            <xdr:nvSpPr>
              <xdr:cNvPr id="34" name="Rounded Rectangle 45">
                <a:extLst>
                  <a:ext uri="{FF2B5EF4-FFF2-40B4-BE49-F238E27FC236}">
                    <a16:creationId xmlns:a16="http://schemas.microsoft.com/office/drawing/2014/main" id="{5F7C0CBE-11A2-4138-8A0D-BF79C7D14CA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46">
                <a:extLst>
                  <a:ext uri="{FF2B5EF4-FFF2-40B4-BE49-F238E27FC236}">
                    <a16:creationId xmlns:a16="http://schemas.microsoft.com/office/drawing/2014/main" id="{6DBBFA5F-2368-44C7-AD37-0494078FE75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44">
              <a:extLst>
                <a:ext uri="{FF2B5EF4-FFF2-40B4-BE49-F238E27FC236}">
                  <a16:creationId xmlns:a16="http://schemas.microsoft.com/office/drawing/2014/main" id="{2860F17D-7C31-4A7F-BE42-6F66EF26D1A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16</xdr:col>
      <xdr:colOff>90</xdr:colOff>
      <xdr:row>2</xdr:row>
      <xdr:rowOff>274332</xdr:rowOff>
    </xdr:to>
    <xdr:grpSp>
      <xdr:nvGrpSpPr>
        <xdr:cNvPr id="2" name="Group 1">
          <a:extLst>
            <a:ext uri="{FF2B5EF4-FFF2-40B4-BE49-F238E27FC236}">
              <a16:creationId xmlns:a16="http://schemas.microsoft.com/office/drawing/2014/main" id="{2A9EE5E2-24F8-4056-81ED-B2F3CC85A812}"/>
            </a:ext>
          </a:extLst>
        </xdr:cNvPr>
        <xdr:cNvGrpSpPr/>
      </xdr:nvGrpSpPr>
      <xdr:grpSpPr>
        <a:xfrm>
          <a:off x="18442781" y="0"/>
          <a:ext cx="5965122" cy="1038237"/>
          <a:chOff x="6257924" y="76200"/>
          <a:chExt cx="5973778" cy="1034035"/>
        </a:xfrm>
      </xdr:grpSpPr>
      <xdr:grpSp>
        <xdr:nvGrpSpPr>
          <xdr:cNvPr id="3" name="Group 2">
            <a:extLst>
              <a:ext uri="{FF2B5EF4-FFF2-40B4-BE49-F238E27FC236}">
                <a16:creationId xmlns:a16="http://schemas.microsoft.com/office/drawing/2014/main" id="{EF3F01D0-C3F9-415C-B421-7BFC5E04FF22}"/>
              </a:ext>
            </a:extLst>
          </xdr:cNvPr>
          <xdr:cNvGrpSpPr/>
        </xdr:nvGrpSpPr>
        <xdr:grpSpPr>
          <a:xfrm>
            <a:off x="6257924" y="94034"/>
            <a:ext cx="1753561" cy="971060"/>
            <a:chOff x="11448892" y="2483864"/>
            <a:chExt cx="1750813" cy="517167"/>
          </a:xfrm>
        </xdr:grpSpPr>
        <xdr:sp macro="[0]!MarkConfidential" textlink="">
          <xdr:nvSpPr>
            <xdr:cNvPr id="10" name="Rounded Rectangle 47">
              <a:extLst>
                <a:ext uri="{FF2B5EF4-FFF2-40B4-BE49-F238E27FC236}">
                  <a16:creationId xmlns:a16="http://schemas.microsoft.com/office/drawing/2014/main" id="{DD2CF63E-0D7B-4178-8601-D0E54B614716}"/>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48">
              <a:extLst>
                <a:ext uri="{FF2B5EF4-FFF2-40B4-BE49-F238E27FC236}">
                  <a16:creationId xmlns:a16="http://schemas.microsoft.com/office/drawing/2014/main" id="{60C47871-26A1-48FD-98CB-A43525B03796}"/>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66C66CC2-F77C-46BA-8856-3783CAE23230}"/>
              </a:ext>
            </a:extLst>
          </xdr:cNvPr>
          <xdr:cNvGrpSpPr/>
        </xdr:nvGrpSpPr>
        <xdr:grpSpPr>
          <a:xfrm>
            <a:off x="9047916" y="76200"/>
            <a:ext cx="3183786" cy="1034035"/>
            <a:chOff x="8959453" y="47625"/>
            <a:chExt cx="3191911" cy="1037397"/>
          </a:xfrm>
        </xdr:grpSpPr>
        <xdr:sp macro="" textlink="">
          <xdr:nvSpPr>
            <xdr:cNvPr id="5" name="Rounded Rectangle 42">
              <a:extLst>
                <a:ext uri="{FF2B5EF4-FFF2-40B4-BE49-F238E27FC236}">
                  <a16:creationId xmlns:a16="http://schemas.microsoft.com/office/drawing/2014/main" id="{2CD39604-2AC4-4886-95A4-3771C53075A8}"/>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C670373A-5809-443F-92F4-D408C83C5D82}"/>
                </a:ext>
              </a:extLst>
            </xdr:cNvPr>
            <xdr:cNvGrpSpPr/>
          </xdr:nvGrpSpPr>
          <xdr:grpSpPr>
            <a:xfrm>
              <a:off x="10422881" y="79536"/>
              <a:ext cx="1576451" cy="972629"/>
              <a:chOff x="24351211" y="420304"/>
              <a:chExt cx="1935032" cy="711040"/>
            </a:xfrm>
          </xdr:grpSpPr>
          <xdr:sp macro="[0]!dms_ReturnNonAmended" textlink="">
            <xdr:nvSpPr>
              <xdr:cNvPr id="8" name="Rounded Rectangle 45">
                <a:extLst>
                  <a:ext uri="{FF2B5EF4-FFF2-40B4-BE49-F238E27FC236}">
                    <a16:creationId xmlns:a16="http://schemas.microsoft.com/office/drawing/2014/main" id="{7DF52FB5-ACE5-430A-A511-18880C5EA7B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46">
                <a:extLst>
                  <a:ext uri="{FF2B5EF4-FFF2-40B4-BE49-F238E27FC236}">
                    <a16:creationId xmlns:a16="http://schemas.microsoft.com/office/drawing/2014/main" id="{FC727FCB-50F9-4A94-B5A7-289B8F62CB0D}"/>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44">
              <a:extLst>
                <a:ext uri="{FF2B5EF4-FFF2-40B4-BE49-F238E27FC236}">
                  <a16:creationId xmlns:a16="http://schemas.microsoft.com/office/drawing/2014/main" id="{B2D4688D-5D91-498E-9224-9C6BC85210B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3"/>
  <sheetViews>
    <sheetView showGridLines="0" tabSelected="1" zoomScaleNormal="100" workbookViewId="0"/>
  </sheetViews>
  <sheetFormatPr defaultColWidth="9.33203125" defaultRowHeight="11.25" x14ac:dyDescent="0.2"/>
  <cols>
    <col min="1" max="1" width="9.33203125" style="188"/>
    <col min="2" max="3" width="5.83203125" style="188" customWidth="1"/>
    <col min="4" max="4" width="12.83203125" style="188" customWidth="1"/>
    <col min="5" max="5" width="9.33203125" style="188"/>
    <col min="6" max="13" width="10.83203125" style="188" customWidth="1"/>
    <col min="14" max="16384" width="9.33203125" style="188"/>
  </cols>
  <sheetData>
    <row r="1" spans="2:7" ht="11.25" customHeight="1" x14ac:dyDescent="0.2"/>
    <row r="2" spans="2:7" ht="11.25" customHeight="1" x14ac:dyDescent="0.2"/>
    <row r="3" spans="2:7" ht="19.5" x14ac:dyDescent="0.2">
      <c r="B3" s="189" t="s">
        <v>288</v>
      </c>
    </row>
    <row r="4" spans="2:7" ht="11.25" customHeight="1" x14ac:dyDescent="0.2"/>
    <row r="5" spans="2:7" ht="11.25" customHeight="1" x14ac:dyDescent="0.2"/>
    <row r="6" spans="2:7" ht="11.25" customHeight="1" x14ac:dyDescent="0.2">
      <c r="C6" s="190"/>
      <c r="D6" s="190"/>
      <c r="E6" s="190"/>
      <c r="F6" s="190"/>
      <c r="G6" s="190"/>
    </row>
    <row r="7" spans="2:7" ht="11.25" customHeight="1" x14ac:dyDescent="0.2">
      <c r="B7" s="190"/>
      <c r="C7" s="190"/>
      <c r="D7" s="190"/>
      <c r="E7" s="190"/>
      <c r="F7" s="190"/>
      <c r="G7" s="190"/>
    </row>
    <row r="8" spans="2:7" ht="11.25" customHeight="1" x14ac:dyDescent="0.2">
      <c r="B8" s="190"/>
      <c r="C8" s="190"/>
      <c r="D8" s="190"/>
      <c r="E8" s="190"/>
      <c r="F8" s="190"/>
      <c r="G8" s="190"/>
    </row>
    <row r="9" spans="2:7" x14ac:dyDescent="0.2">
      <c r="B9" s="190"/>
      <c r="C9" s="190"/>
      <c r="D9" s="190"/>
      <c r="E9" s="190"/>
      <c r="F9" s="190"/>
      <c r="G9" s="190"/>
    </row>
    <row r="11" spans="2:7" ht="12.75" x14ac:dyDescent="0.2">
      <c r="C11" s="191" t="s">
        <v>29</v>
      </c>
      <c r="F11" s="192" t="s">
        <v>207</v>
      </c>
    </row>
    <row r="13" spans="2:7" ht="12.75" x14ac:dyDescent="0.2">
      <c r="C13" s="193" t="s">
        <v>30</v>
      </c>
    </row>
    <row r="14" spans="2:7" ht="12.75" x14ac:dyDescent="0.2">
      <c r="C14" s="194" t="s">
        <v>208</v>
      </c>
    </row>
    <row r="16" spans="2:7" ht="12.75" x14ac:dyDescent="0.2">
      <c r="C16" s="193" t="s">
        <v>37</v>
      </c>
    </row>
    <row r="18" spans="3:13" x14ac:dyDescent="0.2">
      <c r="C18" s="195"/>
      <c r="D18" s="196"/>
      <c r="E18" s="196"/>
      <c r="F18" s="196"/>
      <c r="G18" s="196"/>
      <c r="H18" s="196"/>
      <c r="I18" s="196"/>
      <c r="J18" s="196"/>
      <c r="K18" s="196"/>
      <c r="L18" s="196"/>
      <c r="M18" s="197"/>
    </row>
    <row r="19" spans="3:13" ht="12.75" x14ac:dyDescent="0.2">
      <c r="C19" s="198"/>
      <c r="D19" s="199" t="s">
        <v>15</v>
      </c>
      <c r="E19" s="200"/>
      <c r="F19" s="201" t="s">
        <v>26</v>
      </c>
      <c r="G19" s="200"/>
      <c r="H19" s="200"/>
      <c r="I19" s="200"/>
      <c r="J19" s="200"/>
      <c r="K19" s="200"/>
      <c r="L19" s="200"/>
      <c r="M19" s="202"/>
    </row>
    <row r="20" spans="3:13" ht="12.75" x14ac:dyDescent="0.2">
      <c r="C20" s="198"/>
      <c r="D20" s="203" t="s">
        <v>44</v>
      </c>
      <c r="E20" s="200"/>
      <c r="F20" s="201" t="s">
        <v>39</v>
      </c>
      <c r="G20" s="200"/>
      <c r="H20" s="200"/>
      <c r="I20" s="200"/>
      <c r="J20" s="200"/>
      <c r="K20" s="200"/>
      <c r="L20" s="200"/>
      <c r="M20" s="202"/>
    </row>
    <row r="21" spans="3:13" ht="12.75" x14ac:dyDescent="0.2">
      <c r="C21" s="198"/>
      <c r="D21" s="204" t="s">
        <v>21</v>
      </c>
      <c r="E21" s="200"/>
      <c r="F21" s="201" t="s">
        <v>23</v>
      </c>
      <c r="G21" s="200"/>
      <c r="H21" s="200"/>
      <c r="I21" s="200"/>
      <c r="J21" s="200"/>
      <c r="K21" s="200"/>
      <c r="L21" s="200"/>
      <c r="M21" s="202"/>
    </row>
    <row r="22" spans="3:13" ht="12.75" x14ac:dyDescent="0.2">
      <c r="C22" s="198"/>
      <c r="D22" s="205" t="s">
        <v>22</v>
      </c>
      <c r="E22" s="200"/>
      <c r="F22" s="201" t="s">
        <v>24</v>
      </c>
      <c r="G22" s="200"/>
      <c r="H22" s="200"/>
      <c r="I22" s="200"/>
      <c r="J22" s="200"/>
      <c r="K22" s="200"/>
      <c r="L22" s="200"/>
      <c r="M22" s="202"/>
    </row>
    <row r="23" spans="3:13" ht="12.75" x14ac:dyDescent="0.2">
      <c r="C23" s="198"/>
      <c r="D23" s="206" t="s">
        <v>5</v>
      </c>
      <c r="E23" s="200"/>
      <c r="F23" s="201" t="s">
        <v>27</v>
      </c>
      <c r="G23" s="200"/>
      <c r="H23" s="200"/>
      <c r="I23" s="200"/>
      <c r="J23" s="200"/>
      <c r="K23" s="200"/>
      <c r="L23" s="200"/>
      <c r="M23" s="202"/>
    </row>
    <row r="24" spans="3:13" ht="12.75" x14ac:dyDescent="0.2">
      <c r="C24" s="198"/>
      <c r="D24" s="207" t="s">
        <v>25</v>
      </c>
      <c r="E24" s="200"/>
      <c r="F24" s="201" t="s">
        <v>28</v>
      </c>
      <c r="G24" s="200"/>
      <c r="H24" s="200"/>
      <c r="I24" s="200"/>
      <c r="J24" s="200"/>
      <c r="K24" s="200"/>
      <c r="L24" s="200"/>
      <c r="M24" s="202"/>
    </row>
    <row r="25" spans="3:13" ht="12.75" x14ac:dyDescent="0.2">
      <c r="C25" s="198"/>
      <c r="D25" s="208"/>
      <c r="E25" s="200"/>
      <c r="F25" s="201" t="s">
        <v>38</v>
      </c>
      <c r="G25" s="200"/>
      <c r="H25" s="200"/>
      <c r="I25" s="200"/>
      <c r="J25" s="200"/>
      <c r="K25" s="200"/>
      <c r="L25" s="200"/>
      <c r="M25" s="202"/>
    </row>
    <row r="26" spans="3:13" ht="12.75" x14ac:dyDescent="0.2">
      <c r="C26" s="198"/>
      <c r="D26" s="209" t="s">
        <v>45</v>
      </c>
      <c r="E26" s="200"/>
      <c r="F26" s="201" t="s">
        <v>40</v>
      </c>
      <c r="G26" s="200"/>
      <c r="H26" s="200"/>
      <c r="I26" s="200"/>
      <c r="J26" s="200"/>
      <c r="K26" s="200"/>
      <c r="L26" s="200"/>
      <c r="M26" s="202"/>
    </row>
    <row r="27" spans="3:13" ht="12.75" x14ac:dyDescent="0.2">
      <c r="C27" s="198"/>
      <c r="D27" s="47">
        <v>1</v>
      </c>
      <c r="E27" s="200"/>
      <c r="F27" s="201" t="s">
        <v>41</v>
      </c>
      <c r="G27" s="200"/>
      <c r="H27" s="200"/>
      <c r="I27" s="200"/>
      <c r="J27" s="200"/>
      <c r="K27" s="200"/>
      <c r="L27" s="200"/>
      <c r="M27" s="202"/>
    </row>
    <row r="28" spans="3:13" ht="12.75" x14ac:dyDescent="0.2">
      <c r="C28" s="198"/>
      <c r="D28" s="47">
        <v>0</v>
      </c>
      <c r="E28" s="200"/>
      <c r="F28" s="201" t="s">
        <v>42</v>
      </c>
      <c r="G28" s="200"/>
      <c r="H28" s="200"/>
      <c r="I28" s="200"/>
      <c r="J28" s="200"/>
      <c r="K28" s="200"/>
      <c r="L28" s="200"/>
      <c r="M28" s="202"/>
    </row>
    <row r="29" spans="3:13" ht="12.75" x14ac:dyDescent="0.2">
      <c r="C29" s="198"/>
      <c r="D29" s="210"/>
      <c r="E29" s="200"/>
      <c r="F29" s="201" t="s">
        <v>43</v>
      </c>
      <c r="G29" s="200"/>
      <c r="H29" s="200"/>
      <c r="I29" s="200"/>
      <c r="J29" s="200"/>
      <c r="K29" s="200"/>
      <c r="L29" s="200"/>
      <c r="M29" s="202"/>
    </row>
    <row r="30" spans="3:13" x14ac:dyDescent="0.2">
      <c r="C30" s="211"/>
      <c r="D30" s="212"/>
      <c r="E30" s="212"/>
      <c r="F30" s="212"/>
      <c r="G30" s="212"/>
      <c r="H30" s="212"/>
      <c r="I30" s="212"/>
      <c r="J30" s="212"/>
      <c r="K30" s="212"/>
      <c r="L30" s="212"/>
      <c r="M30" s="213"/>
    </row>
    <row r="32" spans="3:13" ht="12.75" x14ac:dyDescent="0.2">
      <c r="C32" s="193" t="s">
        <v>99</v>
      </c>
      <c r="D32" s="214"/>
    </row>
    <row r="33" spans="3:24" ht="84" customHeight="1" x14ac:dyDescent="0.2">
      <c r="C33" s="270" t="s">
        <v>259</v>
      </c>
      <c r="D33" s="270"/>
      <c r="E33" s="270"/>
      <c r="F33" s="270"/>
      <c r="G33" s="270"/>
      <c r="H33" s="270"/>
      <c r="I33" s="270"/>
      <c r="J33" s="270"/>
      <c r="K33" s="270"/>
      <c r="L33" s="270"/>
      <c r="M33" s="270"/>
      <c r="N33" s="270"/>
      <c r="O33" s="270"/>
      <c r="P33" s="270"/>
      <c r="Q33" s="270"/>
      <c r="R33" s="270"/>
      <c r="S33" s="270"/>
      <c r="T33" s="270"/>
      <c r="U33" s="270"/>
      <c r="V33" s="270"/>
      <c r="W33" s="270"/>
      <c r="X33" s="270"/>
    </row>
  </sheetData>
  <mergeCells count="1">
    <mergeCell ref="C33:X33"/>
  </mergeCells>
  <pageMargins left="0.7" right="0.7" top="0.75" bottom="0.75" header="0.3" footer="0.3"/>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ColWidth="0" defaultRowHeight="11.25" x14ac:dyDescent="0.2"/>
  <cols>
    <col min="1" max="3" width="2.83203125" style="7" customWidth="1"/>
    <col min="4" max="4" width="62" style="7" customWidth="1"/>
    <col min="5" max="6" width="10.83203125" style="7" customWidth="1"/>
    <col min="7" max="15" width="10.83203125" style="7" hidden="1" customWidth="1"/>
    <col min="16" max="16384" width="9.33203125" style="7" hidden="1"/>
  </cols>
  <sheetData>
    <row r="1" spans="2:5" ht="19.5" x14ac:dyDescent="0.2">
      <c r="B1" s="5" t="s">
        <v>50</v>
      </c>
    </row>
    <row r="2" spans="2:5" x14ac:dyDescent="0.2">
      <c r="B2" s="18" t="str">
        <f>Title_Msg</f>
        <v>No Errors Found</v>
      </c>
    </row>
    <row r="3" spans="2:5" ht="12.75" x14ac:dyDescent="0.2">
      <c r="B3" s="35" t="s">
        <v>54</v>
      </c>
      <c r="C3" s="35"/>
      <c r="D3" s="35"/>
      <c r="E3" s="16"/>
    </row>
    <row r="4" spans="2:5" ht="12.75" x14ac:dyDescent="0.2">
      <c r="B4" s="33" t="str">
        <f>Model_Name</f>
        <v>TransGrid - EB RIN RAB Allocation</v>
      </c>
    </row>
    <row r="6" spans="2:5" s="4" customFormat="1" ht="15.75" x14ac:dyDescent="0.2">
      <c r="B6" s="4" t="str">
        <f>B1</f>
        <v>Table of Contents</v>
      </c>
    </row>
    <row r="7" spans="2:5" s="6" customFormat="1" ht="4.5" customHeight="1" x14ac:dyDescent="0.2"/>
    <row r="8" spans="2:5" s="13" customFormat="1" ht="15" x14ac:dyDescent="0.2">
      <c r="C8" s="13" t="s">
        <v>51</v>
      </c>
    </row>
    <row r="9" spans="2:5" s="6" customFormat="1" ht="4.5" customHeight="1" x14ac:dyDescent="0.2"/>
    <row r="10" spans="2:5" s="6" customFormat="1" ht="11.25" customHeight="1" x14ac:dyDescent="0.2">
      <c r="D10" s="35" t="str">
        <f>Input_Inflation!$B$1</f>
        <v>Inputs - CPI Assumptions and Associated Indexes</v>
      </c>
    </row>
    <row r="11" spans="2:5" s="6" customFormat="1" ht="11.25" customHeight="1" x14ac:dyDescent="0.2">
      <c r="D11" s="35" t="str">
        <f>Input_RAB!$B$1</f>
        <v>Inputs - RAB by RFM and PTRM asset categories</v>
      </c>
    </row>
    <row r="12" spans="2:5" s="6" customFormat="1" ht="11.25" customHeight="1" x14ac:dyDescent="0.2">
      <c r="D12" s="35" t="str">
        <f>Input_AssetLives!$B$1</f>
        <v>Inputs - Standard Lives by EB RIN asset class</v>
      </c>
    </row>
    <row r="13" spans="2:5" x14ac:dyDescent="0.2">
      <c r="D13" s="259" t="str">
        <f>Input_EB_Alloc!$B$1</f>
        <v>Inputs - Allocation from RAB asset classes to EB RIN categories</v>
      </c>
    </row>
    <row r="14" spans="2:5" s="6" customFormat="1" ht="4.5" customHeight="1" x14ac:dyDescent="0.2"/>
    <row r="15" spans="2:5" s="13" customFormat="1" ht="15" x14ac:dyDescent="0.2">
      <c r="C15" s="13" t="s">
        <v>14</v>
      </c>
    </row>
    <row r="16" spans="2:5" s="6" customFormat="1" ht="4.5" customHeight="1" x14ac:dyDescent="0.2"/>
    <row r="17" spans="2:4" x14ac:dyDescent="0.2">
      <c r="D17" s="35" t="str">
        <f>Calc_EB!$B$1</f>
        <v>Calculation - RAB movements by EB RIN category</v>
      </c>
    </row>
    <row r="18" spans="2:4" s="6" customFormat="1" ht="4.5" customHeight="1" x14ac:dyDescent="0.2"/>
    <row r="19" spans="2:4" s="13" customFormat="1" ht="15" x14ac:dyDescent="0.2">
      <c r="C19" s="13" t="s">
        <v>52</v>
      </c>
    </row>
    <row r="20" spans="2:4" s="6" customFormat="1" ht="4.5" customHeight="1" x14ac:dyDescent="0.2"/>
    <row r="21" spans="2:4" x14ac:dyDescent="0.2">
      <c r="D21" s="35" t="str">
        <f>Output_EB_RIN!$B$1</f>
        <v>Outputs - EB RIN view</v>
      </c>
    </row>
    <row r="22" spans="2:4" x14ac:dyDescent="0.2">
      <c r="D22" s="35" t="str">
        <f>'3.3 Assets (RAB)_Hist'!$B$4</f>
        <v>3.3 Assets (Historical)</v>
      </c>
    </row>
    <row r="23" spans="2:4" x14ac:dyDescent="0.2">
      <c r="D23" s="249" t="str">
        <f>'3.3 Assets (RAB)_Fcst'!$B$4</f>
        <v>3.3 Assets (Forecast)</v>
      </c>
    </row>
    <row r="24" spans="2:4" s="6" customFormat="1" ht="4.5" customHeight="1" x14ac:dyDescent="0.2"/>
    <row r="25" spans="2:4" s="13" customFormat="1" ht="15" x14ac:dyDescent="0.2">
      <c r="C25" s="13" t="s">
        <v>53</v>
      </c>
    </row>
    <row r="26" spans="2:4" s="6" customFormat="1" ht="4.5" customHeight="1" x14ac:dyDescent="0.2"/>
    <row r="27" spans="2:4" x14ac:dyDescent="0.2">
      <c r="D27" s="35" t="str">
        <f>Lookup!$B$1</f>
        <v>Model Lookups</v>
      </c>
    </row>
    <row r="28" spans="2:4" x14ac:dyDescent="0.2">
      <c r="D28" s="35" t="str">
        <f>Checks!$B$1</f>
        <v>Checks</v>
      </c>
    </row>
    <row r="29" spans="2:4" s="6" customFormat="1" ht="4.5" customHeight="1" x14ac:dyDescent="0.2"/>
    <row r="30" spans="2:4" s="4" customFormat="1" ht="15.75" x14ac:dyDescent="0.2">
      <c r="B30" s="4" t="s">
        <v>33</v>
      </c>
    </row>
  </sheetData>
  <conditionalFormatting sqref="B2">
    <cfRule type="cellIs" dxfId="11" priority="1" operator="notEqual">
      <formula>"No Errors Found"</formula>
    </cfRule>
  </conditionalFormatting>
  <hyperlinks>
    <hyperlink ref="D27" location="Lookup!A1" display="Lookup!A1"/>
    <hyperlink ref="D28" location="Checks!A1" display="Checks!A1"/>
    <hyperlink ref="B3:D3" location="Cover!A1" display="Go to Cover Sheet"/>
    <hyperlink ref="D11" location="Input_RAB!A1" display="Input_RAB!A1"/>
    <hyperlink ref="D13" location="Input_EB_Alloc!A1" display="Input_EB_Alloc!A1"/>
    <hyperlink ref="D17" location="Calc_EB!A1" display="Calc_EB!A1"/>
    <hyperlink ref="D21" location="Output_EB_RIN!A1" display="Output_EB_RIN!A1"/>
    <hyperlink ref="D12" location="Input_AssetLives!A1" display="Input_AssetLives!A1"/>
    <hyperlink ref="D10" location="Input_Inflation!A1" display="Input_Inflation!A1"/>
    <hyperlink ref="D22" location="'3.3 Assets (RAB)_Hist'!A1" display="'3.3 Assets (RAB)_Hist'!A1"/>
    <hyperlink ref="D23" location="'3.3 Assets (RAB)_Fcst'!A1" display="'3.3 Assets (RAB)_Fcst'!A1"/>
  </hyperlink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32"/>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B11" sqref="B11"/>
    </sheetView>
  </sheetViews>
  <sheetFormatPr defaultColWidth="9.33203125" defaultRowHeight="11.25" outlineLevelRow="1" x14ac:dyDescent="0.2"/>
  <cols>
    <col min="1" max="1" width="3.33203125" style="7" customWidth="1"/>
    <col min="2" max="3" width="2.83203125" style="7" customWidth="1"/>
    <col min="4" max="4" width="37.5" style="7" customWidth="1"/>
    <col min="5" max="5" width="18" style="7" customWidth="1"/>
    <col min="6" max="6" width="9.1640625" style="7" customWidth="1"/>
    <col min="7" max="7" width="12" style="7" customWidth="1"/>
    <col min="8" max="8" width="10" style="7" customWidth="1"/>
    <col min="9" max="9" width="3.6640625" style="7" customWidth="1"/>
    <col min="10" max="20" width="13.6640625" style="7" customWidth="1"/>
    <col min="21" max="16384" width="9.33203125" style="7"/>
  </cols>
  <sheetData>
    <row r="1" spans="1:23" ht="19.5" x14ac:dyDescent="0.2">
      <c r="A1" s="47">
        <f>IF(SUM($A11:$A32)&gt;0,1,0)</f>
        <v>0</v>
      </c>
      <c r="B1" s="5" t="s">
        <v>265</v>
      </c>
    </row>
    <row r="2" spans="1:23" x14ac:dyDescent="0.2">
      <c r="B2" s="18" t="str">
        <f>Title_Msg</f>
        <v>No Errors Found</v>
      </c>
    </row>
    <row r="3" spans="1:23" x14ac:dyDescent="0.2">
      <c r="B3" s="35" t="str">
        <f>TOC!B1</f>
        <v>Table of Contents</v>
      </c>
      <c r="C3" s="34"/>
      <c r="D3" s="34"/>
      <c r="E3" s="34"/>
    </row>
    <row r="4" spans="1:23" ht="12.75" x14ac:dyDescent="0.2">
      <c r="B4" s="33" t="str">
        <f>Model_Name</f>
        <v>TransGrid - EB RIN RAB Allocation</v>
      </c>
    </row>
    <row r="5" spans="1:23" ht="12.75" hidden="1" outlineLevel="1" x14ac:dyDescent="0.2">
      <c r="B5" s="15" t="str">
        <f>Lookup!B15</f>
        <v>Period Start Date</v>
      </c>
      <c r="J5" s="40">
        <f>Lookup!R15</f>
        <v>42917</v>
      </c>
      <c r="K5" s="40">
        <f>Lookup!S15</f>
        <v>43282</v>
      </c>
      <c r="L5" s="40">
        <f>Lookup!T15</f>
        <v>43647</v>
      </c>
      <c r="M5" s="40">
        <f>Lookup!U15</f>
        <v>44013</v>
      </c>
    </row>
    <row r="6" spans="1:23" ht="12.75" hidden="1" outlineLevel="1" x14ac:dyDescent="0.2">
      <c r="B6" s="15" t="str">
        <f>Lookup!B16</f>
        <v>Period End Date</v>
      </c>
      <c r="J6" s="40">
        <f>Lookup!R16</f>
        <v>43281</v>
      </c>
      <c r="K6" s="40">
        <f>Lookup!S16</f>
        <v>43646</v>
      </c>
      <c r="L6" s="40">
        <f>Lookup!T16</f>
        <v>44012</v>
      </c>
      <c r="M6" s="40">
        <f>Lookup!U16</f>
        <v>44377</v>
      </c>
    </row>
    <row r="7" spans="1:23" ht="12.75" hidden="1" outlineLevel="1" x14ac:dyDescent="0.2">
      <c r="B7" s="15" t="str">
        <f>Lookup!B17</f>
        <v>Period Counter</v>
      </c>
      <c r="J7" s="41">
        <f>Lookup!R17</f>
        <v>9</v>
      </c>
      <c r="K7" s="41">
        <f>Lookup!S17</f>
        <v>10</v>
      </c>
      <c r="L7" s="41">
        <f>Lookup!T17</f>
        <v>11</v>
      </c>
      <c r="M7" s="41">
        <f>Lookup!U17</f>
        <v>12</v>
      </c>
    </row>
    <row r="8" spans="1:23" ht="12.75" hidden="1" outlineLevel="1" x14ac:dyDescent="0.2">
      <c r="B8" s="15" t="str">
        <f>Lookup!B18</f>
        <v>Year</v>
      </c>
      <c r="J8" s="42">
        <f>Lookup!R18</f>
        <v>2018</v>
      </c>
      <c r="K8" s="42">
        <f>Lookup!S18</f>
        <v>2019</v>
      </c>
      <c r="L8" s="42">
        <f>Lookup!T18</f>
        <v>2020</v>
      </c>
      <c r="M8" s="42">
        <f>Lookup!U18</f>
        <v>2021</v>
      </c>
    </row>
    <row r="9" spans="1:23" ht="12.75" hidden="1" outlineLevel="1" x14ac:dyDescent="0.2">
      <c r="B9" s="15" t="str">
        <f>Lookup!B19</f>
        <v>Period Type</v>
      </c>
      <c r="J9" s="42" t="str">
        <f>Lookup!R19</f>
        <v>Actual</v>
      </c>
      <c r="K9" s="42" t="str">
        <f>Lookup!S19</f>
        <v>Actual</v>
      </c>
      <c r="L9" s="42" t="str">
        <f>Lookup!T19</f>
        <v>Actual</v>
      </c>
      <c r="M9" s="42" t="str">
        <f>Lookup!U19</f>
        <v>Actual</v>
      </c>
    </row>
    <row r="10" spans="1:23" ht="12.75" collapsed="1" x14ac:dyDescent="0.2">
      <c r="B10" s="10" t="str">
        <f>Lookup!B20</f>
        <v>Regulatory Year</v>
      </c>
      <c r="E10" s="39" t="str">
        <f>Lookup!E20</f>
        <v>Source</v>
      </c>
      <c r="F10" s="39" t="str">
        <f>Lookup!F20</f>
        <v>Unit</v>
      </c>
      <c r="G10" s="39" t="str">
        <f>Lookup!G20</f>
        <v>Basis</v>
      </c>
      <c r="H10" s="39" t="str">
        <f>Lookup!H20</f>
        <v>Timing</v>
      </c>
      <c r="I10" s="39"/>
      <c r="J10" s="39" t="str">
        <f>Lookup!R20</f>
        <v>RY18</v>
      </c>
      <c r="K10" s="39" t="str">
        <f>Lookup!S20</f>
        <v>RY19</v>
      </c>
      <c r="L10" s="39" t="str">
        <f>Lookup!T20</f>
        <v>RY20</v>
      </c>
      <c r="M10" s="39" t="str">
        <f>Lookup!U20</f>
        <v>RY21</v>
      </c>
      <c r="N10" s="39" t="str">
        <f>Lookup!V20</f>
        <v>RY22</v>
      </c>
      <c r="O10" s="39" t="str">
        <f>Lookup!W20</f>
        <v>RY23</v>
      </c>
      <c r="P10" s="39" t="str">
        <f>Lookup!X20</f>
        <v>RY24</v>
      </c>
      <c r="Q10" s="39" t="str">
        <f>Lookup!Y20</f>
        <v>RY25</v>
      </c>
      <c r="R10" s="39" t="str">
        <f>Lookup!Z20</f>
        <v>RY26</v>
      </c>
      <c r="S10" s="39" t="str">
        <f>Lookup!AA20</f>
        <v>RY27</v>
      </c>
      <c r="T10" s="39" t="str">
        <f>Lookup!AB20</f>
        <v>RY28</v>
      </c>
      <c r="U10" s="39"/>
      <c r="V10" s="39"/>
      <c r="W10" s="39"/>
    </row>
    <row r="12" spans="1:23" s="4" customFormat="1" ht="15.75" x14ac:dyDescent="0.2">
      <c r="B12" s="4" t="s">
        <v>199</v>
      </c>
    </row>
    <row r="13" spans="1:23" s="6" customFormat="1" ht="4.5" customHeight="1" x14ac:dyDescent="0.2"/>
    <row r="14" spans="1:23" s="13" customFormat="1" ht="15" x14ac:dyDescent="0.2">
      <c r="C14" s="13" t="s">
        <v>15</v>
      </c>
    </row>
    <row r="15" spans="1:23" s="6" customFormat="1" ht="11.25" customHeight="1" x14ac:dyDescent="0.2"/>
    <row r="16" spans="1:23" ht="12.75" x14ac:dyDescent="0.2">
      <c r="D16" s="48" t="s">
        <v>90</v>
      </c>
      <c r="E16" s="43" t="str">
        <f>Lookup!E$20</f>
        <v>Source</v>
      </c>
      <c r="F16" s="43" t="str">
        <f>Lookup!F$20</f>
        <v>Unit</v>
      </c>
      <c r="G16" s="43" t="str">
        <f>Lookup!G$20</f>
        <v>Basis</v>
      </c>
      <c r="H16" s="43" t="str">
        <f>Lookup!H$20</f>
        <v>Timing</v>
      </c>
      <c r="J16" s="66" t="str">
        <f>J$10</f>
        <v>RY18</v>
      </c>
      <c r="K16" s="43" t="str">
        <f>K$10</f>
        <v>RY19</v>
      </c>
      <c r="L16" s="43" t="str">
        <f>L$10</f>
        <v>RY20</v>
      </c>
      <c r="M16" s="43" t="str">
        <f t="shared" ref="M16:T16" si="0">M$10</f>
        <v>RY21</v>
      </c>
      <c r="N16" s="43" t="str">
        <f t="shared" si="0"/>
        <v>RY22</v>
      </c>
      <c r="O16" s="53" t="str">
        <f t="shared" si="0"/>
        <v>RY23</v>
      </c>
      <c r="P16" s="52" t="str">
        <f t="shared" si="0"/>
        <v>RY24</v>
      </c>
      <c r="Q16" s="43" t="str">
        <f t="shared" si="0"/>
        <v>RY25</v>
      </c>
      <c r="R16" s="43" t="str">
        <f t="shared" si="0"/>
        <v>RY26</v>
      </c>
      <c r="S16" s="43" t="str">
        <f t="shared" si="0"/>
        <v>RY27</v>
      </c>
      <c r="T16" s="43" t="str">
        <f t="shared" si="0"/>
        <v>RY28</v>
      </c>
    </row>
    <row r="17" spans="1:20" x14ac:dyDescent="0.2">
      <c r="J17" s="67"/>
      <c r="K17" s="55"/>
      <c r="L17" s="55"/>
      <c r="M17" s="55"/>
      <c r="O17" s="56"/>
      <c r="P17" s="54"/>
    </row>
    <row r="18" spans="1:20" ht="12.75" x14ac:dyDescent="0.2">
      <c r="D18" s="12" t="s">
        <v>201</v>
      </c>
      <c r="E18" s="50" t="s">
        <v>202</v>
      </c>
      <c r="F18" s="42" t="str">
        <f>Percent</f>
        <v>Percent</v>
      </c>
      <c r="G18" s="42" t="str">
        <f>NA</f>
        <v>N/A</v>
      </c>
      <c r="H18" s="42" t="str">
        <f>NA</f>
        <v>N/A</v>
      </c>
      <c r="J18" s="245">
        <v>1.9090909090909047E-2</v>
      </c>
      <c r="K18" s="244">
        <v>1.7841213202497874E-2</v>
      </c>
      <c r="L18" s="216">
        <v>1.8404907975460238E-2</v>
      </c>
      <c r="M18" s="216">
        <v>8.6058519793459354E-3</v>
      </c>
      <c r="N18" s="216">
        <v>3.2500000000000001E-2</v>
      </c>
      <c r="O18" s="233">
        <v>2.2499999999999999E-2</v>
      </c>
      <c r="P18" s="235">
        <v>2.349953872603594E-2</v>
      </c>
      <c r="Q18" s="216">
        <v>2.349953872603594E-2</v>
      </c>
      <c r="R18" s="216">
        <v>2.349953872603594E-2</v>
      </c>
      <c r="S18" s="216">
        <v>2.349953872603594E-2</v>
      </c>
      <c r="T18" s="233">
        <v>2.349953872603594E-2</v>
      </c>
    </row>
    <row r="20" spans="1:20" ht="12.75" x14ac:dyDescent="0.2">
      <c r="D20" s="255" t="s">
        <v>255</v>
      </c>
      <c r="E20" s="50"/>
      <c r="F20" s="50"/>
      <c r="G20" s="50"/>
      <c r="H20" s="50"/>
      <c r="I20" s="50"/>
    </row>
    <row r="21" spans="1:20" s="6" customFormat="1" ht="11.25" customHeight="1" x14ac:dyDescent="0.2"/>
    <row r="22" spans="1:20" s="13" customFormat="1" ht="15" x14ac:dyDescent="0.2">
      <c r="C22" s="13" t="s">
        <v>200</v>
      </c>
    </row>
    <row r="23" spans="1:20" s="6" customFormat="1" ht="11.25" customHeight="1" x14ac:dyDescent="0.2"/>
    <row r="24" spans="1:20" ht="12.75" x14ac:dyDescent="0.2">
      <c r="D24" s="48" t="s">
        <v>90</v>
      </c>
      <c r="E24" s="43" t="str">
        <f>Lookup!E$20</f>
        <v>Source</v>
      </c>
      <c r="F24" s="43" t="str">
        <f>Lookup!F$20</f>
        <v>Unit</v>
      </c>
      <c r="G24" s="43" t="str">
        <f>Lookup!G$20</f>
        <v>Basis</v>
      </c>
      <c r="H24" s="43" t="str">
        <f>Lookup!H$20</f>
        <v>Timing</v>
      </c>
      <c r="I24" s="55"/>
      <c r="J24" s="66" t="str">
        <f t="shared" ref="J24:T24" si="1">J$10</f>
        <v>RY18</v>
      </c>
      <c r="K24" s="52" t="str">
        <f t="shared" si="1"/>
        <v>RY19</v>
      </c>
      <c r="L24" s="43" t="str">
        <f>L$10</f>
        <v>RY20</v>
      </c>
      <c r="M24" s="43" t="str">
        <f t="shared" si="1"/>
        <v>RY21</v>
      </c>
      <c r="N24" s="43" t="str">
        <f t="shared" si="1"/>
        <v>RY22</v>
      </c>
      <c r="O24" s="53" t="str">
        <f t="shared" si="1"/>
        <v>RY23</v>
      </c>
      <c r="P24" s="52" t="str">
        <f t="shared" si="1"/>
        <v>RY24</v>
      </c>
      <c r="Q24" s="43" t="str">
        <f t="shared" si="1"/>
        <v>RY25</v>
      </c>
      <c r="R24" s="43" t="str">
        <f t="shared" si="1"/>
        <v>RY26</v>
      </c>
      <c r="S24" s="43" t="str">
        <f t="shared" si="1"/>
        <v>RY27</v>
      </c>
      <c r="T24" s="43" t="str">
        <f t="shared" si="1"/>
        <v>RY28</v>
      </c>
    </row>
    <row r="25" spans="1:20" x14ac:dyDescent="0.2">
      <c r="J25" s="67"/>
      <c r="K25" s="54"/>
      <c r="L25" s="55"/>
      <c r="M25" s="55"/>
      <c r="O25" s="56"/>
      <c r="P25" s="54"/>
    </row>
    <row r="26" spans="1:20" s="6" customFormat="1" ht="12.75" x14ac:dyDescent="0.2">
      <c r="D26" s="12" t="s">
        <v>256</v>
      </c>
      <c r="E26" s="50" t="s">
        <v>92</v>
      </c>
      <c r="F26" s="42" t="str">
        <f t="shared" ref="F26" si="2">Factor</f>
        <v>Factor</v>
      </c>
      <c r="G26" s="42" t="str">
        <f t="shared" ref="G26:H26" si="3">NA</f>
        <v>N/A</v>
      </c>
      <c r="H26" s="42" t="str">
        <f t="shared" si="3"/>
        <v>N/A</v>
      </c>
      <c r="J26" s="234">
        <f t="shared" ref="J26:M26" si="4">K26*(1+K18)</f>
        <v>1.1037618421052633</v>
      </c>
      <c r="K26" s="220">
        <f t="shared" si="4"/>
        <v>1.0844145705521473</v>
      </c>
      <c r="L26" s="217">
        <f t="shared" si="4"/>
        <v>1.0648167168674698</v>
      </c>
      <c r="M26" s="217">
        <f t="shared" si="4"/>
        <v>1.05573125</v>
      </c>
      <c r="N26" s="217">
        <f>O26*(1+O18)</f>
        <v>1.0225</v>
      </c>
      <c r="O26" s="237">
        <v>1</v>
      </c>
      <c r="P26" s="219">
        <f>O26/(1+P18)</f>
        <v>0.97704001043782962</v>
      </c>
      <c r="Q26" s="217">
        <f t="shared" ref="Q26:T26" si="5">P26/(1+Q18)</f>
        <v>0.9546071819963543</v>
      </c>
      <c r="R26" s="217">
        <f t="shared" si="5"/>
        <v>0.93268941106174519</v>
      </c>
      <c r="S26" s="217">
        <f t="shared" si="5"/>
        <v>0.91127487191902068</v>
      </c>
      <c r="T26" s="217">
        <f t="shared" si="5"/>
        <v>0.89035201037149181</v>
      </c>
    </row>
    <row r="27" spans="1:20" s="6" customFormat="1" ht="12.75" x14ac:dyDescent="0.2">
      <c r="D27" s="12" t="s">
        <v>250</v>
      </c>
      <c r="E27" s="50" t="s">
        <v>92</v>
      </c>
      <c r="F27" s="42" t="str">
        <f t="shared" ref="F27:F28" si="6">Factor</f>
        <v>Factor</v>
      </c>
      <c r="G27" s="42" t="str">
        <f t="shared" ref="G27:H28" si="7">NA</f>
        <v>N/A</v>
      </c>
      <c r="H27" s="42" t="str">
        <f t="shared" si="7"/>
        <v>N/A</v>
      </c>
      <c r="J27" s="237">
        <v>1</v>
      </c>
      <c r="K27" s="220">
        <f>J27*(1+J$18)</f>
        <v>1.019090909090909</v>
      </c>
      <c r="L27" s="217">
        <f t="shared" ref="L27:T27" si="8">K27*(1+K$18)</f>
        <v>1.0372727272727273</v>
      </c>
      <c r="M27" s="217">
        <f t="shared" si="8"/>
        <v>1.0563636363636366</v>
      </c>
      <c r="N27" s="217">
        <f t="shared" si="8"/>
        <v>1.0654545454545457</v>
      </c>
      <c r="O27" s="218">
        <f t="shared" si="8"/>
        <v>1.1000818181818184</v>
      </c>
      <c r="P27" s="219">
        <f t="shared" si="8"/>
        <v>1.1248336590909092</v>
      </c>
      <c r="Q27" s="219">
        <f t="shared" si="8"/>
        <v>1.1512667312230647</v>
      </c>
      <c r="R27" s="219">
        <f t="shared" si="8"/>
        <v>1.1783209683574378</v>
      </c>
      <c r="S27" s="219">
        <f t="shared" si="8"/>
        <v>1.2060109675850537</v>
      </c>
      <c r="T27" s="219">
        <f t="shared" si="8"/>
        <v>1.2343516690218428</v>
      </c>
    </row>
    <row r="28" spans="1:20" s="6" customFormat="1" ht="12.75" x14ac:dyDescent="0.2">
      <c r="D28" s="12" t="s">
        <v>249</v>
      </c>
      <c r="E28" s="50" t="s">
        <v>92</v>
      </c>
      <c r="F28" s="42" t="str">
        <f t="shared" si="6"/>
        <v>Factor</v>
      </c>
      <c r="G28" s="42" t="str">
        <f t="shared" si="7"/>
        <v>N/A</v>
      </c>
      <c r="H28" s="42" t="str">
        <f t="shared" si="7"/>
        <v>N/A</v>
      </c>
      <c r="J28" s="236"/>
      <c r="K28" s="236"/>
      <c r="L28" s="236"/>
      <c r="M28" s="236"/>
      <c r="N28" s="236"/>
      <c r="O28" s="237">
        <v>1</v>
      </c>
      <c r="P28" s="219">
        <f t="shared" ref="P28:T28" si="9">O28*(1+P$18)</f>
        <v>1.0234995387260359</v>
      </c>
      <c r="Q28" s="219">
        <f t="shared" si="9"/>
        <v>1.0475513057724084</v>
      </c>
      <c r="R28" s="219">
        <f t="shared" si="9"/>
        <v>1.0721682782499167</v>
      </c>
      <c r="S28" s="219">
        <f t="shared" si="9"/>
        <v>1.0973637382254779</v>
      </c>
      <c r="T28" s="219">
        <f t="shared" si="9"/>
        <v>1.1231512798884551</v>
      </c>
    </row>
    <row r="30" spans="1:20" s="6" customFormat="1" ht="11.25" customHeight="1" x14ac:dyDescent="0.2">
      <c r="A30" s="47">
        <f>IF(SUM($J30:$T30)&lt;&gt;0,1,0)</f>
        <v>0</v>
      </c>
      <c r="D30" s="15" t="s">
        <v>95</v>
      </c>
      <c r="J30" s="63">
        <f t="shared" ref="J30:T30" si="10">IF(ISERROR(SUM(J26:J28)),1,0)</f>
        <v>0</v>
      </c>
      <c r="K30" s="63">
        <f t="shared" si="10"/>
        <v>0</v>
      </c>
      <c r="L30" s="63">
        <f t="shared" si="10"/>
        <v>0</v>
      </c>
      <c r="M30" s="63">
        <f t="shared" si="10"/>
        <v>0</v>
      </c>
      <c r="N30" s="63">
        <f t="shared" si="10"/>
        <v>0</v>
      </c>
      <c r="O30" s="63">
        <f t="shared" si="10"/>
        <v>0</v>
      </c>
      <c r="P30" s="63">
        <f t="shared" si="10"/>
        <v>0</v>
      </c>
      <c r="Q30" s="63">
        <f t="shared" si="10"/>
        <v>0</v>
      </c>
      <c r="R30" s="63">
        <f t="shared" si="10"/>
        <v>0</v>
      </c>
      <c r="S30" s="63">
        <f t="shared" si="10"/>
        <v>0</v>
      </c>
      <c r="T30" s="63">
        <f t="shared" si="10"/>
        <v>0</v>
      </c>
    </row>
    <row r="31" spans="1:20" s="6" customFormat="1" ht="11.25" customHeight="1" x14ac:dyDescent="0.2"/>
    <row r="32" spans="1:20" s="4" customFormat="1" ht="15.75" x14ac:dyDescent="0.2">
      <c r="B32" s="4" t="s">
        <v>33</v>
      </c>
    </row>
  </sheetData>
  <conditionalFormatting sqref="B2">
    <cfRule type="cellIs" dxfId="10" priority="1" operator="notEqual">
      <formula>"No Errors Found"</formula>
    </cfRule>
  </conditionalFormatting>
  <hyperlinks>
    <hyperlink ref="B3:E3" location="TOC!A1" display="TOC!A1"/>
  </hyperlinks>
  <pageMargins left="0.7" right="0.7" top="0.75" bottom="0.75" header="0.3" footer="0.3"/>
  <pageSetup paperSize="9"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499"/>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B11" sqref="B11"/>
    </sheetView>
  </sheetViews>
  <sheetFormatPr defaultColWidth="9.33203125" defaultRowHeight="11.25" outlineLevelRow="1" x14ac:dyDescent="0.2"/>
  <cols>
    <col min="1" max="1" width="3.33203125" style="70" customWidth="1"/>
    <col min="2" max="3" width="2.83203125" style="70" customWidth="1"/>
    <col min="4" max="4" width="54.1640625" style="70" customWidth="1"/>
    <col min="5" max="7" width="13.6640625" style="70" customWidth="1"/>
    <col min="8" max="8" width="13.6640625" style="7" customWidth="1"/>
    <col min="9" max="9" width="4.5" style="70" customWidth="1"/>
    <col min="10" max="20" width="12.83203125" style="70" customWidth="1"/>
    <col min="21" max="21" width="4.33203125" style="70" customWidth="1"/>
    <col min="22" max="23" width="10.83203125" style="70" customWidth="1"/>
    <col min="24" max="16384" width="9.33203125" style="70"/>
  </cols>
  <sheetData>
    <row r="1" spans="1:20" ht="19.5" x14ac:dyDescent="0.2">
      <c r="A1" s="69">
        <f>IF(SUM($A11:$A499)&gt;0,1,0)</f>
        <v>0</v>
      </c>
      <c r="B1" s="242" t="s">
        <v>266</v>
      </c>
    </row>
    <row r="2" spans="1:20" x14ac:dyDescent="0.2">
      <c r="B2" s="71" t="str">
        <f>Title_Msg</f>
        <v>No Errors Found</v>
      </c>
    </row>
    <row r="3" spans="1:20" x14ac:dyDescent="0.2">
      <c r="B3" s="72" t="str">
        <f>TOC!B1</f>
        <v>Table of Contents</v>
      </c>
      <c r="C3" s="73"/>
      <c r="D3" s="73"/>
      <c r="E3" s="73"/>
    </row>
    <row r="4" spans="1:20" ht="12.75" x14ac:dyDescent="0.2">
      <c r="B4" s="74" t="str">
        <f>Model_Name</f>
        <v>TransGrid - EB RIN RAB Allocation</v>
      </c>
    </row>
    <row r="5" spans="1:20" ht="12.75" hidden="1" outlineLevel="1" x14ac:dyDescent="0.2">
      <c r="B5" s="75" t="str">
        <f>Lookup!B15</f>
        <v>Period Start Date</v>
      </c>
      <c r="J5" s="76">
        <f>Lookup!R15</f>
        <v>42917</v>
      </c>
      <c r="K5" s="76">
        <f>Lookup!S15</f>
        <v>43282</v>
      </c>
      <c r="L5" s="76">
        <f>Lookup!T15</f>
        <v>43647</v>
      </c>
      <c r="M5" s="76">
        <f>Lookup!U15</f>
        <v>44013</v>
      </c>
      <c r="N5" s="76">
        <f>Lookup!V15</f>
        <v>44378</v>
      </c>
      <c r="O5" s="76">
        <f>Lookup!W15</f>
        <v>44743</v>
      </c>
      <c r="P5" s="76">
        <f>Lookup!X15</f>
        <v>45108</v>
      </c>
      <c r="Q5" s="76">
        <f>Lookup!Y15</f>
        <v>45474</v>
      </c>
      <c r="R5" s="76">
        <f>Lookup!Z15</f>
        <v>45839</v>
      </c>
      <c r="S5" s="76">
        <f>Lookup!AA15</f>
        <v>46204</v>
      </c>
      <c r="T5" s="76">
        <f>Lookup!AB15</f>
        <v>46569</v>
      </c>
    </row>
    <row r="6" spans="1:20" ht="12.75" hidden="1" outlineLevel="1" x14ac:dyDescent="0.2">
      <c r="B6" s="75" t="str">
        <f>Lookup!B16</f>
        <v>Period End Date</v>
      </c>
      <c r="J6" s="76">
        <f>Lookup!R16</f>
        <v>43281</v>
      </c>
      <c r="K6" s="76">
        <f>Lookup!S16</f>
        <v>43646</v>
      </c>
      <c r="L6" s="76">
        <f>Lookup!T16</f>
        <v>44012</v>
      </c>
      <c r="M6" s="76">
        <f>Lookup!U16</f>
        <v>44377</v>
      </c>
      <c r="N6" s="76">
        <f>Lookup!V16</f>
        <v>44742</v>
      </c>
      <c r="O6" s="76">
        <f>Lookup!W16</f>
        <v>45107</v>
      </c>
      <c r="P6" s="76">
        <f>Lookup!X16</f>
        <v>45473</v>
      </c>
      <c r="Q6" s="76">
        <f>Lookup!Y16</f>
        <v>45838</v>
      </c>
      <c r="R6" s="76">
        <f>Lookup!Z16</f>
        <v>46203</v>
      </c>
      <c r="S6" s="76">
        <f>Lookup!AA16</f>
        <v>46568</v>
      </c>
      <c r="T6" s="76">
        <f>Lookup!AB16</f>
        <v>46934</v>
      </c>
    </row>
    <row r="7" spans="1:20" ht="12.75" hidden="1" outlineLevel="1" x14ac:dyDescent="0.2">
      <c r="B7" s="75" t="str">
        <f>Lookup!B17</f>
        <v>Period Counter</v>
      </c>
      <c r="J7" s="77">
        <f>Lookup!R17</f>
        <v>9</v>
      </c>
      <c r="K7" s="77">
        <f>Lookup!S17</f>
        <v>10</v>
      </c>
      <c r="L7" s="77">
        <f>Lookup!T17</f>
        <v>11</v>
      </c>
      <c r="M7" s="77">
        <f>Lookup!U17</f>
        <v>12</v>
      </c>
      <c r="N7" s="77">
        <f>Lookup!V17</f>
        <v>13</v>
      </c>
      <c r="O7" s="77">
        <f>Lookup!W17</f>
        <v>14</v>
      </c>
      <c r="P7" s="77">
        <f>Lookup!X17</f>
        <v>15</v>
      </c>
      <c r="Q7" s="77">
        <f>Lookup!Y17</f>
        <v>16</v>
      </c>
      <c r="R7" s="77">
        <f>Lookup!Z17</f>
        <v>17</v>
      </c>
      <c r="S7" s="77">
        <f>Lookup!AA17</f>
        <v>18</v>
      </c>
      <c r="T7" s="77">
        <f>Lookup!AB17</f>
        <v>19</v>
      </c>
    </row>
    <row r="8" spans="1:20" ht="12.75" hidden="1" outlineLevel="1" x14ac:dyDescent="0.2">
      <c r="B8" s="75" t="str">
        <f>Lookup!B18</f>
        <v>Year</v>
      </c>
      <c r="J8" s="78">
        <f>Lookup!R18</f>
        <v>2018</v>
      </c>
      <c r="K8" s="78">
        <f>Lookup!S18</f>
        <v>2019</v>
      </c>
      <c r="L8" s="78">
        <f>Lookup!T18</f>
        <v>2020</v>
      </c>
      <c r="M8" s="78">
        <f>Lookup!U18</f>
        <v>2021</v>
      </c>
      <c r="N8" s="78">
        <f>Lookup!V18</f>
        <v>2022</v>
      </c>
      <c r="O8" s="78">
        <f>Lookup!W18</f>
        <v>2023</v>
      </c>
      <c r="P8" s="78">
        <f>Lookup!X18</f>
        <v>2024</v>
      </c>
      <c r="Q8" s="78">
        <f>Lookup!Y18</f>
        <v>2025</v>
      </c>
      <c r="R8" s="78">
        <f>Lookup!Z18</f>
        <v>2026</v>
      </c>
      <c r="S8" s="78">
        <f>Lookup!AA18</f>
        <v>2027</v>
      </c>
      <c r="T8" s="78">
        <f>Lookup!AB18</f>
        <v>2028</v>
      </c>
    </row>
    <row r="9" spans="1:20" ht="12.75" hidden="1" outlineLevel="1" x14ac:dyDescent="0.2">
      <c r="B9" s="75" t="str">
        <f>Lookup!B19</f>
        <v>Period Type</v>
      </c>
      <c r="J9" s="78" t="str">
        <f>Lookup!R19</f>
        <v>Actual</v>
      </c>
      <c r="K9" s="78" t="str">
        <f>Lookup!S19</f>
        <v>Actual</v>
      </c>
      <c r="L9" s="78" t="str">
        <f>Lookup!T19</f>
        <v>Actual</v>
      </c>
      <c r="M9" s="78" t="str">
        <f>Lookup!U19</f>
        <v>Actual</v>
      </c>
      <c r="N9" s="78" t="str">
        <f>Lookup!V19</f>
        <v>Base Year</v>
      </c>
      <c r="O9" s="78" t="str">
        <f>Lookup!W19</f>
        <v>Estimate</v>
      </c>
      <c r="P9" s="78" t="str">
        <f>Lookup!X19</f>
        <v>Forecast</v>
      </c>
      <c r="Q9" s="78" t="str">
        <f>Lookup!Y19</f>
        <v>Forecast</v>
      </c>
      <c r="R9" s="78" t="str">
        <f>Lookup!Z19</f>
        <v>Forecast</v>
      </c>
      <c r="S9" s="78" t="str">
        <f>Lookup!AA19</f>
        <v>Forecast</v>
      </c>
      <c r="T9" s="78" t="str">
        <f>Lookup!AB19</f>
        <v>Forecast</v>
      </c>
    </row>
    <row r="10" spans="1:20" ht="12.75" collapsed="1" x14ac:dyDescent="0.2">
      <c r="B10" s="79" t="str">
        <f>Lookup!B20</f>
        <v>Regulatory Year</v>
      </c>
      <c r="E10" s="80" t="str">
        <f>Lookup!E20</f>
        <v>Source</v>
      </c>
      <c r="F10" s="80" t="str">
        <f>Lookup!F20</f>
        <v>Unit</v>
      </c>
      <c r="G10" s="80" t="str">
        <f>Lookup!G20</f>
        <v>Basis</v>
      </c>
      <c r="H10" s="39" t="str">
        <f>Lookup!H20</f>
        <v>Timing</v>
      </c>
      <c r="I10" s="80"/>
      <c r="J10" s="80" t="str">
        <f>Lookup!R20</f>
        <v>RY18</v>
      </c>
      <c r="K10" s="80" t="str">
        <f>Lookup!S20</f>
        <v>RY19</v>
      </c>
      <c r="L10" s="80" t="str">
        <f>Lookup!T20</f>
        <v>RY20</v>
      </c>
      <c r="M10" s="80" t="str">
        <f>Lookup!U20</f>
        <v>RY21</v>
      </c>
      <c r="N10" s="80" t="str">
        <f>Lookup!V20</f>
        <v>RY22</v>
      </c>
      <c r="O10" s="80" t="str">
        <f>Lookup!W20</f>
        <v>RY23</v>
      </c>
      <c r="P10" s="80" t="str">
        <f>Lookup!X20</f>
        <v>RY24</v>
      </c>
      <c r="Q10" s="80" t="str">
        <f>Lookup!Y20</f>
        <v>RY25</v>
      </c>
      <c r="R10" s="80" t="str">
        <f>Lookup!Z20</f>
        <v>RY26</v>
      </c>
      <c r="S10" s="80" t="str">
        <f>Lookup!AA20</f>
        <v>RY27</v>
      </c>
      <c r="T10" s="80" t="str">
        <f>Lookup!AB20</f>
        <v>RY28</v>
      </c>
    </row>
    <row r="12" spans="1:20" s="81" customFormat="1" ht="15.75" x14ac:dyDescent="0.2">
      <c r="B12" s="81" t="s">
        <v>104</v>
      </c>
      <c r="H12" s="4"/>
    </row>
    <row r="13" spans="1:20" s="82" customFormat="1" ht="4.5" customHeight="1" x14ac:dyDescent="0.2">
      <c r="H13" s="6"/>
    </row>
    <row r="14" spans="1:20" s="83" customFormat="1" ht="15" x14ac:dyDescent="0.2">
      <c r="C14" s="83" t="s">
        <v>281</v>
      </c>
      <c r="H14" s="13"/>
    </row>
    <row r="15" spans="1:20" s="82" customFormat="1" ht="11.25" customHeight="1" x14ac:dyDescent="0.2">
      <c r="H15" s="6"/>
    </row>
    <row r="16" spans="1:20" ht="12.75" x14ac:dyDescent="0.2">
      <c r="D16" s="84" t="s">
        <v>118</v>
      </c>
      <c r="E16" s="85" t="str">
        <f>Lookup!E$20</f>
        <v>Source</v>
      </c>
      <c r="F16" s="85" t="str">
        <f>Lookup!F$20</f>
        <v>Unit</v>
      </c>
      <c r="G16" s="85" t="str">
        <f>Lookup!G$20</f>
        <v>Basis</v>
      </c>
      <c r="H16" s="43" t="str">
        <f>Lookup!H$20</f>
        <v>Timing</v>
      </c>
      <c r="J16" s="229" t="str">
        <f t="shared" ref="J16:T16" si="0">J$10</f>
        <v>RY18</v>
      </c>
      <c r="K16" s="86" t="str">
        <f t="shared" si="0"/>
        <v>RY19</v>
      </c>
      <c r="L16" s="85" t="str">
        <f>L$10</f>
        <v>RY20</v>
      </c>
      <c r="M16" s="85" t="str">
        <f t="shared" si="0"/>
        <v>RY21</v>
      </c>
      <c r="N16" s="85" t="str">
        <f t="shared" si="0"/>
        <v>RY22</v>
      </c>
      <c r="O16" s="87" t="str">
        <f t="shared" si="0"/>
        <v>RY23</v>
      </c>
      <c r="P16" s="86" t="str">
        <f t="shared" si="0"/>
        <v>RY24</v>
      </c>
      <c r="Q16" s="85" t="str">
        <f>Q$10</f>
        <v>RY25</v>
      </c>
      <c r="R16" s="85" t="str">
        <f t="shared" si="0"/>
        <v>RY26</v>
      </c>
      <c r="S16" s="85" t="str">
        <f t="shared" si="0"/>
        <v>RY27</v>
      </c>
      <c r="T16" s="87" t="str">
        <f t="shared" si="0"/>
        <v>RY28</v>
      </c>
    </row>
    <row r="17" spans="4:23" x14ac:dyDescent="0.2">
      <c r="J17" s="90"/>
      <c r="K17" s="88"/>
      <c r="L17" s="89"/>
      <c r="M17" s="89"/>
      <c r="N17" s="89"/>
      <c r="O17" s="91"/>
      <c r="P17" s="88"/>
      <c r="Q17" s="89"/>
      <c r="R17" s="89"/>
      <c r="S17" s="89"/>
      <c r="T17" s="91"/>
    </row>
    <row r="18" spans="4:23" ht="12.75" x14ac:dyDescent="0.2">
      <c r="D18" s="92" t="str">
        <f>Lookup!D71</f>
        <v>Transmission Lines (pre 2004-05)</v>
      </c>
      <c r="E18" s="93" t="s">
        <v>254</v>
      </c>
      <c r="F18" s="93" t="str">
        <f t="shared" ref="F18:F67" si="1">Dollars</f>
        <v>Dollars</v>
      </c>
      <c r="G18" s="93" t="str">
        <f t="shared" ref="G18:G67" si="2">Nominal</f>
        <v>Nominal</v>
      </c>
      <c r="H18" s="50" t="str">
        <f t="shared" ref="H18:H67" si="3">Start_year</f>
        <v>Start year</v>
      </c>
      <c r="J18" s="68">
        <v>937.18522212503808</v>
      </c>
      <c r="K18" s="95">
        <f t="shared" ref="K18:T18" si="4">J436</f>
        <v>891.17032220086242</v>
      </c>
      <c r="L18" s="95">
        <f t="shared" si="4"/>
        <v>842.81009462637269</v>
      </c>
      <c r="M18" s="95">
        <f t="shared" si="4"/>
        <v>792.9156770007113</v>
      </c>
      <c r="N18" s="95">
        <f t="shared" si="4"/>
        <v>733.12933589732711</v>
      </c>
      <c r="O18" s="95">
        <f t="shared" si="4"/>
        <v>689.77274697951771</v>
      </c>
      <c r="P18" s="248">
        <v>635.92588445121373</v>
      </c>
      <c r="Q18" s="95">
        <f t="shared" si="4"/>
        <v>579.6041262639086</v>
      </c>
      <c r="R18" s="95">
        <f t="shared" si="4"/>
        <v>520.28412111829243</v>
      </c>
      <c r="S18" s="95">
        <f t="shared" si="4"/>
        <v>457.8560566432734</v>
      </c>
      <c r="T18" s="97">
        <f t="shared" si="4"/>
        <v>392.20661510450714</v>
      </c>
      <c r="W18" s="228"/>
    </row>
    <row r="19" spans="4:23" ht="12.75" x14ac:dyDescent="0.2">
      <c r="D19" s="92" t="str">
        <f>Lookup!D72</f>
        <v>Underground Cables (pre 2004-05)</v>
      </c>
      <c r="E19" s="93" t="str">
        <f>E18</f>
        <v>RFM / PTRM</v>
      </c>
      <c r="F19" s="93" t="str">
        <f t="shared" si="1"/>
        <v>Dollars</v>
      </c>
      <c r="G19" s="93" t="str">
        <f t="shared" si="2"/>
        <v>Nominal</v>
      </c>
      <c r="H19" s="50" t="str">
        <f t="shared" si="3"/>
        <v>Start year</v>
      </c>
      <c r="J19" s="68">
        <v>192.76493698295201</v>
      </c>
      <c r="K19" s="95">
        <f t="shared" ref="K19:T19" si="5">J437</f>
        <v>189.16769425732397</v>
      </c>
      <c r="L19" s="95">
        <f t="shared" si="5"/>
        <v>185.21350850104</v>
      </c>
      <c r="M19" s="95">
        <f t="shared" si="5"/>
        <v>181.16241793063364</v>
      </c>
      <c r="N19" s="95">
        <f t="shared" si="5"/>
        <v>175.12424744227732</v>
      </c>
      <c r="O19" s="95">
        <f t="shared" si="5"/>
        <v>173.15317742805047</v>
      </c>
      <c r="P19" s="248">
        <v>169.13748110225745</v>
      </c>
      <c r="Q19" s="95">
        <f t="shared" si="5"/>
        <v>164.98594819308943</v>
      </c>
      <c r="R19" s="95">
        <f t="shared" si="5"/>
        <v>160.54589456008355</v>
      </c>
      <c r="S19" s="95">
        <f t="shared" si="5"/>
        <v>155.80605258943891</v>
      </c>
      <c r="T19" s="97">
        <f t="shared" si="5"/>
        <v>150.7547844292155</v>
      </c>
      <c r="W19" s="228"/>
    </row>
    <row r="20" spans="4:23" ht="12.75" x14ac:dyDescent="0.2">
      <c r="D20" s="92" t="str">
        <f>Lookup!D73</f>
        <v>Substations including Buildings (pre 2004-05)</v>
      </c>
      <c r="E20" s="93" t="str">
        <f t="shared" ref="E20:E67" si="6">E19</f>
        <v>RFM / PTRM</v>
      </c>
      <c r="F20" s="93" t="str">
        <f t="shared" si="1"/>
        <v>Dollars</v>
      </c>
      <c r="G20" s="93" t="str">
        <f t="shared" si="2"/>
        <v>Nominal</v>
      </c>
      <c r="H20" s="50" t="str">
        <f t="shared" si="3"/>
        <v>Start year</v>
      </c>
      <c r="J20" s="68">
        <v>592.04714758848479</v>
      </c>
      <c r="K20" s="95">
        <f t="shared" ref="K20:T20" si="7">J438</f>
        <v>557.99654605703927</v>
      </c>
      <c r="L20" s="95">
        <f t="shared" si="7"/>
        <v>522.36877860463824</v>
      </c>
      <c r="M20" s="95">
        <f t="shared" si="7"/>
        <v>485.58656725181783</v>
      </c>
      <c r="N20" s="95">
        <f t="shared" si="7"/>
        <v>442.51517197225166</v>
      </c>
      <c r="O20" s="95">
        <f t="shared" si="7"/>
        <v>409.24000473314067</v>
      </c>
      <c r="P20" s="248">
        <v>369.24214492576033</v>
      </c>
      <c r="Q20" s="95">
        <f t="shared" si="7"/>
        <v>327.36141718233949</v>
      </c>
      <c r="R20" s="95">
        <f t="shared" si="7"/>
        <v>283.30842790246669</v>
      </c>
      <c r="S20" s="95">
        <f t="shared" si="7"/>
        <v>237.00421052188028</v>
      </c>
      <c r="T20" s="97">
        <f t="shared" si="7"/>
        <v>188.36728670498837</v>
      </c>
      <c r="W20" s="228"/>
    </row>
    <row r="21" spans="4:23" ht="12.75" x14ac:dyDescent="0.2">
      <c r="D21" s="92" t="str">
        <f>Lookup!D74</f>
        <v>Transmission Lines (2004-09)</v>
      </c>
      <c r="E21" s="93" t="str">
        <f t="shared" si="6"/>
        <v>RFM / PTRM</v>
      </c>
      <c r="F21" s="93" t="str">
        <f t="shared" si="1"/>
        <v>Dollars</v>
      </c>
      <c r="G21" s="93" t="str">
        <f t="shared" si="2"/>
        <v>Nominal</v>
      </c>
      <c r="H21" s="50" t="str">
        <f t="shared" si="3"/>
        <v>Start year</v>
      </c>
      <c r="J21" s="68">
        <v>203.25070980146029</v>
      </c>
      <c r="K21" s="95">
        <f t="shared" ref="K21:T21" si="8">J439</f>
        <v>202.03449566544833</v>
      </c>
      <c r="L21" s="95">
        <f t="shared" si="8"/>
        <v>200.5030002248736</v>
      </c>
      <c r="M21" s="95">
        <f t="shared" si="8"/>
        <v>198.96557042837961</v>
      </c>
      <c r="N21" s="95">
        <f t="shared" si="8"/>
        <v>195.35395484397876</v>
      </c>
      <c r="O21" s="95">
        <f t="shared" si="8"/>
        <v>196.33325798769681</v>
      </c>
      <c r="P21" s="248">
        <v>195.20654064107566</v>
      </c>
      <c r="Q21" s="95">
        <f t="shared" si="8"/>
        <v>194.09966667087764</v>
      </c>
      <c r="R21" s="95">
        <f t="shared" si="8"/>
        <v>192.8329720651677</v>
      </c>
      <c r="S21" s="95">
        <f t="shared" si="8"/>
        <v>191.3995566486723</v>
      </c>
      <c r="T21" s="97">
        <f t="shared" si="8"/>
        <v>189.79228420172703</v>
      </c>
      <c r="W21" s="228"/>
    </row>
    <row r="22" spans="4:23" ht="12.75" x14ac:dyDescent="0.2">
      <c r="D22" s="92" t="str">
        <f>Lookup!D75</f>
        <v>Underground Cables (2004-09)</v>
      </c>
      <c r="E22" s="93" t="str">
        <f t="shared" si="6"/>
        <v>RFM / PTRM</v>
      </c>
      <c r="F22" s="93" t="str">
        <f t="shared" si="1"/>
        <v>Dollars</v>
      </c>
      <c r="G22" s="93" t="str">
        <f t="shared" si="2"/>
        <v>Nominal</v>
      </c>
      <c r="H22" s="50" t="str">
        <f t="shared" si="3"/>
        <v>Start year</v>
      </c>
      <c r="J22" s="68">
        <v>8.5891630745434444</v>
      </c>
      <c r="K22" s="95">
        <f t="shared" ref="K22:T22" si="9">J440</f>
        <v>8.4882047065247495</v>
      </c>
      <c r="L22" s="95">
        <f t="shared" si="9"/>
        <v>8.3727302779542061</v>
      </c>
      <c r="M22" s="95">
        <f t="shared" si="9"/>
        <v>8.2551532348718339</v>
      </c>
      <c r="N22" s="95">
        <f t="shared" si="9"/>
        <v>8.0495193096758495</v>
      </c>
      <c r="O22" s="95">
        <f t="shared" si="9"/>
        <v>8.0320710977855185</v>
      </c>
      <c r="P22" s="248">
        <v>7.9246657363736164</v>
      </c>
      <c r="Q22" s="95">
        <f t="shared" si="9"/>
        <v>7.8149639718940831</v>
      </c>
      <c r="R22" s="95">
        <f t="shared" si="9"/>
        <v>7.6957301008403203</v>
      </c>
      <c r="S22" s="95">
        <f t="shared" si="9"/>
        <v>7.5665767034183027</v>
      </c>
      <c r="T22" s="97">
        <f t="shared" si="9"/>
        <v>7.4271034153602997</v>
      </c>
      <c r="W22" s="228"/>
    </row>
    <row r="23" spans="4:23" ht="12.75" x14ac:dyDescent="0.2">
      <c r="D23" s="92" t="str">
        <f>Lookup!D76</f>
        <v>Substations including Buildings (2004-09)</v>
      </c>
      <c r="E23" s="93" t="str">
        <f t="shared" si="6"/>
        <v>RFM / PTRM</v>
      </c>
      <c r="F23" s="93" t="str">
        <f t="shared" si="1"/>
        <v>Dollars</v>
      </c>
      <c r="G23" s="93" t="str">
        <f t="shared" si="2"/>
        <v>Nominal</v>
      </c>
      <c r="H23" s="50" t="str">
        <f t="shared" si="3"/>
        <v>Start year</v>
      </c>
      <c r="J23" s="68">
        <v>926.88436782977362</v>
      </c>
      <c r="K23" s="95">
        <f t="shared" ref="K23:T23" si="10">J441</f>
        <v>913.54443105262123</v>
      </c>
      <c r="L23" s="95">
        <f t="shared" si="10"/>
        <v>898.58024459222747</v>
      </c>
      <c r="M23" s="95">
        <f t="shared" si="10"/>
        <v>883.2978353242363</v>
      </c>
      <c r="N23" s="95">
        <f t="shared" si="10"/>
        <v>858.49301278924042</v>
      </c>
      <c r="O23" s="95">
        <f t="shared" si="10"/>
        <v>853.70879846865819</v>
      </c>
      <c r="P23" s="248">
        <v>839.16973898779304</v>
      </c>
      <c r="Q23" s="95">
        <f t="shared" si="10"/>
        <v>824.22810834559095</v>
      </c>
      <c r="R23" s="95">
        <f t="shared" si="10"/>
        <v>808.12082155213739</v>
      </c>
      <c r="S23" s="95">
        <f t="shared" si="10"/>
        <v>790.80134503528984</v>
      </c>
      <c r="T23" s="97">
        <f t="shared" si="10"/>
        <v>772.22160189628289</v>
      </c>
      <c r="W23" s="228"/>
    </row>
    <row r="24" spans="4:23" ht="12.75" x14ac:dyDescent="0.2">
      <c r="D24" s="92" t="str">
        <f>Lookup!D77</f>
        <v>SCADA and Communications (2004-09)</v>
      </c>
      <c r="E24" s="93" t="str">
        <f t="shared" si="6"/>
        <v>RFM / PTRM</v>
      </c>
      <c r="F24" s="93" t="str">
        <f t="shared" si="1"/>
        <v>Dollars</v>
      </c>
      <c r="G24" s="93" t="str">
        <f t="shared" si="2"/>
        <v>Nominal</v>
      </c>
      <c r="H24" s="50" t="str">
        <f t="shared" si="3"/>
        <v>Start year</v>
      </c>
      <c r="J24" s="68">
        <v>42.596241420399267</v>
      </c>
      <c r="K24" s="95">
        <f t="shared" ref="K24:T24" si="11">J442</f>
        <v>35.771124521832959</v>
      </c>
      <c r="L24" s="95">
        <f t="shared" si="11"/>
        <v>28.780529604957913</v>
      </c>
      <c r="M24" s="95">
        <f t="shared" si="11"/>
        <v>21.545330466647478</v>
      </c>
      <c r="N24" s="95">
        <f t="shared" si="11"/>
        <v>13.82293194504169</v>
      </c>
      <c r="O24" s="95">
        <f t="shared" si="11"/>
        <v>6.296309306201433</v>
      </c>
      <c r="P24" s="248">
        <v>2.7147101938221674E-2</v>
      </c>
      <c r="Q24" s="95">
        <f t="shared" si="11"/>
        <v>0</v>
      </c>
      <c r="R24" s="95">
        <f t="shared" si="11"/>
        <v>0</v>
      </c>
      <c r="S24" s="95">
        <f t="shared" si="11"/>
        <v>0</v>
      </c>
      <c r="T24" s="97">
        <f t="shared" si="11"/>
        <v>0</v>
      </c>
      <c r="W24" s="228"/>
    </row>
    <row r="25" spans="4:23" ht="12.75" x14ac:dyDescent="0.2">
      <c r="D25" s="92" t="str">
        <f>Lookup!D78</f>
        <v>Transmission Lines &amp; Cables (09-14)</v>
      </c>
      <c r="E25" s="93" t="str">
        <f t="shared" si="6"/>
        <v>RFM / PTRM</v>
      </c>
      <c r="F25" s="93" t="str">
        <f t="shared" si="1"/>
        <v>Dollars</v>
      </c>
      <c r="G25" s="93" t="str">
        <f t="shared" si="2"/>
        <v>Nominal</v>
      </c>
      <c r="H25" s="50" t="str">
        <f t="shared" si="3"/>
        <v>Start year</v>
      </c>
      <c r="J25" s="68">
        <v>472.27664762140205</v>
      </c>
      <c r="K25" s="95">
        <f t="shared" ref="K25:T25" si="12">J443</f>
        <v>464.25698348271084</v>
      </c>
      <c r="L25" s="95">
        <f t="shared" si="12"/>
        <v>461.93728510914724</v>
      </c>
      <c r="M25" s="95">
        <f t="shared" si="12"/>
        <v>459.6474287777317</v>
      </c>
      <c r="N25" s="95">
        <f t="shared" si="12"/>
        <v>452.61269543265752</v>
      </c>
      <c r="O25" s="95">
        <f t="shared" si="12"/>
        <v>456.23763527556855</v>
      </c>
      <c r="P25" s="248">
        <v>455.05774769596235</v>
      </c>
      <c r="Q25" s="95">
        <f t="shared" si="12"/>
        <v>453.99682245218713</v>
      </c>
      <c r="R25" s="95">
        <f t="shared" si="12"/>
        <v>452.6347389250426</v>
      </c>
      <c r="S25" s="95">
        <f t="shared" si="12"/>
        <v>450.95792882600881</v>
      </c>
      <c r="T25" s="97">
        <f t="shared" si="12"/>
        <v>448.95235247765555</v>
      </c>
      <c r="W25" s="228"/>
    </row>
    <row r="26" spans="4:23" ht="12.75" x14ac:dyDescent="0.2">
      <c r="D26" s="92" t="str">
        <f>Lookup!D79</f>
        <v>Substations (09-14)</v>
      </c>
      <c r="E26" s="93" t="str">
        <f t="shared" si="6"/>
        <v>RFM / PTRM</v>
      </c>
      <c r="F26" s="93" t="str">
        <f t="shared" si="1"/>
        <v>Dollars</v>
      </c>
      <c r="G26" s="93" t="str">
        <f t="shared" si="2"/>
        <v>Nominal</v>
      </c>
      <c r="H26" s="50" t="str">
        <f t="shared" si="3"/>
        <v>Start year</v>
      </c>
      <c r="J26" s="68">
        <v>1030.4530036627923</v>
      </c>
      <c r="K26" s="95">
        <f t="shared" ref="K26:T26" si="13">J444</f>
        <v>977.48976440295019</v>
      </c>
      <c r="L26" s="95">
        <f t="shared" si="13"/>
        <v>965.79212034394232</v>
      </c>
      <c r="M26" s="95">
        <f t="shared" si="13"/>
        <v>953.91034425122984</v>
      </c>
      <c r="N26" s="95">
        <f t="shared" si="13"/>
        <v>931.91662825016408</v>
      </c>
      <c r="O26" s="95">
        <f t="shared" si="13"/>
        <v>931.74106952199202</v>
      </c>
      <c r="P26" s="248">
        <v>921.2523518426799</v>
      </c>
      <c r="Q26" s="95">
        <f t="shared" si="13"/>
        <v>910.59719426990557</v>
      </c>
      <c r="R26" s="95">
        <f t="shared" si="13"/>
        <v>898.93251248224033</v>
      </c>
      <c r="S26" s="95">
        <f t="shared" si="13"/>
        <v>886.21674385268796</v>
      </c>
      <c r="T26" s="97">
        <f t="shared" si="13"/>
        <v>872.40692983698887</v>
      </c>
      <c r="W26" s="228"/>
    </row>
    <row r="27" spans="4:23" ht="12.75" x14ac:dyDescent="0.2">
      <c r="D27" s="92" t="str">
        <f>Lookup!D80</f>
        <v>Secondary Systems (09-14)</v>
      </c>
      <c r="E27" s="93" t="str">
        <f t="shared" si="6"/>
        <v>RFM / PTRM</v>
      </c>
      <c r="F27" s="93" t="str">
        <f t="shared" si="1"/>
        <v>Dollars</v>
      </c>
      <c r="G27" s="93" t="str">
        <f t="shared" si="2"/>
        <v>Nominal</v>
      </c>
      <c r="H27" s="50" t="str">
        <f t="shared" si="3"/>
        <v>Start year</v>
      </c>
      <c r="J27" s="68">
        <v>74.455400344720601</v>
      </c>
      <c r="K27" s="95">
        <f t="shared" ref="K27:T27" si="14">J445</f>
        <v>70.666520370159319</v>
      </c>
      <c r="L27" s="95">
        <f t="shared" si="14"/>
        <v>69.485462543281926</v>
      </c>
      <c r="M27" s="95">
        <f t="shared" si="14"/>
        <v>68.278936517893655</v>
      </c>
      <c r="N27" s="95">
        <f t="shared" si="14"/>
        <v>66.335391819392072</v>
      </c>
      <c r="O27" s="95">
        <f t="shared" si="14"/>
        <v>65.938366291015768</v>
      </c>
      <c r="P27" s="248">
        <v>64.786083682775597</v>
      </c>
      <c r="Q27" s="95">
        <f t="shared" si="14"/>
        <v>63.601218959444246</v>
      </c>
      <c r="R27" s="95">
        <f t="shared" si="14"/>
        <v>62.3248899770375</v>
      </c>
      <c r="S27" s="95">
        <f t="shared" si="14"/>
        <v>60.953452315614975</v>
      </c>
      <c r="T27" s="97">
        <f t="shared" si="14"/>
        <v>59.48314078001539</v>
      </c>
      <c r="W27" s="228"/>
    </row>
    <row r="28" spans="4:23" ht="12.75" x14ac:dyDescent="0.2">
      <c r="D28" s="92" t="str">
        <f>Lookup!D81</f>
        <v>Communications (09-14)</v>
      </c>
      <c r="E28" s="93" t="str">
        <f t="shared" si="6"/>
        <v>RFM / PTRM</v>
      </c>
      <c r="F28" s="93" t="str">
        <f t="shared" si="1"/>
        <v>Dollars</v>
      </c>
      <c r="G28" s="93" t="str">
        <f t="shared" si="2"/>
        <v>Nominal</v>
      </c>
      <c r="H28" s="50" t="str">
        <f t="shared" si="3"/>
        <v>Start year</v>
      </c>
      <c r="J28" s="68">
        <v>106.50230093942208</v>
      </c>
      <c r="K28" s="95">
        <f t="shared" ref="K28:T28" si="15">J446</f>
        <v>95.201648672151492</v>
      </c>
      <c r="L28" s="95">
        <f t="shared" si="15"/>
        <v>93.596610285800338</v>
      </c>
      <c r="M28" s="95">
        <f t="shared" si="15"/>
        <v>91.956756624360395</v>
      </c>
      <c r="N28" s="95">
        <f t="shared" si="15"/>
        <v>89.323745868629203</v>
      </c>
      <c r="O28" s="95">
        <f t="shared" si="15"/>
        <v>88.77292093610609</v>
      </c>
      <c r="P28" s="248">
        <v>87.204214967034176</v>
      </c>
      <c r="Q28" s="95">
        <f t="shared" si="15"/>
        <v>85.590760983865124</v>
      </c>
      <c r="R28" s="95">
        <f t="shared" si="15"/>
        <v>83.853319514818239</v>
      </c>
      <c r="S28" s="95">
        <f t="shared" si="15"/>
        <v>81.986954257424742</v>
      </c>
      <c r="T28" s="97">
        <f t="shared" si="15"/>
        <v>79.986565376954857</v>
      </c>
      <c r="W28" s="228"/>
    </row>
    <row r="29" spans="4:23" ht="12.75" x14ac:dyDescent="0.2">
      <c r="D29" s="92" t="str">
        <f>Lookup!D82</f>
        <v>Minor Plant, Motor Vehicles &amp; Mobile Plant (2009-14)</v>
      </c>
      <c r="E29" s="93" t="str">
        <f t="shared" si="6"/>
        <v>RFM / PTRM</v>
      </c>
      <c r="F29" s="93" t="str">
        <f t="shared" si="1"/>
        <v>Dollars</v>
      </c>
      <c r="G29" s="93" t="str">
        <f t="shared" si="2"/>
        <v>Nominal</v>
      </c>
      <c r="H29" s="50" t="str">
        <f t="shared" si="3"/>
        <v>Start year</v>
      </c>
      <c r="J29" s="68">
        <v>16.56148769126235</v>
      </c>
      <c r="K29" s="95">
        <f t="shared" ref="K29:T29" si="16">J447</f>
        <v>11.434528827114214</v>
      </c>
      <c r="L29" s="95">
        <f t="shared" si="16"/>
        <v>6.269128547140487</v>
      </c>
      <c r="M29" s="95">
        <f t="shared" si="16"/>
        <v>0.91930841465540336</v>
      </c>
      <c r="N29" s="95">
        <f t="shared" si="16"/>
        <v>-2.0221760507204922E-2</v>
      </c>
      <c r="O29" s="95">
        <f t="shared" si="16"/>
        <v>-2.0878967723689083E-2</v>
      </c>
      <c r="P29" s="248">
        <v>-2.1348744497472087E-2</v>
      </c>
      <c r="Q29" s="95">
        <f t="shared" si="16"/>
        <v>0</v>
      </c>
      <c r="R29" s="95">
        <f t="shared" si="16"/>
        <v>0</v>
      </c>
      <c r="S29" s="95">
        <f t="shared" si="16"/>
        <v>0</v>
      </c>
      <c r="T29" s="97">
        <f t="shared" si="16"/>
        <v>0</v>
      </c>
      <c r="W29" s="228"/>
    </row>
    <row r="30" spans="4:23" ht="12.75" x14ac:dyDescent="0.2">
      <c r="D30" s="92" t="str">
        <f>Lookup!D83</f>
        <v>Transmission Lines (2014-18)</v>
      </c>
      <c r="E30" s="93" t="str">
        <f t="shared" si="6"/>
        <v>RFM / PTRM</v>
      </c>
      <c r="F30" s="93" t="str">
        <f t="shared" si="1"/>
        <v>Dollars</v>
      </c>
      <c r="G30" s="93" t="str">
        <f t="shared" si="2"/>
        <v>Nominal</v>
      </c>
      <c r="H30" s="50" t="str">
        <f t="shared" si="3"/>
        <v>Start year</v>
      </c>
      <c r="J30" s="68">
        <v>36.759414326113038</v>
      </c>
      <c r="K30" s="95">
        <f t="shared" ref="K30:T30" si="17">J448</f>
        <v>177.39473894999276</v>
      </c>
      <c r="L30" s="95">
        <f t="shared" si="17"/>
        <v>176.91523001603079</v>
      </c>
      <c r="M30" s="95">
        <f t="shared" si="17"/>
        <v>176.46187090805216</v>
      </c>
      <c r="N30" s="95">
        <f t="shared" si="17"/>
        <v>174.20273560272793</v>
      </c>
      <c r="O30" s="95">
        <f t="shared" si="17"/>
        <v>176.05407379180377</v>
      </c>
      <c r="P30" s="248">
        <v>82.388616037618348</v>
      </c>
      <c r="Q30" s="95">
        <f t="shared" si="17"/>
        <v>82.415189055635253</v>
      </c>
      <c r="R30" s="95">
        <f t="shared" si="17"/>
        <v>82.397513653934766</v>
      </c>
      <c r="S30" s="95">
        <f t="shared" si="17"/>
        <v>82.333495523238355</v>
      </c>
      <c r="T30" s="97">
        <f t="shared" si="17"/>
        <v>82.220966358894003</v>
      </c>
      <c r="W30" s="228"/>
    </row>
    <row r="31" spans="4:23" ht="12.75" x14ac:dyDescent="0.2">
      <c r="D31" s="92" t="str">
        <f>Lookup!D84</f>
        <v>Underground Cables (2014-18)</v>
      </c>
      <c r="E31" s="93" t="str">
        <f t="shared" si="6"/>
        <v>RFM / PTRM</v>
      </c>
      <c r="F31" s="93" t="str">
        <f t="shared" si="1"/>
        <v>Dollars</v>
      </c>
      <c r="G31" s="93" t="str">
        <f t="shared" si="2"/>
        <v>Nominal</v>
      </c>
      <c r="H31" s="50" t="str">
        <f t="shared" si="3"/>
        <v>Start year</v>
      </c>
      <c r="J31" s="68">
        <v>3.3071644957378186</v>
      </c>
      <c r="K31" s="95">
        <f t="shared" ref="K31:T31" si="18">J449</f>
        <v>3.2165456685124867</v>
      </c>
      <c r="L31" s="95">
        <f t="shared" si="18"/>
        <v>3.1978394091043154</v>
      </c>
      <c r="M31" s="95">
        <f t="shared" si="18"/>
        <v>3.1792444152545114</v>
      </c>
      <c r="N31" s="95">
        <f t="shared" si="18"/>
        <v>3.1277281108927402</v>
      </c>
      <c r="O31" s="95">
        <f t="shared" si="18"/>
        <v>3.1498240645716433</v>
      </c>
      <c r="P31" s="248">
        <v>3.153324470483184</v>
      </c>
      <c r="Q31" s="95">
        <f t="shared" si="18"/>
        <v>3.1426871011230992</v>
      </c>
      <c r="R31" s="95">
        <f t="shared" si="18"/>
        <v>3.1298084301407627</v>
      </c>
      <c r="S31" s="95">
        <f t="shared" si="18"/>
        <v>3.1145889926842516</v>
      </c>
      <c r="T31" s="97">
        <f t="shared" si="18"/>
        <v>3.0969258868555931</v>
      </c>
      <c r="W31" s="228"/>
    </row>
    <row r="32" spans="4:23" ht="12.75" x14ac:dyDescent="0.2">
      <c r="D32" s="92" t="str">
        <f>Lookup!D85</f>
        <v>Substations (2014-18)</v>
      </c>
      <c r="E32" s="93" t="str">
        <f t="shared" si="6"/>
        <v>RFM / PTRM</v>
      </c>
      <c r="F32" s="93" t="str">
        <f t="shared" si="1"/>
        <v>Dollars</v>
      </c>
      <c r="G32" s="93" t="str">
        <f t="shared" si="2"/>
        <v>Nominal</v>
      </c>
      <c r="H32" s="50" t="str">
        <f t="shared" si="3"/>
        <v>Start year</v>
      </c>
      <c r="J32" s="68">
        <v>369.61068548943553</v>
      </c>
      <c r="K32" s="95">
        <f t="shared" ref="K32:K33" si="19">J450</f>
        <v>489.44463881066878</v>
      </c>
      <c r="L32" s="95">
        <f t="shared" ref="L32:L33" si="20">K450</f>
        <v>485.1414361455374</v>
      </c>
      <c r="M32" s="95">
        <f t="shared" ref="M32:M33" si="21">L450</f>
        <v>480.80236188072416</v>
      </c>
      <c r="N32" s="95">
        <f t="shared" ref="N32:N33" si="22">M450</f>
        <v>471.42782070429365</v>
      </c>
      <c r="O32" s="95">
        <f t="shared" ref="O32:O33" si="23">N450</f>
        <v>473.1206852754961</v>
      </c>
      <c r="P32" s="248">
        <v>483.72129720527965</v>
      </c>
      <c r="Q32" s="95">
        <f t="shared" ref="Q32:Q33" si="24">P450</f>
        <v>480.2263445440642</v>
      </c>
      <c r="R32" s="95">
        <f t="shared" ref="R32:R33" si="25">Q450</f>
        <v>476.30000773256631</v>
      </c>
      <c r="S32" s="95">
        <f t="shared" ref="S32:S33" si="26">R450</f>
        <v>471.92394212553302</v>
      </c>
      <c r="T32" s="97">
        <f t="shared" ref="T32:T33" si="27">S450</f>
        <v>467.07917911885301</v>
      </c>
      <c r="W32" s="228"/>
    </row>
    <row r="33" spans="4:23" ht="12.75" x14ac:dyDescent="0.2">
      <c r="D33" s="92" t="str">
        <f>Lookup!D86</f>
        <v>Secondary Systems (2014-18)</v>
      </c>
      <c r="E33" s="93" t="str">
        <f t="shared" si="6"/>
        <v>RFM / PTRM</v>
      </c>
      <c r="F33" s="93" t="str">
        <f t="shared" si="1"/>
        <v>Dollars</v>
      </c>
      <c r="G33" s="93" t="str">
        <f t="shared" si="2"/>
        <v>Nominal</v>
      </c>
      <c r="H33" s="50" t="str">
        <f t="shared" si="3"/>
        <v>Start year</v>
      </c>
      <c r="J33" s="68">
        <v>86.703264336655678</v>
      </c>
      <c r="K33" s="95">
        <f t="shared" si="19"/>
        <v>117.37963227814103</v>
      </c>
      <c r="L33" s="95">
        <f t="shared" si="20"/>
        <v>110.70153280664763</v>
      </c>
      <c r="M33" s="95">
        <f t="shared" si="21"/>
        <v>103.81018143735214</v>
      </c>
      <c r="N33" s="95">
        <f t="shared" si="22"/>
        <v>95.610419803823774</v>
      </c>
      <c r="O33" s="95">
        <f t="shared" si="23"/>
        <v>89.546367570147922</v>
      </c>
      <c r="P33" s="248">
        <v>54.758701203300191</v>
      </c>
      <c r="Q33" s="95">
        <f t="shared" si="24"/>
        <v>49.111564411830955</v>
      </c>
      <c r="R33" s="95">
        <f t="shared" si="25"/>
        <v>43.16877809532771</v>
      </c>
      <c r="S33" s="95">
        <f t="shared" si="26"/>
        <v>36.919565507729772</v>
      </c>
      <c r="T33" s="97">
        <f t="shared" si="27"/>
        <v>30.352806671894299</v>
      </c>
      <c r="W33" s="228"/>
    </row>
    <row r="34" spans="4:23" ht="12.75" x14ac:dyDescent="0.2">
      <c r="D34" s="92" t="str">
        <f>Lookup!D87</f>
        <v>Communications (short life) (2014-18)</v>
      </c>
      <c r="E34" s="93" t="str">
        <f t="shared" si="6"/>
        <v>RFM / PTRM</v>
      </c>
      <c r="F34" s="93" t="str">
        <f t="shared" si="1"/>
        <v>Dollars</v>
      </c>
      <c r="G34" s="93" t="str">
        <f t="shared" si="2"/>
        <v>Nominal</v>
      </c>
      <c r="H34" s="50" t="str">
        <f t="shared" si="3"/>
        <v>Start year</v>
      </c>
      <c r="J34" s="68">
        <v>22.377370709749766</v>
      </c>
      <c r="K34" s="95">
        <f t="shared" ref="K34:K67" si="28">J452</f>
        <v>48.311848994007228</v>
      </c>
      <c r="L34" s="95">
        <f t="shared" ref="L34:L67" si="29">K452</f>
        <v>43.759248693037939</v>
      </c>
      <c r="M34" s="95">
        <f t="shared" ref="M34:M67" si="30">L452</f>
        <v>39.053489335678528</v>
      </c>
      <c r="N34" s="95">
        <f t="shared" ref="N34:N67" si="31">M452</f>
        <v>33.777001477818899</v>
      </c>
      <c r="O34" s="95">
        <f t="shared" ref="O34:O67" si="32">N452</f>
        <v>29.213876617712675</v>
      </c>
      <c r="P34" s="248">
        <v>-10.155717755369505</v>
      </c>
      <c r="Q34" s="95">
        <f t="shared" ref="Q34:Q67" si="33">P452</f>
        <v>-9.3897678406271616</v>
      </c>
      <c r="R34" s="95">
        <f t="shared" ref="R34:R67" si="34">Q452</f>
        <v>-8.5822107115595756</v>
      </c>
      <c r="S34" s="95">
        <f t="shared" ref="S34:S67" si="35">R452</f>
        <v>-7.73151384671299</v>
      </c>
      <c r="T34" s="97">
        <f t="shared" ref="T34:T67" si="36">S452</f>
        <v>-6.8360956742212267</v>
      </c>
      <c r="W34" s="228"/>
    </row>
    <row r="35" spans="4:23" ht="12.75" x14ac:dyDescent="0.2">
      <c r="D35" s="92" t="str">
        <f>Lookup!D88</f>
        <v>Business IT (2014-18)</v>
      </c>
      <c r="E35" s="93" t="str">
        <f t="shared" si="6"/>
        <v>RFM / PTRM</v>
      </c>
      <c r="F35" s="93" t="str">
        <f t="shared" si="1"/>
        <v>Dollars</v>
      </c>
      <c r="G35" s="93" t="str">
        <f t="shared" si="2"/>
        <v>Nominal</v>
      </c>
      <c r="H35" s="50" t="str">
        <f t="shared" si="3"/>
        <v>Start year</v>
      </c>
      <c r="J35" s="68">
        <v>24.106869534960573</v>
      </c>
      <c r="K35" s="95">
        <f t="shared" si="28"/>
        <v>32.1927238916428</v>
      </c>
      <c r="L35" s="95">
        <f t="shared" si="29"/>
        <v>22.320524816341294</v>
      </c>
      <c r="M35" s="95">
        <f t="shared" si="30"/>
        <v>12.098396457087697</v>
      </c>
      <c r="N35" s="95">
        <f t="shared" si="31"/>
        <v>1.3738797011495727</v>
      </c>
      <c r="O35" s="95">
        <f t="shared" si="32"/>
        <v>-0.11588305640992824</v>
      </c>
      <c r="P35" s="248">
        <v>-8.7516621111743973</v>
      </c>
      <c r="Q35" s="95">
        <f t="shared" si="33"/>
        <v>0</v>
      </c>
      <c r="R35" s="95">
        <f t="shared" si="34"/>
        <v>0</v>
      </c>
      <c r="S35" s="95">
        <f t="shared" si="35"/>
        <v>0</v>
      </c>
      <c r="T35" s="97">
        <f t="shared" si="36"/>
        <v>0</v>
      </c>
      <c r="W35" s="228"/>
    </row>
    <row r="36" spans="4:23" ht="12.75" x14ac:dyDescent="0.2">
      <c r="D36" s="92" t="str">
        <f>Lookup!D89</f>
        <v>Minor Plant, Motor Vehicles &amp; Mobile Plant (2014-18)</v>
      </c>
      <c r="E36" s="93" t="str">
        <f t="shared" si="6"/>
        <v>RFM / PTRM</v>
      </c>
      <c r="F36" s="93" t="str">
        <f t="shared" si="1"/>
        <v>Dollars</v>
      </c>
      <c r="G36" s="93" t="str">
        <f t="shared" si="2"/>
        <v>Nominal</v>
      </c>
      <c r="H36" s="50" t="str">
        <f t="shared" si="3"/>
        <v>Start year</v>
      </c>
      <c r="J36" s="68">
        <v>19.837320521872051</v>
      </c>
      <c r="K36" s="95">
        <f t="shared" si="28"/>
        <v>24.077143855692729</v>
      </c>
      <c r="L36" s="95">
        <f t="shared" si="29"/>
        <v>20.867512388520197</v>
      </c>
      <c r="M36" s="95">
        <f t="shared" si="30"/>
        <v>17.547452421491403</v>
      </c>
      <c r="N36" s="95">
        <f t="shared" si="31"/>
        <v>13.926164514811614</v>
      </c>
      <c r="O36" s="95">
        <f t="shared" si="32"/>
        <v>10.574002332605671</v>
      </c>
      <c r="P36" s="248">
        <v>4.6402161056489044</v>
      </c>
      <c r="Q36" s="95">
        <f t="shared" si="33"/>
        <v>1.4664386168135719</v>
      </c>
      <c r="R36" s="95">
        <f t="shared" si="34"/>
        <v>-0.78991630221078202</v>
      </c>
      <c r="S36" s="95">
        <f t="shared" si="35"/>
        <v>8.8817841970012523E-16</v>
      </c>
      <c r="T36" s="97">
        <f t="shared" si="36"/>
        <v>9.0905020286949773E-16</v>
      </c>
      <c r="W36" s="228"/>
    </row>
    <row r="37" spans="4:23" ht="12.75" x14ac:dyDescent="0.2">
      <c r="D37" s="92" t="str">
        <f>Lookup!D90</f>
        <v>Transmission Line Life Extension (2014-18)</v>
      </c>
      <c r="E37" s="93" t="str">
        <f t="shared" si="6"/>
        <v>RFM / PTRM</v>
      </c>
      <c r="F37" s="93" t="str">
        <f t="shared" si="1"/>
        <v>Dollars</v>
      </c>
      <c r="G37" s="93" t="str">
        <f t="shared" si="2"/>
        <v>Nominal</v>
      </c>
      <c r="H37" s="50" t="str">
        <f t="shared" si="3"/>
        <v>Start year</v>
      </c>
      <c r="J37" s="68">
        <v>2.7202318217423898</v>
      </c>
      <c r="K37" s="95">
        <f t="shared" si="28"/>
        <v>4.7846517164107718</v>
      </c>
      <c r="L37" s="95">
        <f t="shared" si="29"/>
        <v>4.6664254297941081</v>
      </c>
      <c r="M37" s="95">
        <f t="shared" si="30"/>
        <v>4.5450879848594159</v>
      </c>
      <c r="N37" s="95">
        <f t="shared" si="31"/>
        <v>4.3731658513124865</v>
      </c>
      <c r="O37" s="95">
        <f t="shared" si="32"/>
        <v>4.3024411047246316</v>
      </c>
      <c r="P37" s="248">
        <v>3.4562489985410094</v>
      </c>
      <c r="Q37" s="95">
        <f t="shared" si="33"/>
        <v>3.3487363013799092</v>
      </c>
      <c r="R37" s="95">
        <f t="shared" si="34"/>
        <v>3.2342619680587243</v>
      </c>
      <c r="S37" s="95">
        <f t="shared" si="35"/>
        <v>3.1125581796565425</v>
      </c>
      <c r="T37" s="97">
        <f t="shared" si="36"/>
        <v>2.9833483744228864</v>
      </c>
      <c r="W37" s="228"/>
    </row>
    <row r="38" spans="4:23" ht="12.75" x14ac:dyDescent="0.2">
      <c r="D38" s="92" t="str">
        <f>Lookup!D91</f>
        <v>Residual - other</v>
      </c>
      <c r="E38" s="93" t="str">
        <f t="shared" si="6"/>
        <v>RFM / PTRM</v>
      </c>
      <c r="F38" s="93" t="str">
        <f t="shared" si="1"/>
        <v>Dollars</v>
      </c>
      <c r="G38" s="93" t="str">
        <f t="shared" si="2"/>
        <v>Nominal</v>
      </c>
      <c r="H38" s="50" t="str">
        <f t="shared" si="3"/>
        <v>Start year</v>
      </c>
      <c r="J38" s="68">
        <v>3.8216105063407699</v>
      </c>
      <c r="K38" s="95">
        <f t="shared" si="28"/>
        <v>-1.5957119620075271</v>
      </c>
      <c r="L38" s="95">
        <f t="shared" si="29"/>
        <v>1.9941546780093411E-3</v>
      </c>
      <c r="M38" s="95">
        <f t="shared" si="30"/>
        <v>2.0308569113469364E-3</v>
      </c>
      <c r="N38" s="95">
        <f t="shared" si="31"/>
        <v>2.0483341653172197E-3</v>
      </c>
      <c r="O38" s="95">
        <f t="shared" si="32"/>
        <v>2.1149050256900294E-3</v>
      </c>
      <c r="P38" s="248">
        <v>2.1624903887675732E-3</v>
      </c>
      <c r="Q38" s="95">
        <f t="shared" si="33"/>
        <v>0</v>
      </c>
      <c r="R38" s="95">
        <f t="shared" si="34"/>
        <v>0</v>
      </c>
      <c r="S38" s="95">
        <f t="shared" si="35"/>
        <v>0</v>
      </c>
      <c r="T38" s="97">
        <f t="shared" si="36"/>
        <v>0</v>
      </c>
      <c r="W38" s="228"/>
    </row>
    <row r="39" spans="4:23" ht="12.75" x14ac:dyDescent="0.2">
      <c r="D39" s="92" t="str">
        <f>Lookup!D92</f>
        <v>Transmission Lines (2018 onwards)</v>
      </c>
      <c r="E39" s="93" t="str">
        <f t="shared" si="6"/>
        <v>RFM / PTRM</v>
      </c>
      <c r="F39" s="93" t="str">
        <f t="shared" si="1"/>
        <v>Dollars</v>
      </c>
      <c r="G39" s="93" t="str">
        <f t="shared" si="2"/>
        <v>Nominal</v>
      </c>
      <c r="H39" s="50" t="str">
        <f t="shared" si="3"/>
        <v>Start year</v>
      </c>
      <c r="J39" s="68">
        <v>0</v>
      </c>
      <c r="K39" s="95">
        <f t="shared" si="28"/>
        <v>0</v>
      </c>
      <c r="L39" s="95">
        <f t="shared" si="29"/>
        <v>89.522769181231055</v>
      </c>
      <c r="M39" s="95">
        <f t="shared" si="30"/>
        <v>118.69328557528878</v>
      </c>
      <c r="N39" s="95">
        <f t="shared" si="31"/>
        <v>137.18233828898605</v>
      </c>
      <c r="O39" s="95">
        <f t="shared" si="32"/>
        <v>178.92146918720906</v>
      </c>
      <c r="P39" s="248">
        <v>485.36134700833026</v>
      </c>
      <c r="Q39" s="95">
        <f t="shared" si="33"/>
        <v>939.62962703559731</v>
      </c>
      <c r="R39" s="95">
        <f t="shared" si="34"/>
        <v>1879.76306987818</v>
      </c>
      <c r="S39" s="95">
        <f t="shared" si="35"/>
        <v>1961.2955991716321</v>
      </c>
      <c r="T39" s="97">
        <f t="shared" si="36"/>
        <v>2022.2351617005611</v>
      </c>
      <c r="W39" s="228"/>
    </row>
    <row r="40" spans="4:23" ht="12.75" x14ac:dyDescent="0.2">
      <c r="D40" s="92" t="str">
        <f>Lookup!D93</f>
        <v>Underground Cables (2018 onwards)</v>
      </c>
      <c r="E40" s="93" t="str">
        <f t="shared" si="6"/>
        <v>RFM / PTRM</v>
      </c>
      <c r="F40" s="93" t="str">
        <f t="shared" si="1"/>
        <v>Dollars</v>
      </c>
      <c r="G40" s="93" t="str">
        <f t="shared" si="2"/>
        <v>Nominal</v>
      </c>
      <c r="H40" s="50" t="str">
        <f t="shared" si="3"/>
        <v>Start year</v>
      </c>
      <c r="J40" s="68">
        <v>0</v>
      </c>
      <c r="K40" s="95">
        <f t="shared" si="28"/>
        <v>0</v>
      </c>
      <c r="L40" s="95">
        <f t="shared" si="29"/>
        <v>0</v>
      </c>
      <c r="M40" s="95">
        <f t="shared" si="30"/>
        <v>-3.8371541040607905E-6</v>
      </c>
      <c r="N40" s="95">
        <f t="shared" si="31"/>
        <v>-1.0211023907446657E-4</v>
      </c>
      <c r="O40" s="95">
        <f t="shared" si="32"/>
        <v>0.95486442366920588</v>
      </c>
      <c r="P40" s="248">
        <v>6.5081404837769137</v>
      </c>
      <c r="Q40" s="95">
        <f t="shared" si="33"/>
        <v>6.5125559840101106</v>
      </c>
      <c r="R40" s="95">
        <f t="shared" si="34"/>
        <v>6.5135850291928872</v>
      </c>
      <c r="S40" s="95">
        <f t="shared" si="35"/>
        <v>10.812965432219709</v>
      </c>
      <c r="T40" s="97">
        <f t="shared" si="36"/>
        <v>10.809979430271563</v>
      </c>
      <c r="W40" s="228"/>
    </row>
    <row r="41" spans="4:23" ht="12.75" x14ac:dyDescent="0.2">
      <c r="D41" s="92" t="str">
        <f>Lookup!D94</f>
        <v>Substations (2018 onwards)</v>
      </c>
      <c r="E41" s="93" t="str">
        <f t="shared" si="6"/>
        <v>RFM / PTRM</v>
      </c>
      <c r="F41" s="93" t="str">
        <f t="shared" si="1"/>
        <v>Dollars</v>
      </c>
      <c r="G41" s="93" t="str">
        <f t="shared" si="2"/>
        <v>Nominal</v>
      </c>
      <c r="H41" s="50" t="str">
        <f t="shared" si="3"/>
        <v>Start year</v>
      </c>
      <c r="J41" s="68">
        <v>0</v>
      </c>
      <c r="K41" s="95">
        <f t="shared" si="28"/>
        <v>0</v>
      </c>
      <c r="L41" s="95">
        <f t="shared" si="29"/>
        <v>106.24219579112815</v>
      </c>
      <c r="M41" s="95">
        <f t="shared" si="30"/>
        <v>185.24087361944527</v>
      </c>
      <c r="N41" s="95">
        <f t="shared" si="31"/>
        <v>278.60040619850929</v>
      </c>
      <c r="O41" s="95">
        <f t="shared" si="32"/>
        <v>572.34545027969955</v>
      </c>
      <c r="P41" s="248">
        <v>768.07755856340646</v>
      </c>
      <c r="Q41" s="95">
        <f t="shared" si="33"/>
        <v>1005.8807020086358</v>
      </c>
      <c r="R41" s="95">
        <f t="shared" si="34"/>
        <v>1221.5144193624758</v>
      </c>
      <c r="S41" s="95">
        <f t="shared" si="35"/>
        <v>1368.5011299396872</v>
      </c>
      <c r="T41" s="97">
        <f t="shared" si="36"/>
        <v>1445.6119500268649</v>
      </c>
      <c r="W41" s="228"/>
    </row>
    <row r="42" spans="4:23" ht="12.75" x14ac:dyDescent="0.2">
      <c r="D42" s="92" t="str">
        <f>Lookup!D95</f>
        <v>Secondary Systems (2018 onwards)</v>
      </c>
      <c r="E42" s="93" t="str">
        <f t="shared" si="6"/>
        <v>RFM / PTRM</v>
      </c>
      <c r="F42" s="93" t="str">
        <f t="shared" si="1"/>
        <v>Dollars</v>
      </c>
      <c r="G42" s="93" t="str">
        <f t="shared" si="2"/>
        <v>Nominal</v>
      </c>
      <c r="H42" s="50" t="str">
        <f t="shared" si="3"/>
        <v>Start year</v>
      </c>
      <c r="J42" s="68">
        <v>0</v>
      </c>
      <c r="K42" s="95">
        <f t="shared" si="28"/>
        <v>0</v>
      </c>
      <c r="L42" s="95">
        <f t="shared" si="29"/>
        <v>17.004726036685238</v>
      </c>
      <c r="M42" s="95">
        <f t="shared" si="30"/>
        <v>46.98877565627447</v>
      </c>
      <c r="N42" s="95">
        <f t="shared" si="31"/>
        <v>62.944810120070102</v>
      </c>
      <c r="O42" s="95">
        <f t="shared" si="32"/>
        <v>143.75808788763197</v>
      </c>
      <c r="P42" s="248">
        <v>142.90780020339719</v>
      </c>
      <c r="Q42" s="95">
        <f t="shared" si="33"/>
        <v>168.26537190245261</v>
      </c>
      <c r="R42" s="95">
        <f t="shared" si="34"/>
        <v>182.41068269374458</v>
      </c>
      <c r="S42" s="95">
        <f t="shared" si="35"/>
        <v>222.27508417167448</v>
      </c>
      <c r="T42" s="97">
        <f t="shared" si="36"/>
        <v>261.32106920926378</v>
      </c>
      <c r="W42" s="228"/>
    </row>
    <row r="43" spans="4:23" ht="12.75" x14ac:dyDescent="0.2">
      <c r="D43" s="92" t="str">
        <f>Lookup!D96</f>
        <v>Communications (short life) (2018 onwards)</v>
      </c>
      <c r="E43" s="93" t="str">
        <f t="shared" si="6"/>
        <v>RFM / PTRM</v>
      </c>
      <c r="F43" s="93" t="str">
        <f t="shared" si="1"/>
        <v>Dollars</v>
      </c>
      <c r="G43" s="93" t="str">
        <f t="shared" si="2"/>
        <v>Nominal</v>
      </c>
      <c r="H43" s="50" t="str">
        <f t="shared" si="3"/>
        <v>Start year</v>
      </c>
      <c r="J43" s="68">
        <v>0</v>
      </c>
      <c r="K43" s="95">
        <f t="shared" si="28"/>
        <v>0</v>
      </c>
      <c r="L43" s="95">
        <f t="shared" si="29"/>
        <v>12.488018260180995</v>
      </c>
      <c r="M43" s="95">
        <f t="shared" si="30"/>
        <v>17.687299866989981</v>
      </c>
      <c r="N43" s="95">
        <f t="shared" si="31"/>
        <v>26.732628057171471</v>
      </c>
      <c r="O43" s="95">
        <f t="shared" si="32"/>
        <v>40.183971175162149</v>
      </c>
      <c r="P43" s="248">
        <v>58.082825727279584</v>
      </c>
      <c r="Q43" s="95">
        <f t="shared" si="33"/>
        <v>55.482279414753037</v>
      </c>
      <c r="R43" s="95">
        <f t="shared" si="34"/>
        <v>64.82527595089995</v>
      </c>
      <c r="S43" s="95">
        <f t="shared" si="35"/>
        <v>65.474222489989501</v>
      </c>
      <c r="T43" s="97">
        <f t="shared" si="36"/>
        <v>65.238990322196457</v>
      </c>
      <c r="W43" s="228"/>
    </row>
    <row r="44" spans="4:23" ht="12.75" x14ac:dyDescent="0.2">
      <c r="D44" s="92" t="str">
        <f>Lookup!D97</f>
        <v>Business IT (2018 onwards)</v>
      </c>
      <c r="E44" s="93" t="str">
        <f t="shared" si="6"/>
        <v>RFM / PTRM</v>
      </c>
      <c r="F44" s="93" t="str">
        <f t="shared" si="1"/>
        <v>Dollars</v>
      </c>
      <c r="G44" s="93" t="str">
        <f t="shared" si="2"/>
        <v>Nominal</v>
      </c>
      <c r="H44" s="50" t="str">
        <f t="shared" si="3"/>
        <v>Start year</v>
      </c>
      <c r="J44" s="68">
        <v>0</v>
      </c>
      <c r="K44" s="95">
        <f t="shared" si="28"/>
        <v>0</v>
      </c>
      <c r="L44" s="95">
        <f t="shared" si="29"/>
        <v>19.201237065593318</v>
      </c>
      <c r="M44" s="95">
        <f t="shared" si="30"/>
        <v>30.237406216385935</v>
      </c>
      <c r="N44" s="95">
        <f t="shared" si="31"/>
        <v>35.741716508917939</v>
      </c>
      <c r="O44" s="95">
        <f t="shared" si="32"/>
        <v>60.32769990802435</v>
      </c>
      <c r="P44" s="248">
        <v>42.756875322328582</v>
      </c>
      <c r="Q44" s="95">
        <f t="shared" si="33"/>
        <v>46.981306605539416</v>
      </c>
      <c r="R44" s="95">
        <f t="shared" si="34"/>
        <v>65.226912774136551</v>
      </c>
      <c r="S44" s="95">
        <f t="shared" si="35"/>
        <v>56.938773223176526</v>
      </c>
      <c r="T44" s="97">
        <f t="shared" si="36"/>
        <v>57.916004780783993</v>
      </c>
      <c r="W44" s="228"/>
    </row>
    <row r="45" spans="4:23" ht="12.75" x14ac:dyDescent="0.2">
      <c r="D45" s="92" t="str">
        <f>Lookup!D98</f>
        <v>Minor Plant, Motor Vehicles &amp; Mobile Plant (2018 onwards)</v>
      </c>
      <c r="E45" s="93" t="str">
        <f t="shared" si="6"/>
        <v>RFM / PTRM</v>
      </c>
      <c r="F45" s="93" t="str">
        <f t="shared" si="1"/>
        <v>Dollars</v>
      </c>
      <c r="G45" s="93" t="str">
        <f t="shared" si="2"/>
        <v>Nominal</v>
      </c>
      <c r="H45" s="50" t="str">
        <f t="shared" si="3"/>
        <v>Start year</v>
      </c>
      <c r="J45" s="68">
        <v>0</v>
      </c>
      <c r="K45" s="95">
        <f t="shared" si="28"/>
        <v>0</v>
      </c>
      <c r="L45" s="95">
        <f t="shared" si="29"/>
        <v>6.8152442976994507</v>
      </c>
      <c r="M45" s="95">
        <f t="shared" si="30"/>
        <v>13.544784409975112</v>
      </c>
      <c r="N45" s="95">
        <f t="shared" si="31"/>
        <v>16.629921957707772</v>
      </c>
      <c r="O45" s="95">
        <f t="shared" si="32"/>
        <v>17.419341862877616</v>
      </c>
      <c r="P45" s="248">
        <v>13.019842204943384</v>
      </c>
      <c r="Q45" s="95">
        <f t="shared" si="33"/>
        <v>16.884491160520916</v>
      </c>
      <c r="R45" s="95">
        <f t="shared" si="34"/>
        <v>20.152784461984748</v>
      </c>
      <c r="S45" s="95">
        <f t="shared" si="35"/>
        <v>22.77644631510049</v>
      </c>
      <c r="T45" s="97">
        <f t="shared" si="36"/>
        <v>24.704835674366578</v>
      </c>
      <c r="W45" s="228"/>
    </row>
    <row r="46" spans="4:23" ht="12.75" x14ac:dyDescent="0.2">
      <c r="D46" s="92" t="str">
        <f>Lookup!D99</f>
        <v>Transmission Line Life Extension (2018 onwards)</v>
      </c>
      <c r="E46" s="93" t="str">
        <f t="shared" si="6"/>
        <v>RFM / PTRM</v>
      </c>
      <c r="F46" s="93" t="str">
        <f t="shared" si="1"/>
        <v>Dollars</v>
      </c>
      <c r="G46" s="93" t="str">
        <f t="shared" si="2"/>
        <v>Nominal</v>
      </c>
      <c r="H46" s="50" t="str">
        <f t="shared" si="3"/>
        <v>Start year</v>
      </c>
      <c r="J46" s="68">
        <v>0</v>
      </c>
      <c r="K46" s="95">
        <f t="shared" si="28"/>
        <v>0</v>
      </c>
      <c r="L46" s="95">
        <f t="shared" si="29"/>
        <v>9.0346610521890156</v>
      </c>
      <c r="M46" s="95">
        <f t="shared" si="30"/>
        <v>51.606711692885682</v>
      </c>
      <c r="N46" s="95">
        <f t="shared" si="31"/>
        <v>87.258760765985642</v>
      </c>
      <c r="O46" s="95">
        <f t="shared" si="32"/>
        <v>192.396962227703</v>
      </c>
      <c r="P46" s="248">
        <v>209.6509770333374</v>
      </c>
      <c r="Q46" s="95">
        <f t="shared" si="33"/>
        <v>214.3030125804984</v>
      </c>
      <c r="R46" s="95">
        <f t="shared" si="34"/>
        <v>218.25190093435754</v>
      </c>
      <c r="S46" s="95">
        <f t="shared" si="35"/>
        <v>216.74941051020116</v>
      </c>
      <c r="T46" s="97">
        <f t="shared" si="36"/>
        <v>214.56740803806656</v>
      </c>
      <c r="W46" s="228"/>
    </row>
    <row r="47" spans="4:23" ht="12.75" x14ac:dyDescent="0.2">
      <c r="D47" s="92" t="str">
        <f>Lookup!D100</f>
        <v xml:space="preserve">Land and Easements </v>
      </c>
      <c r="E47" s="93" t="str">
        <f t="shared" si="6"/>
        <v>RFM / PTRM</v>
      </c>
      <c r="F47" s="93" t="str">
        <f t="shared" si="1"/>
        <v>Dollars</v>
      </c>
      <c r="G47" s="93" t="str">
        <f t="shared" si="2"/>
        <v>Nominal</v>
      </c>
      <c r="H47" s="50" t="str">
        <f t="shared" si="3"/>
        <v>Start year</v>
      </c>
      <c r="J47" s="68">
        <v>855.89231883681293</v>
      </c>
      <c r="K47" s="95">
        <f t="shared" si="28"/>
        <v>887.17675670501319</v>
      </c>
      <c r="L47" s="95">
        <f t="shared" si="29"/>
        <v>904.14875359410485</v>
      </c>
      <c r="M47" s="95">
        <f t="shared" si="30"/>
        <v>924.27658604316616</v>
      </c>
      <c r="N47" s="95">
        <f t="shared" si="31"/>
        <v>932.55410670332913</v>
      </c>
      <c r="O47" s="95">
        <f t="shared" si="32"/>
        <v>962.59786258268377</v>
      </c>
      <c r="P47" s="248">
        <v>979.98601768690287</v>
      </c>
      <c r="Q47" s="95">
        <f t="shared" si="33"/>
        <v>1078.6981536843543</v>
      </c>
      <c r="R47" s="95">
        <f t="shared" si="34"/>
        <v>1292.0405812731565</v>
      </c>
      <c r="S47" s="95">
        <f t="shared" si="35"/>
        <v>1322.0633832010146</v>
      </c>
      <c r="T47" s="97">
        <f t="shared" si="36"/>
        <v>1352.7837277220056</v>
      </c>
      <c r="W47" s="228"/>
    </row>
    <row r="48" spans="4:23" ht="12.75" x14ac:dyDescent="0.2">
      <c r="D48" s="92" t="str">
        <f>Lookup!D101</f>
        <v>Synchronous Condensers</v>
      </c>
      <c r="E48" s="93" t="str">
        <f t="shared" si="6"/>
        <v>RFM / PTRM</v>
      </c>
      <c r="F48" s="93" t="str">
        <f t="shared" si="1"/>
        <v>Dollars</v>
      </c>
      <c r="G48" s="93" t="str">
        <f t="shared" si="2"/>
        <v>Nominal</v>
      </c>
      <c r="H48" s="50" t="str">
        <f t="shared" si="3"/>
        <v>Start year</v>
      </c>
      <c r="J48" s="68">
        <v>0</v>
      </c>
      <c r="K48" s="95">
        <f t="shared" si="28"/>
        <v>0</v>
      </c>
      <c r="L48" s="95">
        <f t="shared" si="29"/>
        <v>0</v>
      </c>
      <c r="M48" s="95">
        <f t="shared" si="30"/>
        <v>0</v>
      </c>
      <c r="N48" s="95">
        <f t="shared" si="31"/>
        <v>0</v>
      </c>
      <c r="O48" s="95">
        <f t="shared" si="32"/>
        <v>0</v>
      </c>
      <c r="P48" s="248">
        <v>0</v>
      </c>
      <c r="Q48" s="95">
        <f t="shared" si="33"/>
        <v>58.786130283239231</v>
      </c>
      <c r="R48" s="95">
        <f t="shared" si="34"/>
        <v>162.46663766074289</v>
      </c>
      <c r="S48" s="95">
        <f t="shared" si="35"/>
        <v>162.08892705682467</v>
      </c>
      <c r="T48" s="97">
        <f t="shared" si="36"/>
        <v>161.60374572455231</v>
      </c>
      <c r="W48" s="228"/>
    </row>
    <row r="49" spans="4:23" ht="12.75" x14ac:dyDescent="0.2">
      <c r="D49" s="92" t="str">
        <f>Lookup!D102</f>
        <v>Leasehold Land and Property</v>
      </c>
      <c r="E49" s="93" t="str">
        <f t="shared" si="6"/>
        <v>RFM / PTRM</v>
      </c>
      <c r="F49" s="93" t="str">
        <f t="shared" si="1"/>
        <v>Dollars</v>
      </c>
      <c r="G49" s="93" t="str">
        <f t="shared" si="2"/>
        <v>Nominal</v>
      </c>
      <c r="H49" s="50" t="str">
        <f t="shared" si="3"/>
        <v>Start year</v>
      </c>
      <c r="J49" s="68">
        <v>0</v>
      </c>
      <c r="K49" s="95">
        <f t="shared" si="28"/>
        <v>0</v>
      </c>
      <c r="L49" s="95">
        <f t="shared" si="29"/>
        <v>0</v>
      </c>
      <c r="M49" s="95">
        <f t="shared" si="30"/>
        <v>0</v>
      </c>
      <c r="N49" s="95">
        <f t="shared" si="31"/>
        <v>0</v>
      </c>
      <c r="O49" s="95">
        <f t="shared" si="32"/>
        <v>1.4554351238945398</v>
      </c>
      <c r="P49" s="248">
        <v>2.5101442101454245</v>
      </c>
      <c r="Q49" s="95">
        <f t="shared" si="33"/>
        <v>2.2959586617789967</v>
      </c>
      <c r="R49" s="95">
        <f t="shared" si="34"/>
        <v>2.0703204175148096</v>
      </c>
      <c r="S49" s="95">
        <f t="shared" si="35"/>
        <v>1.8328094905369436</v>
      </c>
      <c r="T49" s="97">
        <f t="shared" si="36"/>
        <v>1.5829924795396093</v>
      </c>
      <c r="W49" s="228"/>
    </row>
    <row r="50" spans="4:23" ht="12.75" hidden="1" outlineLevel="1" x14ac:dyDescent="0.2">
      <c r="D50" s="92">
        <f>Lookup!D103</f>
        <v>0</v>
      </c>
      <c r="E50" s="93" t="str">
        <f t="shared" si="6"/>
        <v>RFM / PTRM</v>
      </c>
      <c r="F50" s="93" t="str">
        <f t="shared" si="1"/>
        <v>Dollars</v>
      </c>
      <c r="G50" s="93" t="str">
        <f t="shared" si="2"/>
        <v>Nominal</v>
      </c>
      <c r="H50" s="50" t="str">
        <f t="shared" si="3"/>
        <v>Start year</v>
      </c>
      <c r="J50" s="68">
        <v>0</v>
      </c>
      <c r="K50" s="95">
        <f t="shared" si="28"/>
        <v>0</v>
      </c>
      <c r="L50" s="95">
        <f t="shared" si="29"/>
        <v>0</v>
      </c>
      <c r="M50" s="95">
        <f t="shared" si="30"/>
        <v>0</v>
      </c>
      <c r="N50" s="95">
        <f t="shared" si="31"/>
        <v>0</v>
      </c>
      <c r="O50" s="95">
        <f t="shared" si="32"/>
        <v>0</v>
      </c>
      <c r="P50" s="248">
        <v>0</v>
      </c>
      <c r="Q50" s="95">
        <f t="shared" si="33"/>
        <v>0</v>
      </c>
      <c r="R50" s="95">
        <f t="shared" si="34"/>
        <v>0</v>
      </c>
      <c r="S50" s="95">
        <f t="shared" si="35"/>
        <v>0</v>
      </c>
      <c r="T50" s="97">
        <f t="shared" si="36"/>
        <v>0</v>
      </c>
      <c r="W50" s="228"/>
    </row>
    <row r="51" spans="4:23" ht="12.75" hidden="1" outlineLevel="1" x14ac:dyDescent="0.2">
      <c r="D51" s="92">
        <f>Lookup!D104</f>
        <v>0</v>
      </c>
      <c r="E51" s="93" t="str">
        <f t="shared" si="6"/>
        <v>RFM / PTRM</v>
      </c>
      <c r="F51" s="93" t="str">
        <f t="shared" si="1"/>
        <v>Dollars</v>
      </c>
      <c r="G51" s="93" t="str">
        <f t="shared" si="2"/>
        <v>Nominal</v>
      </c>
      <c r="H51" s="50" t="str">
        <f t="shared" si="3"/>
        <v>Start year</v>
      </c>
      <c r="J51" s="68">
        <v>0</v>
      </c>
      <c r="K51" s="95">
        <f t="shared" si="28"/>
        <v>0</v>
      </c>
      <c r="L51" s="95">
        <f t="shared" si="29"/>
        <v>0</v>
      </c>
      <c r="M51" s="95">
        <f t="shared" si="30"/>
        <v>0</v>
      </c>
      <c r="N51" s="95">
        <f t="shared" si="31"/>
        <v>0</v>
      </c>
      <c r="O51" s="95">
        <f t="shared" si="32"/>
        <v>0</v>
      </c>
      <c r="P51" s="248">
        <v>0</v>
      </c>
      <c r="Q51" s="95">
        <f t="shared" si="33"/>
        <v>0</v>
      </c>
      <c r="R51" s="95">
        <f t="shared" si="34"/>
        <v>0</v>
      </c>
      <c r="S51" s="95">
        <f t="shared" si="35"/>
        <v>0</v>
      </c>
      <c r="T51" s="97">
        <f t="shared" si="36"/>
        <v>0</v>
      </c>
      <c r="W51" s="228"/>
    </row>
    <row r="52" spans="4:23" ht="12.75" hidden="1" outlineLevel="1" x14ac:dyDescent="0.2">
      <c r="D52" s="92">
        <f>Lookup!D105</f>
        <v>0</v>
      </c>
      <c r="E52" s="93" t="str">
        <f t="shared" si="6"/>
        <v>RFM / PTRM</v>
      </c>
      <c r="F52" s="93" t="str">
        <f t="shared" si="1"/>
        <v>Dollars</v>
      </c>
      <c r="G52" s="93" t="str">
        <f t="shared" si="2"/>
        <v>Nominal</v>
      </c>
      <c r="H52" s="50" t="str">
        <f t="shared" si="3"/>
        <v>Start year</v>
      </c>
      <c r="J52" s="68">
        <v>0</v>
      </c>
      <c r="K52" s="95">
        <f t="shared" si="28"/>
        <v>0</v>
      </c>
      <c r="L52" s="95">
        <f t="shared" si="29"/>
        <v>0</v>
      </c>
      <c r="M52" s="95">
        <f t="shared" si="30"/>
        <v>0</v>
      </c>
      <c r="N52" s="95">
        <f t="shared" si="31"/>
        <v>0</v>
      </c>
      <c r="O52" s="95">
        <f t="shared" si="32"/>
        <v>0</v>
      </c>
      <c r="P52" s="248">
        <v>0</v>
      </c>
      <c r="Q52" s="95">
        <f t="shared" si="33"/>
        <v>0</v>
      </c>
      <c r="R52" s="95">
        <f t="shared" si="34"/>
        <v>0</v>
      </c>
      <c r="S52" s="95">
        <f t="shared" si="35"/>
        <v>0</v>
      </c>
      <c r="T52" s="97">
        <f t="shared" si="36"/>
        <v>0</v>
      </c>
      <c r="W52" s="228"/>
    </row>
    <row r="53" spans="4:23" ht="12.75" hidden="1" outlineLevel="1" x14ac:dyDescent="0.2">
      <c r="D53" s="92">
        <f>Lookup!D106</f>
        <v>0</v>
      </c>
      <c r="E53" s="93" t="str">
        <f t="shared" si="6"/>
        <v>RFM / PTRM</v>
      </c>
      <c r="F53" s="93" t="str">
        <f t="shared" si="1"/>
        <v>Dollars</v>
      </c>
      <c r="G53" s="93" t="str">
        <f t="shared" si="2"/>
        <v>Nominal</v>
      </c>
      <c r="H53" s="50" t="str">
        <f t="shared" si="3"/>
        <v>Start year</v>
      </c>
      <c r="J53" s="68">
        <v>0</v>
      </c>
      <c r="K53" s="95">
        <f t="shared" si="28"/>
        <v>0</v>
      </c>
      <c r="L53" s="95">
        <f t="shared" si="29"/>
        <v>0</v>
      </c>
      <c r="M53" s="95">
        <f t="shared" si="30"/>
        <v>0</v>
      </c>
      <c r="N53" s="95">
        <f t="shared" si="31"/>
        <v>0</v>
      </c>
      <c r="O53" s="95">
        <f t="shared" si="32"/>
        <v>0</v>
      </c>
      <c r="P53" s="248">
        <v>0</v>
      </c>
      <c r="Q53" s="95">
        <f t="shared" si="33"/>
        <v>0</v>
      </c>
      <c r="R53" s="95">
        <f t="shared" si="34"/>
        <v>0</v>
      </c>
      <c r="S53" s="95">
        <f t="shared" si="35"/>
        <v>0</v>
      </c>
      <c r="T53" s="97">
        <f t="shared" si="36"/>
        <v>0</v>
      </c>
      <c r="W53" s="228"/>
    </row>
    <row r="54" spans="4:23" ht="12.75" hidden="1" outlineLevel="1" x14ac:dyDescent="0.2">
      <c r="D54" s="92">
        <f>Lookup!D107</f>
        <v>0</v>
      </c>
      <c r="E54" s="93" t="str">
        <f t="shared" si="6"/>
        <v>RFM / PTRM</v>
      </c>
      <c r="F54" s="93" t="str">
        <f t="shared" si="1"/>
        <v>Dollars</v>
      </c>
      <c r="G54" s="93" t="str">
        <f t="shared" si="2"/>
        <v>Nominal</v>
      </c>
      <c r="H54" s="50" t="str">
        <f t="shared" si="3"/>
        <v>Start year</v>
      </c>
      <c r="J54" s="68">
        <v>0</v>
      </c>
      <c r="K54" s="95">
        <f t="shared" si="28"/>
        <v>0</v>
      </c>
      <c r="L54" s="95">
        <f t="shared" si="29"/>
        <v>0</v>
      </c>
      <c r="M54" s="95">
        <f t="shared" si="30"/>
        <v>0</v>
      </c>
      <c r="N54" s="95">
        <f t="shared" si="31"/>
        <v>0</v>
      </c>
      <c r="O54" s="95">
        <f t="shared" si="32"/>
        <v>0</v>
      </c>
      <c r="P54" s="248">
        <v>0</v>
      </c>
      <c r="Q54" s="95">
        <f t="shared" si="33"/>
        <v>0</v>
      </c>
      <c r="R54" s="95">
        <f t="shared" si="34"/>
        <v>0</v>
      </c>
      <c r="S54" s="95">
        <f t="shared" si="35"/>
        <v>0</v>
      </c>
      <c r="T54" s="97">
        <f t="shared" si="36"/>
        <v>0</v>
      </c>
      <c r="W54" s="228"/>
    </row>
    <row r="55" spans="4:23" ht="12.75" hidden="1" outlineLevel="1" x14ac:dyDescent="0.2">
      <c r="D55" s="92">
        <f>Lookup!D108</f>
        <v>0</v>
      </c>
      <c r="E55" s="93" t="str">
        <f t="shared" si="6"/>
        <v>RFM / PTRM</v>
      </c>
      <c r="F55" s="93" t="str">
        <f t="shared" si="1"/>
        <v>Dollars</v>
      </c>
      <c r="G55" s="93" t="str">
        <f t="shared" si="2"/>
        <v>Nominal</v>
      </c>
      <c r="H55" s="50" t="str">
        <f t="shared" si="3"/>
        <v>Start year</v>
      </c>
      <c r="J55" s="68">
        <v>0</v>
      </c>
      <c r="K55" s="95">
        <f t="shared" si="28"/>
        <v>0</v>
      </c>
      <c r="L55" s="95">
        <f t="shared" si="29"/>
        <v>0</v>
      </c>
      <c r="M55" s="95">
        <f t="shared" si="30"/>
        <v>0</v>
      </c>
      <c r="N55" s="95">
        <f t="shared" si="31"/>
        <v>0</v>
      </c>
      <c r="O55" s="95">
        <f t="shared" si="32"/>
        <v>0</v>
      </c>
      <c r="P55" s="248">
        <v>0</v>
      </c>
      <c r="Q55" s="95">
        <f t="shared" si="33"/>
        <v>0</v>
      </c>
      <c r="R55" s="95">
        <f t="shared" si="34"/>
        <v>0</v>
      </c>
      <c r="S55" s="95">
        <f t="shared" si="35"/>
        <v>0</v>
      </c>
      <c r="T55" s="97">
        <f t="shared" si="36"/>
        <v>0</v>
      </c>
      <c r="W55" s="228"/>
    </row>
    <row r="56" spans="4:23" ht="12.75" hidden="1" outlineLevel="1" x14ac:dyDescent="0.2">
      <c r="D56" s="92">
        <f>Lookup!D109</f>
        <v>0</v>
      </c>
      <c r="E56" s="93" t="str">
        <f t="shared" si="6"/>
        <v>RFM / PTRM</v>
      </c>
      <c r="F56" s="93" t="str">
        <f t="shared" si="1"/>
        <v>Dollars</v>
      </c>
      <c r="G56" s="93" t="str">
        <f t="shared" si="2"/>
        <v>Nominal</v>
      </c>
      <c r="H56" s="50" t="str">
        <f t="shared" si="3"/>
        <v>Start year</v>
      </c>
      <c r="J56" s="68">
        <v>0</v>
      </c>
      <c r="K56" s="95">
        <f t="shared" si="28"/>
        <v>0</v>
      </c>
      <c r="L56" s="95">
        <f t="shared" si="29"/>
        <v>0</v>
      </c>
      <c r="M56" s="95">
        <f t="shared" si="30"/>
        <v>0</v>
      </c>
      <c r="N56" s="95">
        <f t="shared" si="31"/>
        <v>0</v>
      </c>
      <c r="O56" s="95">
        <f t="shared" si="32"/>
        <v>0</v>
      </c>
      <c r="P56" s="248">
        <v>0</v>
      </c>
      <c r="Q56" s="95">
        <f t="shared" si="33"/>
        <v>0</v>
      </c>
      <c r="R56" s="95">
        <f t="shared" si="34"/>
        <v>0</v>
      </c>
      <c r="S56" s="95">
        <f t="shared" si="35"/>
        <v>0</v>
      </c>
      <c r="T56" s="97">
        <f t="shared" si="36"/>
        <v>0</v>
      </c>
      <c r="W56" s="228"/>
    </row>
    <row r="57" spans="4:23" ht="12.75" hidden="1" outlineLevel="1" x14ac:dyDescent="0.2">
      <c r="D57" s="92">
        <f>Lookup!D110</f>
        <v>0</v>
      </c>
      <c r="E57" s="93" t="str">
        <f t="shared" si="6"/>
        <v>RFM / PTRM</v>
      </c>
      <c r="F57" s="93" t="str">
        <f t="shared" si="1"/>
        <v>Dollars</v>
      </c>
      <c r="G57" s="93" t="str">
        <f t="shared" si="2"/>
        <v>Nominal</v>
      </c>
      <c r="H57" s="50" t="str">
        <f t="shared" si="3"/>
        <v>Start year</v>
      </c>
      <c r="J57" s="68">
        <v>0</v>
      </c>
      <c r="K57" s="95">
        <f t="shared" si="28"/>
        <v>0</v>
      </c>
      <c r="L57" s="95">
        <f t="shared" si="29"/>
        <v>0</v>
      </c>
      <c r="M57" s="95">
        <f t="shared" si="30"/>
        <v>0</v>
      </c>
      <c r="N57" s="95">
        <f t="shared" si="31"/>
        <v>0</v>
      </c>
      <c r="O57" s="95">
        <f t="shared" si="32"/>
        <v>0</v>
      </c>
      <c r="P57" s="248">
        <v>0</v>
      </c>
      <c r="Q57" s="95">
        <f t="shared" si="33"/>
        <v>0</v>
      </c>
      <c r="R57" s="95">
        <f t="shared" si="34"/>
        <v>0</v>
      </c>
      <c r="S57" s="95">
        <f t="shared" si="35"/>
        <v>0</v>
      </c>
      <c r="T57" s="97">
        <f t="shared" si="36"/>
        <v>0</v>
      </c>
      <c r="W57" s="228"/>
    </row>
    <row r="58" spans="4:23" ht="12.75" hidden="1" outlineLevel="1" x14ac:dyDescent="0.2">
      <c r="D58" s="92">
        <f>Lookup!D111</f>
        <v>0</v>
      </c>
      <c r="E58" s="93" t="str">
        <f t="shared" si="6"/>
        <v>RFM / PTRM</v>
      </c>
      <c r="F58" s="93" t="str">
        <f t="shared" si="1"/>
        <v>Dollars</v>
      </c>
      <c r="G58" s="93" t="str">
        <f t="shared" si="2"/>
        <v>Nominal</v>
      </c>
      <c r="H58" s="50" t="str">
        <f t="shared" si="3"/>
        <v>Start year</v>
      </c>
      <c r="J58" s="68">
        <v>0</v>
      </c>
      <c r="K58" s="95">
        <f t="shared" si="28"/>
        <v>0</v>
      </c>
      <c r="L58" s="95">
        <f t="shared" si="29"/>
        <v>0</v>
      </c>
      <c r="M58" s="95">
        <f t="shared" si="30"/>
        <v>0</v>
      </c>
      <c r="N58" s="95">
        <f t="shared" si="31"/>
        <v>0</v>
      </c>
      <c r="O58" s="95">
        <f t="shared" si="32"/>
        <v>0</v>
      </c>
      <c r="P58" s="248">
        <v>0</v>
      </c>
      <c r="Q58" s="95">
        <f t="shared" si="33"/>
        <v>0</v>
      </c>
      <c r="R58" s="95">
        <f t="shared" si="34"/>
        <v>0</v>
      </c>
      <c r="S58" s="95">
        <f t="shared" si="35"/>
        <v>0</v>
      </c>
      <c r="T58" s="97">
        <f t="shared" si="36"/>
        <v>0</v>
      </c>
      <c r="W58" s="228"/>
    </row>
    <row r="59" spans="4:23" ht="12.75" hidden="1" outlineLevel="1" x14ac:dyDescent="0.2">
      <c r="D59" s="92">
        <f>Lookup!D112</f>
        <v>0</v>
      </c>
      <c r="E59" s="93" t="str">
        <f t="shared" si="6"/>
        <v>RFM / PTRM</v>
      </c>
      <c r="F59" s="93" t="str">
        <f t="shared" si="1"/>
        <v>Dollars</v>
      </c>
      <c r="G59" s="93" t="str">
        <f t="shared" si="2"/>
        <v>Nominal</v>
      </c>
      <c r="H59" s="50" t="str">
        <f t="shared" si="3"/>
        <v>Start year</v>
      </c>
      <c r="J59" s="68">
        <v>0</v>
      </c>
      <c r="K59" s="95">
        <f t="shared" si="28"/>
        <v>0</v>
      </c>
      <c r="L59" s="95">
        <f t="shared" si="29"/>
        <v>0</v>
      </c>
      <c r="M59" s="95">
        <f t="shared" si="30"/>
        <v>0</v>
      </c>
      <c r="N59" s="95">
        <f t="shared" si="31"/>
        <v>0</v>
      </c>
      <c r="O59" s="95">
        <f t="shared" si="32"/>
        <v>0</v>
      </c>
      <c r="P59" s="248">
        <v>0</v>
      </c>
      <c r="Q59" s="95">
        <f t="shared" si="33"/>
        <v>0</v>
      </c>
      <c r="R59" s="95">
        <f t="shared" si="34"/>
        <v>0</v>
      </c>
      <c r="S59" s="95">
        <f t="shared" si="35"/>
        <v>0</v>
      </c>
      <c r="T59" s="97">
        <f t="shared" si="36"/>
        <v>0</v>
      </c>
      <c r="W59" s="228"/>
    </row>
    <row r="60" spans="4:23" ht="12.75" hidden="1" outlineLevel="1" x14ac:dyDescent="0.2">
      <c r="D60" s="92">
        <f>Lookup!D113</f>
        <v>0</v>
      </c>
      <c r="E60" s="93" t="str">
        <f t="shared" si="6"/>
        <v>RFM / PTRM</v>
      </c>
      <c r="F60" s="93" t="str">
        <f t="shared" si="1"/>
        <v>Dollars</v>
      </c>
      <c r="G60" s="93" t="str">
        <f t="shared" si="2"/>
        <v>Nominal</v>
      </c>
      <c r="H60" s="50" t="str">
        <f t="shared" si="3"/>
        <v>Start year</v>
      </c>
      <c r="J60" s="68">
        <v>0</v>
      </c>
      <c r="K60" s="95">
        <f t="shared" si="28"/>
        <v>0</v>
      </c>
      <c r="L60" s="95">
        <f t="shared" si="29"/>
        <v>0</v>
      </c>
      <c r="M60" s="95">
        <f t="shared" si="30"/>
        <v>0</v>
      </c>
      <c r="N60" s="95">
        <f t="shared" si="31"/>
        <v>0</v>
      </c>
      <c r="O60" s="95">
        <f t="shared" si="32"/>
        <v>0</v>
      </c>
      <c r="P60" s="248">
        <v>0</v>
      </c>
      <c r="Q60" s="95">
        <f t="shared" si="33"/>
        <v>0</v>
      </c>
      <c r="R60" s="95">
        <f t="shared" si="34"/>
        <v>0</v>
      </c>
      <c r="S60" s="95">
        <f t="shared" si="35"/>
        <v>0</v>
      </c>
      <c r="T60" s="97">
        <f t="shared" si="36"/>
        <v>0</v>
      </c>
      <c r="W60" s="228"/>
    </row>
    <row r="61" spans="4:23" ht="12.75" hidden="1" outlineLevel="1" x14ac:dyDescent="0.2">
      <c r="D61" s="92">
        <f>Lookup!D114</f>
        <v>0</v>
      </c>
      <c r="E61" s="93" t="str">
        <f t="shared" si="6"/>
        <v>RFM / PTRM</v>
      </c>
      <c r="F61" s="93" t="str">
        <f t="shared" si="1"/>
        <v>Dollars</v>
      </c>
      <c r="G61" s="93" t="str">
        <f t="shared" si="2"/>
        <v>Nominal</v>
      </c>
      <c r="H61" s="50" t="str">
        <f t="shared" si="3"/>
        <v>Start year</v>
      </c>
      <c r="J61" s="68">
        <v>0</v>
      </c>
      <c r="K61" s="95">
        <f t="shared" si="28"/>
        <v>0</v>
      </c>
      <c r="L61" s="95">
        <f t="shared" si="29"/>
        <v>0</v>
      </c>
      <c r="M61" s="95">
        <f t="shared" si="30"/>
        <v>0</v>
      </c>
      <c r="N61" s="95">
        <f t="shared" si="31"/>
        <v>0</v>
      </c>
      <c r="O61" s="95">
        <f t="shared" si="32"/>
        <v>0</v>
      </c>
      <c r="P61" s="248">
        <v>0</v>
      </c>
      <c r="Q61" s="95">
        <f t="shared" si="33"/>
        <v>0</v>
      </c>
      <c r="R61" s="95">
        <f t="shared" si="34"/>
        <v>0</v>
      </c>
      <c r="S61" s="95">
        <f t="shared" si="35"/>
        <v>0</v>
      </c>
      <c r="T61" s="97">
        <f t="shared" si="36"/>
        <v>0</v>
      </c>
      <c r="W61" s="228"/>
    </row>
    <row r="62" spans="4:23" ht="12.75" hidden="1" outlineLevel="1" x14ac:dyDescent="0.2">
      <c r="D62" s="92">
        <f>Lookup!D115</f>
        <v>0</v>
      </c>
      <c r="E62" s="93" t="str">
        <f t="shared" si="6"/>
        <v>RFM / PTRM</v>
      </c>
      <c r="F62" s="93" t="str">
        <f t="shared" si="1"/>
        <v>Dollars</v>
      </c>
      <c r="G62" s="93" t="str">
        <f t="shared" si="2"/>
        <v>Nominal</v>
      </c>
      <c r="H62" s="50" t="str">
        <f t="shared" si="3"/>
        <v>Start year</v>
      </c>
      <c r="J62" s="68">
        <v>0</v>
      </c>
      <c r="K62" s="95">
        <f t="shared" si="28"/>
        <v>0</v>
      </c>
      <c r="L62" s="95">
        <f t="shared" si="29"/>
        <v>0</v>
      </c>
      <c r="M62" s="95">
        <f t="shared" si="30"/>
        <v>0</v>
      </c>
      <c r="N62" s="95">
        <f t="shared" si="31"/>
        <v>0</v>
      </c>
      <c r="O62" s="95">
        <f t="shared" si="32"/>
        <v>0</v>
      </c>
      <c r="P62" s="248">
        <v>0</v>
      </c>
      <c r="Q62" s="95">
        <f t="shared" si="33"/>
        <v>0</v>
      </c>
      <c r="R62" s="95">
        <f t="shared" si="34"/>
        <v>0</v>
      </c>
      <c r="S62" s="95">
        <f t="shared" si="35"/>
        <v>0</v>
      </c>
      <c r="T62" s="97">
        <f t="shared" si="36"/>
        <v>0</v>
      </c>
      <c r="W62" s="228"/>
    </row>
    <row r="63" spans="4:23" ht="12.75" hidden="1" outlineLevel="1" x14ac:dyDescent="0.2">
      <c r="D63" s="92">
        <f>Lookup!D116</f>
        <v>0</v>
      </c>
      <c r="E63" s="93" t="str">
        <f t="shared" si="6"/>
        <v>RFM / PTRM</v>
      </c>
      <c r="F63" s="93" t="str">
        <f t="shared" si="1"/>
        <v>Dollars</v>
      </c>
      <c r="G63" s="93" t="str">
        <f t="shared" si="2"/>
        <v>Nominal</v>
      </c>
      <c r="H63" s="50" t="str">
        <f t="shared" si="3"/>
        <v>Start year</v>
      </c>
      <c r="J63" s="68">
        <v>0</v>
      </c>
      <c r="K63" s="95">
        <f t="shared" si="28"/>
        <v>0</v>
      </c>
      <c r="L63" s="95">
        <f t="shared" si="29"/>
        <v>0</v>
      </c>
      <c r="M63" s="95">
        <f t="shared" si="30"/>
        <v>0</v>
      </c>
      <c r="N63" s="95">
        <f t="shared" si="31"/>
        <v>0</v>
      </c>
      <c r="O63" s="95">
        <f t="shared" si="32"/>
        <v>0</v>
      </c>
      <c r="P63" s="248">
        <v>0</v>
      </c>
      <c r="Q63" s="95">
        <f t="shared" si="33"/>
        <v>0</v>
      </c>
      <c r="R63" s="95">
        <f t="shared" si="34"/>
        <v>0</v>
      </c>
      <c r="S63" s="95">
        <f t="shared" si="35"/>
        <v>0</v>
      </c>
      <c r="T63" s="97">
        <f t="shared" si="36"/>
        <v>0</v>
      </c>
      <c r="W63" s="228"/>
    </row>
    <row r="64" spans="4:23" ht="12.75" hidden="1" outlineLevel="1" x14ac:dyDescent="0.2">
      <c r="D64" s="92">
        <f>Lookup!D117</f>
        <v>0</v>
      </c>
      <c r="E64" s="93" t="str">
        <f t="shared" si="6"/>
        <v>RFM / PTRM</v>
      </c>
      <c r="F64" s="93" t="str">
        <f t="shared" si="1"/>
        <v>Dollars</v>
      </c>
      <c r="G64" s="93" t="str">
        <f t="shared" si="2"/>
        <v>Nominal</v>
      </c>
      <c r="H64" s="50" t="str">
        <f t="shared" si="3"/>
        <v>Start year</v>
      </c>
      <c r="J64" s="68">
        <v>0</v>
      </c>
      <c r="K64" s="95">
        <f t="shared" si="28"/>
        <v>0</v>
      </c>
      <c r="L64" s="95">
        <f t="shared" si="29"/>
        <v>0</v>
      </c>
      <c r="M64" s="95">
        <f t="shared" si="30"/>
        <v>0</v>
      </c>
      <c r="N64" s="95">
        <f t="shared" si="31"/>
        <v>0</v>
      </c>
      <c r="O64" s="95">
        <f t="shared" si="32"/>
        <v>0</v>
      </c>
      <c r="P64" s="248">
        <v>0</v>
      </c>
      <c r="Q64" s="95">
        <f t="shared" si="33"/>
        <v>0</v>
      </c>
      <c r="R64" s="95">
        <f t="shared" si="34"/>
        <v>0</v>
      </c>
      <c r="S64" s="95">
        <f t="shared" si="35"/>
        <v>0</v>
      </c>
      <c r="T64" s="97">
        <f t="shared" si="36"/>
        <v>0</v>
      </c>
      <c r="W64" s="228"/>
    </row>
    <row r="65" spans="1:23" ht="12.75" collapsed="1" x14ac:dyDescent="0.2">
      <c r="D65" s="92" t="str">
        <f>Lookup!D118</f>
        <v>Buildings - capital works</v>
      </c>
      <c r="E65" s="93" t="str">
        <f t="shared" si="6"/>
        <v>RFM / PTRM</v>
      </c>
      <c r="F65" s="93" t="str">
        <f t="shared" si="1"/>
        <v>Dollars</v>
      </c>
      <c r="G65" s="93" t="str">
        <f t="shared" si="2"/>
        <v>Nominal</v>
      </c>
      <c r="H65" s="50" t="str">
        <f t="shared" si="3"/>
        <v>Start year</v>
      </c>
      <c r="J65" s="68">
        <v>0</v>
      </c>
      <c r="K65" s="95">
        <f t="shared" si="28"/>
        <v>0</v>
      </c>
      <c r="L65" s="95">
        <f t="shared" si="29"/>
        <v>0</v>
      </c>
      <c r="M65" s="95">
        <f t="shared" si="30"/>
        <v>0</v>
      </c>
      <c r="N65" s="95">
        <f t="shared" si="31"/>
        <v>0</v>
      </c>
      <c r="O65" s="95">
        <f t="shared" si="32"/>
        <v>0</v>
      </c>
      <c r="P65" s="248">
        <v>0</v>
      </c>
      <c r="Q65" s="95">
        <f t="shared" si="33"/>
        <v>4.8076329474530874</v>
      </c>
      <c r="R65" s="95">
        <f t="shared" si="34"/>
        <v>9.718204955562598</v>
      </c>
      <c r="S65" s="95">
        <f t="shared" si="35"/>
        <v>14.731008352453383</v>
      </c>
      <c r="T65" s="97">
        <f t="shared" si="36"/>
        <v>19.845177427954145</v>
      </c>
      <c r="W65" s="228"/>
    </row>
    <row r="66" spans="1:23" ht="12.75" x14ac:dyDescent="0.2">
      <c r="D66" s="92" t="str">
        <f>Lookup!D119</f>
        <v>In-house software</v>
      </c>
      <c r="E66" s="93" t="str">
        <f t="shared" si="6"/>
        <v>RFM / PTRM</v>
      </c>
      <c r="F66" s="93" t="str">
        <f t="shared" si="1"/>
        <v>Dollars</v>
      </c>
      <c r="G66" s="93" t="str">
        <f t="shared" si="2"/>
        <v>Nominal</v>
      </c>
      <c r="H66" s="50" t="str">
        <f t="shared" si="3"/>
        <v>Start year</v>
      </c>
      <c r="J66" s="68">
        <v>0</v>
      </c>
      <c r="K66" s="95">
        <f t="shared" si="28"/>
        <v>0</v>
      </c>
      <c r="L66" s="95">
        <f t="shared" si="29"/>
        <v>0</v>
      </c>
      <c r="M66" s="95">
        <f t="shared" si="30"/>
        <v>0</v>
      </c>
      <c r="N66" s="95">
        <f t="shared" si="31"/>
        <v>0</v>
      </c>
      <c r="O66" s="95">
        <f t="shared" si="32"/>
        <v>0</v>
      </c>
      <c r="P66" s="248">
        <v>0</v>
      </c>
      <c r="Q66" s="95">
        <f t="shared" si="33"/>
        <v>18.301377398626123</v>
      </c>
      <c r="R66" s="95">
        <f t="shared" si="34"/>
        <v>28.874695298506055</v>
      </c>
      <c r="S66" s="95">
        <f t="shared" si="35"/>
        <v>39.568070667685625</v>
      </c>
      <c r="T66" s="97">
        <f t="shared" si="36"/>
        <v>49.189113796928602</v>
      </c>
      <c r="W66" s="228"/>
    </row>
    <row r="67" spans="1:23" ht="12.75" x14ac:dyDescent="0.2">
      <c r="D67" s="92" t="str">
        <f>Lookup!D120</f>
        <v>Equity raising costs</v>
      </c>
      <c r="E67" s="93" t="str">
        <f t="shared" si="6"/>
        <v>RFM / PTRM</v>
      </c>
      <c r="F67" s="93" t="str">
        <f t="shared" si="1"/>
        <v>Dollars</v>
      </c>
      <c r="G67" s="93" t="str">
        <f t="shared" si="2"/>
        <v>Nominal</v>
      </c>
      <c r="H67" s="50" t="str">
        <f t="shared" si="3"/>
        <v>Start year</v>
      </c>
      <c r="J67" s="68">
        <v>1.3077820840576728</v>
      </c>
      <c r="K67" s="95">
        <f t="shared" si="28"/>
        <v>1.2926939950129772</v>
      </c>
      <c r="L67" s="95">
        <f t="shared" si="29"/>
        <v>17.774802147370572</v>
      </c>
      <c r="M67" s="95">
        <f t="shared" si="30"/>
        <v>17.643780681991487</v>
      </c>
      <c r="N67" s="95">
        <f t="shared" si="31"/>
        <v>17.329022897887832</v>
      </c>
      <c r="O67" s="95">
        <f t="shared" si="32"/>
        <v>17.421603123619573</v>
      </c>
      <c r="P67" s="248">
        <v>17.327681252351788</v>
      </c>
      <c r="Q67" s="95">
        <f t="shared" si="33"/>
        <v>17.235799146806794</v>
      </c>
      <c r="R67" s="95">
        <f t="shared" si="34"/>
        <v>17.130029830753521</v>
      </c>
      <c r="S67" s="95">
        <f t="shared" si="35"/>
        <v>17.009771358010511</v>
      </c>
      <c r="T67" s="97">
        <f t="shared" si="36"/>
        <v>16.874401160392033</v>
      </c>
      <c r="W67" s="228"/>
    </row>
    <row r="68" spans="1:23" x14ac:dyDescent="0.2">
      <c r="J68" s="90"/>
      <c r="K68" s="88"/>
      <c r="L68" s="89"/>
      <c r="M68" s="89"/>
      <c r="N68" s="89"/>
      <c r="O68" s="91"/>
      <c r="P68" s="88"/>
      <c r="Q68" s="89"/>
      <c r="R68" s="89"/>
      <c r="S68" s="89"/>
      <c r="T68" s="91"/>
    </row>
    <row r="69" spans="1:23" ht="12.75" x14ac:dyDescent="0.2">
      <c r="D69" s="98" t="str">
        <f>"Total "&amp;C14</f>
        <v>Total Opening Balance - as commissioned</v>
      </c>
      <c r="E69" s="99" t="s">
        <v>92</v>
      </c>
      <c r="F69" s="99" t="str">
        <f>F18</f>
        <v>Dollars</v>
      </c>
      <c r="G69" s="99" t="str">
        <f>G18</f>
        <v>Nominal</v>
      </c>
      <c r="H69" s="45" t="str">
        <f>H18</f>
        <v>Start year</v>
      </c>
      <c r="J69" s="250">
        <f t="shared" ref="J69:T69" si="37">SUM(J18:J67)</f>
        <v>6030.0106617457295</v>
      </c>
      <c r="K69" s="251">
        <f t="shared" si="37"/>
        <v>6200.897927119825</v>
      </c>
      <c r="L69" s="252">
        <f t="shared" si="37"/>
        <v>6333.5136445472499</v>
      </c>
      <c r="M69" s="252">
        <f t="shared" si="37"/>
        <v>6389.8609418458291</v>
      </c>
      <c r="N69" s="252">
        <f t="shared" si="37"/>
        <v>6359.4509872994504</v>
      </c>
      <c r="O69" s="253">
        <f t="shared" si="37"/>
        <v>6852.8357294458592</v>
      </c>
      <c r="P69" s="100">
        <f t="shared" si="37"/>
        <v>7084.3150487312814</v>
      </c>
      <c r="Q69" s="101">
        <f t="shared" si="37"/>
        <v>7856.2658182975874</v>
      </c>
      <c r="R69" s="101">
        <f t="shared" si="37"/>
        <v>9240.3507715855958</v>
      </c>
      <c r="S69" s="101">
        <f t="shared" si="37"/>
        <v>9392.3391152560453</v>
      </c>
      <c r="T69" s="102">
        <f t="shared" si="37"/>
        <v>9444.7803524541414</v>
      </c>
    </row>
    <row r="70" spans="1:23" s="82" customFormat="1" ht="11.25" customHeight="1" x14ac:dyDescent="0.2">
      <c r="H70" s="6"/>
      <c r="K70" s="238"/>
    </row>
    <row r="71" spans="1:23" s="82" customFormat="1" ht="11.25" customHeight="1" x14ac:dyDescent="0.2">
      <c r="A71" s="69">
        <f>IF(SUM($J71:$T71)&lt;&gt;0,1,0)</f>
        <v>0</v>
      </c>
      <c r="D71" s="75" t="s">
        <v>95</v>
      </c>
      <c r="H71" s="6"/>
      <c r="J71" s="103">
        <f t="shared" ref="J71:K71" si="38">IF(ISERROR(J69),1,0)</f>
        <v>0</v>
      </c>
      <c r="K71" s="103">
        <f t="shared" si="38"/>
        <v>0</v>
      </c>
      <c r="L71" s="103">
        <f>IF(ISERROR(L69),1,0)</f>
        <v>0</v>
      </c>
      <c r="M71" s="103">
        <f t="shared" ref="M71:P71" si="39">IF(ISERROR(M69),1,0)</f>
        <v>0</v>
      </c>
      <c r="N71" s="103">
        <f t="shared" si="39"/>
        <v>0</v>
      </c>
      <c r="O71" s="103">
        <f t="shared" si="39"/>
        <v>0</v>
      </c>
      <c r="P71" s="103">
        <f t="shared" si="39"/>
        <v>0</v>
      </c>
      <c r="Q71" s="103">
        <f>IF(ISERROR(Q69),1,0)</f>
        <v>0</v>
      </c>
      <c r="R71" s="103">
        <f t="shared" ref="R71:T71" si="40">IF(ISERROR(R69),1,0)</f>
        <v>0</v>
      </c>
      <c r="S71" s="103">
        <f t="shared" si="40"/>
        <v>0</v>
      </c>
      <c r="T71" s="103">
        <f t="shared" si="40"/>
        <v>0</v>
      </c>
    </row>
    <row r="72" spans="1:23" s="82" customFormat="1" ht="11.25" customHeight="1" x14ac:dyDescent="0.2">
      <c r="H72" s="6"/>
      <c r="N72" s="79"/>
      <c r="S72" s="79"/>
    </row>
    <row r="73" spans="1:23" s="83" customFormat="1" ht="15" x14ac:dyDescent="0.2">
      <c r="C73" s="83" t="s">
        <v>106</v>
      </c>
      <c r="H73" s="13"/>
    </row>
    <row r="74" spans="1:23" s="82" customFormat="1" ht="11.25" customHeight="1" x14ac:dyDescent="0.2">
      <c r="H74" s="6"/>
    </row>
    <row r="75" spans="1:23" ht="12.75" x14ac:dyDescent="0.2">
      <c r="D75" s="84" t="str">
        <f>D$16</f>
        <v>RAB Asset Class</v>
      </c>
      <c r="E75" s="85" t="str">
        <f>Lookup!E$20</f>
        <v>Source</v>
      </c>
      <c r="F75" s="85" t="str">
        <f>Lookup!F$20</f>
        <v>Unit</v>
      </c>
      <c r="G75" s="85" t="str">
        <f>Lookup!G$20</f>
        <v>Basis</v>
      </c>
      <c r="H75" s="43" t="str">
        <f>Lookup!H$20</f>
        <v>Timing</v>
      </c>
      <c r="J75" s="86" t="str">
        <f t="shared" ref="J75:T75" si="41">J$10</f>
        <v>RY18</v>
      </c>
      <c r="K75" s="85" t="str">
        <f t="shared" si="41"/>
        <v>RY19</v>
      </c>
      <c r="L75" s="85" t="str">
        <f>L$10</f>
        <v>RY20</v>
      </c>
      <c r="M75" s="85" t="str">
        <f t="shared" si="41"/>
        <v>RY21</v>
      </c>
      <c r="N75" s="85" t="str">
        <f t="shared" si="41"/>
        <v>RY22</v>
      </c>
      <c r="O75" s="87" t="str">
        <f t="shared" si="41"/>
        <v>RY23</v>
      </c>
      <c r="P75" s="86" t="str">
        <f t="shared" si="41"/>
        <v>RY24</v>
      </c>
      <c r="Q75" s="85" t="str">
        <f>Q$10</f>
        <v>RY25</v>
      </c>
      <c r="R75" s="85" t="str">
        <f t="shared" si="41"/>
        <v>RY26</v>
      </c>
      <c r="S75" s="85" t="str">
        <f t="shared" si="41"/>
        <v>RY27</v>
      </c>
      <c r="T75" s="87" t="str">
        <f t="shared" si="41"/>
        <v>RY28</v>
      </c>
    </row>
    <row r="76" spans="1:23" x14ac:dyDescent="0.2">
      <c r="J76" s="224"/>
      <c r="K76" s="89"/>
      <c r="L76" s="89"/>
      <c r="M76" s="89"/>
      <c r="N76" s="89"/>
      <c r="O76" s="91"/>
      <c r="P76" s="88"/>
      <c r="Q76" s="89"/>
      <c r="R76" s="89"/>
      <c r="S76" s="89"/>
      <c r="T76" s="91"/>
    </row>
    <row r="77" spans="1:23" ht="12.75" x14ac:dyDescent="0.2">
      <c r="D77" s="75" t="str">
        <f t="shared" ref="D77:D92" si="42">D18</f>
        <v>Transmission Lines (pre 2004-05)</v>
      </c>
      <c r="E77" s="93" t="s">
        <v>92</v>
      </c>
      <c r="F77" s="93" t="str">
        <f t="shared" ref="F77:F126" si="43">Dollars</f>
        <v>Dollars</v>
      </c>
      <c r="G77" s="93" t="str">
        <f t="shared" ref="G77:G126" si="44">Nominal</f>
        <v>Nominal</v>
      </c>
      <c r="H77" s="50" t="str">
        <f t="shared" ref="H77:H126" si="45">End_year</f>
        <v>End year</v>
      </c>
      <c r="J77" s="96">
        <f t="shared" ref="J77:T77" si="46">J18*J$497</f>
        <v>17.891717876932503</v>
      </c>
      <c r="K77" s="95">
        <f t="shared" si="46"/>
        <v>15.89955971812431</v>
      </c>
      <c r="L77" s="95">
        <f t="shared" si="46"/>
        <v>15.511842232387325</v>
      </c>
      <c r="M77" s="95">
        <f t="shared" si="46"/>
        <v>6.823714948370994</v>
      </c>
      <c r="N77" s="95">
        <f t="shared" si="46"/>
        <v>23.826703416663133</v>
      </c>
      <c r="O77" s="97">
        <f t="shared" si="46"/>
        <v>15.519886807039148</v>
      </c>
      <c r="P77" s="96">
        <f t="shared" si="46"/>
        <v>14.943964948549954</v>
      </c>
      <c r="Q77" s="95">
        <f t="shared" si="46"/>
        <v>13.620429610908944</v>
      </c>
      <c r="R77" s="95">
        <f t="shared" si="46"/>
        <v>12.226436852760887</v>
      </c>
      <c r="S77" s="95">
        <f t="shared" si="46"/>
        <v>10.759406134038707</v>
      </c>
      <c r="T77" s="97">
        <f t="shared" si="46"/>
        <v>9.2166745402558377</v>
      </c>
    </row>
    <row r="78" spans="1:23" ht="12.75" x14ac:dyDescent="0.2">
      <c r="D78" s="75" t="str">
        <f t="shared" si="42"/>
        <v>Underground Cables (pre 2004-05)</v>
      </c>
      <c r="E78" s="93" t="str">
        <f>E77</f>
        <v>Calculated</v>
      </c>
      <c r="F78" s="93" t="str">
        <f t="shared" si="43"/>
        <v>Dollars</v>
      </c>
      <c r="G78" s="93" t="str">
        <f t="shared" si="44"/>
        <v>Nominal</v>
      </c>
      <c r="H78" s="50" t="str">
        <f t="shared" si="45"/>
        <v>End year</v>
      </c>
      <c r="J78" s="96">
        <f t="shared" ref="J78:T78" si="47">J19*J$497</f>
        <v>3.6800578878563481</v>
      </c>
      <c r="K78" s="95">
        <f t="shared" si="47"/>
        <v>3.3749811642698497</v>
      </c>
      <c r="L78" s="95">
        <f t="shared" si="47"/>
        <v>3.4088375797737638</v>
      </c>
      <c r="M78" s="95">
        <f t="shared" si="47"/>
        <v>1.5590569529314391</v>
      </c>
      <c r="N78" s="95">
        <f t="shared" si="47"/>
        <v>5.6915380418740131</v>
      </c>
      <c r="O78" s="97">
        <f t="shared" si="47"/>
        <v>3.8959464921311353</v>
      </c>
      <c r="P78" s="96">
        <f t="shared" si="47"/>
        <v>3.9746527871866708</v>
      </c>
      <c r="Q78" s="95">
        <f t="shared" si="47"/>
        <v>3.8770936788152643</v>
      </c>
      <c r="R78" s="95">
        <f t="shared" si="47"/>
        <v>3.7727544665207664</v>
      </c>
      <c r="S78" s="95">
        <f t="shared" si="47"/>
        <v>3.6613703665763118</v>
      </c>
      <c r="T78" s="97">
        <f t="shared" si="47"/>
        <v>3.5426678948295498</v>
      </c>
    </row>
    <row r="79" spans="1:23" ht="12.75" x14ac:dyDescent="0.2">
      <c r="D79" s="75" t="str">
        <f t="shared" si="42"/>
        <v>Substations including Buildings (pre 2004-05)</v>
      </c>
      <c r="E79" s="93" t="str">
        <f t="shared" ref="E79:E126" si="48">E78</f>
        <v>Calculated</v>
      </c>
      <c r="F79" s="93" t="str">
        <f t="shared" si="43"/>
        <v>Dollars</v>
      </c>
      <c r="G79" s="93" t="str">
        <f t="shared" si="44"/>
        <v>Nominal</v>
      </c>
      <c r="H79" s="50" t="str">
        <f t="shared" si="45"/>
        <v>End year</v>
      </c>
      <c r="J79" s="96">
        <f t="shared" ref="J79:T79" si="49">J20*J$497</f>
        <v>11.302718272143775</v>
      </c>
      <c r="K79" s="95">
        <f t="shared" si="49"/>
        <v>9.9553353444610622</v>
      </c>
      <c r="L79" s="95">
        <f t="shared" si="49"/>
        <v>9.6141492994719293</v>
      </c>
      <c r="M79" s="95">
        <f t="shared" si="49"/>
        <v>4.1788861209278547</v>
      </c>
      <c r="N79" s="95">
        <f t="shared" si="49"/>
        <v>14.38174308909818</v>
      </c>
      <c r="O79" s="97">
        <f t="shared" si="49"/>
        <v>9.2079001064956643</v>
      </c>
      <c r="P79" s="96">
        <f t="shared" si="49"/>
        <v>8.6770200839674807</v>
      </c>
      <c r="Q79" s="95">
        <f t="shared" si="49"/>
        <v>7.6928423004863937</v>
      </c>
      <c r="R79" s="95">
        <f t="shared" si="49"/>
        <v>6.657617372906377</v>
      </c>
      <c r="S79" s="95">
        <f t="shared" si="49"/>
        <v>5.5694896233925002</v>
      </c>
      <c r="T79" s="97">
        <f t="shared" si="49"/>
        <v>4.4265443486421896</v>
      </c>
    </row>
    <row r="80" spans="1:23" ht="12.75" x14ac:dyDescent="0.2">
      <c r="D80" s="75" t="str">
        <f t="shared" si="42"/>
        <v>Transmission Lines (2004-09)</v>
      </c>
      <c r="E80" s="93" t="str">
        <f t="shared" si="48"/>
        <v>Calculated</v>
      </c>
      <c r="F80" s="93" t="str">
        <f t="shared" si="43"/>
        <v>Dollars</v>
      </c>
      <c r="G80" s="93" t="str">
        <f t="shared" si="44"/>
        <v>Nominal</v>
      </c>
      <c r="H80" s="50" t="str">
        <f t="shared" si="45"/>
        <v>End year</v>
      </c>
      <c r="J80" s="96">
        <f t="shared" ref="J80:T80" si="50">J21*J$497</f>
        <v>3.8802408234824148</v>
      </c>
      <c r="K80" s="95">
        <f t="shared" si="50"/>
        <v>3.6045405114263964</v>
      </c>
      <c r="L80" s="95">
        <f t="shared" si="50"/>
        <v>3.690239267942482</v>
      </c>
      <c r="M80" s="95">
        <f t="shared" si="50"/>
        <v>1.7122682480927638</v>
      </c>
      <c r="N80" s="95">
        <f t="shared" si="50"/>
        <v>6.3490035324293101</v>
      </c>
      <c r="O80" s="97">
        <f t="shared" si="50"/>
        <v>4.4174983047231784</v>
      </c>
      <c r="P80" s="96">
        <f t="shared" si="50"/>
        <v>4.587263661370466</v>
      </c>
      <c r="Q80" s="95">
        <f t="shared" si="50"/>
        <v>4.5612526336429564</v>
      </c>
      <c r="R80" s="95">
        <f t="shared" si="50"/>
        <v>4.5314858947020147</v>
      </c>
      <c r="S80" s="95">
        <f t="shared" si="50"/>
        <v>4.4978012936115848</v>
      </c>
      <c r="T80" s="97">
        <f t="shared" si="50"/>
        <v>4.4600311325013031</v>
      </c>
    </row>
    <row r="81" spans="4:20" ht="12.75" x14ac:dyDescent="0.2">
      <c r="D81" s="75" t="str">
        <f t="shared" si="42"/>
        <v>Underground Cables (2004-09)</v>
      </c>
      <c r="E81" s="93" t="str">
        <f t="shared" si="48"/>
        <v>Calculated</v>
      </c>
      <c r="F81" s="93" t="str">
        <f t="shared" si="43"/>
        <v>Dollars</v>
      </c>
      <c r="G81" s="93" t="str">
        <f t="shared" si="44"/>
        <v>Nominal</v>
      </c>
      <c r="H81" s="50" t="str">
        <f t="shared" si="45"/>
        <v>End year</v>
      </c>
      <c r="J81" s="96">
        <f t="shared" ref="J81:T81" si="51">J22*J$497</f>
        <v>0.16397493142310174</v>
      </c>
      <c r="K81" s="95">
        <f t="shared" si="51"/>
        <v>0.15143986987555397</v>
      </c>
      <c r="L81" s="95">
        <f t="shared" si="51"/>
        <v>0.15409933026909678</v>
      </c>
      <c r="M81" s="95">
        <f t="shared" si="51"/>
        <v>7.1042626806125775E-2</v>
      </c>
      <c r="N81" s="95">
        <f t="shared" si="51"/>
        <v>0.26160937756446512</v>
      </c>
      <c r="O81" s="97">
        <f t="shared" si="51"/>
        <v>0.18072159970017415</v>
      </c>
      <c r="P81" s="96">
        <f t="shared" si="51"/>
        <v>0.18622598936280191</v>
      </c>
      <c r="Q81" s="95">
        <f t="shared" si="51"/>
        <v>0.18364804850010066</v>
      </c>
      <c r="R81" s="95">
        <f t="shared" si="51"/>
        <v>0.18084610752981758</v>
      </c>
      <c r="S81" s="95">
        <f t="shared" si="51"/>
        <v>0.17781106226549975</v>
      </c>
      <c r="T81" s="97">
        <f t="shared" si="51"/>
        <v>0.17453350433153317</v>
      </c>
    </row>
    <row r="82" spans="4:20" ht="12.75" x14ac:dyDescent="0.2">
      <c r="D82" s="75" t="str">
        <f t="shared" si="42"/>
        <v>Substations including Buildings (2004-09)</v>
      </c>
      <c r="E82" s="93" t="str">
        <f t="shared" si="48"/>
        <v>Calculated</v>
      </c>
      <c r="F82" s="93" t="str">
        <f t="shared" si="43"/>
        <v>Dollars</v>
      </c>
      <c r="G82" s="93" t="str">
        <f t="shared" si="44"/>
        <v>Nominal</v>
      </c>
      <c r="H82" s="50" t="str">
        <f t="shared" si="45"/>
        <v>End year</v>
      </c>
      <c r="J82" s="96">
        <f t="shared" ref="J82:T82" si="52">J23*J$497</f>
        <v>17.69506520402291</v>
      </c>
      <c r="K82" s="95">
        <f t="shared" si="52"/>
        <v>16.298740964364434</v>
      </c>
      <c r="L82" s="95">
        <f t="shared" si="52"/>
        <v>16.538286710286499</v>
      </c>
      <c r="M82" s="95">
        <f t="shared" si="52"/>
        <v>7.6015304244770592</v>
      </c>
      <c r="N82" s="95">
        <f t="shared" si="52"/>
        <v>27.901022915650316</v>
      </c>
      <c r="O82" s="97">
        <f t="shared" si="52"/>
        <v>19.20844796554481</v>
      </c>
      <c r="P82" s="96">
        <f t="shared" si="52"/>
        <v>19.720101779061114</v>
      </c>
      <c r="Q82" s="95">
        <f t="shared" si="52"/>
        <v>19.368980351154562</v>
      </c>
      <c r="R82" s="95">
        <f t="shared" si="52"/>
        <v>18.990466541380432</v>
      </c>
      <c r="S82" s="95">
        <f t="shared" si="52"/>
        <v>18.583466832258104</v>
      </c>
      <c r="T82" s="97">
        <f t="shared" si="52"/>
        <v>18.146851438843207</v>
      </c>
    </row>
    <row r="83" spans="4:20" ht="12.75" x14ac:dyDescent="0.2">
      <c r="D83" s="75" t="str">
        <f t="shared" si="42"/>
        <v>SCADA and Communications (2004-09)</v>
      </c>
      <c r="E83" s="93" t="str">
        <f t="shared" si="48"/>
        <v>Calculated</v>
      </c>
      <c r="F83" s="93" t="str">
        <f t="shared" si="43"/>
        <v>Dollars</v>
      </c>
      <c r="G83" s="93" t="str">
        <f t="shared" si="44"/>
        <v>Nominal</v>
      </c>
      <c r="H83" s="50" t="str">
        <f t="shared" si="45"/>
        <v>End year</v>
      </c>
      <c r="J83" s="96">
        <f t="shared" ref="J83:T83" si="53">J24*J$497</f>
        <v>0.8132009725712569</v>
      </c>
      <c r="K83" s="95">
        <f t="shared" si="53"/>
        <v>0.63820025908712164</v>
      </c>
      <c r="L83" s="95">
        <f t="shared" si="53"/>
        <v>0.52970299886425942</v>
      </c>
      <c r="M83" s="95">
        <f t="shared" si="53"/>
        <v>0.18541592484206049</v>
      </c>
      <c r="N83" s="95">
        <f t="shared" si="53"/>
        <v>0.44924528821385495</v>
      </c>
      <c r="O83" s="97">
        <f t="shared" si="53"/>
        <v>0.14166695938953225</v>
      </c>
      <c r="P83" s="96">
        <f t="shared" si="53"/>
        <v>6.3794437329688558E-4</v>
      </c>
      <c r="Q83" s="95">
        <f t="shared" si="53"/>
        <v>0</v>
      </c>
      <c r="R83" s="95">
        <f t="shared" si="53"/>
        <v>0</v>
      </c>
      <c r="S83" s="95">
        <f t="shared" si="53"/>
        <v>0</v>
      </c>
      <c r="T83" s="97">
        <f t="shared" si="53"/>
        <v>0</v>
      </c>
    </row>
    <row r="84" spans="4:20" ht="12.75" x14ac:dyDescent="0.2">
      <c r="D84" s="75" t="str">
        <f t="shared" si="42"/>
        <v>Transmission Lines &amp; Cables (09-14)</v>
      </c>
      <c r="E84" s="93" t="str">
        <f t="shared" si="48"/>
        <v>Calculated</v>
      </c>
      <c r="F84" s="93" t="str">
        <f t="shared" si="43"/>
        <v>Dollars</v>
      </c>
      <c r="G84" s="93" t="str">
        <f t="shared" si="44"/>
        <v>Nominal</v>
      </c>
      <c r="H84" s="50" t="str">
        <f t="shared" si="45"/>
        <v>End year</v>
      </c>
      <c r="J84" s="96">
        <f t="shared" ref="J84:T84" si="54">J25*J$497</f>
        <v>9.0161905454994731</v>
      </c>
      <c r="K84" s="95">
        <f t="shared" si="54"/>
        <v>8.282907823063578</v>
      </c>
      <c r="L84" s="95">
        <f t="shared" si="54"/>
        <v>8.5019132228677936</v>
      </c>
      <c r="M84" s="95">
        <f t="shared" si="54"/>
        <v>3.9556577347481121</v>
      </c>
      <c r="N84" s="95">
        <f t="shared" si="54"/>
        <v>14.709912601561371</v>
      </c>
      <c r="O84" s="97">
        <f t="shared" si="54"/>
        <v>10.265346793700292</v>
      </c>
      <c r="P84" s="96">
        <f t="shared" si="54"/>
        <v>10.693647164563959</v>
      </c>
      <c r="Q84" s="95">
        <f t="shared" si="54"/>
        <v>10.668715910712434</v>
      </c>
      <c r="R84" s="95">
        <f t="shared" si="54"/>
        <v>10.636707576118205</v>
      </c>
      <c r="S84" s="95">
        <f t="shared" si="54"/>
        <v>10.597303312259752</v>
      </c>
      <c r="T84" s="97">
        <f t="shared" si="54"/>
        <v>10.550173193193604</v>
      </c>
    </row>
    <row r="85" spans="4:20" ht="12.75" x14ac:dyDescent="0.2">
      <c r="D85" s="75" t="str">
        <f t="shared" si="42"/>
        <v>Substations (09-14)</v>
      </c>
      <c r="E85" s="93" t="str">
        <f t="shared" si="48"/>
        <v>Calculated</v>
      </c>
      <c r="F85" s="93" t="str">
        <f t="shared" si="43"/>
        <v>Dollars</v>
      </c>
      <c r="G85" s="93" t="str">
        <f t="shared" si="44"/>
        <v>Nominal</v>
      </c>
      <c r="H85" s="50" t="str">
        <f t="shared" si="45"/>
        <v>End year</v>
      </c>
      <c r="J85" s="96">
        <f t="shared" ref="J85:T85" si="55">J26*J$497</f>
        <v>19.672284615380537</v>
      </c>
      <c r="K85" s="95">
        <f t="shared" si="55"/>
        <v>17.439603289972453</v>
      </c>
      <c r="L85" s="95">
        <f t="shared" si="55"/>
        <v>17.775315098354877</v>
      </c>
      <c r="M85" s="95">
        <f t="shared" si="55"/>
        <v>8.2092112241930089</v>
      </c>
      <c r="N85" s="95">
        <f t="shared" si="55"/>
        <v>30.287290418130333</v>
      </c>
      <c r="O85" s="97">
        <f t="shared" si="55"/>
        <v>20.964174064244819</v>
      </c>
      <c r="P85" s="96">
        <f t="shared" si="55"/>
        <v>21.649005318578745</v>
      </c>
      <c r="Q85" s="95">
        <f t="shared" si="55"/>
        <v>21.398614030565319</v>
      </c>
      <c r="R85" s="95">
        <f t="shared" si="55"/>
        <v>21.124499389169191</v>
      </c>
      <c r="S85" s="95">
        <f t="shared" si="55"/>
        <v>20.825684691827714</v>
      </c>
      <c r="T85" s="97">
        <f t="shared" si="55"/>
        <v>20.50116043256644</v>
      </c>
    </row>
    <row r="86" spans="4:20" ht="12.75" x14ac:dyDescent="0.2">
      <c r="D86" s="75" t="str">
        <f t="shared" si="42"/>
        <v>Secondary Systems (09-14)</v>
      </c>
      <c r="E86" s="93" t="str">
        <f t="shared" si="48"/>
        <v>Calculated</v>
      </c>
      <c r="F86" s="93" t="str">
        <f t="shared" si="43"/>
        <v>Dollars</v>
      </c>
      <c r="G86" s="93" t="str">
        <f t="shared" si="44"/>
        <v>Nominal</v>
      </c>
      <c r="H86" s="50" t="str">
        <f t="shared" si="45"/>
        <v>End year</v>
      </c>
      <c r="J86" s="96">
        <f t="shared" ref="J86:T86" si="56">J27*J$497</f>
        <v>1.4214212793082992</v>
      </c>
      <c r="K86" s="95">
        <f t="shared" si="56"/>
        <v>1.2607764562026713</v>
      </c>
      <c r="L86" s="95">
        <f t="shared" si="56"/>
        <v>1.2788735437413932</v>
      </c>
      <c r="M86" s="95">
        <f t="shared" si="56"/>
        <v>0.58759842098015058</v>
      </c>
      <c r="N86" s="95">
        <f t="shared" si="56"/>
        <v>2.1559002341302422</v>
      </c>
      <c r="O86" s="97">
        <f t="shared" si="56"/>
        <v>1.4836132415478547</v>
      </c>
      <c r="P86" s="96">
        <f t="shared" si="56"/>
        <v>1.5224430824115902</v>
      </c>
      <c r="Q86" s="95">
        <f t="shared" si="56"/>
        <v>1.4945993079605513</v>
      </c>
      <c r="R86" s="95">
        <f t="shared" si="56"/>
        <v>1.4646061656113221</v>
      </c>
      <c r="S86" s="95">
        <f t="shared" si="56"/>
        <v>1.4323780131763793</v>
      </c>
      <c r="T86" s="97">
        <f t="shared" si="56"/>
        <v>1.3978263703062193</v>
      </c>
    </row>
    <row r="87" spans="4:20" ht="12.75" x14ac:dyDescent="0.2">
      <c r="D87" s="75" t="str">
        <f t="shared" si="42"/>
        <v>Communications (09-14)</v>
      </c>
      <c r="E87" s="93" t="str">
        <f t="shared" si="48"/>
        <v>Calculated</v>
      </c>
      <c r="F87" s="93" t="str">
        <f t="shared" si="43"/>
        <v>Dollars</v>
      </c>
      <c r="G87" s="93" t="str">
        <f t="shared" si="44"/>
        <v>Nominal</v>
      </c>
      <c r="H87" s="50" t="str">
        <f t="shared" si="45"/>
        <v>End year</v>
      </c>
      <c r="J87" s="96">
        <f t="shared" ref="J87:T87" si="57">J28*J$497</f>
        <v>2.0332257452071443</v>
      </c>
      <c r="K87" s="95">
        <f t="shared" si="57"/>
        <v>1.6985129111891535</v>
      </c>
      <c r="L87" s="95">
        <f t="shared" si="57"/>
        <v>1.7226369991251704</v>
      </c>
      <c r="M87" s="95">
        <f t="shared" si="57"/>
        <v>0.79136623600998435</v>
      </c>
      <c r="N87" s="95">
        <f t="shared" si="57"/>
        <v>2.9030217407304493</v>
      </c>
      <c r="O87" s="97">
        <f t="shared" si="57"/>
        <v>1.9973907210623869</v>
      </c>
      <c r="P87" s="96">
        <f t="shared" si="57"/>
        <v>2.0492588266913825</v>
      </c>
      <c r="Q87" s="95">
        <f t="shared" si="57"/>
        <v>2.0113434023312244</v>
      </c>
      <c r="R87" s="95">
        <f t="shared" si="57"/>
        <v>1.9705143292451364</v>
      </c>
      <c r="S87" s="95">
        <f t="shared" si="57"/>
        <v>1.9266556066020899</v>
      </c>
      <c r="T87" s="97">
        <f t="shared" si="57"/>
        <v>1.8796473906383562</v>
      </c>
    </row>
    <row r="88" spans="4:20" ht="12.75" x14ac:dyDescent="0.2">
      <c r="D88" s="75" t="str">
        <f t="shared" si="42"/>
        <v>Minor Plant, Motor Vehicles &amp; Mobile Plant (2009-14)</v>
      </c>
      <c r="E88" s="93" t="str">
        <f t="shared" si="48"/>
        <v>Calculated</v>
      </c>
      <c r="F88" s="93" t="str">
        <f t="shared" si="43"/>
        <v>Dollars</v>
      </c>
      <c r="G88" s="93" t="str">
        <f t="shared" si="44"/>
        <v>Nominal</v>
      </c>
      <c r="H88" s="50" t="str">
        <f t="shared" si="45"/>
        <v>End year</v>
      </c>
      <c r="J88" s="96">
        <f t="shared" ref="J88:T88" si="58">J29*J$497</f>
        <v>0.31617385592409869</v>
      </c>
      <c r="K88" s="95">
        <f t="shared" si="58"/>
        <v>0.20400586667465265</v>
      </c>
      <c r="L88" s="95">
        <f t="shared" si="58"/>
        <v>0.11538273399645141</v>
      </c>
      <c r="M88" s="95">
        <f t="shared" si="58"/>
        <v>7.911432139891577E-3</v>
      </c>
      <c r="N88" s="95">
        <f t="shared" si="58"/>
        <v>-6.5720721648415996E-4</v>
      </c>
      <c r="O88" s="97">
        <f t="shared" si="58"/>
        <v>-4.6977677378300434E-4</v>
      </c>
      <c r="P88" s="96">
        <f t="shared" si="58"/>
        <v>-5.0168564807059196E-4</v>
      </c>
      <c r="Q88" s="95">
        <f t="shared" si="58"/>
        <v>0</v>
      </c>
      <c r="R88" s="95">
        <f t="shared" si="58"/>
        <v>0</v>
      </c>
      <c r="S88" s="95">
        <f t="shared" si="58"/>
        <v>0</v>
      </c>
      <c r="T88" s="97">
        <f t="shared" si="58"/>
        <v>0</v>
      </c>
    </row>
    <row r="89" spans="4:20" ht="12.75" x14ac:dyDescent="0.2">
      <c r="D89" s="75" t="str">
        <f t="shared" si="42"/>
        <v>Transmission Lines (2014-18)</v>
      </c>
      <c r="E89" s="93" t="str">
        <f t="shared" si="48"/>
        <v>Calculated</v>
      </c>
      <c r="F89" s="93" t="str">
        <f t="shared" si="43"/>
        <v>Dollars</v>
      </c>
      <c r="G89" s="93" t="str">
        <f t="shared" si="44"/>
        <v>Nominal</v>
      </c>
      <c r="H89" s="50" t="str">
        <f t="shared" si="45"/>
        <v>End year</v>
      </c>
      <c r="J89" s="96">
        <f t="shared" ref="J89:T89" si="59">J30*J$497</f>
        <v>0.70177063713488363</v>
      </c>
      <c r="K89" s="95">
        <f t="shared" si="59"/>
        <v>3.1649373586082747</v>
      </c>
      <c r="L89" s="95">
        <f t="shared" si="59"/>
        <v>3.2561085279024278</v>
      </c>
      <c r="M89" s="95">
        <f t="shared" si="59"/>
        <v>1.5186047410331476</v>
      </c>
      <c r="N89" s="95">
        <f t="shared" si="59"/>
        <v>5.6615889070886576</v>
      </c>
      <c r="O89" s="97">
        <f t="shared" si="59"/>
        <v>3.9612166603155847</v>
      </c>
      <c r="P89" s="96">
        <f t="shared" si="59"/>
        <v>1.9360944731605181</v>
      </c>
      <c r="Q89" s="95">
        <f t="shared" si="59"/>
        <v>1.936718926826474</v>
      </c>
      <c r="R89" s="95">
        <f t="shared" si="59"/>
        <v>1.9363035630397152</v>
      </c>
      <c r="S89" s="95">
        <f t="shared" si="59"/>
        <v>1.9347991664982465</v>
      </c>
      <c r="T89" s="97">
        <f t="shared" si="59"/>
        <v>1.9321547830429278</v>
      </c>
    </row>
    <row r="90" spans="4:20" ht="12.75" x14ac:dyDescent="0.2">
      <c r="D90" s="75" t="str">
        <f t="shared" si="42"/>
        <v>Underground Cables (2014-18)</v>
      </c>
      <c r="E90" s="93" t="str">
        <f t="shared" si="48"/>
        <v>Calculated</v>
      </c>
      <c r="F90" s="93" t="str">
        <f t="shared" si="43"/>
        <v>Dollars</v>
      </c>
      <c r="G90" s="93" t="str">
        <f t="shared" si="44"/>
        <v>Nominal</v>
      </c>
      <c r="H90" s="50" t="str">
        <f t="shared" si="45"/>
        <v>End year</v>
      </c>
      <c r="J90" s="96">
        <f t="shared" ref="J90:T90" si="60">J31*J$497</f>
        <v>6.3136776736812755E-2</v>
      </c>
      <c r="K90" s="95">
        <f t="shared" si="60"/>
        <v>5.738707704750233E-2</v>
      </c>
      <c r="L90" s="95">
        <f t="shared" si="60"/>
        <v>5.8855940044865072E-2</v>
      </c>
      <c r="M90" s="95">
        <f t="shared" si="60"/>
        <v>2.7360106843842547E-2</v>
      </c>
      <c r="N90" s="95">
        <f t="shared" si="60"/>
        <v>0.10165116360401406</v>
      </c>
      <c r="O90" s="97">
        <f t="shared" si="60"/>
        <v>7.0871041452861966E-2</v>
      </c>
      <c r="P90" s="96">
        <f t="shared" si="60"/>
        <v>7.4101670509876358E-2</v>
      </c>
      <c r="Q90" s="95">
        <f t="shared" si="60"/>
        <v>7.3851697236655897E-2</v>
      </c>
      <c r="R90" s="95">
        <f t="shared" si="60"/>
        <v>7.3549054409166606E-2</v>
      </c>
      <c r="S90" s="95">
        <f t="shared" si="60"/>
        <v>7.3191404649268835E-2</v>
      </c>
      <c r="T90" s="97">
        <f t="shared" si="60"/>
        <v>7.2776329809826207E-2</v>
      </c>
    </row>
    <row r="91" spans="4:20" ht="12.75" x14ac:dyDescent="0.2">
      <c r="D91" s="75" t="str">
        <f t="shared" si="42"/>
        <v>Substations (2014-18)</v>
      </c>
      <c r="E91" s="93" t="str">
        <f t="shared" si="48"/>
        <v>Calculated</v>
      </c>
      <c r="F91" s="93" t="str">
        <f t="shared" si="43"/>
        <v>Dollars</v>
      </c>
      <c r="G91" s="93" t="str">
        <f t="shared" si="44"/>
        <v>Nominal</v>
      </c>
      <c r="H91" s="50" t="str">
        <f t="shared" si="45"/>
        <v>End year</v>
      </c>
      <c r="J91" s="96">
        <f t="shared" ref="J91:T91" si="61">J32*J$497</f>
        <v>7.0562039957073894</v>
      </c>
      <c r="K91" s="95">
        <f t="shared" si="61"/>
        <v>8.7322861518407073</v>
      </c>
      <c r="L91" s="95">
        <f t="shared" si="61"/>
        <v>8.9289834873412346</v>
      </c>
      <c r="M91" s="95">
        <f t="shared" si="61"/>
        <v>4.1377139576654312</v>
      </c>
      <c r="N91" s="95">
        <f t="shared" si="61"/>
        <v>15.321404172889544</v>
      </c>
      <c r="O91" s="97">
        <f t="shared" si="61"/>
        <v>10.645215418698662</v>
      </c>
      <c r="P91" s="96">
        <f t="shared" si="61"/>
        <v>11.367227356283809</v>
      </c>
      <c r="Q91" s="95">
        <f t="shared" si="61"/>
        <v>11.285097580875915</v>
      </c>
      <c r="R91" s="95">
        <f t="shared" si="61"/>
        <v>11.19283047692266</v>
      </c>
      <c r="S91" s="95">
        <f t="shared" si="61"/>
        <v>11.089994953722506</v>
      </c>
      <c r="T91" s="97">
        <f t="shared" si="61"/>
        <v>10.976145257828563</v>
      </c>
    </row>
    <row r="92" spans="4:20" ht="12.75" x14ac:dyDescent="0.2">
      <c r="D92" s="75" t="str">
        <f t="shared" si="42"/>
        <v>Secondary Systems (2014-18)</v>
      </c>
      <c r="E92" s="93" t="str">
        <f t="shared" si="48"/>
        <v>Calculated</v>
      </c>
      <c r="F92" s="93" t="str">
        <f t="shared" si="43"/>
        <v>Dollars</v>
      </c>
      <c r="G92" s="93" t="str">
        <f t="shared" si="44"/>
        <v>Nominal</v>
      </c>
      <c r="H92" s="50" t="str">
        <f t="shared" si="45"/>
        <v>End year</v>
      </c>
      <c r="J92" s="96">
        <f t="shared" ref="J92:T92" si="62">J33*J$497</f>
        <v>1.6552441373361502</v>
      </c>
      <c r="K92" s="95">
        <f t="shared" si="62"/>
        <v>2.0941950451051152</v>
      </c>
      <c r="L92" s="95">
        <f t="shared" si="62"/>
        <v>2.0374515240487421</v>
      </c>
      <c r="M92" s="95">
        <f t="shared" si="62"/>
        <v>0.89337505539889761</v>
      </c>
      <c r="N92" s="95">
        <f t="shared" si="62"/>
        <v>3.1073386436242729</v>
      </c>
      <c r="O92" s="97">
        <f t="shared" si="62"/>
        <v>2.0147932703283282</v>
      </c>
      <c r="P92" s="96">
        <f t="shared" si="62"/>
        <v>1.2868042195143836</v>
      </c>
      <c r="Q92" s="95">
        <f t="shared" si="62"/>
        <v>1.1540991097920299</v>
      </c>
      <c r="R92" s="95">
        <f t="shared" si="62"/>
        <v>1.0144463726068056</v>
      </c>
      <c r="S92" s="95">
        <f t="shared" si="62"/>
        <v>0.8675927593973165</v>
      </c>
      <c r="T92" s="97">
        <f t="shared" si="62"/>
        <v>0.71327695583006212</v>
      </c>
    </row>
    <row r="93" spans="4:20" ht="12.75" x14ac:dyDescent="0.2">
      <c r="D93" s="75" t="str">
        <f t="shared" ref="D93:D126" si="63">D34</f>
        <v>Communications (short life) (2014-18)</v>
      </c>
      <c r="E93" s="93" t="str">
        <f t="shared" si="48"/>
        <v>Calculated</v>
      </c>
      <c r="F93" s="93" t="str">
        <f t="shared" si="43"/>
        <v>Dollars</v>
      </c>
      <c r="G93" s="93" t="str">
        <f t="shared" si="44"/>
        <v>Nominal</v>
      </c>
      <c r="H93" s="50" t="str">
        <f t="shared" si="45"/>
        <v>End year</v>
      </c>
      <c r="J93" s="96">
        <f t="shared" ref="J93:T93" si="64">J34*J$497</f>
        <v>0.42720434991340361</v>
      </c>
      <c r="K93" s="95">
        <f t="shared" si="64"/>
        <v>0.86194199810896543</v>
      </c>
      <c r="L93" s="95">
        <f t="shared" si="64"/>
        <v>0.80538494527064197</v>
      </c>
      <c r="M93" s="95">
        <f t="shared" si="64"/>
        <v>0.33608854849981445</v>
      </c>
      <c r="N93" s="95">
        <f t="shared" si="64"/>
        <v>1.0977525480291144</v>
      </c>
      <c r="O93" s="97">
        <f t="shared" si="64"/>
        <v>0.65731222389853516</v>
      </c>
      <c r="P93" s="96">
        <f t="shared" si="64"/>
        <v>-0.23865468268299647</v>
      </c>
      <c r="Q93" s="95">
        <f t="shared" si="64"/>
        <v>-0.22065521299930485</v>
      </c>
      <c r="R93" s="95">
        <f t="shared" si="64"/>
        <v>-0.20167799297129471</v>
      </c>
      <c r="S93" s="95">
        <f t="shared" si="64"/>
        <v>-0.181687009051715</v>
      </c>
      <c r="T93" s="97">
        <f t="shared" si="64"/>
        <v>-0.16064509503124849</v>
      </c>
    </row>
    <row r="94" spans="4:20" ht="12.75" x14ac:dyDescent="0.2">
      <c r="D94" s="75" t="str">
        <f t="shared" si="63"/>
        <v>Business IT (2014-18)</v>
      </c>
      <c r="E94" s="93" t="str">
        <f t="shared" si="48"/>
        <v>Calculated</v>
      </c>
      <c r="F94" s="93" t="str">
        <f t="shared" si="43"/>
        <v>Dollars</v>
      </c>
      <c r="G94" s="93" t="str">
        <f t="shared" si="44"/>
        <v>Nominal</v>
      </c>
      <c r="H94" s="50" t="str">
        <f t="shared" si="45"/>
        <v>End year</v>
      </c>
      <c r="J94" s="96">
        <f t="shared" ref="J94:T94" si="65">J35*J$497</f>
        <v>0.46022205475833716</v>
      </c>
      <c r="K94" s="95">
        <f t="shared" si="65"/>
        <v>0.57435725051994624</v>
      </c>
      <c r="L94" s="95">
        <f t="shared" si="65"/>
        <v>0.41080720520873804</v>
      </c>
      <c r="M94" s="95">
        <f t="shared" si="65"/>
        <v>0.10411700909714</v>
      </c>
      <c r="N94" s="95">
        <f t="shared" si="65"/>
        <v>4.4651090287361112E-2</v>
      </c>
      <c r="O94" s="97">
        <f t="shared" si="65"/>
        <v>-2.6073687692233852E-3</v>
      </c>
      <c r="P94" s="96">
        <f t="shared" si="65"/>
        <v>-0.20566002269872422</v>
      </c>
      <c r="Q94" s="95">
        <f t="shared" si="65"/>
        <v>0</v>
      </c>
      <c r="R94" s="95">
        <f t="shared" si="65"/>
        <v>0</v>
      </c>
      <c r="S94" s="95">
        <f t="shared" si="65"/>
        <v>0</v>
      </c>
      <c r="T94" s="97">
        <f t="shared" si="65"/>
        <v>0</v>
      </c>
    </row>
    <row r="95" spans="4:20" ht="12.75" x14ac:dyDescent="0.2">
      <c r="D95" s="75" t="str">
        <f t="shared" si="63"/>
        <v>Minor Plant, Motor Vehicles &amp; Mobile Plant (2014-18)</v>
      </c>
      <c r="E95" s="93" t="str">
        <f t="shared" si="48"/>
        <v>Calculated</v>
      </c>
      <c r="F95" s="93" t="str">
        <f t="shared" si="43"/>
        <v>Dollars</v>
      </c>
      <c r="G95" s="93" t="str">
        <f t="shared" si="44"/>
        <v>Nominal</v>
      </c>
      <c r="H95" s="50" t="str">
        <f t="shared" si="45"/>
        <v>End year</v>
      </c>
      <c r="J95" s="96">
        <f t="shared" ref="J95:T95" si="66">J36*J$497</f>
        <v>0.37871248269028374</v>
      </c>
      <c r="K95" s="95">
        <f t="shared" si="66"/>
        <v>0.42956545683662567</v>
      </c>
      <c r="L95" s="95">
        <f t="shared" si="66"/>
        <v>0.38406464518749073</v>
      </c>
      <c r="M95" s="95">
        <f t="shared" si="66"/>
        <v>0.15101077815397043</v>
      </c>
      <c r="N95" s="95">
        <f t="shared" si="66"/>
        <v>0.45260034673137745</v>
      </c>
      <c r="O95" s="97">
        <f t="shared" si="66"/>
        <v>0.2379150524836276</v>
      </c>
      <c r="P95" s="96">
        <f t="shared" si="66"/>
        <v>0.10904293807187211</v>
      </c>
      <c r="Q95" s="95">
        <f t="shared" si="66"/>
        <v>3.4460631065165115E-2</v>
      </c>
      <c r="R95" s="95">
        <f t="shared" si="66"/>
        <v>-1.856266873412938E-2</v>
      </c>
      <c r="S95" s="95">
        <f t="shared" si="66"/>
        <v>2.0871783169372495E-17</v>
      </c>
      <c r="T95" s="97">
        <f t="shared" si="66"/>
        <v>2.1362260446242591E-17</v>
      </c>
    </row>
    <row r="96" spans="4:20" ht="12.75" x14ac:dyDescent="0.2">
      <c r="D96" s="75" t="str">
        <f t="shared" si="63"/>
        <v>Transmission Line Life Extension (2014-18)</v>
      </c>
      <c r="E96" s="93" t="str">
        <f t="shared" si="48"/>
        <v>Calculated</v>
      </c>
      <c r="F96" s="93" t="str">
        <f t="shared" si="43"/>
        <v>Dollars</v>
      </c>
      <c r="G96" s="93" t="str">
        <f t="shared" si="44"/>
        <v>Nominal</v>
      </c>
      <c r="H96" s="50" t="str">
        <f t="shared" si="45"/>
        <v>End year</v>
      </c>
      <c r="J96" s="96">
        <f t="shared" ref="J96:T96" si="67">J37*J$497</f>
        <v>5.193169841508187E-2</v>
      </c>
      <c r="K96" s="95">
        <f t="shared" si="67"/>
        <v>8.536399137218198E-2</v>
      </c>
      <c r="L96" s="95">
        <f t="shared" si="67"/>
        <v>8.5885130609708052E-2</v>
      </c>
      <c r="M96" s="95">
        <f t="shared" si="67"/>
        <v>3.9114354430803834E-2</v>
      </c>
      <c r="N96" s="95">
        <f t="shared" si="67"/>
        <v>0.14212789016765581</v>
      </c>
      <c r="O96" s="97">
        <f t="shared" si="67"/>
        <v>9.6804924856304209E-2</v>
      </c>
      <c r="P96" s="96">
        <f t="shared" si="67"/>
        <v>8.1220257188037381E-2</v>
      </c>
      <c r="Q96" s="95">
        <f t="shared" si="67"/>
        <v>7.8693758397559543E-2</v>
      </c>
      <c r="R96" s="95">
        <f t="shared" si="67"/>
        <v>7.600366436854121E-2</v>
      </c>
      <c r="S96" s="95">
        <f t="shared" si="67"/>
        <v>7.3143681479878847E-2</v>
      </c>
      <c r="T96" s="97">
        <f t="shared" si="67"/>
        <v>7.0107310658006988E-2</v>
      </c>
    </row>
    <row r="97" spans="4:20" ht="12.75" x14ac:dyDescent="0.2">
      <c r="D97" s="75" t="str">
        <f t="shared" si="63"/>
        <v>Residual - other</v>
      </c>
      <c r="E97" s="93" t="str">
        <f t="shared" si="48"/>
        <v>Calculated</v>
      </c>
      <c r="F97" s="93" t="str">
        <f t="shared" si="43"/>
        <v>Dollars</v>
      </c>
      <c r="G97" s="93" t="str">
        <f t="shared" si="44"/>
        <v>Nominal</v>
      </c>
      <c r="H97" s="50" t="str">
        <f t="shared" si="45"/>
        <v>End year</v>
      </c>
      <c r="J97" s="96">
        <f t="shared" ref="J97:T97" si="68">J38*J$497</f>
        <v>7.2958018757414533E-2</v>
      </c>
      <c r="K97" s="95">
        <f t="shared" si="68"/>
        <v>-2.846943732395248E-2</v>
      </c>
      <c r="L97" s="95">
        <f t="shared" si="68"/>
        <v>3.6702233337595463E-5</v>
      </c>
      <c r="M97" s="95">
        <f t="shared" si="68"/>
        <v>1.7477253970283405E-5</v>
      </c>
      <c r="N97" s="95">
        <f t="shared" si="68"/>
        <v>6.657086037280964E-5</v>
      </c>
      <c r="O97" s="97">
        <f t="shared" si="68"/>
        <v>4.7585363078025659E-5</v>
      </c>
      <c r="P97" s="96">
        <f t="shared" si="68"/>
        <v>5.0817526635524101E-5</v>
      </c>
      <c r="Q97" s="95">
        <f t="shared" si="68"/>
        <v>0</v>
      </c>
      <c r="R97" s="95">
        <f t="shared" si="68"/>
        <v>0</v>
      </c>
      <c r="S97" s="95">
        <f t="shared" si="68"/>
        <v>0</v>
      </c>
      <c r="T97" s="97">
        <f t="shared" si="68"/>
        <v>0</v>
      </c>
    </row>
    <row r="98" spans="4:20" ht="12.75" x14ac:dyDescent="0.2">
      <c r="D98" s="75" t="str">
        <f t="shared" si="63"/>
        <v>Transmission Lines (2018 onwards)</v>
      </c>
      <c r="E98" s="93" t="str">
        <f t="shared" si="48"/>
        <v>Calculated</v>
      </c>
      <c r="F98" s="93" t="str">
        <f t="shared" si="43"/>
        <v>Dollars</v>
      </c>
      <c r="G98" s="93" t="str">
        <f t="shared" si="44"/>
        <v>Nominal</v>
      </c>
      <c r="H98" s="50" t="str">
        <f t="shared" si="45"/>
        <v>End year</v>
      </c>
      <c r="J98" s="96">
        <f t="shared" ref="J98:T98" si="69">J39*J$497</f>
        <v>0</v>
      </c>
      <c r="K98" s="95">
        <f t="shared" si="69"/>
        <v>0</v>
      </c>
      <c r="L98" s="95">
        <f t="shared" si="69"/>
        <v>1.6476583284889255</v>
      </c>
      <c r="M98" s="95">
        <f t="shared" si="69"/>
        <v>1.0214568466031713</v>
      </c>
      <c r="N98" s="95">
        <f t="shared" si="69"/>
        <v>4.458425994392047</v>
      </c>
      <c r="O98" s="97">
        <f t="shared" si="69"/>
        <v>4.0257330567122036</v>
      </c>
      <c r="P98" s="96">
        <f t="shared" si="69"/>
        <v>11.405767770143225</v>
      </c>
      <c r="Q98" s="95">
        <f t="shared" si="69"/>
        <v>22.080862808653727</v>
      </c>
      <c r="R98" s="95">
        <f t="shared" si="69"/>
        <v>44.173565056374493</v>
      </c>
      <c r="S98" s="95">
        <f t="shared" si="69"/>
        <v>46.089541885937635</v>
      </c>
      <c r="T98" s="97">
        <f t="shared" si="69"/>
        <v>47.521593495533885</v>
      </c>
    </row>
    <row r="99" spans="4:20" ht="12.75" x14ac:dyDescent="0.2">
      <c r="D99" s="75" t="str">
        <f t="shared" si="63"/>
        <v>Underground Cables (2018 onwards)</v>
      </c>
      <c r="E99" s="93" t="str">
        <f t="shared" si="48"/>
        <v>Calculated</v>
      </c>
      <c r="F99" s="93" t="str">
        <f t="shared" si="43"/>
        <v>Dollars</v>
      </c>
      <c r="G99" s="93" t="str">
        <f t="shared" si="44"/>
        <v>Nominal</v>
      </c>
      <c r="H99" s="50" t="str">
        <f t="shared" si="45"/>
        <v>End year</v>
      </c>
      <c r="J99" s="96">
        <f t="shared" ref="J99:T99" si="70">J40*J$497</f>
        <v>0</v>
      </c>
      <c r="K99" s="95">
        <f t="shared" si="70"/>
        <v>0</v>
      </c>
      <c r="L99" s="95">
        <f t="shared" si="70"/>
        <v>0</v>
      </c>
      <c r="M99" s="95">
        <f t="shared" si="70"/>
        <v>-3.3021980241486932E-8</v>
      </c>
      <c r="N99" s="95">
        <f t="shared" si="70"/>
        <v>-3.3185827699201636E-6</v>
      </c>
      <c r="O99" s="97">
        <f t="shared" si="70"/>
        <v>2.1484449532557133E-2</v>
      </c>
      <c r="P99" s="96">
        <f t="shared" si="70"/>
        <v>0.15293829933299785</v>
      </c>
      <c r="Q99" s="95">
        <f t="shared" si="70"/>
        <v>0.1530420615517227</v>
      </c>
      <c r="R99" s="95">
        <f t="shared" si="70"/>
        <v>0.15306624363884619</v>
      </c>
      <c r="S99" s="95">
        <f t="shared" si="70"/>
        <v>0.25409969991773501</v>
      </c>
      <c r="T99" s="97">
        <f t="shared" si="70"/>
        <v>0.25402953024931851</v>
      </c>
    </row>
    <row r="100" spans="4:20" ht="12.75" x14ac:dyDescent="0.2">
      <c r="D100" s="75" t="str">
        <f t="shared" si="63"/>
        <v>Substations (2018 onwards)</v>
      </c>
      <c r="E100" s="93" t="str">
        <f t="shared" si="48"/>
        <v>Calculated</v>
      </c>
      <c r="F100" s="93" t="str">
        <f t="shared" si="43"/>
        <v>Dollars</v>
      </c>
      <c r="G100" s="93" t="str">
        <f t="shared" si="44"/>
        <v>Nominal</v>
      </c>
      <c r="H100" s="50" t="str">
        <f t="shared" si="45"/>
        <v>End year</v>
      </c>
      <c r="J100" s="96">
        <f t="shared" ref="J100:T100" si="71">J41*J$497</f>
        <v>0</v>
      </c>
      <c r="K100" s="95">
        <f t="shared" si="71"/>
        <v>0</v>
      </c>
      <c r="L100" s="95">
        <f t="shared" si="71"/>
        <v>1.9553778366465426</v>
      </c>
      <c r="M100" s="95">
        <f t="shared" si="71"/>
        <v>1.5941555388936732</v>
      </c>
      <c r="N100" s="95">
        <f t="shared" si="71"/>
        <v>9.0545132014515524</v>
      </c>
      <c r="O100" s="97">
        <f t="shared" si="71"/>
        <v>12.87777263129324</v>
      </c>
      <c r="P100" s="96">
        <f t="shared" si="71"/>
        <v>18.049468332059909</v>
      </c>
      <c r="Q100" s="95">
        <f t="shared" si="71"/>
        <v>23.637732510624154</v>
      </c>
      <c r="R100" s="95">
        <f t="shared" si="71"/>
        <v>28.705025402219807</v>
      </c>
      <c r="S100" s="95">
        <f t="shared" si="71"/>
        <v>32.159145299641622</v>
      </c>
      <c r="T100" s="97">
        <f t="shared" si="71"/>
        <v>33.971214002476643</v>
      </c>
    </row>
    <row r="101" spans="4:20" ht="12.75" x14ac:dyDescent="0.2">
      <c r="D101" s="75" t="str">
        <f t="shared" si="63"/>
        <v>Secondary Systems (2018 onwards)</v>
      </c>
      <c r="E101" s="93" t="str">
        <f t="shared" si="48"/>
        <v>Calculated</v>
      </c>
      <c r="F101" s="93" t="str">
        <f t="shared" si="43"/>
        <v>Dollars</v>
      </c>
      <c r="G101" s="93" t="str">
        <f t="shared" si="44"/>
        <v>Nominal</v>
      </c>
      <c r="H101" s="50" t="str">
        <f t="shared" si="45"/>
        <v>End year</v>
      </c>
      <c r="J101" s="96">
        <f t="shared" ref="J101:T101" si="72">J42*J$497</f>
        <v>0</v>
      </c>
      <c r="K101" s="95">
        <f t="shared" si="72"/>
        <v>0</v>
      </c>
      <c r="L101" s="95">
        <f t="shared" si="72"/>
        <v>0.31297041785310448</v>
      </c>
      <c r="M101" s="95">
        <f t="shared" si="72"/>
        <v>0.40437844798859174</v>
      </c>
      <c r="N101" s="95">
        <f t="shared" si="72"/>
        <v>2.0457063289022783</v>
      </c>
      <c r="O101" s="97">
        <f t="shared" si="72"/>
        <v>3.2345569774717191</v>
      </c>
      <c r="P101" s="96">
        <f t="shared" si="72"/>
        <v>3.358267385132339</v>
      </c>
      <c r="Q101" s="95">
        <f t="shared" si="72"/>
        <v>3.9541586232725248</v>
      </c>
      <c r="R101" s="95">
        <f t="shared" si="72"/>
        <v>4.2865669020043047</v>
      </c>
      <c r="S101" s="95">
        <f t="shared" si="72"/>
        <v>5.223361948325163</v>
      </c>
      <c r="T101" s="97">
        <f t="shared" si="72"/>
        <v>6.1409245858122121</v>
      </c>
    </row>
    <row r="102" spans="4:20" ht="12.75" x14ac:dyDescent="0.2">
      <c r="D102" s="75" t="str">
        <f t="shared" si="63"/>
        <v>Communications (short life) (2018 onwards)</v>
      </c>
      <c r="E102" s="93" t="str">
        <f t="shared" si="48"/>
        <v>Calculated</v>
      </c>
      <c r="F102" s="93" t="str">
        <f t="shared" si="43"/>
        <v>Dollars</v>
      </c>
      <c r="G102" s="93" t="str">
        <f t="shared" si="44"/>
        <v>Nominal</v>
      </c>
      <c r="H102" s="50" t="str">
        <f t="shared" si="45"/>
        <v>End year</v>
      </c>
      <c r="J102" s="96">
        <f t="shared" ref="J102:T102" si="73">J43*J$497</f>
        <v>0</v>
      </c>
      <c r="K102" s="95">
        <f t="shared" si="73"/>
        <v>0</v>
      </c>
      <c r="L102" s="95">
        <f t="shared" si="73"/>
        <v>0.22984082687449828</v>
      </c>
      <c r="M102" s="95">
        <f t="shared" si="73"/>
        <v>0.15221428456962083</v>
      </c>
      <c r="N102" s="95">
        <f t="shared" si="73"/>
        <v>0.86881041185807284</v>
      </c>
      <c r="O102" s="97">
        <f t="shared" si="73"/>
        <v>0.90413935144114832</v>
      </c>
      <c r="P102" s="96">
        <f t="shared" si="73"/>
        <v>1.3649196124958032</v>
      </c>
      <c r="Q102" s="95">
        <f t="shared" si="73"/>
        <v>1.3038079737157358</v>
      </c>
      <c r="R102" s="95">
        <f t="shared" si="73"/>
        <v>1.5233640826341397</v>
      </c>
      <c r="S102" s="95">
        <f t="shared" si="73"/>
        <v>1.5386140269606017</v>
      </c>
      <c r="T102" s="97">
        <f t="shared" si="73"/>
        <v>1.5330861795239397</v>
      </c>
    </row>
    <row r="103" spans="4:20" ht="12.75" x14ac:dyDescent="0.2">
      <c r="D103" s="75" t="str">
        <f t="shared" si="63"/>
        <v>Business IT (2018 onwards)</v>
      </c>
      <c r="E103" s="93" t="str">
        <f t="shared" si="48"/>
        <v>Calculated</v>
      </c>
      <c r="F103" s="93" t="str">
        <f t="shared" si="43"/>
        <v>Dollars</v>
      </c>
      <c r="G103" s="93" t="str">
        <f t="shared" si="44"/>
        <v>Nominal</v>
      </c>
      <c r="H103" s="50" t="str">
        <f t="shared" si="45"/>
        <v>End year</v>
      </c>
      <c r="J103" s="96">
        <f t="shared" ref="J103:T103" si="74">J44*J$497</f>
        <v>0</v>
      </c>
      <c r="K103" s="95">
        <f t="shared" si="74"/>
        <v>0</v>
      </c>
      <c r="L103" s="95">
        <f t="shared" si="74"/>
        <v>0.35339700120724121</v>
      </c>
      <c r="M103" s="95">
        <f t="shared" si="74"/>
        <v>0.26021864213757201</v>
      </c>
      <c r="N103" s="95">
        <f t="shared" si="74"/>
        <v>1.161605786539833</v>
      </c>
      <c r="O103" s="97">
        <f t="shared" si="74"/>
        <v>1.3573732479305478</v>
      </c>
      <c r="P103" s="96">
        <f t="shared" si="74"/>
        <v>1.0047668474413509</v>
      </c>
      <c r="Q103" s="95">
        <f t="shared" si="74"/>
        <v>1.1040390339766417</v>
      </c>
      <c r="R103" s="95">
        <f t="shared" si="74"/>
        <v>1.5328023627155902</v>
      </c>
      <c r="S103" s="95">
        <f t="shared" si="74"/>
        <v>1.3380349063710151</v>
      </c>
      <c r="T103" s="97">
        <f t="shared" si="74"/>
        <v>1.3609993972033161</v>
      </c>
    </row>
    <row r="104" spans="4:20" ht="12.75" x14ac:dyDescent="0.2">
      <c r="D104" s="75" t="str">
        <f t="shared" si="63"/>
        <v>Minor Plant, Motor Vehicles &amp; Mobile Plant (2018 onwards)</v>
      </c>
      <c r="E104" s="93" t="str">
        <f t="shared" si="48"/>
        <v>Calculated</v>
      </c>
      <c r="F104" s="93" t="str">
        <f t="shared" si="43"/>
        <v>Dollars</v>
      </c>
      <c r="G104" s="93" t="str">
        <f t="shared" si="44"/>
        <v>Nominal</v>
      </c>
      <c r="H104" s="50" t="str">
        <f t="shared" si="45"/>
        <v>End year</v>
      </c>
      <c r="J104" s="96">
        <f t="shared" ref="J104:T104" si="75">J45*J$497</f>
        <v>0</v>
      </c>
      <c r="K104" s="95">
        <f t="shared" si="75"/>
        <v>0</v>
      </c>
      <c r="L104" s="95">
        <f t="shared" si="75"/>
        <v>0.12543394412943853</v>
      </c>
      <c r="M104" s="95">
        <f t="shared" si="75"/>
        <v>0.11656440972439829</v>
      </c>
      <c r="N104" s="95">
        <f t="shared" si="75"/>
        <v>0.54047246362550261</v>
      </c>
      <c r="O104" s="97">
        <f t="shared" si="75"/>
        <v>0.39193519191474635</v>
      </c>
      <c r="P104" s="96">
        <f t="shared" si="75"/>
        <v>0.3059602861019442</v>
      </c>
      <c r="Q104" s="95">
        <f t="shared" si="75"/>
        <v>0.39677775389607278</v>
      </c>
      <c r="R104" s="95">
        <f t="shared" si="75"/>
        <v>0.47358113890186593</v>
      </c>
      <c r="S104" s="95">
        <f t="shared" si="75"/>
        <v>0.53523598222318258</v>
      </c>
      <c r="T104" s="97">
        <f t="shared" si="75"/>
        <v>0.58055224265013161</v>
      </c>
    </row>
    <row r="105" spans="4:20" ht="12.75" x14ac:dyDescent="0.2">
      <c r="D105" s="75" t="str">
        <f t="shared" si="63"/>
        <v>Transmission Line Life Extension (2018 onwards)</v>
      </c>
      <c r="E105" s="93" t="str">
        <f t="shared" si="48"/>
        <v>Calculated</v>
      </c>
      <c r="F105" s="93" t="str">
        <f t="shared" si="43"/>
        <v>Dollars</v>
      </c>
      <c r="G105" s="93" t="str">
        <f t="shared" si="44"/>
        <v>Nominal</v>
      </c>
      <c r="H105" s="50" t="str">
        <f t="shared" si="45"/>
        <v>End year</v>
      </c>
      <c r="J105" s="96">
        <f t="shared" ref="J105:T105" si="76">J46*J$497</f>
        <v>0</v>
      </c>
      <c r="K105" s="95">
        <f t="shared" si="76"/>
        <v>0</v>
      </c>
      <c r="L105" s="95">
        <f t="shared" si="76"/>
        <v>0.16628210525501361</v>
      </c>
      <c r="M105" s="95">
        <f t="shared" si="76"/>
        <v>0.4441197219697553</v>
      </c>
      <c r="N105" s="95">
        <f t="shared" si="76"/>
        <v>2.8359097248945333</v>
      </c>
      <c r="O105" s="97">
        <f t="shared" si="76"/>
        <v>4.3289316501233177</v>
      </c>
      <c r="P105" s="96">
        <f t="shared" si="76"/>
        <v>4.9267012537461836</v>
      </c>
      <c r="Q105" s="95">
        <f t="shared" si="76"/>
        <v>5.0360219432415896</v>
      </c>
      <c r="R105" s="95">
        <f t="shared" si="76"/>
        <v>5.1288189980378949</v>
      </c>
      <c r="S105" s="95">
        <f t="shared" si="76"/>
        <v>5.0935111661299333</v>
      </c>
      <c r="T105" s="97">
        <f t="shared" si="76"/>
        <v>5.0422351145357007</v>
      </c>
    </row>
    <row r="106" spans="4:20" ht="12.75" x14ac:dyDescent="0.2">
      <c r="D106" s="75" t="str">
        <f t="shared" si="63"/>
        <v xml:space="preserve">Land and Easements </v>
      </c>
      <c r="E106" s="93" t="str">
        <f t="shared" si="48"/>
        <v>Calculated</v>
      </c>
      <c r="F106" s="93" t="str">
        <f t="shared" si="43"/>
        <v>Dollars</v>
      </c>
      <c r="G106" s="93" t="str">
        <f t="shared" si="44"/>
        <v>Nominal</v>
      </c>
      <c r="H106" s="50" t="str">
        <f t="shared" si="45"/>
        <v>End year</v>
      </c>
      <c r="J106" s="96">
        <f t="shared" ref="J106:T106" si="77">J47*J$497</f>
        <v>16.339762450520936</v>
      </c>
      <c r="K106" s="95">
        <f t="shared" si="77"/>
        <v>15.828309664674725</v>
      </c>
      <c r="L106" s="95">
        <f t="shared" si="77"/>
        <v>16.640774606026575</v>
      </c>
      <c r="M106" s="95">
        <f t="shared" si="77"/>
        <v>7.9541874874626854</v>
      </c>
      <c r="N106" s="95">
        <f t="shared" si="77"/>
        <v>30.308008467858198</v>
      </c>
      <c r="O106" s="97">
        <f t="shared" si="77"/>
        <v>21.658451908110383</v>
      </c>
      <c r="P106" s="96">
        <f t="shared" si="77"/>
        <v>23.029219373607116</v>
      </c>
      <c r="Q106" s="95">
        <f t="shared" si="77"/>
        <v>25.348909036208951</v>
      </c>
      <c r="R106" s="95">
        <f t="shared" si="77"/>
        <v>30.362357675238528</v>
      </c>
      <c r="S106" s="95">
        <f t="shared" si="77"/>
        <v>31.067879671806335</v>
      </c>
      <c r="T106" s="97">
        <f t="shared" si="77"/>
        <v>31.789793597554528</v>
      </c>
    </row>
    <row r="107" spans="4:20" ht="12.75" x14ac:dyDescent="0.2">
      <c r="D107" s="75" t="str">
        <f t="shared" si="63"/>
        <v>Synchronous Condensers</v>
      </c>
      <c r="E107" s="93" t="str">
        <f t="shared" si="48"/>
        <v>Calculated</v>
      </c>
      <c r="F107" s="93" t="str">
        <f t="shared" si="43"/>
        <v>Dollars</v>
      </c>
      <c r="G107" s="93" t="str">
        <f t="shared" si="44"/>
        <v>Nominal</v>
      </c>
      <c r="H107" s="50" t="str">
        <f t="shared" si="45"/>
        <v>End year</v>
      </c>
      <c r="J107" s="96">
        <f t="shared" ref="J107:T107" si="78">J48*J$497</f>
        <v>0</v>
      </c>
      <c r="K107" s="95">
        <f t="shared" si="78"/>
        <v>0</v>
      </c>
      <c r="L107" s="95">
        <f t="shared" si="78"/>
        <v>0</v>
      </c>
      <c r="M107" s="95">
        <f t="shared" si="78"/>
        <v>0</v>
      </c>
      <c r="N107" s="95">
        <f t="shared" si="78"/>
        <v>0</v>
      </c>
      <c r="O107" s="97">
        <f t="shared" si="78"/>
        <v>0</v>
      </c>
      <c r="P107" s="96">
        <f t="shared" si="78"/>
        <v>0</v>
      </c>
      <c r="Q107" s="95">
        <f t="shared" si="78"/>
        <v>1.3814469451447744</v>
      </c>
      <c r="R107" s="95">
        <f t="shared" si="78"/>
        <v>3.8178910433974766</v>
      </c>
      <c r="S107" s="95">
        <f t="shared" si="78"/>
        <v>3.8090150184334659</v>
      </c>
      <c r="T107" s="97">
        <f t="shared" si="78"/>
        <v>3.7976134809265822</v>
      </c>
    </row>
    <row r="108" spans="4:20" ht="12.75" x14ac:dyDescent="0.2">
      <c r="D108" s="75" t="str">
        <f t="shared" si="63"/>
        <v>Leasehold Land and Property</v>
      </c>
      <c r="E108" s="93" t="str">
        <f t="shared" si="48"/>
        <v>Calculated</v>
      </c>
      <c r="F108" s="93" t="str">
        <f t="shared" si="43"/>
        <v>Dollars</v>
      </c>
      <c r="G108" s="93" t="str">
        <f t="shared" si="44"/>
        <v>Nominal</v>
      </c>
      <c r="H108" s="50" t="str">
        <f t="shared" si="45"/>
        <v>End year</v>
      </c>
      <c r="J108" s="96">
        <f t="shared" ref="J108:T108" si="79">J49*J$497</f>
        <v>0</v>
      </c>
      <c r="K108" s="95">
        <f t="shared" si="79"/>
        <v>0</v>
      </c>
      <c r="L108" s="95">
        <f t="shared" si="79"/>
        <v>0</v>
      </c>
      <c r="M108" s="95">
        <f t="shared" si="79"/>
        <v>0</v>
      </c>
      <c r="N108" s="95">
        <f t="shared" si="79"/>
        <v>0</v>
      </c>
      <c r="O108" s="97">
        <f t="shared" si="79"/>
        <v>3.2747290287627143E-2</v>
      </c>
      <c r="P108" s="96">
        <f t="shared" si="79"/>
        <v>5.8987231074247304E-2</v>
      </c>
      <c r="Q108" s="95">
        <f t="shared" si="79"/>
        <v>5.3953969485853182E-2</v>
      </c>
      <c r="R108" s="95">
        <f t="shared" si="79"/>
        <v>4.8651574826692162E-2</v>
      </c>
      <c r="S108" s="95">
        <f t="shared" si="79"/>
        <v>4.3070177600319108E-2</v>
      </c>
      <c r="T108" s="97">
        <f t="shared" si="79"/>
        <v>3.7199593075964703E-2</v>
      </c>
    </row>
    <row r="109" spans="4:20" ht="12.75" hidden="1" outlineLevel="1" x14ac:dyDescent="0.2">
      <c r="D109" s="75">
        <f t="shared" si="63"/>
        <v>0</v>
      </c>
      <c r="E109" s="93" t="str">
        <f t="shared" si="48"/>
        <v>Calculated</v>
      </c>
      <c r="F109" s="93" t="str">
        <f t="shared" si="43"/>
        <v>Dollars</v>
      </c>
      <c r="G109" s="93" t="str">
        <f t="shared" si="44"/>
        <v>Nominal</v>
      </c>
      <c r="H109" s="50" t="str">
        <f t="shared" si="45"/>
        <v>End year</v>
      </c>
      <c r="J109" s="96">
        <f t="shared" ref="J109:T109" si="80">J50*J$497</f>
        <v>0</v>
      </c>
      <c r="K109" s="95">
        <f t="shared" si="80"/>
        <v>0</v>
      </c>
      <c r="L109" s="95">
        <f t="shared" si="80"/>
        <v>0</v>
      </c>
      <c r="M109" s="95">
        <f t="shared" si="80"/>
        <v>0</v>
      </c>
      <c r="N109" s="95">
        <f t="shared" si="80"/>
        <v>0</v>
      </c>
      <c r="O109" s="97">
        <f t="shared" si="80"/>
        <v>0</v>
      </c>
      <c r="P109" s="96">
        <f t="shared" si="80"/>
        <v>0</v>
      </c>
      <c r="Q109" s="95">
        <f t="shared" si="80"/>
        <v>0</v>
      </c>
      <c r="R109" s="95">
        <f t="shared" si="80"/>
        <v>0</v>
      </c>
      <c r="S109" s="95">
        <f t="shared" si="80"/>
        <v>0</v>
      </c>
      <c r="T109" s="97">
        <f t="shared" si="80"/>
        <v>0</v>
      </c>
    </row>
    <row r="110" spans="4:20" ht="12.75" hidden="1" outlineLevel="1" x14ac:dyDescent="0.2">
      <c r="D110" s="75">
        <f t="shared" si="63"/>
        <v>0</v>
      </c>
      <c r="E110" s="93" t="str">
        <f t="shared" si="48"/>
        <v>Calculated</v>
      </c>
      <c r="F110" s="93" t="str">
        <f t="shared" si="43"/>
        <v>Dollars</v>
      </c>
      <c r="G110" s="93" t="str">
        <f t="shared" si="44"/>
        <v>Nominal</v>
      </c>
      <c r="H110" s="50" t="str">
        <f t="shared" si="45"/>
        <v>End year</v>
      </c>
      <c r="J110" s="96">
        <f t="shared" ref="J110:T110" si="81">J51*J$497</f>
        <v>0</v>
      </c>
      <c r="K110" s="95">
        <f t="shared" si="81"/>
        <v>0</v>
      </c>
      <c r="L110" s="95">
        <f t="shared" si="81"/>
        <v>0</v>
      </c>
      <c r="M110" s="95">
        <f t="shared" si="81"/>
        <v>0</v>
      </c>
      <c r="N110" s="95">
        <f t="shared" si="81"/>
        <v>0</v>
      </c>
      <c r="O110" s="97">
        <f t="shared" si="81"/>
        <v>0</v>
      </c>
      <c r="P110" s="96">
        <f t="shared" si="81"/>
        <v>0</v>
      </c>
      <c r="Q110" s="95">
        <f t="shared" si="81"/>
        <v>0</v>
      </c>
      <c r="R110" s="95">
        <f t="shared" si="81"/>
        <v>0</v>
      </c>
      <c r="S110" s="95">
        <f t="shared" si="81"/>
        <v>0</v>
      </c>
      <c r="T110" s="97">
        <f t="shared" si="81"/>
        <v>0</v>
      </c>
    </row>
    <row r="111" spans="4:20" ht="12.75" hidden="1" outlineLevel="1" x14ac:dyDescent="0.2">
      <c r="D111" s="75">
        <f t="shared" si="63"/>
        <v>0</v>
      </c>
      <c r="E111" s="93" t="str">
        <f t="shared" si="48"/>
        <v>Calculated</v>
      </c>
      <c r="F111" s="93" t="str">
        <f t="shared" si="43"/>
        <v>Dollars</v>
      </c>
      <c r="G111" s="93" t="str">
        <f t="shared" si="44"/>
        <v>Nominal</v>
      </c>
      <c r="H111" s="50" t="str">
        <f t="shared" si="45"/>
        <v>End year</v>
      </c>
      <c r="J111" s="96">
        <f t="shared" ref="J111:T111" si="82">J52*J$497</f>
        <v>0</v>
      </c>
      <c r="K111" s="95">
        <f t="shared" si="82"/>
        <v>0</v>
      </c>
      <c r="L111" s="95">
        <f t="shared" si="82"/>
        <v>0</v>
      </c>
      <c r="M111" s="95">
        <f t="shared" si="82"/>
        <v>0</v>
      </c>
      <c r="N111" s="95">
        <f t="shared" si="82"/>
        <v>0</v>
      </c>
      <c r="O111" s="97">
        <f t="shared" si="82"/>
        <v>0</v>
      </c>
      <c r="P111" s="96">
        <f t="shared" si="82"/>
        <v>0</v>
      </c>
      <c r="Q111" s="95">
        <f t="shared" si="82"/>
        <v>0</v>
      </c>
      <c r="R111" s="95">
        <f t="shared" si="82"/>
        <v>0</v>
      </c>
      <c r="S111" s="95">
        <f t="shared" si="82"/>
        <v>0</v>
      </c>
      <c r="T111" s="97">
        <f t="shared" si="82"/>
        <v>0</v>
      </c>
    </row>
    <row r="112" spans="4:20" ht="12.75" hidden="1" outlineLevel="1" x14ac:dyDescent="0.2">
      <c r="D112" s="75">
        <f t="shared" si="63"/>
        <v>0</v>
      </c>
      <c r="E112" s="93" t="str">
        <f t="shared" si="48"/>
        <v>Calculated</v>
      </c>
      <c r="F112" s="93" t="str">
        <f t="shared" si="43"/>
        <v>Dollars</v>
      </c>
      <c r="G112" s="93" t="str">
        <f t="shared" si="44"/>
        <v>Nominal</v>
      </c>
      <c r="H112" s="50" t="str">
        <f t="shared" si="45"/>
        <v>End year</v>
      </c>
      <c r="J112" s="96">
        <f t="shared" ref="J112:T112" si="83">J53*J$497</f>
        <v>0</v>
      </c>
      <c r="K112" s="95">
        <f t="shared" si="83"/>
        <v>0</v>
      </c>
      <c r="L112" s="95">
        <f t="shared" si="83"/>
        <v>0</v>
      </c>
      <c r="M112" s="95">
        <f t="shared" si="83"/>
        <v>0</v>
      </c>
      <c r="N112" s="95">
        <f t="shared" si="83"/>
        <v>0</v>
      </c>
      <c r="O112" s="97">
        <f t="shared" si="83"/>
        <v>0</v>
      </c>
      <c r="P112" s="96">
        <f t="shared" si="83"/>
        <v>0</v>
      </c>
      <c r="Q112" s="95">
        <f t="shared" si="83"/>
        <v>0</v>
      </c>
      <c r="R112" s="95">
        <f t="shared" si="83"/>
        <v>0</v>
      </c>
      <c r="S112" s="95">
        <f t="shared" si="83"/>
        <v>0</v>
      </c>
      <c r="T112" s="97">
        <f t="shared" si="83"/>
        <v>0</v>
      </c>
    </row>
    <row r="113" spans="4:20" ht="12.75" hidden="1" outlineLevel="1" x14ac:dyDescent="0.2">
      <c r="D113" s="75">
        <f t="shared" si="63"/>
        <v>0</v>
      </c>
      <c r="E113" s="93" t="str">
        <f t="shared" si="48"/>
        <v>Calculated</v>
      </c>
      <c r="F113" s="93" t="str">
        <f t="shared" si="43"/>
        <v>Dollars</v>
      </c>
      <c r="G113" s="93" t="str">
        <f t="shared" si="44"/>
        <v>Nominal</v>
      </c>
      <c r="H113" s="50" t="str">
        <f t="shared" si="45"/>
        <v>End year</v>
      </c>
      <c r="J113" s="96">
        <f t="shared" ref="J113:T113" si="84">J54*J$497</f>
        <v>0</v>
      </c>
      <c r="K113" s="95">
        <f t="shared" si="84"/>
        <v>0</v>
      </c>
      <c r="L113" s="95">
        <f t="shared" si="84"/>
        <v>0</v>
      </c>
      <c r="M113" s="95">
        <f t="shared" si="84"/>
        <v>0</v>
      </c>
      <c r="N113" s="95">
        <f t="shared" si="84"/>
        <v>0</v>
      </c>
      <c r="O113" s="97">
        <f t="shared" si="84"/>
        <v>0</v>
      </c>
      <c r="P113" s="96">
        <f t="shared" si="84"/>
        <v>0</v>
      </c>
      <c r="Q113" s="95">
        <f t="shared" si="84"/>
        <v>0</v>
      </c>
      <c r="R113" s="95">
        <f t="shared" si="84"/>
        <v>0</v>
      </c>
      <c r="S113" s="95">
        <f t="shared" si="84"/>
        <v>0</v>
      </c>
      <c r="T113" s="97">
        <f t="shared" si="84"/>
        <v>0</v>
      </c>
    </row>
    <row r="114" spans="4:20" ht="12.75" hidden="1" outlineLevel="1" x14ac:dyDescent="0.2">
      <c r="D114" s="75">
        <f t="shared" si="63"/>
        <v>0</v>
      </c>
      <c r="E114" s="93" t="str">
        <f t="shared" si="48"/>
        <v>Calculated</v>
      </c>
      <c r="F114" s="93" t="str">
        <f t="shared" si="43"/>
        <v>Dollars</v>
      </c>
      <c r="G114" s="93" t="str">
        <f t="shared" si="44"/>
        <v>Nominal</v>
      </c>
      <c r="H114" s="50" t="str">
        <f t="shared" si="45"/>
        <v>End year</v>
      </c>
      <c r="J114" s="96">
        <f t="shared" ref="J114:T114" si="85">J55*J$497</f>
        <v>0</v>
      </c>
      <c r="K114" s="95">
        <f t="shared" si="85"/>
        <v>0</v>
      </c>
      <c r="L114" s="95">
        <f t="shared" si="85"/>
        <v>0</v>
      </c>
      <c r="M114" s="95">
        <f t="shared" si="85"/>
        <v>0</v>
      </c>
      <c r="N114" s="95">
        <f t="shared" si="85"/>
        <v>0</v>
      </c>
      <c r="O114" s="97">
        <f t="shared" si="85"/>
        <v>0</v>
      </c>
      <c r="P114" s="96">
        <f t="shared" si="85"/>
        <v>0</v>
      </c>
      <c r="Q114" s="95">
        <f t="shared" si="85"/>
        <v>0</v>
      </c>
      <c r="R114" s="95">
        <f t="shared" si="85"/>
        <v>0</v>
      </c>
      <c r="S114" s="95">
        <f t="shared" si="85"/>
        <v>0</v>
      </c>
      <c r="T114" s="97">
        <f t="shared" si="85"/>
        <v>0</v>
      </c>
    </row>
    <row r="115" spans="4:20" ht="12.75" hidden="1" outlineLevel="1" x14ac:dyDescent="0.2">
      <c r="D115" s="75">
        <f t="shared" si="63"/>
        <v>0</v>
      </c>
      <c r="E115" s="93" t="str">
        <f t="shared" si="48"/>
        <v>Calculated</v>
      </c>
      <c r="F115" s="93" t="str">
        <f t="shared" si="43"/>
        <v>Dollars</v>
      </c>
      <c r="G115" s="93" t="str">
        <f t="shared" si="44"/>
        <v>Nominal</v>
      </c>
      <c r="H115" s="50" t="str">
        <f t="shared" si="45"/>
        <v>End year</v>
      </c>
      <c r="J115" s="96">
        <f t="shared" ref="J115:T115" si="86">J56*J$497</f>
        <v>0</v>
      </c>
      <c r="K115" s="95">
        <f t="shared" si="86"/>
        <v>0</v>
      </c>
      <c r="L115" s="95">
        <f t="shared" si="86"/>
        <v>0</v>
      </c>
      <c r="M115" s="95">
        <f t="shared" si="86"/>
        <v>0</v>
      </c>
      <c r="N115" s="95">
        <f t="shared" si="86"/>
        <v>0</v>
      </c>
      <c r="O115" s="97">
        <f t="shared" si="86"/>
        <v>0</v>
      </c>
      <c r="P115" s="96">
        <f t="shared" si="86"/>
        <v>0</v>
      </c>
      <c r="Q115" s="95">
        <f t="shared" si="86"/>
        <v>0</v>
      </c>
      <c r="R115" s="95">
        <f t="shared" si="86"/>
        <v>0</v>
      </c>
      <c r="S115" s="95">
        <f t="shared" si="86"/>
        <v>0</v>
      </c>
      <c r="T115" s="97">
        <f t="shared" si="86"/>
        <v>0</v>
      </c>
    </row>
    <row r="116" spans="4:20" ht="12.75" hidden="1" outlineLevel="1" x14ac:dyDescent="0.2">
      <c r="D116" s="75">
        <f t="shared" si="63"/>
        <v>0</v>
      </c>
      <c r="E116" s="93" t="str">
        <f t="shared" si="48"/>
        <v>Calculated</v>
      </c>
      <c r="F116" s="93" t="str">
        <f t="shared" si="43"/>
        <v>Dollars</v>
      </c>
      <c r="G116" s="93" t="str">
        <f t="shared" si="44"/>
        <v>Nominal</v>
      </c>
      <c r="H116" s="50" t="str">
        <f t="shared" si="45"/>
        <v>End year</v>
      </c>
      <c r="J116" s="96">
        <f t="shared" ref="J116:T116" si="87">J57*J$497</f>
        <v>0</v>
      </c>
      <c r="K116" s="95">
        <f t="shared" si="87"/>
        <v>0</v>
      </c>
      <c r="L116" s="95">
        <f t="shared" si="87"/>
        <v>0</v>
      </c>
      <c r="M116" s="95">
        <f t="shared" si="87"/>
        <v>0</v>
      </c>
      <c r="N116" s="95">
        <f t="shared" si="87"/>
        <v>0</v>
      </c>
      <c r="O116" s="97">
        <f t="shared" si="87"/>
        <v>0</v>
      </c>
      <c r="P116" s="96">
        <f t="shared" si="87"/>
        <v>0</v>
      </c>
      <c r="Q116" s="95">
        <f t="shared" si="87"/>
        <v>0</v>
      </c>
      <c r="R116" s="95">
        <f t="shared" si="87"/>
        <v>0</v>
      </c>
      <c r="S116" s="95">
        <f t="shared" si="87"/>
        <v>0</v>
      </c>
      <c r="T116" s="97">
        <f t="shared" si="87"/>
        <v>0</v>
      </c>
    </row>
    <row r="117" spans="4:20" ht="12.75" hidden="1" outlineLevel="1" x14ac:dyDescent="0.2">
      <c r="D117" s="75">
        <f t="shared" si="63"/>
        <v>0</v>
      </c>
      <c r="E117" s="93" t="str">
        <f t="shared" si="48"/>
        <v>Calculated</v>
      </c>
      <c r="F117" s="93" t="str">
        <f t="shared" si="43"/>
        <v>Dollars</v>
      </c>
      <c r="G117" s="93" t="str">
        <f t="shared" si="44"/>
        <v>Nominal</v>
      </c>
      <c r="H117" s="50" t="str">
        <f t="shared" si="45"/>
        <v>End year</v>
      </c>
      <c r="J117" s="96">
        <f t="shared" ref="J117:T117" si="88">J58*J$497</f>
        <v>0</v>
      </c>
      <c r="K117" s="95">
        <f t="shared" si="88"/>
        <v>0</v>
      </c>
      <c r="L117" s="95">
        <f t="shared" si="88"/>
        <v>0</v>
      </c>
      <c r="M117" s="95">
        <f t="shared" si="88"/>
        <v>0</v>
      </c>
      <c r="N117" s="95">
        <f t="shared" si="88"/>
        <v>0</v>
      </c>
      <c r="O117" s="97">
        <f t="shared" si="88"/>
        <v>0</v>
      </c>
      <c r="P117" s="96">
        <f t="shared" si="88"/>
        <v>0</v>
      </c>
      <c r="Q117" s="95">
        <f t="shared" si="88"/>
        <v>0</v>
      </c>
      <c r="R117" s="95">
        <f t="shared" si="88"/>
        <v>0</v>
      </c>
      <c r="S117" s="95">
        <f t="shared" si="88"/>
        <v>0</v>
      </c>
      <c r="T117" s="97">
        <f t="shared" si="88"/>
        <v>0</v>
      </c>
    </row>
    <row r="118" spans="4:20" ht="12.75" hidden="1" outlineLevel="1" x14ac:dyDescent="0.2">
      <c r="D118" s="75">
        <f t="shared" si="63"/>
        <v>0</v>
      </c>
      <c r="E118" s="93" t="str">
        <f t="shared" si="48"/>
        <v>Calculated</v>
      </c>
      <c r="F118" s="93" t="str">
        <f t="shared" si="43"/>
        <v>Dollars</v>
      </c>
      <c r="G118" s="93" t="str">
        <f t="shared" si="44"/>
        <v>Nominal</v>
      </c>
      <c r="H118" s="50" t="str">
        <f t="shared" si="45"/>
        <v>End year</v>
      </c>
      <c r="J118" s="96">
        <f t="shared" ref="J118:T118" si="89">J59*J$497</f>
        <v>0</v>
      </c>
      <c r="K118" s="95">
        <f t="shared" si="89"/>
        <v>0</v>
      </c>
      <c r="L118" s="95">
        <f t="shared" si="89"/>
        <v>0</v>
      </c>
      <c r="M118" s="95">
        <f t="shared" si="89"/>
        <v>0</v>
      </c>
      <c r="N118" s="95">
        <f t="shared" si="89"/>
        <v>0</v>
      </c>
      <c r="O118" s="97">
        <f t="shared" si="89"/>
        <v>0</v>
      </c>
      <c r="P118" s="96">
        <f t="shared" si="89"/>
        <v>0</v>
      </c>
      <c r="Q118" s="95">
        <f t="shared" si="89"/>
        <v>0</v>
      </c>
      <c r="R118" s="95">
        <f t="shared" si="89"/>
        <v>0</v>
      </c>
      <c r="S118" s="95">
        <f t="shared" si="89"/>
        <v>0</v>
      </c>
      <c r="T118" s="97">
        <f t="shared" si="89"/>
        <v>0</v>
      </c>
    </row>
    <row r="119" spans="4:20" ht="12.75" hidden="1" outlineLevel="1" x14ac:dyDescent="0.2">
      <c r="D119" s="75">
        <f t="shared" si="63"/>
        <v>0</v>
      </c>
      <c r="E119" s="93" t="str">
        <f t="shared" si="48"/>
        <v>Calculated</v>
      </c>
      <c r="F119" s="93" t="str">
        <f t="shared" si="43"/>
        <v>Dollars</v>
      </c>
      <c r="G119" s="93" t="str">
        <f t="shared" si="44"/>
        <v>Nominal</v>
      </c>
      <c r="H119" s="50" t="str">
        <f t="shared" si="45"/>
        <v>End year</v>
      </c>
      <c r="J119" s="96">
        <f t="shared" ref="J119:T119" si="90">J60*J$497</f>
        <v>0</v>
      </c>
      <c r="K119" s="95">
        <f t="shared" si="90"/>
        <v>0</v>
      </c>
      <c r="L119" s="95">
        <f t="shared" si="90"/>
        <v>0</v>
      </c>
      <c r="M119" s="95">
        <f t="shared" si="90"/>
        <v>0</v>
      </c>
      <c r="N119" s="95">
        <f t="shared" si="90"/>
        <v>0</v>
      </c>
      <c r="O119" s="97">
        <f t="shared" si="90"/>
        <v>0</v>
      </c>
      <c r="P119" s="96">
        <f t="shared" si="90"/>
        <v>0</v>
      </c>
      <c r="Q119" s="95">
        <f t="shared" si="90"/>
        <v>0</v>
      </c>
      <c r="R119" s="95">
        <f t="shared" si="90"/>
        <v>0</v>
      </c>
      <c r="S119" s="95">
        <f t="shared" si="90"/>
        <v>0</v>
      </c>
      <c r="T119" s="97">
        <f t="shared" si="90"/>
        <v>0</v>
      </c>
    </row>
    <row r="120" spans="4:20" ht="12.75" hidden="1" outlineLevel="1" x14ac:dyDescent="0.2">
      <c r="D120" s="75">
        <f t="shared" si="63"/>
        <v>0</v>
      </c>
      <c r="E120" s="93" t="str">
        <f t="shared" si="48"/>
        <v>Calculated</v>
      </c>
      <c r="F120" s="93" t="str">
        <f t="shared" si="43"/>
        <v>Dollars</v>
      </c>
      <c r="G120" s="93" t="str">
        <f t="shared" si="44"/>
        <v>Nominal</v>
      </c>
      <c r="H120" s="50" t="str">
        <f t="shared" si="45"/>
        <v>End year</v>
      </c>
      <c r="J120" s="96">
        <f t="shared" ref="J120:T120" si="91">J61*J$497</f>
        <v>0</v>
      </c>
      <c r="K120" s="95">
        <f t="shared" si="91"/>
        <v>0</v>
      </c>
      <c r="L120" s="95">
        <f t="shared" si="91"/>
        <v>0</v>
      </c>
      <c r="M120" s="95">
        <f t="shared" si="91"/>
        <v>0</v>
      </c>
      <c r="N120" s="95">
        <f t="shared" si="91"/>
        <v>0</v>
      </c>
      <c r="O120" s="97">
        <f t="shared" si="91"/>
        <v>0</v>
      </c>
      <c r="P120" s="96">
        <f t="shared" si="91"/>
        <v>0</v>
      </c>
      <c r="Q120" s="95">
        <f t="shared" si="91"/>
        <v>0</v>
      </c>
      <c r="R120" s="95">
        <f t="shared" si="91"/>
        <v>0</v>
      </c>
      <c r="S120" s="95">
        <f t="shared" si="91"/>
        <v>0</v>
      </c>
      <c r="T120" s="97">
        <f t="shared" si="91"/>
        <v>0</v>
      </c>
    </row>
    <row r="121" spans="4:20" ht="12.75" hidden="1" outlineLevel="1" x14ac:dyDescent="0.2">
      <c r="D121" s="75">
        <f t="shared" si="63"/>
        <v>0</v>
      </c>
      <c r="E121" s="93" t="str">
        <f t="shared" si="48"/>
        <v>Calculated</v>
      </c>
      <c r="F121" s="93" t="str">
        <f t="shared" si="43"/>
        <v>Dollars</v>
      </c>
      <c r="G121" s="93" t="str">
        <f t="shared" si="44"/>
        <v>Nominal</v>
      </c>
      <c r="H121" s="50" t="str">
        <f t="shared" si="45"/>
        <v>End year</v>
      </c>
      <c r="J121" s="96">
        <f t="shared" ref="J121:T121" si="92">J62*J$497</f>
        <v>0</v>
      </c>
      <c r="K121" s="95">
        <f t="shared" si="92"/>
        <v>0</v>
      </c>
      <c r="L121" s="95">
        <f t="shared" si="92"/>
        <v>0</v>
      </c>
      <c r="M121" s="95">
        <f t="shared" si="92"/>
        <v>0</v>
      </c>
      <c r="N121" s="95">
        <f t="shared" si="92"/>
        <v>0</v>
      </c>
      <c r="O121" s="97">
        <f t="shared" si="92"/>
        <v>0</v>
      </c>
      <c r="P121" s="96">
        <f t="shared" si="92"/>
        <v>0</v>
      </c>
      <c r="Q121" s="95">
        <f t="shared" si="92"/>
        <v>0</v>
      </c>
      <c r="R121" s="95">
        <f t="shared" si="92"/>
        <v>0</v>
      </c>
      <c r="S121" s="95">
        <f t="shared" si="92"/>
        <v>0</v>
      </c>
      <c r="T121" s="97">
        <f t="shared" si="92"/>
        <v>0</v>
      </c>
    </row>
    <row r="122" spans="4:20" ht="12.75" hidden="1" outlineLevel="1" x14ac:dyDescent="0.2">
      <c r="D122" s="75">
        <f t="shared" si="63"/>
        <v>0</v>
      </c>
      <c r="E122" s="93" t="str">
        <f t="shared" si="48"/>
        <v>Calculated</v>
      </c>
      <c r="F122" s="93" t="str">
        <f t="shared" si="43"/>
        <v>Dollars</v>
      </c>
      <c r="G122" s="93" t="str">
        <f t="shared" si="44"/>
        <v>Nominal</v>
      </c>
      <c r="H122" s="50" t="str">
        <f t="shared" si="45"/>
        <v>End year</v>
      </c>
      <c r="J122" s="96">
        <f t="shared" ref="J122:T122" si="93">J63*J$497</f>
        <v>0</v>
      </c>
      <c r="K122" s="95">
        <f t="shared" si="93"/>
        <v>0</v>
      </c>
      <c r="L122" s="95">
        <f t="shared" si="93"/>
        <v>0</v>
      </c>
      <c r="M122" s="95">
        <f t="shared" si="93"/>
        <v>0</v>
      </c>
      <c r="N122" s="95">
        <f t="shared" si="93"/>
        <v>0</v>
      </c>
      <c r="O122" s="97">
        <f t="shared" si="93"/>
        <v>0</v>
      </c>
      <c r="P122" s="96">
        <f t="shared" si="93"/>
        <v>0</v>
      </c>
      <c r="Q122" s="95">
        <f t="shared" si="93"/>
        <v>0</v>
      </c>
      <c r="R122" s="95">
        <f t="shared" si="93"/>
        <v>0</v>
      </c>
      <c r="S122" s="95">
        <f t="shared" si="93"/>
        <v>0</v>
      </c>
      <c r="T122" s="97">
        <f t="shared" si="93"/>
        <v>0</v>
      </c>
    </row>
    <row r="123" spans="4:20" ht="12.75" hidden="1" outlineLevel="1" x14ac:dyDescent="0.2">
      <c r="D123" s="75">
        <f t="shared" si="63"/>
        <v>0</v>
      </c>
      <c r="E123" s="93" t="str">
        <f t="shared" si="48"/>
        <v>Calculated</v>
      </c>
      <c r="F123" s="93" t="str">
        <f t="shared" si="43"/>
        <v>Dollars</v>
      </c>
      <c r="G123" s="93" t="str">
        <f t="shared" si="44"/>
        <v>Nominal</v>
      </c>
      <c r="H123" s="50" t="str">
        <f t="shared" si="45"/>
        <v>End year</v>
      </c>
      <c r="J123" s="96">
        <f t="shared" ref="J123:T123" si="94">J64*J$497</f>
        <v>0</v>
      </c>
      <c r="K123" s="95">
        <f t="shared" si="94"/>
        <v>0</v>
      </c>
      <c r="L123" s="95">
        <f t="shared" si="94"/>
        <v>0</v>
      </c>
      <c r="M123" s="95">
        <f t="shared" si="94"/>
        <v>0</v>
      </c>
      <c r="N123" s="95">
        <f t="shared" si="94"/>
        <v>0</v>
      </c>
      <c r="O123" s="97">
        <f t="shared" si="94"/>
        <v>0</v>
      </c>
      <c r="P123" s="96">
        <f t="shared" si="94"/>
        <v>0</v>
      </c>
      <c r="Q123" s="95">
        <f t="shared" si="94"/>
        <v>0</v>
      </c>
      <c r="R123" s="95">
        <f t="shared" si="94"/>
        <v>0</v>
      </c>
      <c r="S123" s="95">
        <f t="shared" si="94"/>
        <v>0</v>
      </c>
      <c r="T123" s="97">
        <f t="shared" si="94"/>
        <v>0</v>
      </c>
    </row>
    <row r="124" spans="4:20" ht="12.75" collapsed="1" x14ac:dyDescent="0.2">
      <c r="D124" s="75" t="str">
        <f t="shared" si="63"/>
        <v>Buildings - capital works</v>
      </c>
      <c r="E124" s="93" t="str">
        <f t="shared" si="48"/>
        <v>Calculated</v>
      </c>
      <c r="F124" s="93" t="str">
        <f t="shared" si="43"/>
        <v>Dollars</v>
      </c>
      <c r="G124" s="93" t="str">
        <f t="shared" si="44"/>
        <v>Nominal</v>
      </c>
      <c r="H124" s="50" t="str">
        <f t="shared" si="45"/>
        <v>End year</v>
      </c>
      <c r="J124" s="96">
        <f t="shared" ref="J124:T124" si="95">J65*J$497</f>
        <v>0</v>
      </c>
      <c r="K124" s="95">
        <f t="shared" si="95"/>
        <v>0</v>
      </c>
      <c r="L124" s="95">
        <f t="shared" si="95"/>
        <v>0</v>
      </c>
      <c r="M124" s="95">
        <f t="shared" si="95"/>
        <v>0</v>
      </c>
      <c r="N124" s="95">
        <f t="shared" si="95"/>
        <v>0</v>
      </c>
      <c r="O124" s="97">
        <f t="shared" si="95"/>
        <v>0</v>
      </c>
      <c r="P124" s="96">
        <f t="shared" si="95"/>
        <v>0</v>
      </c>
      <c r="Q124" s="95">
        <f t="shared" si="95"/>
        <v>0.11297715662924014</v>
      </c>
      <c r="R124" s="95">
        <f t="shared" si="95"/>
        <v>0.22837333370079765</v>
      </c>
      <c r="S124" s="95">
        <f t="shared" si="95"/>
        <v>0.34617190125203717</v>
      </c>
      <c r="T124" s="97">
        <f t="shared" si="95"/>
        <v>0.46635251549326273</v>
      </c>
    </row>
    <row r="125" spans="4:20" ht="12.75" x14ac:dyDescent="0.2">
      <c r="D125" s="75" t="str">
        <f t="shared" si="63"/>
        <v>In-house software</v>
      </c>
      <c r="E125" s="93" t="str">
        <f t="shared" si="48"/>
        <v>Calculated</v>
      </c>
      <c r="F125" s="93" t="str">
        <f t="shared" si="43"/>
        <v>Dollars</v>
      </c>
      <c r="G125" s="93" t="str">
        <f t="shared" si="44"/>
        <v>Nominal</v>
      </c>
      <c r="H125" s="50" t="str">
        <f t="shared" si="45"/>
        <v>End year</v>
      </c>
      <c r="J125" s="96">
        <f t="shared" ref="J125:T125" si="96">J66*J$497</f>
        <v>0</v>
      </c>
      <c r="K125" s="95">
        <f t="shared" si="96"/>
        <v>0</v>
      </c>
      <c r="L125" s="95">
        <f t="shared" si="96"/>
        <v>0</v>
      </c>
      <c r="M125" s="95">
        <f t="shared" si="96"/>
        <v>0</v>
      </c>
      <c r="N125" s="95">
        <f t="shared" si="96"/>
        <v>0</v>
      </c>
      <c r="O125" s="97">
        <f t="shared" si="96"/>
        <v>0</v>
      </c>
      <c r="P125" s="96">
        <f t="shared" si="96"/>
        <v>0</v>
      </c>
      <c r="Q125" s="95">
        <f t="shared" si="96"/>
        <v>0.43007392691881347</v>
      </c>
      <c r="R125" s="95">
        <f t="shared" si="96"/>
        <v>0.67854202036973088</v>
      </c>
      <c r="S125" s="95">
        <f t="shared" si="96"/>
        <v>0.9298314089698051</v>
      </c>
      <c r="T125" s="97">
        <f t="shared" si="96"/>
        <v>1.1559214845703125</v>
      </c>
    </row>
    <row r="126" spans="4:20" ht="12.75" x14ac:dyDescent="0.2">
      <c r="D126" s="75" t="str">
        <f t="shared" si="63"/>
        <v>Equity raising costs</v>
      </c>
      <c r="E126" s="93" t="str">
        <f t="shared" si="48"/>
        <v>Calculated</v>
      </c>
      <c r="F126" s="93" t="str">
        <f t="shared" si="43"/>
        <v>Dollars</v>
      </c>
      <c r="G126" s="93" t="str">
        <f t="shared" si="44"/>
        <v>Nominal</v>
      </c>
      <c r="H126" s="50" t="str">
        <f t="shared" si="45"/>
        <v>End year</v>
      </c>
      <c r="J126" s="96">
        <f t="shared" ref="J126:T126" si="97">J67*J$497</f>
        <v>2.4966748877464605E-2</v>
      </c>
      <c r="K126" s="95">
        <f t="shared" si="97"/>
        <v>2.3063229170615249E-2</v>
      </c>
      <c r="L126" s="95">
        <f t="shared" si="97"/>
        <v>0.32714359780436841</v>
      </c>
      <c r="M126" s="95">
        <f t="shared" si="97"/>
        <v>0.15183976490526202</v>
      </c>
      <c r="N126" s="95">
        <f t="shared" si="97"/>
        <v>0.56319324418135452</v>
      </c>
      <c r="O126" s="97">
        <f t="shared" si="97"/>
        <v>0.39198607028144039</v>
      </c>
      <c r="P126" s="96">
        <f t="shared" si="97"/>
        <v>0.40719251662204775</v>
      </c>
      <c r="Q126" s="95">
        <f t="shared" si="97"/>
        <v>0.4050333295245635</v>
      </c>
      <c r="R126" s="95">
        <f t="shared" si="97"/>
        <v>0.40254779938594326</v>
      </c>
      <c r="S126" s="95">
        <f t="shared" si="97"/>
        <v>0.39972178074858494</v>
      </c>
      <c r="T126" s="97">
        <f t="shared" si="97"/>
        <v>0.3965406435472984</v>
      </c>
    </row>
    <row r="127" spans="4:20" x14ac:dyDescent="0.2">
      <c r="J127" s="88"/>
      <c r="K127" s="89"/>
      <c r="L127" s="89"/>
      <c r="M127" s="89"/>
      <c r="N127" s="89"/>
      <c r="O127" s="91"/>
      <c r="P127" s="88"/>
      <c r="Q127" s="89"/>
      <c r="R127" s="89"/>
      <c r="S127" s="89"/>
      <c r="T127" s="91"/>
    </row>
    <row r="128" spans="4:20" ht="12.75" x14ac:dyDescent="0.2">
      <c r="D128" s="98" t="str">
        <f>"Total "&amp;C73</f>
        <v>Total Inflation</v>
      </c>
      <c r="E128" s="99" t="s">
        <v>92</v>
      </c>
      <c r="F128" s="99" t="str">
        <f>F77</f>
        <v>Dollars</v>
      </c>
      <c r="G128" s="99" t="str">
        <f>G77</f>
        <v>Nominal</v>
      </c>
      <c r="H128" s="45" t="str">
        <f>H77</f>
        <v>End year</v>
      </c>
      <c r="J128" s="100">
        <f t="shared" ref="J128:T128" si="98">SUM(J77:J126)</f>
        <v>115.11838536060003</v>
      </c>
      <c r="K128" s="101">
        <f t="shared" si="98"/>
        <v>110.63154196467194</v>
      </c>
      <c r="L128" s="101">
        <f t="shared" si="98"/>
        <v>116.56773578921397</v>
      </c>
      <c r="M128" s="101">
        <f t="shared" si="98"/>
        <v>54.9901974341292</v>
      </c>
      <c r="N128" s="101">
        <f t="shared" si="98"/>
        <v>206.68215708723216</v>
      </c>
      <c r="O128" s="102">
        <f t="shared" si="98"/>
        <v>154.18880391253188</v>
      </c>
      <c r="P128" s="100">
        <f t="shared" si="98"/>
        <v>166.47813583509995</v>
      </c>
      <c r="Q128" s="101">
        <f t="shared" si="98"/>
        <v>184.61862283911663</v>
      </c>
      <c r="R128" s="101">
        <f t="shared" si="98"/>
        <v>217.14398079903174</v>
      </c>
      <c r="S128" s="101">
        <f t="shared" si="98"/>
        <v>220.71563676702158</v>
      </c>
      <c r="T128" s="102">
        <f t="shared" si="98"/>
        <v>221.94798165139949</v>
      </c>
    </row>
    <row r="129" spans="1:20" s="82" customFormat="1" ht="11.25" customHeight="1" x14ac:dyDescent="0.2">
      <c r="H129" s="6"/>
    </row>
    <row r="130" spans="1:20" s="82" customFormat="1" ht="11.25" customHeight="1" x14ac:dyDescent="0.2">
      <c r="A130" s="69">
        <f>IF(SUM($J130:$T130)&lt;&gt;0,1,0)</f>
        <v>0</v>
      </c>
      <c r="D130" s="75" t="s">
        <v>121</v>
      </c>
      <c r="H130" s="6"/>
      <c r="J130" s="103">
        <f t="shared" ref="J130:K130" si="99">IF(ISERROR(J128),1,0)</f>
        <v>0</v>
      </c>
      <c r="K130" s="103">
        <f t="shared" si="99"/>
        <v>0</v>
      </c>
      <c r="L130" s="103">
        <f>IF(ISERROR(L128),1,0)</f>
        <v>0</v>
      </c>
      <c r="M130" s="103">
        <f t="shared" ref="M130:P130" si="100">IF(ISERROR(M128),1,0)</f>
        <v>0</v>
      </c>
      <c r="N130" s="103">
        <f t="shared" si="100"/>
        <v>0</v>
      </c>
      <c r="O130" s="103">
        <f t="shared" si="100"/>
        <v>0</v>
      </c>
      <c r="P130" s="103">
        <f t="shared" si="100"/>
        <v>0</v>
      </c>
      <c r="Q130" s="103">
        <f>IF(ISERROR(Q128),1,0)</f>
        <v>0</v>
      </c>
      <c r="R130" s="103">
        <f t="shared" ref="R130:T130" si="101">IF(ISERROR(R128),1,0)</f>
        <v>0</v>
      </c>
      <c r="S130" s="103">
        <f t="shared" si="101"/>
        <v>0</v>
      </c>
      <c r="T130" s="103">
        <f t="shared" si="101"/>
        <v>0</v>
      </c>
    </row>
    <row r="131" spans="1:20" s="82" customFormat="1" ht="11.25" customHeight="1" x14ac:dyDescent="0.2">
      <c r="A131" s="69">
        <f>IF(SUM($J131:$T131)&lt;&gt;0,1,0)</f>
        <v>0</v>
      </c>
      <c r="D131" s="75" t="s">
        <v>122</v>
      </c>
      <c r="H131" s="6"/>
      <c r="J131" s="109">
        <v>0</v>
      </c>
      <c r="K131" s="103">
        <v>0</v>
      </c>
      <c r="L131" s="103">
        <v>0</v>
      </c>
      <c r="M131" s="103">
        <v>0</v>
      </c>
      <c r="N131" s="103">
        <v>0</v>
      </c>
      <c r="O131" s="110">
        <v>0</v>
      </c>
      <c r="P131" s="109" t="str">
        <f>NA</f>
        <v>N/A</v>
      </c>
      <c r="Q131" s="103" t="str">
        <f>NA</f>
        <v>N/A</v>
      </c>
      <c r="R131" s="103" t="str">
        <f>NA</f>
        <v>N/A</v>
      </c>
      <c r="S131" s="103" t="str">
        <f>NA</f>
        <v>N/A</v>
      </c>
      <c r="T131" s="110" t="str">
        <f>NA</f>
        <v>N/A</v>
      </c>
    </row>
    <row r="132" spans="1:20" s="82" customFormat="1" ht="11.25" customHeight="1" x14ac:dyDescent="0.2">
      <c r="H132" s="6"/>
      <c r="N132" s="79"/>
      <c r="S132" s="79"/>
    </row>
    <row r="133" spans="1:20" s="83" customFormat="1" ht="15" x14ac:dyDescent="0.2">
      <c r="C133" s="83" t="s">
        <v>107</v>
      </c>
      <c r="H133" s="13"/>
    </row>
    <row r="134" spans="1:20" s="82" customFormat="1" ht="11.25" customHeight="1" x14ac:dyDescent="0.2">
      <c r="H134" s="6"/>
    </row>
    <row r="135" spans="1:20" ht="12.75" x14ac:dyDescent="0.2">
      <c r="D135" s="84" t="str">
        <f>D$16</f>
        <v>RAB Asset Class</v>
      </c>
      <c r="E135" s="85" t="str">
        <f>Lookup!E$20</f>
        <v>Source</v>
      </c>
      <c r="F135" s="85" t="str">
        <f>Lookup!F$20</f>
        <v>Unit</v>
      </c>
      <c r="G135" s="85" t="str">
        <f>Lookup!G$20</f>
        <v>Basis</v>
      </c>
      <c r="H135" s="43" t="str">
        <f>Lookup!H$20</f>
        <v>Timing</v>
      </c>
      <c r="J135" s="225" t="str">
        <f t="shared" ref="J135:T135" si="102">J$10</f>
        <v>RY18</v>
      </c>
      <c r="K135" s="85" t="str">
        <f t="shared" si="102"/>
        <v>RY19</v>
      </c>
      <c r="L135" s="85" t="str">
        <f>L$10</f>
        <v>RY20</v>
      </c>
      <c r="M135" s="85" t="str">
        <f t="shared" si="102"/>
        <v>RY21</v>
      </c>
      <c r="N135" s="85" t="str">
        <f t="shared" si="102"/>
        <v>RY22</v>
      </c>
      <c r="O135" s="87" t="str">
        <f t="shared" si="102"/>
        <v>RY23</v>
      </c>
      <c r="P135" s="225" t="str">
        <f t="shared" si="102"/>
        <v>RY24</v>
      </c>
      <c r="Q135" s="226" t="str">
        <f>Q$10</f>
        <v>RY25</v>
      </c>
      <c r="R135" s="226" t="str">
        <f t="shared" si="102"/>
        <v>RY26</v>
      </c>
      <c r="S135" s="226" t="str">
        <f t="shared" si="102"/>
        <v>RY27</v>
      </c>
      <c r="T135" s="227" t="str">
        <f t="shared" si="102"/>
        <v>RY28</v>
      </c>
    </row>
    <row r="136" spans="1:20" x14ac:dyDescent="0.2">
      <c r="J136" s="88"/>
      <c r="K136" s="89"/>
      <c r="L136" s="89"/>
      <c r="M136" s="89"/>
      <c r="N136" s="89"/>
      <c r="O136" s="91"/>
      <c r="P136" s="88"/>
      <c r="Q136" s="89"/>
      <c r="R136" s="89"/>
      <c r="S136" s="89"/>
      <c r="T136" s="91"/>
    </row>
    <row r="137" spans="1:20" ht="12.75" x14ac:dyDescent="0.2">
      <c r="D137" s="75" t="str">
        <f t="shared" ref="D137:D152" si="103">D18</f>
        <v>Transmission Lines (pre 2004-05)</v>
      </c>
      <c r="E137" s="93" t="s">
        <v>254</v>
      </c>
      <c r="F137" s="93" t="str">
        <f t="shared" ref="F137:F186" si="104">Dollars</f>
        <v>Dollars</v>
      </c>
      <c r="G137" s="93" t="str">
        <f t="shared" ref="G137:G186" si="105">Nominal</f>
        <v>Nominal</v>
      </c>
      <c r="H137" s="50" t="str">
        <f t="shared" ref="H137:H186" si="106">End_year</f>
        <v>End year</v>
      </c>
      <c r="J137" s="94">
        <v>-63.906617801108169</v>
      </c>
      <c r="K137" s="239">
        <v>-64.259787292614121</v>
      </c>
      <c r="L137" s="104">
        <v>-65.406259858048813</v>
      </c>
      <c r="M137" s="104">
        <v>-66.610056051755237</v>
      </c>
      <c r="N137" s="104">
        <v>-67.183292334472583</v>
      </c>
      <c r="O137" s="107">
        <v>-69.366749335342931</v>
      </c>
      <c r="P137" s="106">
        <v>-71.265723135855055</v>
      </c>
      <c r="Q137" s="104">
        <v>-72.94043475652505</v>
      </c>
      <c r="R137" s="104">
        <v>-74.654501327779911</v>
      </c>
      <c r="S137" s="104">
        <v>-76.408847672804981</v>
      </c>
      <c r="T137" s="107">
        <v>-78.204420347703831</v>
      </c>
    </row>
    <row r="138" spans="1:20" ht="12.75" x14ac:dyDescent="0.2">
      <c r="D138" s="75" t="str">
        <f t="shared" si="103"/>
        <v>Underground Cables (pre 2004-05)</v>
      </c>
      <c r="E138" s="93" t="str">
        <f>E137</f>
        <v>RFM / PTRM</v>
      </c>
      <c r="F138" s="93" t="str">
        <f t="shared" si="104"/>
        <v>Dollars</v>
      </c>
      <c r="G138" s="93" t="str">
        <f t="shared" si="105"/>
        <v>Nominal</v>
      </c>
      <c r="H138" s="50" t="str">
        <f t="shared" si="106"/>
        <v>End year</v>
      </c>
      <c r="J138" s="94">
        <v>-7.2773006134843934</v>
      </c>
      <c r="K138" s="239">
        <v>-7.3291669205538321</v>
      </c>
      <c r="L138" s="104">
        <v>-7.4599281501801276</v>
      </c>
      <c r="M138" s="104">
        <v>-7.597227441287739</v>
      </c>
      <c r="N138" s="104">
        <v>-7.6626080561008854</v>
      </c>
      <c r="O138" s="107">
        <v>-7.9116428179241645</v>
      </c>
      <c r="P138" s="106">
        <v>-8.1261856963547014</v>
      </c>
      <c r="Q138" s="104">
        <v>-8.317147311821147</v>
      </c>
      <c r="R138" s="104">
        <v>-8.5125964371654348</v>
      </c>
      <c r="S138" s="104">
        <v>-8.7126385267997204</v>
      </c>
      <c r="T138" s="107">
        <v>-8.9173815132662018</v>
      </c>
    </row>
    <row r="139" spans="1:20" ht="12.75" x14ac:dyDescent="0.2">
      <c r="D139" s="75" t="str">
        <f t="shared" si="103"/>
        <v>Substations including Buildings (pre 2004-05)</v>
      </c>
      <c r="E139" s="93" t="str">
        <f t="shared" ref="E139:E186" si="107">E138</f>
        <v>RFM / PTRM</v>
      </c>
      <c r="F139" s="93" t="str">
        <f t="shared" si="104"/>
        <v>Dollars</v>
      </c>
      <c r="G139" s="93" t="str">
        <f t="shared" si="105"/>
        <v>Nominal</v>
      </c>
      <c r="H139" s="50" t="str">
        <f t="shared" si="106"/>
        <v>End year</v>
      </c>
      <c r="J139" s="94">
        <v>-45.353319803589301</v>
      </c>
      <c r="K139" s="239">
        <v>-45.58310279686215</v>
      </c>
      <c r="L139" s="104">
        <v>-46.396360652292351</v>
      </c>
      <c r="M139" s="104">
        <v>-47.250281400494053</v>
      </c>
      <c r="N139" s="104">
        <v>-47.65691032820915</v>
      </c>
      <c r="O139" s="107">
        <v>-49.205759913875944</v>
      </c>
      <c r="P139" s="106">
        <v>-50.557747827388326</v>
      </c>
      <c r="Q139" s="104">
        <v>-51.745831580359194</v>
      </c>
      <c r="R139" s="104">
        <v>-52.961834753492781</v>
      </c>
      <c r="S139" s="104">
        <v>-54.206413440284408</v>
      </c>
      <c r="T139" s="107">
        <v>-55.480239152123886</v>
      </c>
    </row>
    <row r="140" spans="1:20" ht="12.75" x14ac:dyDescent="0.2">
      <c r="D140" s="75" t="str">
        <f t="shared" si="103"/>
        <v>Transmission Lines (2004-09)</v>
      </c>
      <c r="E140" s="93" t="str">
        <f t="shared" si="107"/>
        <v>RFM / PTRM</v>
      </c>
      <c r="F140" s="93" t="str">
        <f t="shared" si="104"/>
        <v>Dollars</v>
      </c>
      <c r="G140" s="93" t="str">
        <f t="shared" si="105"/>
        <v>Nominal</v>
      </c>
      <c r="H140" s="50" t="str">
        <f t="shared" si="106"/>
        <v>End year</v>
      </c>
      <c r="J140" s="94">
        <v>-5.0964549594943556</v>
      </c>
      <c r="K140" s="239">
        <v>-5.1360359520011327</v>
      </c>
      <c r="L140" s="104">
        <v>-5.2276690644364789</v>
      </c>
      <c r="M140" s="104">
        <v>-5.3238838324935935</v>
      </c>
      <c r="N140" s="104">
        <v>-5.3697003887112658</v>
      </c>
      <c r="O140" s="107">
        <v>-5.5442156513443823</v>
      </c>
      <c r="P140" s="106">
        <v>-5.6941376315684922</v>
      </c>
      <c r="Q140" s="104">
        <v>-5.8279472393529144</v>
      </c>
      <c r="R140" s="104">
        <v>-5.9649013111973828</v>
      </c>
      <c r="S140" s="104">
        <v>-6.1050737405568487</v>
      </c>
      <c r="T140" s="107">
        <v>-6.2485401573483692</v>
      </c>
    </row>
    <row r="141" spans="1:20" ht="12.75" x14ac:dyDescent="0.2">
      <c r="D141" s="75" t="str">
        <f t="shared" si="103"/>
        <v>Underground Cables (2004-09)</v>
      </c>
      <c r="E141" s="93" t="str">
        <f t="shared" si="107"/>
        <v>RFM / PTRM</v>
      </c>
      <c r="F141" s="93" t="str">
        <f t="shared" si="104"/>
        <v>Dollars</v>
      </c>
      <c r="G141" s="93" t="str">
        <f t="shared" si="105"/>
        <v>Nominal</v>
      </c>
      <c r="H141" s="50" t="str">
        <f t="shared" si="106"/>
        <v>End year</v>
      </c>
      <c r="J141" s="94">
        <v>-0.26493329944179744</v>
      </c>
      <c r="K141" s="239">
        <v>-0.2669142984460971</v>
      </c>
      <c r="L141" s="104">
        <v>-0.2716763733514691</v>
      </c>
      <c r="M141" s="104">
        <v>-0.27667655200210967</v>
      </c>
      <c r="N141" s="104">
        <v>-0.27905758945479564</v>
      </c>
      <c r="O141" s="107">
        <v>-0.28812696111207647</v>
      </c>
      <c r="P141" s="106">
        <v>-0.29592775384233616</v>
      </c>
      <c r="Q141" s="104">
        <v>-0.30288191955386301</v>
      </c>
      <c r="R141" s="104">
        <v>-0.30999950495183509</v>
      </c>
      <c r="S141" s="104">
        <v>-0.31728435032350277</v>
      </c>
      <c r="T141" s="107">
        <v>-0.32474038620109502</v>
      </c>
    </row>
    <row r="142" spans="1:20" ht="12.75" x14ac:dyDescent="0.2">
      <c r="D142" s="75" t="str">
        <f t="shared" si="103"/>
        <v>Substations including Buildings (2004-09)</v>
      </c>
      <c r="E142" s="93" t="str">
        <f t="shared" si="107"/>
        <v>RFM / PTRM</v>
      </c>
      <c r="F142" s="93" t="str">
        <f t="shared" si="104"/>
        <v>Dollars</v>
      </c>
      <c r="G142" s="93" t="str">
        <f t="shared" si="105"/>
        <v>Nominal</v>
      </c>
      <c r="H142" s="50" t="str">
        <f t="shared" si="106"/>
        <v>End year</v>
      </c>
      <c r="J142" s="94">
        <v>-31.035001981175238</v>
      </c>
      <c r="K142" s="239">
        <v>-31.262927424758274</v>
      </c>
      <c r="L142" s="104">
        <v>-31.820695978277605</v>
      </c>
      <c r="M142" s="104">
        <v>-32.406352959472905</v>
      </c>
      <c r="N142" s="104">
        <v>-32.685237236232567</v>
      </c>
      <c r="O142" s="107">
        <v>-33.747507446410125</v>
      </c>
      <c r="P142" s="106">
        <v>-34.661732421263146</v>
      </c>
      <c r="Q142" s="104">
        <v>-35.476267144608116</v>
      </c>
      <c r="R142" s="104">
        <v>-36.309943058228036</v>
      </c>
      <c r="S142" s="104">
        <v>-37.163209971265026</v>
      </c>
      <c r="T142" s="107">
        <v>-38.036528263168577</v>
      </c>
    </row>
    <row r="143" spans="1:20" ht="12.75" x14ac:dyDescent="0.2">
      <c r="D143" s="75" t="str">
        <f t="shared" si="103"/>
        <v>SCADA and Communications (2004-09)</v>
      </c>
      <c r="E143" s="93" t="str">
        <f t="shared" si="107"/>
        <v>RFM / PTRM</v>
      </c>
      <c r="F143" s="93" t="str">
        <f t="shared" si="104"/>
        <v>Dollars</v>
      </c>
      <c r="G143" s="93" t="str">
        <f t="shared" si="105"/>
        <v>Nominal</v>
      </c>
      <c r="H143" s="50" t="str">
        <f t="shared" si="106"/>
        <v>End year</v>
      </c>
      <c r="J143" s="94">
        <v>-7.638317871137569</v>
      </c>
      <c r="K143" s="239">
        <v>-7.6287951759621659</v>
      </c>
      <c r="L143" s="104">
        <v>-7.764902137174694</v>
      </c>
      <c r="M143" s="104">
        <v>-7.9078144464478495</v>
      </c>
      <c r="N143" s="104">
        <v>-7.9758679270541126</v>
      </c>
      <c r="O143" s="107">
        <v>-6.4108291636527373</v>
      </c>
      <c r="P143" s="106">
        <v>-2.7785046311518558E-2</v>
      </c>
      <c r="Q143" s="104">
        <v>0</v>
      </c>
      <c r="R143" s="104">
        <v>0</v>
      </c>
      <c r="S143" s="104">
        <v>0</v>
      </c>
      <c r="T143" s="107">
        <v>0</v>
      </c>
    </row>
    <row r="144" spans="1:20" ht="12.75" x14ac:dyDescent="0.2">
      <c r="D144" s="75" t="str">
        <f t="shared" si="103"/>
        <v>Transmission Lines &amp; Cables (09-14)</v>
      </c>
      <c r="E144" s="93" t="str">
        <f t="shared" si="107"/>
        <v>RFM / PTRM</v>
      </c>
      <c r="F144" s="93" t="str">
        <f t="shared" si="104"/>
        <v>Dollars</v>
      </c>
      <c r="G144" s="93" t="str">
        <f t="shared" si="105"/>
        <v>Nominal</v>
      </c>
      <c r="H144" s="50" t="str">
        <f t="shared" si="106"/>
        <v>End year</v>
      </c>
      <c r="J144" s="94">
        <v>-10.663983129213829</v>
      </c>
      <c r="K144" s="239">
        <v>-10.60260619662718</v>
      </c>
      <c r="L144" s="104">
        <v>-10.791769554283331</v>
      </c>
      <c r="M144" s="104">
        <v>-10.990391079822288</v>
      </c>
      <c r="N144" s="104">
        <v>-11.084972758650363</v>
      </c>
      <c r="O144" s="107">
        <v>-11.4452343733065</v>
      </c>
      <c r="P144" s="106">
        <v>-11.754572408339188</v>
      </c>
      <c r="Q144" s="104">
        <v>-12.030799437856949</v>
      </c>
      <c r="R144" s="104">
        <v>-12.31351767515204</v>
      </c>
      <c r="S144" s="104">
        <v>-12.602879660613004</v>
      </c>
      <c r="T144" s="107">
        <v>-12.89904151925715</v>
      </c>
    </row>
    <row r="145" spans="4:20" ht="12.75" x14ac:dyDescent="0.2">
      <c r="D145" s="75" t="str">
        <f t="shared" si="103"/>
        <v>Substations (09-14)</v>
      </c>
      <c r="E145" s="93" t="str">
        <f t="shared" si="107"/>
        <v>RFM / PTRM</v>
      </c>
      <c r="F145" s="93" t="str">
        <f t="shared" si="104"/>
        <v>Dollars</v>
      </c>
      <c r="G145" s="93" t="str">
        <f t="shared" si="105"/>
        <v>Nominal</v>
      </c>
      <c r="H145" s="50" t="str">
        <f t="shared" si="106"/>
        <v>End year</v>
      </c>
      <c r="J145" s="94">
        <v>-30.174924306046361</v>
      </c>
      <c r="K145" s="239">
        <v>-29.137247348980303</v>
      </c>
      <c r="L145" s="104">
        <v>-29.657091191067376</v>
      </c>
      <c r="M145" s="104">
        <v>-30.202927225258804</v>
      </c>
      <c r="N145" s="104">
        <v>-30.462849146302339</v>
      </c>
      <c r="O145" s="107">
        <v>-31.452891743557164</v>
      </c>
      <c r="P145" s="106">
        <v>-32.304162891353073</v>
      </c>
      <c r="Q145" s="104">
        <v>-33.0632958182306</v>
      </c>
      <c r="R145" s="104">
        <v>-33.840268018721495</v>
      </c>
      <c r="S145" s="104">
        <v>-34.635498707526878</v>
      </c>
      <c r="T145" s="107">
        <v>-35.44941695069997</v>
      </c>
    </row>
    <row r="146" spans="4:20" ht="12.75" x14ac:dyDescent="0.2">
      <c r="D146" s="75" t="str">
        <f t="shared" si="103"/>
        <v>Secondary Systems (09-14)</v>
      </c>
      <c r="E146" s="93" t="str">
        <f t="shared" si="107"/>
        <v>RFM / PTRM</v>
      </c>
      <c r="F146" s="93" t="str">
        <f t="shared" si="104"/>
        <v>Dollars</v>
      </c>
      <c r="G146" s="93" t="str">
        <f t="shared" si="105"/>
        <v>Nominal</v>
      </c>
      <c r="H146" s="50" t="str">
        <f t="shared" si="106"/>
        <v>End year</v>
      </c>
      <c r="J146" s="94">
        <v>-2.5164764159618143</v>
      </c>
      <c r="K146" s="239">
        <v>-2.441834283080067</v>
      </c>
      <c r="L146" s="104">
        <v>-2.4853995691296671</v>
      </c>
      <c r="M146" s="104">
        <v>-2.5311431194817473</v>
      </c>
      <c r="N146" s="104">
        <v>-2.5529257625065469</v>
      </c>
      <c r="O146" s="107">
        <v>-2.6358958497880098</v>
      </c>
      <c r="P146" s="106">
        <v>-2.7073078057429383</v>
      </c>
      <c r="Q146" s="104">
        <v>-2.7709282903672938</v>
      </c>
      <c r="R146" s="104">
        <v>-2.8360438270338486</v>
      </c>
      <c r="S146" s="104">
        <v>-2.9026895487759661</v>
      </c>
      <c r="T146" s="107">
        <v>-2.9709014142370864</v>
      </c>
    </row>
    <row r="147" spans="4:20" ht="12.75" x14ac:dyDescent="0.2">
      <c r="D147" s="75" t="str">
        <f t="shared" si="103"/>
        <v>Communications (09-14)</v>
      </c>
      <c r="E147" s="93" t="str">
        <f t="shared" si="107"/>
        <v>RFM / PTRM</v>
      </c>
      <c r="F147" s="93" t="str">
        <f t="shared" si="104"/>
        <v>Dollars</v>
      </c>
      <c r="G147" s="93" t="str">
        <f t="shared" si="105"/>
        <v>Nominal</v>
      </c>
      <c r="H147" s="50" t="str">
        <f t="shared" si="106"/>
        <v>End year</v>
      </c>
      <c r="J147" s="94">
        <v>-3.6143626794248016</v>
      </c>
      <c r="K147" s="239">
        <v>-3.3035512975403143</v>
      </c>
      <c r="L147" s="104">
        <v>-3.3624906605651192</v>
      </c>
      <c r="M147" s="104">
        <v>-3.4243769917411653</v>
      </c>
      <c r="N147" s="104">
        <v>-3.4538466732535675</v>
      </c>
      <c r="O147" s="107">
        <v>-3.5660966901343083</v>
      </c>
      <c r="P147" s="106">
        <v>-3.6627128098604445</v>
      </c>
      <c r="Q147" s="104">
        <v>-3.748784871378108</v>
      </c>
      <c r="R147" s="104">
        <v>-3.8368795866386356</v>
      </c>
      <c r="S147" s="104">
        <v>-3.9270444870719876</v>
      </c>
      <c r="T147" s="107">
        <v>-4.0193282210748018</v>
      </c>
    </row>
    <row r="148" spans="4:20" ht="12.75" x14ac:dyDescent="0.2">
      <c r="D148" s="75" t="str">
        <f t="shared" si="103"/>
        <v>Minor Plant, Motor Vehicles &amp; Mobile Plant (2009-14)</v>
      </c>
      <c r="E148" s="93" t="str">
        <f t="shared" si="107"/>
        <v>RFM / PTRM</v>
      </c>
      <c r="F148" s="93" t="str">
        <f t="shared" si="104"/>
        <v>Dollars</v>
      </c>
      <c r="G148" s="93" t="str">
        <f t="shared" si="105"/>
        <v>Nominal</v>
      </c>
      <c r="H148" s="50" t="str">
        <f t="shared" si="106"/>
        <v>End year</v>
      </c>
      <c r="J148" s="94">
        <v>-5.4431327200722341</v>
      </c>
      <c r="K148" s="239">
        <v>-5.3694061466483793</v>
      </c>
      <c r="L148" s="104">
        <v>-5.4652028664815351</v>
      </c>
      <c r="M148" s="104">
        <v>-0.94744160730249982</v>
      </c>
      <c r="N148" s="104">
        <v>0</v>
      </c>
      <c r="O148" s="107">
        <v>0</v>
      </c>
      <c r="P148" s="106">
        <v>2.1850430145542679E-2</v>
      </c>
      <c r="Q148" s="104">
        <v>0</v>
      </c>
      <c r="R148" s="104">
        <v>0</v>
      </c>
      <c r="S148" s="104">
        <v>0</v>
      </c>
      <c r="T148" s="107">
        <v>0</v>
      </c>
    </row>
    <row r="149" spans="4:20" ht="12.75" x14ac:dyDescent="0.2">
      <c r="D149" s="75" t="str">
        <f t="shared" si="103"/>
        <v>Transmission Lines (2014-18)</v>
      </c>
      <c r="E149" s="93" t="str">
        <f t="shared" si="107"/>
        <v>RFM / PTRM</v>
      </c>
      <c r="F149" s="93" t="str">
        <f t="shared" si="104"/>
        <v>Dollars</v>
      </c>
      <c r="G149" s="93" t="str">
        <f t="shared" si="105"/>
        <v>Nominal</v>
      </c>
      <c r="H149" s="50" t="str">
        <f t="shared" si="106"/>
        <v>End year</v>
      </c>
      <c r="J149" s="94">
        <v>-1.7509599722522808</v>
      </c>
      <c r="K149" s="239">
        <v>-3.6444462925702585</v>
      </c>
      <c r="L149" s="104">
        <v>-3.7094676358810577</v>
      </c>
      <c r="M149" s="104">
        <v>-3.7777400463573967</v>
      </c>
      <c r="N149" s="104">
        <v>-3.8102507180127958</v>
      </c>
      <c r="O149" s="107">
        <v>-3.9340838663482116</v>
      </c>
      <c r="P149" s="106">
        <v>-1.9095214551436119</v>
      </c>
      <c r="Q149" s="104">
        <v>-1.9543943285269558</v>
      </c>
      <c r="R149" s="104">
        <v>-2.0003216937361201</v>
      </c>
      <c r="S149" s="104">
        <v>-2.047328330842602</v>
      </c>
      <c r="T149" s="107">
        <v>-2.0954396022381481</v>
      </c>
    </row>
    <row r="150" spans="4:20" ht="12.75" x14ac:dyDescent="0.2">
      <c r="D150" s="75" t="str">
        <f t="shared" si="103"/>
        <v>Underground Cables (2014-18)</v>
      </c>
      <c r="E150" s="93" t="str">
        <f t="shared" si="107"/>
        <v>RFM / PTRM</v>
      </c>
      <c r="F150" s="93" t="str">
        <f t="shared" si="104"/>
        <v>Dollars</v>
      </c>
      <c r="G150" s="93" t="str">
        <f t="shared" si="105"/>
        <v>Nominal</v>
      </c>
      <c r="H150" s="50" t="str">
        <f t="shared" si="106"/>
        <v>End year</v>
      </c>
      <c r="J150" s="94">
        <v>-0.15375560396214472</v>
      </c>
      <c r="K150" s="239">
        <v>-7.6093336455673719E-2</v>
      </c>
      <c r="L150" s="104">
        <v>-7.7450933894668797E-2</v>
      </c>
      <c r="M150" s="104">
        <v>-7.8876411205613631E-2</v>
      </c>
      <c r="N150" s="104">
        <v>-7.955520992511117E-2</v>
      </c>
      <c r="O150" s="107">
        <v>-8.2140754247677278E-2</v>
      </c>
      <c r="P150" s="106">
        <v>-8.473903986996105E-2</v>
      </c>
      <c r="Q150" s="104">
        <v>-8.6730368218992313E-2</v>
      </c>
      <c r="R150" s="104">
        <v>-8.8768491865677882E-2</v>
      </c>
      <c r="S150" s="104">
        <v>-9.0854510477927197E-2</v>
      </c>
      <c r="T150" s="107">
        <v>-9.2989549565338281E-2</v>
      </c>
    </row>
    <row r="151" spans="4:20" ht="12.75" x14ac:dyDescent="0.2">
      <c r="D151" s="75" t="str">
        <f t="shared" si="103"/>
        <v>Substations (2014-18)</v>
      </c>
      <c r="E151" s="93" t="str">
        <f t="shared" si="107"/>
        <v>RFM / PTRM</v>
      </c>
      <c r="F151" s="93" t="str">
        <f t="shared" si="104"/>
        <v>Dollars</v>
      </c>
      <c r="G151" s="93" t="str">
        <f t="shared" si="105"/>
        <v>Nominal</v>
      </c>
      <c r="H151" s="50" t="str">
        <f t="shared" si="106"/>
        <v>End year</v>
      </c>
      <c r="J151" s="94">
        <v>-10.241847662988542</v>
      </c>
      <c r="K151" s="239">
        <v>-13.035488816972087</v>
      </c>
      <c r="L151" s="104">
        <v>-13.268057752154462</v>
      </c>
      <c r="M151" s="104">
        <v>-13.512255134095957</v>
      </c>
      <c r="N151" s="104">
        <v>-13.628539601687145</v>
      </c>
      <c r="O151" s="107">
        <v>-14.071467138741976</v>
      </c>
      <c r="P151" s="106">
        <v>-14.862180017499268</v>
      </c>
      <c r="Q151" s="104">
        <v>-15.21143439237381</v>
      </c>
      <c r="R151" s="104">
        <v>-15.568896083955954</v>
      </c>
      <c r="S151" s="104">
        <v>-15.934757960402507</v>
      </c>
      <c r="T151" s="107">
        <v>-16.309217422182996</v>
      </c>
    </row>
    <row r="152" spans="4:20" ht="12.75" x14ac:dyDescent="0.2">
      <c r="D152" s="75" t="str">
        <f t="shared" si="103"/>
        <v>Secondary Systems (2014-18)</v>
      </c>
      <c r="E152" s="93" t="str">
        <f t="shared" si="107"/>
        <v>RFM / PTRM</v>
      </c>
      <c r="F152" s="93" t="str">
        <f t="shared" si="104"/>
        <v>Dollars</v>
      </c>
      <c r="G152" s="93" t="str">
        <f t="shared" si="105"/>
        <v>Nominal</v>
      </c>
      <c r="H152" s="50" t="str">
        <f t="shared" si="106"/>
        <v>End year</v>
      </c>
      <c r="J152" s="94">
        <v>-5.5618316864052391</v>
      </c>
      <c r="K152" s="239">
        <v>-8.7722945165984996</v>
      </c>
      <c r="L152" s="104">
        <v>-8.9288028933442369</v>
      </c>
      <c r="M152" s="104">
        <v>-9.0931366889272613</v>
      </c>
      <c r="N152" s="104">
        <v>-9.1713908773001283</v>
      </c>
      <c r="O152" s="107">
        <v>-9.4694610808123816</v>
      </c>
      <c r="P152" s="106">
        <v>-6.9339410109836175</v>
      </c>
      <c r="Q152" s="104">
        <v>-7.0968854262952767</v>
      </c>
      <c r="R152" s="104">
        <v>-7.2636589602047428</v>
      </c>
      <c r="S152" s="104">
        <v>-7.4343515952327923</v>
      </c>
      <c r="T152" s="107">
        <v>-7.6090554284479328</v>
      </c>
    </row>
    <row r="153" spans="4:20" ht="12.75" x14ac:dyDescent="0.2">
      <c r="D153" s="75" t="str">
        <f t="shared" ref="D153:D186" si="108">D34</f>
        <v>Communications (short life) (2014-18)</v>
      </c>
      <c r="E153" s="93" t="str">
        <f t="shared" si="107"/>
        <v>RFM / PTRM</v>
      </c>
      <c r="F153" s="93" t="str">
        <f t="shared" si="104"/>
        <v>Dollars</v>
      </c>
      <c r="G153" s="93" t="str">
        <f t="shared" si="105"/>
        <v>Nominal</v>
      </c>
      <c r="H153" s="50" t="str">
        <f t="shared" si="106"/>
        <v>End year</v>
      </c>
      <c r="J153" s="94">
        <v>-8.5653994431851537</v>
      </c>
      <c r="K153" s="239">
        <v>-5.4145422990782537</v>
      </c>
      <c r="L153" s="104">
        <v>-5.5111443026300524</v>
      </c>
      <c r="M153" s="104">
        <v>-5.612576406359441</v>
      </c>
      <c r="N153" s="104">
        <v>-5.660877408135339</v>
      </c>
      <c r="O153" s="107">
        <v>-5.844855923899738</v>
      </c>
      <c r="P153" s="106">
        <v>1.0046045974253406</v>
      </c>
      <c r="Q153" s="104">
        <v>1.0282123420668912</v>
      </c>
      <c r="R153" s="104">
        <v>1.0523748578178802</v>
      </c>
      <c r="S153" s="104">
        <v>1.0771051815434782</v>
      </c>
      <c r="T153" s="107">
        <v>6.9967407692524741</v>
      </c>
    </row>
    <row r="154" spans="4:20" ht="12.75" x14ac:dyDescent="0.2">
      <c r="D154" s="75" t="str">
        <f t="shared" si="108"/>
        <v>Business IT (2014-18)</v>
      </c>
      <c r="E154" s="93" t="str">
        <f t="shared" si="107"/>
        <v>RFM / PTRM</v>
      </c>
      <c r="F154" s="93" t="str">
        <f t="shared" si="104"/>
        <v>Dollars</v>
      </c>
      <c r="G154" s="93" t="str">
        <f t="shared" si="105"/>
        <v>Nominal</v>
      </c>
      <c r="H154" s="50" t="str">
        <f t="shared" si="106"/>
        <v>End year</v>
      </c>
      <c r="J154" s="94">
        <v>-16.276940480180389</v>
      </c>
      <c r="K154" s="239">
        <v>-10.446556325821451</v>
      </c>
      <c r="L154" s="104">
        <v>-10.632935564462334</v>
      </c>
      <c r="M154" s="104">
        <v>-10.828633765035264</v>
      </c>
      <c r="N154" s="104">
        <v>-1.5344138478468621</v>
      </c>
      <c r="O154" s="107">
        <v>0</v>
      </c>
      <c r="P154" s="106">
        <v>8.9573221338731219</v>
      </c>
      <c r="Q154" s="104">
        <v>0</v>
      </c>
      <c r="R154" s="104">
        <v>0</v>
      </c>
      <c r="S154" s="104">
        <v>0</v>
      </c>
      <c r="T154" s="107">
        <v>0</v>
      </c>
    </row>
    <row r="155" spans="4:20" ht="12.75" x14ac:dyDescent="0.2">
      <c r="D155" s="75" t="str">
        <f t="shared" si="108"/>
        <v>Minor Plant, Motor Vehicles &amp; Mobile Plant (2014-18)</v>
      </c>
      <c r="E155" s="93" t="str">
        <f t="shared" si="107"/>
        <v>RFM / PTRM</v>
      </c>
      <c r="F155" s="93" t="str">
        <f t="shared" si="104"/>
        <v>Dollars</v>
      </c>
      <c r="G155" s="93" t="str">
        <f t="shared" si="105"/>
        <v>Nominal</v>
      </c>
      <c r="H155" s="50" t="str">
        <f t="shared" si="106"/>
        <v>End year</v>
      </c>
      <c r="J155" s="94">
        <v>-3.2377771382685081</v>
      </c>
      <c r="K155" s="239">
        <v>-3.6391969240091604</v>
      </c>
      <c r="L155" s="104">
        <v>-3.7041246122162823</v>
      </c>
      <c r="M155" s="104">
        <v>-3.7722986848337605</v>
      </c>
      <c r="N155" s="104">
        <v>-3.8047625289373213</v>
      </c>
      <c r="O155" s="107">
        <v>-3.928417311127784</v>
      </c>
      <c r="P155" s="106">
        <v>-3.2828204269072048</v>
      </c>
      <c r="Q155" s="104">
        <v>-2.2908155500895191</v>
      </c>
      <c r="R155" s="104">
        <v>0.80847897094491228</v>
      </c>
      <c r="S155" s="104">
        <v>0</v>
      </c>
      <c r="T155" s="107">
        <v>0</v>
      </c>
    </row>
    <row r="156" spans="4:20" ht="12.75" x14ac:dyDescent="0.2">
      <c r="D156" s="75" t="str">
        <f t="shared" si="108"/>
        <v>Transmission Line Life Extension (2014-18)</v>
      </c>
      <c r="E156" s="93" t="str">
        <f t="shared" si="107"/>
        <v>RFM / PTRM</v>
      </c>
      <c r="F156" s="93" t="str">
        <f t="shared" si="104"/>
        <v>Dollars</v>
      </c>
      <c r="G156" s="93" t="str">
        <f t="shared" si="105"/>
        <v>Nominal</v>
      </c>
      <c r="H156" s="50" t="str">
        <f t="shared" si="106"/>
        <v>End year</v>
      </c>
      <c r="J156" s="94">
        <v>-0.7352940476785278</v>
      </c>
      <c r="K156" s="239">
        <v>-0.20359027798884535</v>
      </c>
      <c r="L156" s="104">
        <v>-0.20722257554440016</v>
      </c>
      <c r="M156" s="104">
        <v>-0.2110364879777327</v>
      </c>
      <c r="N156" s="104">
        <v>-0.21285263675551008</v>
      </c>
      <c r="O156" s="107">
        <v>-0.21977034745006416</v>
      </c>
      <c r="P156" s="106">
        <v>-0.18873295434913731</v>
      </c>
      <c r="Q156" s="104">
        <v>-0.19316809171874405</v>
      </c>
      <c r="R156" s="104">
        <v>-0.19770745277072313</v>
      </c>
      <c r="S156" s="104">
        <v>-0.20235348671353467</v>
      </c>
      <c r="T156" s="107">
        <v>-0.20710870031090778</v>
      </c>
    </row>
    <row r="157" spans="4:20" ht="12.75" x14ac:dyDescent="0.2">
      <c r="D157" s="75" t="str">
        <f t="shared" si="108"/>
        <v>Residual - other</v>
      </c>
      <c r="E157" s="93" t="str">
        <f t="shared" si="107"/>
        <v>RFM / PTRM</v>
      </c>
      <c r="F157" s="93" t="str">
        <f t="shared" si="104"/>
        <v>Dollars</v>
      </c>
      <c r="G157" s="93" t="str">
        <f t="shared" si="105"/>
        <v>Nominal</v>
      </c>
      <c r="H157" s="50" t="str">
        <f t="shared" si="106"/>
        <v>End year</v>
      </c>
      <c r="J157" s="94">
        <v>-5.4902804871057116</v>
      </c>
      <c r="K157" s="239">
        <v>1.6261755540094889</v>
      </c>
      <c r="L157" s="104">
        <v>0</v>
      </c>
      <c r="M157" s="104">
        <v>0</v>
      </c>
      <c r="N157" s="104">
        <v>0</v>
      </c>
      <c r="O157" s="107">
        <v>0</v>
      </c>
      <c r="P157" s="106">
        <v>-2.2133079154030974E-3</v>
      </c>
      <c r="Q157" s="104">
        <v>0</v>
      </c>
      <c r="R157" s="104">
        <v>0</v>
      </c>
      <c r="S157" s="104">
        <v>0</v>
      </c>
      <c r="T157" s="107">
        <v>0</v>
      </c>
    </row>
    <row r="158" spans="4:20" ht="12.75" x14ac:dyDescent="0.2">
      <c r="D158" s="75" t="str">
        <f t="shared" si="108"/>
        <v>Transmission Lines (2018 onwards)</v>
      </c>
      <c r="E158" s="93" t="str">
        <f t="shared" si="107"/>
        <v>RFM / PTRM</v>
      </c>
      <c r="F158" s="93" t="str">
        <f t="shared" si="104"/>
        <v>Dollars</v>
      </c>
      <c r="G158" s="93" t="str">
        <f t="shared" si="105"/>
        <v>Nominal</v>
      </c>
      <c r="H158" s="50" t="str">
        <f t="shared" si="106"/>
        <v>End year</v>
      </c>
      <c r="J158" s="94">
        <v>0</v>
      </c>
      <c r="K158" s="239">
        <v>0</v>
      </c>
      <c r="L158" s="104">
        <v>-0.5657511703240955</v>
      </c>
      <c r="M158" s="104">
        <v>-0.82228796387219405</v>
      </c>
      <c r="N158" s="104">
        <v>-0.83372871399171633</v>
      </c>
      <c r="O158" s="107">
        <v>-3.0416415098938576</v>
      </c>
      <c r="P158" s="106">
        <v>-10.164795313122449</v>
      </c>
      <c r="Q158" s="104">
        <v>-19.677128120794301</v>
      </c>
      <c r="R158" s="104">
        <v>-39.334850030007267</v>
      </c>
      <c r="S158" s="104">
        <v>-41.829122532080284</v>
      </c>
      <c r="T158" s="107">
        <v>-43.972309154800456</v>
      </c>
    </row>
    <row r="159" spans="4:20" ht="12.75" x14ac:dyDescent="0.2">
      <c r="D159" s="75" t="str">
        <f t="shared" si="108"/>
        <v>Underground Cables (2018 onwards)</v>
      </c>
      <c r="E159" s="93" t="str">
        <f t="shared" si="107"/>
        <v>RFM / PTRM</v>
      </c>
      <c r="F159" s="93" t="str">
        <f t="shared" si="104"/>
        <v>Dollars</v>
      </c>
      <c r="G159" s="93" t="str">
        <f t="shared" si="105"/>
        <v>Nominal</v>
      </c>
      <c r="H159" s="50" t="str">
        <f t="shared" si="106"/>
        <v>End year</v>
      </c>
      <c r="J159" s="94">
        <v>0</v>
      </c>
      <c r="K159" s="239">
        <v>0</v>
      </c>
      <c r="L159" s="104">
        <v>-3.8371541040607905E-6</v>
      </c>
      <c r="M159" s="104">
        <v>-7.8133578819203822E-6</v>
      </c>
      <c r="N159" s="104">
        <v>-1.181582213649115E-5</v>
      </c>
      <c r="O159" s="107">
        <v>-5.0761342951411697E-3</v>
      </c>
      <c r="P159" s="106">
        <v>-0.14852279909980129</v>
      </c>
      <c r="Q159" s="104">
        <v>-0.15201301636894635</v>
      </c>
      <c r="R159" s="104">
        <v>-0.15558525213396993</v>
      </c>
      <c r="S159" s="104">
        <v>-0.25708570186588153</v>
      </c>
      <c r="T159" s="107">
        <v>-0.26312709727278893</v>
      </c>
    </row>
    <row r="160" spans="4:20" ht="12.75" x14ac:dyDescent="0.2">
      <c r="D160" s="75" t="str">
        <f t="shared" si="108"/>
        <v>Substations (2018 onwards)</v>
      </c>
      <c r="E160" s="93" t="str">
        <f t="shared" si="107"/>
        <v>RFM / PTRM</v>
      </c>
      <c r="F160" s="93" t="str">
        <f t="shared" si="104"/>
        <v>Dollars</v>
      </c>
      <c r="G160" s="93" t="str">
        <f t="shared" si="105"/>
        <v>Nominal</v>
      </c>
      <c r="H160" s="50" t="str">
        <f t="shared" si="106"/>
        <v>End year</v>
      </c>
      <c r="J160" s="94">
        <v>0</v>
      </c>
      <c r="K160" s="239">
        <v>0</v>
      </c>
      <c r="L160" s="104">
        <v>-2.394716423365304</v>
      </c>
      <c r="M160" s="104">
        <v>-4.9813913325971928</v>
      </c>
      <c r="N160" s="104">
        <v>-6.7414654829638794</v>
      </c>
      <c r="O160" s="107">
        <v>-14.301793867645541</v>
      </c>
      <c r="P160" s="106">
        <v>-20.430375641031308</v>
      </c>
      <c r="Q160" s="104">
        <v>-27.056186673502069</v>
      </c>
      <c r="R160" s="104">
        <v>-33.296989492622323</v>
      </c>
      <c r="S160" s="104">
        <v>-37.957970976739773</v>
      </c>
      <c r="T160" s="107">
        <v>-40.971415390561305</v>
      </c>
    </row>
    <row r="161" spans="4:20" ht="12.75" x14ac:dyDescent="0.2">
      <c r="D161" s="75" t="str">
        <f t="shared" si="108"/>
        <v>Secondary Systems (2018 onwards)</v>
      </c>
      <c r="E161" s="93" t="str">
        <f t="shared" si="107"/>
        <v>RFM / PTRM</v>
      </c>
      <c r="F161" s="93" t="str">
        <f t="shared" si="104"/>
        <v>Dollars</v>
      </c>
      <c r="G161" s="93" t="str">
        <f t="shared" si="105"/>
        <v>Nominal</v>
      </c>
      <c r="H161" s="50" t="str">
        <f t="shared" si="106"/>
        <v>End year</v>
      </c>
      <c r="J161" s="94">
        <v>0</v>
      </c>
      <c r="K161" s="239">
        <v>0</v>
      </c>
      <c r="L161" s="104">
        <v>-1.0963603770461958</v>
      </c>
      <c r="M161" s="104">
        <v>-3.81002741990575</v>
      </c>
      <c r="N161" s="104">
        <v>-7.5062251863754597</v>
      </c>
      <c r="O161" s="107">
        <v>-10.120654592222262</v>
      </c>
      <c r="P161" s="106">
        <v>-11.088068724554875</v>
      </c>
      <c r="Q161" s="104">
        <v>-13.606293961113732</v>
      </c>
      <c r="R161" s="104">
        <v>-15.549813935372452</v>
      </c>
      <c r="S161" s="104">
        <v>-19.403835701293424</v>
      </c>
      <c r="T161" s="107">
        <v>-23.491633957800008</v>
      </c>
    </row>
    <row r="162" spans="4:20" ht="12.75" x14ac:dyDescent="0.2">
      <c r="D162" s="75" t="str">
        <f t="shared" si="108"/>
        <v>Communications (short life) (2018 onwards)</v>
      </c>
      <c r="E162" s="93" t="str">
        <f t="shared" si="107"/>
        <v>RFM / PTRM</v>
      </c>
      <c r="F162" s="93" t="str">
        <f t="shared" si="104"/>
        <v>Dollars</v>
      </c>
      <c r="G162" s="93" t="str">
        <f t="shared" si="105"/>
        <v>Nominal</v>
      </c>
      <c r="H162" s="50" t="str">
        <f t="shared" si="106"/>
        <v>End year</v>
      </c>
      <c r="J162" s="94">
        <v>0</v>
      </c>
      <c r="K162" s="239">
        <v>0</v>
      </c>
      <c r="L162" s="104">
        <v>-0.58190246163720305</v>
      </c>
      <c r="M162" s="104">
        <v>-1.4197791640267818</v>
      </c>
      <c r="N162" s="104">
        <v>-1.9499291378962562</v>
      </c>
      <c r="O162" s="107">
        <v>-2.4938685426204636</v>
      </c>
      <c r="P162" s="106">
        <v>-7.1390366041908688</v>
      </c>
      <c r="Q162" s="104">
        <v>-7.6316154839619861</v>
      </c>
      <c r="R162" s="104">
        <v>-9.4148609988645173</v>
      </c>
      <c r="S162" s="104">
        <v>-10.510219883211155</v>
      </c>
      <c r="T162" s="107">
        <v>-11.65137264640328</v>
      </c>
    </row>
    <row r="163" spans="4:20" ht="12.75" x14ac:dyDescent="0.2">
      <c r="D163" s="75" t="str">
        <f t="shared" si="108"/>
        <v>Business IT (2018 onwards)</v>
      </c>
      <c r="E163" s="93" t="str">
        <f t="shared" si="107"/>
        <v>RFM / PTRM</v>
      </c>
      <c r="F163" s="93" t="str">
        <f t="shared" si="104"/>
        <v>Dollars</v>
      </c>
      <c r="G163" s="93" t="str">
        <f t="shared" si="105"/>
        <v>Nominal</v>
      </c>
      <c r="H163" s="50" t="str">
        <f t="shared" si="106"/>
        <v>End year</v>
      </c>
      <c r="J163" s="94">
        <v>0</v>
      </c>
      <c r="K163" s="239">
        <v>0</v>
      </c>
      <c r="L163" s="104">
        <v>-6.2380117252150731</v>
      </c>
      <c r="M163" s="104">
        <v>-12.673124454769358</v>
      </c>
      <c r="N163" s="104">
        <v>-14.495753612699609</v>
      </c>
      <c r="O163" s="107">
        <v>-19.570473195463929</v>
      </c>
      <c r="P163" s="106">
        <v>-19.073254046657112</v>
      </c>
      <c r="Q163" s="104">
        <v>-20.640258995633666</v>
      </c>
      <c r="R163" s="104">
        <v>-25.912995044327978</v>
      </c>
      <c r="S163" s="104">
        <v>-20.159510757040191</v>
      </c>
      <c r="T163" s="107">
        <v>-25.523283750590142</v>
      </c>
    </row>
    <row r="164" spans="4:20" ht="12.75" x14ac:dyDescent="0.2">
      <c r="D164" s="75" t="str">
        <f t="shared" si="108"/>
        <v>Minor Plant, Motor Vehicles &amp; Mobile Plant (2018 onwards)</v>
      </c>
      <c r="E164" s="93" t="str">
        <f t="shared" si="107"/>
        <v>RFM / PTRM</v>
      </c>
      <c r="F164" s="93" t="str">
        <f t="shared" si="104"/>
        <v>Dollars</v>
      </c>
      <c r="G164" s="93" t="str">
        <f t="shared" si="105"/>
        <v>Nominal</v>
      </c>
      <c r="H164" s="50" t="str">
        <f t="shared" si="106"/>
        <v>End year</v>
      </c>
      <c r="J164" s="94">
        <v>0</v>
      </c>
      <c r="K164" s="239">
        <v>0</v>
      </c>
      <c r="L164" s="104">
        <v>-1.3676620965059496</v>
      </c>
      <c r="M164" s="104">
        <v>-3.0140852683838886</v>
      </c>
      <c r="N164" s="104">
        <v>-4.4057811104639821</v>
      </c>
      <c r="O164" s="107">
        <v>-5.695740721274432</v>
      </c>
      <c r="P164" s="106">
        <v>-2.4661360417850942</v>
      </c>
      <c r="Q164" s="104">
        <v>-3.294889765312762</v>
      </c>
      <c r="R164" s="104">
        <v>-4.1612322791171232</v>
      </c>
      <c r="S164" s="104">
        <v>-5.0664725603870071</v>
      </c>
      <c r="T164" s="107">
        <v>-5.2945492531350675</v>
      </c>
    </row>
    <row r="165" spans="4:20" ht="12.75" x14ac:dyDescent="0.2">
      <c r="D165" s="75" t="str">
        <f t="shared" si="108"/>
        <v>Transmission Line Life Extension (2018 onwards)</v>
      </c>
      <c r="E165" s="93" t="str">
        <f t="shared" si="107"/>
        <v>RFM / PTRM</v>
      </c>
      <c r="F165" s="93" t="str">
        <f t="shared" si="104"/>
        <v>Dollars</v>
      </c>
      <c r="G165" s="93" t="str">
        <f t="shared" si="105"/>
        <v>Nominal</v>
      </c>
      <c r="H165" s="50" t="str">
        <f t="shared" si="106"/>
        <v>End year</v>
      </c>
      <c r="J165" s="94">
        <v>0</v>
      </c>
      <c r="K165" s="239">
        <v>0</v>
      </c>
      <c r="L165" s="104">
        <v>-0.25793188443825871</v>
      </c>
      <c r="M165" s="104">
        <v>-0.43908837870203021</v>
      </c>
      <c r="N165" s="104">
        <v>-0.79944327826899486</v>
      </c>
      <c r="O165" s="107">
        <v>-1.0653593487642294</v>
      </c>
      <c r="P165" s="106">
        <v>-6.4383971484086056</v>
      </c>
      <c r="Q165" s="104">
        <v>-6.7699415483180179</v>
      </c>
      <c r="R165" s="104">
        <v>-7.0952135183239804</v>
      </c>
      <c r="S165" s="104">
        <v>-7.2755136382645249</v>
      </c>
      <c r="T165" s="107">
        <v>-7.4464848527587248</v>
      </c>
    </row>
    <row r="166" spans="4:20" ht="12.75" x14ac:dyDescent="0.2">
      <c r="D166" s="75" t="str">
        <f t="shared" si="108"/>
        <v xml:space="preserve">Land and Easements </v>
      </c>
      <c r="E166" s="93" t="str">
        <f t="shared" si="107"/>
        <v>RFM / PTRM</v>
      </c>
      <c r="F166" s="93" t="str">
        <f t="shared" si="104"/>
        <v>Dollars</v>
      </c>
      <c r="G166" s="93" t="str">
        <f t="shared" si="105"/>
        <v>Nominal</v>
      </c>
      <c r="H166" s="50" t="str">
        <f t="shared" si="106"/>
        <v>End year</v>
      </c>
      <c r="J166" s="94">
        <v>0</v>
      </c>
      <c r="K166" s="239">
        <v>0</v>
      </c>
      <c r="L166" s="104">
        <v>0</v>
      </c>
      <c r="M166" s="104">
        <v>0</v>
      </c>
      <c r="N166" s="104">
        <v>0</v>
      </c>
      <c r="O166" s="107">
        <v>0</v>
      </c>
      <c r="P166" s="106">
        <v>0</v>
      </c>
      <c r="Q166" s="104">
        <v>0</v>
      </c>
      <c r="R166" s="104">
        <v>0</v>
      </c>
      <c r="S166" s="104">
        <v>0</v>
      </c>
      <c r="T166" s="107">
        <v>0</v>
      </c>
    </row>
    <row r="167" spans="4:20" ht="12.75" x14ac:dyDescent="0.2">
      <c r="D167" s="75" t="str">
        <f t="shared" si="108"/>
        <v>Synchronous Condensers</v>
      </c>
      <c r="E167" s="93" t="str">
        <f t="shared" si="107"/>
        <v>RFM / PTRM</v>
      </c>
      <c r="F167" s="93" t="str">
        <f t="shared" si="104"/>
        <v>Dollars</v>
      </c>
      <c r="G167" s="93" t="str">
        <f t="shared" si="105"/>
        <v>Nominal</v>
      </c>
      <c r="H167" s="50" t="str">
        <f t="shared" si="106"/>
        <v>End year</v>
      </c>
      <c r="J167" s="94">
        <v>0</v>
      </c>
      <c r="K167" s="239">
        <v>0</v>
      </c>
      <c r="L167" s="104">
        <v>0</v>
      </c>
      <c r="M167" s="104">
        <v>0</v>
      </c>
      <c r="N167" s="104">
        <v>0</v>
      </c>
      <c r="O167" s="107">
        <v>0</v>
      </c>
      <c r="P167" s="106">
        <v>0</v>
      </c>
      <c r="Q167" s="104">
        <v>-1.5041894307096002</v>
      </c>
      <c r="R167" s="104">
        <v>-4.1956016473157058</v>
      </c>
      <c r="S167" s="104">
        <v>-4.2941963507058212</v>
      </c>
      <c r="T167" s="107">
        <v>-4.3951079841464349</v>
      </c>
    </row>
    <row r="168" spans="4:20" ht="12.75" x14ac:dyDescent="0.2">
      <c r="D168" s="75" t="str">
        <f t="shared" si="108"/>
        <v>Leasehold Land and Property</v>
      </c>
      <c r="E168" s="93" t="str">
        <f t="shared" si="107"/>
        <v>RFM / PTRM</v>
      </c>
      <c r="F168" s="93" t="str">
        <f t="shared" si="104"/>
        <v>Dollars</v>
      </c>
      <c r="G168" s="93" t="str">
        <f t="shared" si="105"/>
        <v>Nominal</v>
      </c>
      <c r="H168" s="50" t="str">
        <f t="shared" si="106"/>
        <v>End year</v>
      </c>
      <c r="J168" s="94">
        <v>0</v>
      </c>
      <c r="K168" s="239">
        <v>0</v>
      </c>
      <c r="L168" s="104">
        <v>0</v>
      </c>
      <c r="M168" s="104">
        <v>0</v>
      </c>
      <c r="N168" s="104">
        <v>0</v>
      </c>
      <c r="O168" s="107">
        <v>0</v>
      </c>
      <c r="P168" s="106">
        <v>-0.27317277944067553</v>
      </c>
      <c r="Q168" s="104">
        <v>-0.27959221375004056</v>
      </c>
      <c r="R168" s="104">
        <v>-0.28616250180455782</v>
      </c>
      <c r="S168" s="104">
        <v>-0.29288718859765334</v>
      </c>
      <c r="T168" s="107">
        <v>-0.29976990242846369</v>
      </c>
    </row>
    <row r="169" spans="4:20" ht="12.75" hidden="1" outlineLevel="1" x14ac:dyDescent="0.2">
      <c r="D169" s="75">
        <f t="shared" si="108"/>
        <v>0</v>
      </c>
      <c r="E169" s="93" t="str">
        <f t="shared" si="107"/>
        <v>RFM / PTRM</v>
      </c>
      <c r="F169" s="93" t="str">
        <f t="shared" si="104"/>
        <v>Dollars</v>
      </c>
      <c r="G169" s="93" t="str">
        <f t="shared" si="105"/>
        <v>Nominal</v>
      </c>
      <c r="H169" s="50" t="str">
        <f t="shared" si="106"/>
        <v>End year</v>
      </c>
      <c r="J169" s="94">
        <v>0</v>
      </c>
      <c r="K169" s="239">
        <v>0</v>
      </c>
      <c r="L169" s="104">
        <v>0</v>
      </c>
      <c r="M169" s="104">
        <v>0</v>
      </c>
      <c r="N169" s="104">
        <v>0</v>
      </c>
      <c r="O169" s="107">
        <v>0</v>
      </c>
      <c r="P169" s="106">
        <v>0</v>
      </c>
      <c r="Q169" s="104">
        <v>0</v>
      </c>
      <c r="R169" s="104">
        <v>0</v>
      </c>
      <c r="S169" s="104">
        <v>0</v>
      </c>
      <c r="T169" s="107">
        <v>0</v>
      </c>
    </row>
    <row r="170" spans="4:20" ht="12.75" hidden="1" outlineLevel="1" x14ac:dyDescent="0.2">
      <c r="D170" s="75">
        <f t="shared" si="108"/>
        <v>0</v>
      </c>
      <c r="E170" s="93" t="str">
        <f t="shared" si="107"/>
        <v>RFM / PTRM</v>
      </c>
      <c r="F170" s="93" t="str">
        <f t="shared" si="104"/>
        <v>Dollars</v>
      </c>
      <c r="G170" s="93" t="str">
        <f t="shared" si="105"/>
        <v>Nominal</v>
      </c>
      <c r="H170" s="50" t="str">
        <f t="shared" si="106"/>
        <v>End year</v>
      </c>
      <c r="J170" s="94">
        <v>0</v>
      </c>
      <c r="K170" s="239">
        <v>0</v>
      </c>
      <c r="L170" s="104">
        <v>0</v>
      </c>
      <c r="M170" s="104">
        <v>0</v>
      </c>
      <c r="N170" s="104">
        <v>0</v>
      </c>
      <c r="O170" s="107">
        <v>0</v>
      </c>
      <c r="P170" s="106">
        <v>0</v>
      </c>
      <c r="Q170" s="104">
        <v>0</v>
      </c>
      <c r="R170" s="104">
        <v>0</v>
      </c>
      <c r="S170" s="104">
        <v>0</v>
      </c>
      <c r="T170" s="107">
        <v>0</v>
      </c>
    </row>
    <row r="171" spans="4:20" ht="12.75" hidden="1" outlineLevel="1" x14ac:dyDescent="0.2">
      <c r="D171" s="75">
        <f t="shared" si="108"/>
        <v>0</v>
      </c>
      <c r="E171" s="93" t="str">
        <f t="shared" si="107"/>
        <v>RFM / PTRM</v>
      </c>
      <c r="F171" s="93" t="str">
        <f t="shared" si="104"/>
        <v>Dollars</v>
      </c>
      <c r="G171" s="93" t="str">
        <f t="shared" si="105"/>
        <v>Nominal</v>
      </c>
      <c r="H171" s="50" t="str">
        <f t="shared" si="106"/>
        <v>End year</v>
      </c>
      <c r="J171" s="94">
        <v>0</v>
      </c>
      <c r="K171" s="239">
        <v>0</v>
      </c>
      <c r="L171" s="104">
        <v>0</v>
      </c>
      <c r="M171" s="104">
        <v>0</v>
      </c>
      <c r="N171" s="104">
        <v>0</v>
      </c>
      <c r="O171" s="107">
        <v>0</v>
      </c>
      <c r="P171" s="106">
        <v>0</v>
      </c>
      <c r="Q171" s="104">
        <v>0</v>
      </c>
      <c r="R171" s="104">
        <v>0</v>
      </c>
      <c r="S171" s="104">
        <v>0</v>
      </c>
      <c r="T171" s="107">
        <v>0</v>
      </c>
    </row>
    <row r="172" spans="4:20" ht="12.75" hidden="1" outlineLevel="1" x14ac:dyDescent="0.2">
      <c r="D172" s="75">
        <f t="shared" si="108"/>
        <v>0</v>
      </c>
      <c r="E172" s="93" t="str">
        <f t="shared" si="107"/>
        <v>RFM / PTRM</v>
      </c>
      <c r="F172" s="93" t="str">
        <f t="shared" si="104"/>
        <v>Dollars</v>
      </c>
      <c r="G172" s="93" t="str">
        <f t="shared" si="105"/>
        <v>Nominal</v>
      </c>
      <c r="H172" s="50" t="str">
        <f t="shared" si="106"/>
        <v>End year</v>
      </c>
      <c r="J172" s="94">
        <v>0</v>
      </c>
      <c r="K172" s="239">
        <v>0</v>
      </c>
      <c r="L172" s="104">
        <v>0</v>
      </c>
      <c r="M172" s="104">
        <v>0</v>
      </c>
      <c r="N172" s="104">
        <v>0</v>
      </c>
      <c r="O172" s="107">
        <v>0</v>
      </c>
      <c r="P172" s="106">
        <v>0</v>
      </c>
      <c r="Q172" s="104">
        <v>0</v>
      </c>
      <c r="R172" s="104">
        <v>0</v>
      </c>
      <c r="S172" s="104">
        <v>0</v>
      </c>
      <c r="T172" s="107">
        <v>0</v>
      </c>
    </row>
    <row r="173" spans="4:20" ht="12.75" hidden="1" outlineLevel="1" x14ac:dyDescent="0.2">
      <c r="D173" s="75">
        <f t="shared" si="108"/>
        <v>0</v>
      </c>
      <c r="E173" s="93" t="str">
        <f t="shared" si="107"/>
        <v>RFM / PTRM</v>
      </c>
      <c r="F173" s="93" t="str">
        <f t="shared" si="104"/>
        <v>Dollars</v>
      </c>
      <c r="G173" s="93" t="str">
        <f t="shared" si="105"/>
        <v>Nominal</v>
      </c>
      <c r="H173" s="50" t="str">
        <f t="shared" si="106"/>
        <v>End year</v>
      </c>
      <c r="J173" s="94">
        <v>0</v>
      </c>
      <c r="K173" s="239">
        <v>0</v>
      </c>
      <c r="L173" s="104">
        <v>0</v>
      </c>
      <c r="M173" s="104">
        <v>0</v>
      </c>
      <c r="N173" s="104">
        <v>0</v>
      </c>
      <c r="O173" s="107">
        <v>0</v>
      </c>
      <c r="P173" s="106">
        <v>0</v>
      </c>
      <c r="Q173" s="104">
        <v>0</v>
      </c>
      <c r="R173" s="104">
        <v>0</v>
      </c>
      <c r="S173" s="104">
        <v>0</v>
      </c>
      <c r="T173" s="107">
        <v>0</v>
      </c>
    </row>
    <row r="174" spans="4:20" ht="12.75" hidden="1" outlineLevel="1" x14ac:dyDescent="0.2">
      <c r="D174" s="75">
        <f t="shared" si="108"/>
        <v>0</v>
      </c>
      <c r="E174" s="93" t="str">
        <f t="shared" si="107"/>
        <v>RFM / PTRM</v>
      </c>
      <c r="F174" s="93" t="str">
        <f t="shared" si="104"/>
        <v>Dollars</v>
      </c>
      <c r="G174" s="93" t="str">
        <f t="shared" si="105"/>
        <v>Nominal</v>
      </c>
      <c r="H174" s="50" t="str">
        <f t="shared" si="106"/>
        <v>End year</v>
      </c>
      <c r="J174" s="94">
        <v>0</v>
      </c>
      <c r="K174" s="239">
        <v>0</v>
      </c>
      <c r="L174" s="104">
        <v>0</v>
      </c>
      <c r="M174" s="104">
        <v>0</v>
      </c>
      <c r="N174" s="104">
        <v>0</v>
      </c>
      <c r="O174" s="107">
        <v>0</v>
      </c>
      <c r="P174" s="106">
        <v>0</v>
      </c>
      <c r="Q174" s="104">
        <v>0</v>
      </c>
      <c r="R174" s="104">
        <v>0</v>
      </c>
      <c r="S174" s="104">
        <v>0</v>
      </c>
      <c r="T174" s="107">
        <v>0</v>
      </c>
    </row>
    <row r="175" spans="4:20" ht="12.75" hidden="1" outlineLevel="1" x14ac:dyDescent="0.2">
      <c r="D175" s="75">
        <f t="shared" si="108"/>
        <v>0</v>
      </c>
      <c r="E175" s="93" t="str">
        <f t="shared" si="107"/>
        <v>RFM / PTRM</v>
      </c>
      <c r="F175" s="93" t="str">
        <f t="shared" si="104"/>
        <v>Dollars</v>
      </c>
      <c r="G175" s="93" t="str">
        <f t="shared" si="105"/>
        <v>Nominal</v>
      </c>
      <c r="H175" s="50" t="str">
        <f t="shared" si="106"/>
        <v>End year</v>
      </c>
      <c r="J175" s="94">
        <v>0</v>
      </c>
      <c r="K175" s="239">
        <v>0</v>
      </c>
      <c r="L175" s="104">
        <v>0</v>
      </c>
      <c r="M175" s="104">
        <v>0</v>
      </c>
      <c r="N175" s="104">
        <v>0</v>
      </c>
      <c r="O175" s="107">
        <v>0</v>
      </c>
      <c r="P175" s="106">
        <v>0</v>
      </c>
      <c r="Q175" s="104">
        <v>0</v>
      </c>
      <c r="R175" s="104">
        <v>0</v>
      </c>
      <c r="S175" s="104">
        <v>0</v>
      </c>
      <c r="T175" s="107">
        <v>0</v>
      </c>
    </row>
    <row r="176" spans="4:20" ht="12.75" hidden="1" outlineLevel="1" x14ac:dyDescent="0.2">
      <c r="D176" s="75">
        <f t="shared" si="108"/>
        <v>0</v>
      </c>
      <c r="E176" s="93" t="str">
        <f t="shared" si="107"/>
        <v>RFM / PTRM</v>
      </c>
      <c r="F176" s="93" t="str">
        <f t="shared" si="104"/>
        <v>Dollars</v>
      </c>
      <c r="G176" s="93" t="str">
        <f t="shared" si="105"/>
        <v>Nominal</v>
      </c>
      <c r="H176" s="50" t="str">
        <f t="shared" si="106"/>
        <v>End year</v>
      </c>
      <c r="J176" s="94">
        <v>0</v>
      </c>
      <c r="K176" s="239">
        <v>0</v>
      </c>
      <c r="L176" s="104">
        <v>0</v>
      </c>
      <c r="M176" s="104">
        <v>0</v>
      </c>
      <c r="N176" s="104">
        <v>0</v>
      </c>
      <c r="O176" s="107">
        <v>0</v>
      </c>
      <c r="P176" s="106">
        <v>0</v>
      </c>
      <c r="Q176" s="104">
        <v>0</v>
      </c>
      <c r="R176" s="104">
        <v>0</v>
      </c>
      <c r="S176" s="104">
        <v>0</v>
      </c>
      <c r="T176" s="107">
        <v>0</v>
      </c>
    </row>
    <row r="177" spans="1:20" ht="12.75" hidden="1" outlineLevel="1" x14ac:dyDescent="0.2">
      <c r="D177" s="75">
        <f t="shared" si="108"/>
        <v>0</v>
      </c>
      <c r="E177" s="93" t="str">
        <f t="shared" si="107"/>
        <v>RFM / PTRM</v>
      </c>
      <c r="F177" s="93" t="str">
        <f t="shared" si="104"/>
        <v>Dollars</v>
      </c>
      <c r="G177" s="93" t="str">
        <f t="shared" si="105"/>
        <v>Nominal</v>
      </c>
      <c r="H177" s="50" t="str">
        <f t="shared" si="106"/>
        <v>End year</v>
      </c>
      <c r="J177" s="94">
        <v>0</v>
      </c>
      <c r="K177" s="239">
        <v>0</v>
      </c>
      <c r="L177" s="104">
        <v>0</v>
      </c>
      <c r="M177" s="104">
        <v>0</v>
      </c>
      <c r="N177" s="104">
        <v>0</v>
      </c>
      <c r="O177" s="107">
        <v>0</v>
      </c>
      <c r="P177" s="106">
        <v>0</v>
      </c>
      <c r="Q177" s="104">
        <v>0</v>
      </c>
      <c r="R177" s="104">
        <v>0</v>
      </c>
      <c r="S177" s="104">
        <v>0</v>
      </c>
      <c r="T177" s="107">
        <v>0</v>
      </c>
    </row>
    <row r="178" spans="1:20" ht="12.75" hidden="1" outlineLevel="1" x14ac:dyDescent="0.2">
      <c r="D178" s="75">
        <f t="shared" si="108"/>
        <v>0</v>
      </c>
      <c r="E178" s="93" t="str">
        <f t="shared" si="107"/>
        <v>RFM / PTRM</v>
      </c>
      <c r="F178" s="93" t="str">
        <f t="shared" si="104"/>
        <v>Dollars</v>
      </c>
      <c r="G178" s="93" t="str">
        <f t="shared" si="105"/>
        <v>Nominal</v>
      </c>
      <c r="H178" s="50" t="str">
        <f t="shared" si="106"/>
        <v>End year</v>
      </c>
      <c r="J178" s="94">
        <v>0</v>
      </c>
      <c r="K178" s="239">
        <v>0</v>
      </c>
      <c r="L178" s="104">
        <v>0</v>
      </c>
      <c r="M178" s="104">
        <v>0</v>
      </c>
      <c r="N178" s="104">
        <v>0</v>
      </c>
      <c r="O178" s="107">
        <v>0</v>
      </c>
      <c r="P178" s="106">
        <v>0</v>
      </c>
      <c r="Q178" s="104">
        <v>0</v>
      </c>
      <c r="R178" s="104">
        <v>0</v>
      </c>
      <c r="S178" s="104">
        <v>0</v>
      </c>
      <c r="T178" s="107">
        <v>0</v>
      </c>
    </row>
    <row r="179" spans="1:20" ht="12.75" hidden="1" outlineLevel="1" x14ac:dyDescent="0.2">
      <c r="D179" s="75">
        <f t="shared" si="108"/>
        <v>0</v>
      </c>
      <c r="E179" s="93" t="str">
        <f t="shared" si="107"/>
        <v>RFM / PTRM</v>
      </c>
      <c r="F179" s="93" t="str">
        <f t="shared" si="104"/>
        <v>Dollars</v>
      </c>
      <c r="G179" s="93" t="str">
        <f t="shared" si="105"/>
        <v>Nominal</v>
      </c>
      <c r="H179" s="50" t="str">
        <f t="shared" si="106"/>
        <v>End year</v>
      </c>
      <c r="J179" s="94">
        <v>0</v>
      </c>
      <c r="K179" s="239">
        <v>0</v>
      </c>
      <c r="L179" s="104">
        <v>0</v>
      </c>
      <c r="M179" s="104">
        <v>0</v>
      </c>
      <c r="N179" s="104">
        <v>0</v>
      </c>
      <c r="O179" s="107">
        <v>0</v>
      </c>
      <c r="P179" s="106">
        <v>0</v>
      </c>
      <c r="Q179" s="104">
        <v>0</v>
      </c>
      <c r="R179" s="104">
        <v>0</v>
      </c>
      <c r="S179" s="104">
        <v>0</v>
      </c>
      <c r="T179" s="107">
        <v>0</v>
      </c>
    </row>
    <row r="180" spans="1:20" ht="12.75" hidden="1" outlineLevel="1" x14ac:dyDescent="0.2">
      <c r="D180" s="75">
        <f t="shared" si="108"/>
        <v>0</v>
      </c>
      <c r="E180" s="93" t="str">
        <f t="shared" si="107"/>
        <v>RFM / PTRM</v>
      </c>
      <c r="F180" s="93" t="str">
        <f t="shared" si="104"/>
        <v>Dollars</v>
      </c>
      <c r="G180" s="93" t="str">
        <f t="shared" si="105"/>
        <v>Nominal</v>
      </c>
      <c r="H180" s="50" t="str">
        <f t="shared" si="106"/>
        <v>End year</v>
      </c>
      <c r="J180" s="94">
        <v>0</v>
      </c>
      <c r="K180" s="239">
        <v>0</v>
      </c>
      <c r="L180" s="104">
        <v>0</v>
      </c>
      <c r="M180" s="104">
        <v>0</v>
      </c>
      <c r="N180" s="104">
        <v>0</v>
      </c>
      <c r="O180" s="107">
        <v>0</v>
      </c>
      <c r="P180" s="106">
        <v>0</v>
      </c>
      <c r="Q180" s="104">
        <v>0</v>
      </c>
      <c r="R180" s="104">
        <v>0</v>
      </c>
      <c r="S180" s="104">
        <v>0</v>
      </c>
      <c r="T180" s="107">
        <v>0</v>
      </c>
    </row>
    <row r="181" spans="1:20" ht="12.75" hidden="1" outlineLevel="1" x14ac:dyDescent="0.2">
      <c r="D181" s="75">
        <f t="shared" si="108"/>
        <v>0</v>
      </c>
      <c r="E181" s="93" t="str">
        <f t="shared" si="107"/>
        <v>RFM / PTRM</v>
      </c>
      <c r="F181" s="93" t="str">
        <f t="shared" si="104"/>
        <v>Dollars</v>
      </c>
      <c r="G181" s="93" t="str">
        <f t="shared" si="105"/>
        <v>Nominal</v>
      </c>
      <c r="H181" s="50" t="str">
        <f t="shared" si="106"/>
        <v>End year</v>
      </c>
      <c r="J181" s="94">
        <v>0</v>
      </c>
      <c r="K181" s="239">
        <v>0</v>
      </c>
      <c r="L181" s="104">
        <v>0</v>
      </c>
      <c r="M181" s="104">
        <v>0</v>
      </c>
      <c r="N181" s="104">
        <v>0</v>
      </c>
      <c r="O181" s="107">
        <v>0</v>
      </c>
      <c r="P181" s="106">
        <v>0</v>
      </c>
      <c r="Q181" s="104">
        <v>0</v>
      </c>
      <c r="R181" s="104">
        <v>0</v>
      </c>
      <c r="S181" s="104">
        <v>0</v>
      </c>
      <c r="T181" s="107">
        <v>0</v>
      </c>
    </row>
    <row r="182" spans="1:20" ht="12.75" hidden="1" outlineLevel="1" x14ac:dyDescent="0.2">
      <c r="D182" s="75">
        <f t="shared" si="108"/>
        <v>0</v>
      </c>
      <c r="E182" s="93" t="str">
        <f t="shared" si="107"/>
        <v>RFM / PTRM</v>
      </c>
      <c r="F182" s="93" t="str">
        <f t="shared" si="104"/>
        <v>Dollars</v>
      </c>
      <c r="G182" s="93" t="str">
        <f t="shared" si="105"/>
        <v>Nominal</v>
      </c>
      <c r="H182" s="50" t="str">
        <f t="shared" si="106"/>
        <v>End year</v>
      </c>
      <c r="J182" s="94">
        <v>0</v>
      </c>
      <c r="K182" s="239">
        <v>0</v>
      </c>
      <c r="L182" s="104">
        <v>0</v>
      </c>
      <c r="M182" s="104">
        <v>0</v>
      </c>
      <c r="N182" s="104">
        <v>0</v>
      </c>
      <c r="O182" s="107">
        <v>0</v>
      </c>
      <c r="P182" s="106">
        <v>0</v>
      </c>
      <c r="Q182" s="104">
        <v>0</v>
      </c>
      <c r="R182" s="104">
        <v>0</v>
      </c>
      <c r="S182" s="104">
        <v>0</v>
      </c>
      <c r="T182" s="107">
        <v>0</v>
      </c>
    </row>
    <row r="183" spans="1:20" ht="12.75" hidden="1" outlineLevel="1" x14ac:dyDescent="0.2">
      <c r="D183" s="75">
        <f t="shared" si="108"/>
        <v>0</v>
      </c>
      <c r="E183" s="93" t="str">
        <f t="shared" si="107"/>
        <v>RFM / PTRM</v>
      </c>
      <c r="F183" s="93" t="str">
        <f t="shared" si="104"/>
        <v>Dollars</v>
      </c>
      <c r="G183" s="93" t="str">
        <f t="shared" si="105"/>
        <v>Nominal</v>
      </c>
      <c r="H183" s="50" t="str">
        <f t="shared" si="106"/>
        <v>End year</v>
      </c>
      <c r="J183" s="94">
        <v>0</v>
      </c>
      <c r="K183" s="239">
        <v>0</v>
      </c>
      <c r="L183" s="104">
        <v>0</v>
      </c>
      <c r="M183" s="104">
        <v>0</v>
      </c>
      <c r="N183" s="104">
        <v>0</v>
      </c>
      <c r="O183" s="107">
        <v>0</v>
      </c>
      <c r="P183" s="106">
        <v>0</v>
      </c>
      <c r="Q183" s="104">
        <v>0</v>
      </c>
      <c r="R183" s="104">
        <v>0</v>
      </c>
      <c r="S183" s="104">
        <v>0</v>
      </c>
      <c r="T183" s="107">
        <v>0</v>
      </c>
    </row>
    <row r="184" spans="1:20" ht="12.75" collapsed="1" x14ac:dyDescent="0.2">
      <c r="D184" s="75" t="str">
        <f t="shared" si="108"/>
        <v>Buildings - capital works</v>
      </c>
      <c r="E184" s="93" t="str">
        <f t="shared" si="107"/>
        <v>RFM / PTRM</v>
      </c>
      <c r="F184" s="93" t="str">
        <f t="shared" si="104"/>
        <v>Dollars</v>
      </c>
      <c r="G184" s="93" t="str">
        <f t="shared" si="105"/>
        <v>Nominal</v>
      </c>
      <c r="H184" s="50" t="str">
        <f t="shared" si="106"/>
        <v>End year</v>
      </c>
      <c r="J184" s="94">
        <v>0</v>
      </c>
      <c r="K184" s="239">
        <v>0</v>
      </c>
      <c r="L184" s="104">
        <v>0</v>
      </c>
      <c r="M184" s="104">
        <v>0</v>
      </c>
      <c r="N184" s="104">
        <v>0</v>
      </c>
      <c r="O184" s="107">
        <v>0</v>
      </c>
      <c r="P184" s="106">
        <v>0</v>
      </c>
      <c r="Q184" s="104">
        <v>-0.1230152526020582</v>
      </c>
      <c r="R184" s="104">
        <v>-0.25181210858894676</v>
      </c>
      <c r="S184" s="104">
        <v>-0.38659436547962622</v>
      </c>
      <c r="T184" s="107">
        <v>-0.52757220632330926</v>
      </c>
    </row>
    <row r="185" spans="1:20" ht="12.75" x14ac:dyDescent="0.2">
      <c r="D185" s="75" t="str">
        <f t="shared" si="108"/>
        <v>In-house software</v>
      </c>
      <c r="E185" s="93" t="str">
        <f t="shared" si="107"/>
        <v>RFM / PTRM</v>
      </c>
      <c r="F185" s="93" t="str">
        <f t="shared" si="104"/>
        <v>Dollars</v>
      </c>
      <c r="G185" s="93" t="str">
        <f t="shared" si="105"/>
        <v>Nominal</v>
      </c>
      <c r="H185" s="50" t="str">
        <f t="shared" si="106"/>
        <v>End year</v>
      </c>
      <c r="J185" s="94">
        <v>0</v>
      </c>
      <c r="K185" s="239">
        <v>0</v>
      </c>
      <c r="L185" s="104">
        <v>0</v>
      </c>
      <c r="M185" s="104">
        <v>0</v>
      </c>
      <c r="N185" s="104">
        <v>0</v>
      </c>
      <c r="O185" s="107">
        <v>0</v>
      </c>
      <c r="P185" s="106">
        <v>0</v>
      </c>
      <c r="Q185" s="104">
        <v>-1.2487634217029959</v>
      </c>
      <c r="R185" s="104">
        <v>-2.0554230736644503</v>
      </c>
      <c r="S185" s="104">
        <v>-2.9273180264962431</v>
      </c>
      <c r="T185" s="107">
        <v>-3.7888793055895293</v>
      </c>
    </row>
    <row r="186" spans="1:20" ht="12.75" x14ac:dyDescent="0.2">
      <c r="D186" s="75" t="str">
        <f t="shared" si="108"/>
        <v>Equity raising costs</v>
      </c>
      <c r="E186" s="93" t="str">
        <f t="shared" si="107"/>
        <v>RFM / PTRM</v>
      </c>
      <c r="F186" s="93" t="str">
        <f t="shared" si="104"/>
        <v>Dollars</v>
      </c>
      <c r="G186" s="93" t="str">
        <f t="shared" si="105"/>
        <v>Nominal</v>
      </c>
      <c r="H186" s="50" t="str">
        <f t="shared" si="106"/>
        <v>End year</v>
      </c>
      <c r="J186" s="94">
        <v>-4.0054837922160212E-2</v>
      </c>
      <c r="K186" s="239">
        <v>-4.0354779649187253E-2</v>
      </c>
      <c r="L186" s="104">
        <v>-0.45816506318345535</v>
      </c>
      <c r="M186" s="104">
        <v>-0.46659754900891781</v>
      </c>
      <c r="N186" s="104">
        <v>-0.47061301844961412</v>
      </c>
      <c r="O186" s="107">
        <v>-0.48590794154922656</v>
      </c>
      <c r="P186" s="106">
        <v>-0.49907462216703885</v>
      </c>
      <c r="Q186" s="104">
        <v>-0.51080264557783495</v>
      </c>
      <c r="R186" s="104">
        <v>-0.52280627212895292</v>
      </c>
      <c r="S186" s="104">
        <v>-0.53509197836706179</v>
      </c>
      <c r="T186" s="107">
        <v>-0.54766639303468978</v>
      </c>
    </row>
    <row r="187" spans="1:20" x14ac:dyDescent="0.2">
      <c r="J187" s="88"/>
      <c r="K187" s="89"/>
      <c r="L187" s="89"/>
      <c r="M187" s="89"/>
      <c r="N187" s="89"/>
      <c r="O187" s="91"/>
      <c r="P187" s="88"/>
      <c r="Q187" s="89"/>
      <c r="R187" s="89"/>
      <c r="S187" s="89"/>
      <c r="T187" s="91"/>
    </row>
    <row r="188" spans="1:20" ht="12.75" x14ac:dyDescent="0.2">
      <c r="D188" s="98" t="str">
        <f>"Total "&amp;C133</f>
        <v>Total Straight Line Depreciation</v>
      </c>
      <c r="E188" s="99" t="s">
        <v>92</v>
      </c>
      <c r="F188" s="99" t="str">
        <f>F137</f>
        <v>Dollars</v>
      </c>
      <c r="G188" s="99" t="str">
        <f>G137</f>
        <v>Nominal</v>
      </c>
      <c r="H188" s="45" t="str">
        <f>H137</f>
        <v>End year</v>
      </c>
      <c r="J188" s="100">
        <f t="shared" ref="J188:T188" si="109">SUM(J137:J186)</f>
        <v>-265.03896694009853</v>
      </c>
      <c r="K188" s="101">
        <f t="shared" si="109"/>
        <v>-255.96776314920794</v>
      </c>
      <c r="L188" s="101">
        <f t="shared" si="109"/>
        <v>-275.10915736428575</v>
      </c>
      <c r="M188" s="101">
        <f t="shared" si="109"/>
        <v>-289.98151567697641</v>
      </c>
      <c r="N188" s="101">
        <f t="shared" si="109"/>
        <v>-291.47286238648013</v>
      </c>
      <c r="O188" s="102">
        <f t="shared" si="109"/>
        <v>-315.90566222280523</v>
      </c>
      <c r="P188" s="100">
        <f t="shared" si="109"/>
        <v>-316.0592001995613</v>
      </c>
      <c r="Q188" s="101">
        <f t="shared" si="109"/>
        <v>-354.52422471455753</v>
      </c>
      <c r="R188" s="101">
        <f t="shared" si="109"/>
        <v>-397.03233050840407</v>
      </c>
      <c r="S188" s="101">
        <f t="shared" si="109"/>
        <v>-412.50994046867692</v>
      </c>
      <c r="T188" s="102">
        <f t="shared" si="109"/>
        <v>-430.04077975341818</v>
      </c>
    </row>
    <row r="189" spans="1:20" s="82" customFormat="1" ht="11.25" customHeight="1" x14ac:dyDescent="0.2">
      <c r="H189" s="6"/>
    </row>
    <row r="190" spans="1:20" s="82" customFormat="1" ht="11.25" customHeight="1" x14ac:dyDescent="0.2">
      <c r="A190" s="69">
        <f>IF(SUM($J190:$T190)&lt;&gt;0,1,0)</f>
        <v>0</v>
      </c>
      <c r="D190" s="75" t="s">
        <v>121</v>
      </c>
      <c r="H190" s="6"/>
      <c r="J190" s="109">
        <f t="shared" ref="J190:K190" si="110">IF(ISERROR(J188),1,0)</f>
        <v>0</v>
      </c>
      <c r="K190" s="103">
        <f t="shared" si="110"/>
        <v>0</v>
      </c>
      <c r="L190" s="103">
        <f>IF(ISERROR(L188),1,0)</f>
        <v>0</v>
      </c>
      <c r="M190" s="103">
        <f t="shared" ref="M190:P190" si="111">IF(ISERROR(M188),1,0)</f>
        <v>0</v>
      </c>
      <c r="N190" s="103">
        <f t="shared" si="111"/>
        <v>0</v>
      </c>
      <c r="O190" s="103">
        <f t="shared" si="111"/>
        <v>0</v>
      </c>
      <c r="P190" s="109">
        <f t="shared" si="111"/>
        <v>0</v>
      </c>
      <c r="Q190" s="103">
        <f>IF(ISERROR(Q188),1,0)</f>
        <v>0</v>
      </c>
      <c r="R190" s="103">
        <f t="shared" ref="R190:T190" si="112">IF(ISERROR(R188),1,0)</f>
        <v>0</v>
      </c>
      <c r="S190" s="103">
        <f t="shared" si="112"/>
        <v>0</v>
      </c>
      <c r="T190" s="110">
        <f t="shared" si="112"/>
        <v>0</v>
      </c>
    </row>
    <row r="191" spans="1:20" s="82" customFormat="1" ht="11.25" customHeight="1" x14ac:dyDescent="0.2">
      <c r="A191" s="69">
        <f>IF(SUM($J191:$T191)&lt;&gt;0,1,0)</f>
        <v>0</v>
      </c>
      <c r="D191" s="75" t="s">
        <v>122</v>
      </c>
      <c r="H191" s="6"/>
      <c r="J191" s="109">
        <v>0</v>
      </c>
      <c r="K191" s="103">
        <v>0</v>
      </c>
      <c r="L191" s="103">
        <v>0</v>
      </c>
      <c r="M191" s="103">
        <v>0</v>
      </c>
      <c r="N191" s="103">
        <v>0</v>
      </c>
      <c r="O191" s="103">
        <v>0</v>
      </c>
      <c r="P191" s="109">
        <v>0</v>
      </c>
      <c r="Q191" s="103">
        <v>0</v>
      </c>
      <c r="R191" s="103">
        <v>0</v>
      </c>
      <c r="S191" s="103">
        <v>0</v>
      </c>
      <c r="T191" s="110">
        <v>0</v>
      </c>
    </row>
    <row r="192" spans="1:20" s="82" customFormat="1" ht="11.25" customHeight="1" x14ac:dyDescent="0.2">
      <c r="H192" s="6"/>
      <c r="N192" s="79"/>
      <c r="S192" s="79"/>
    </row>
    <row r="193" spans="3:20" s="83" customFormat="1" ht="15" x14ac:dyDescent="0.2">
      <c r="C193" s="83" t="s">
        <v>280</v>
      </c>
      <c r="H193" s="13"/>
    </row>
    <row r="194" spans="3:20" s="82" customFormat="1" ht="11.25" customHeight="1" x14ac:dyDescent="0.2">
      <c r="H194" s="6"/>
    </row>
    <row r="195" spans="3:20" ht="12.75" x14ac:dyDescent="0.2">
      <c r="D195" s="84" t="str">
        <f>D$16</f>
        <v>RAB Asset Class</v>
      </c>
      <c r="E195" s="85" t="str">
        <f>Lookup!E$20</f>
        <v>Source</v>
      </c>
      <c r="F195" s="85" t="str">
        <f>Lookup!F$20</f>
        <v>Unit</v>
      </c>
      <c r="G195" s="85" t="str">
        <f>Lookup!G$20</f>
        <v>Basis</v>
      </c>
      <c r="H195" s="43" t="str">
        <f>Lookup!H$20</f>
        <v>Timing</v>
      </c>
      <c r="J195" s="229" t="str">
        <f t="shared" ref="J195:T195" si="113">J$10</f>
        <v>RY18</v>
      </c>
      <c r="K195" s="226" t="str">
        <f t="shared" si="113"/>
        <v>RY19</v>
      </c>
      <c r="L195" s="85" t="str">
        <f>L$10</f>
        <v>RY20</v>
      </c>
      <c r="M195" s="85" t="str">
        <f t="shared" si="113"/>
        <v>RY21</v>
      </c>
      <c r="N195" s="85" t="str">
        <f t="shared" si="113"/>
        <v>RY22</v>
      </c>
      <c r="O195" s="87" t="str">
        <f t="shared" si="113"/>
        <v>RY23</v>
      </c>
      <c r="P195" s="225" t="str">
        <f t="shared" si="113"/>
        <v>RY24</v>
      </c>
      <c r="Q195" s="226" t="str">
        <f>Q$10</f>
        <v>RY25</v>
      </c>
      <c r="R195" s="226" t="str">
        <f t="shared" si="113"/>
        <v>RY26</v>
      </c>
      <c r="S195" s="226" t="str">
        <f t="shared" si="113"/>
        <v>RY27</v>
      </c>
      <c r="T195" s="227" t="str">
        <f t="shared" si="113"/>
        <v>RY28</v>
      </c>
    </row>
    <row r="196" spans="3:20" x14ac:dyDescent="0.2">
      <c r="J196" s="90"/>
      <c r="K196" s="89"/>
      <c r="L196" s="89"/>
      <c r="M196" s="89"/>
      <c r="N196" s="89"/>
      <c r="O196" s="91"/>
      <c r="P196" s="88"/>
      <c r="Q196" s="89"/>
      <c r="R196" s="89"/>
      <c r="S196" s="89"/>
      <c r="T196" s="91"/>
    </row>
    <row r="197" spans="3:20" ht="12.75" x14ac:dyDescent="0.2">
      <c r="D197" s="75" t="str">
        <f t="shared" ref="D197:D212" si="114">D18</f>
        <v>Transmission Lines (pre 2004-05)</v>
      </c>
      <c r="E197" s="93" t="s">
        <v>254</v>
      </c>
      <c r="F197" s="93" t="str">
        <f t="shared" ref="F197:F246" si="115">Dollars</f>
        <v>Dollars</v>
      </c>
      <c r="G197" s="93" t="str">
        <f t="shared" ref="G197:G246" si="116">Nominal</f>
        <v>Nominal</v>
      </c>
      <c r="H197" s="50" t="str">
        <f t="shared" ref="H197:H246" si="117">End_year</f>
        <v>End year</v>
      </c>
      <c r="J197" s="105">
        <v>0</v>
      </c>
      <c r="K197" s="239">
        <v>0</v>
      </c>
      <c r="L197" s="104">
        <v>0</v>
      </c>
      <c r="M197" s="104">
        <v>0</v>
      </c>
      <c r="N197" s="104">
        <v>0</v>
      </c>
      <c r="O197" s="107">
        <v>0</v>
      </c>
      <c r="P197" s="106">
        <v>0</v>
      </c>
      <c r="Q197" s="104">
        <v>0</v>
      </c>
      <c r="R197" s="104">
        <v>0</v>
      </c>
      <c r="S197" s="104">
        <v>0</v>
      </c>
      <c r="T197" s="107">
        <v>0</v>
      </c>
    </row>
    <row r="198" spans="3:20" ht="12.75" x14ac:dyDescent="0.2">
      <c r="D198" s="75" t="str">
        <f t="shared" si="114"/>
        <v>Underground Cables (pre 2004-05)</v>
      </c>
      <c r="E198" s="93" t="str">
        <f>E197</f>
        <v>RFM / PTRM</v>
      </c>
      <c r="F198" s="93" t="str">
        <f t="shared" si="115"/>
        <v>Dollars</v>
      </c>
      <c r="G198" s="93" t="str">
        <f t="shared" si="116"/>
        <v>Nominal</v>
      </c>
      <c r="H198" s="50" t="str">
        <f t="shared" si="117"/>
        <v>End year</v>
      </c>
      <c r="J198" s="105">
        <v>0</v>
      </c>
      <c r="K198" s="239">
        <v>0</v>
      </c>
      <c r="L198" s="104">
        <v>0</v>
      </c>
      <c r="M198" s="104">
        <v>0</v>
      </c>
      <c r="N198" s="104">
        <v>0</v>
      </c>
      <c r="O198" s="107">
        <v>0</v>
      </c>
      <c r="P198" s="106">
        <v>0</v>
      </c>
      <c r="Q198" s="104">
        <v>0</v>
      </c>
      <c r="R198" s="104">
        <v>0</v>
      </c>
      <c r="S198" s="104">
        <v>0</v>
      </c>
      <c r="T198" s="107">
        <v>0</v>
      </c>
    </row>
    <row r="199" spans="3:20" ht="12.75" x14ac:dyDescent="0.2">
      <c r="D199" s="75" t="str">
        <f t="shared" si="114"/>
        <v>Substations including Buildings (pre 2004-05)</v>
      </c>
      <c r="E199" s="93" t="str">
        <f t="shared" ref="E199:E246" si="118">E198</f>
        <v>RFM / PTRM</v>
      </c>
      <c r="F199" s="93" t="str">
        <f t="shared" si="115"/>
        <v>Dollars</v>
      </c>
      <c r="G199" s="93" t="str">
        <f t="shared" si="116"/>
        <v>Nominal</v>
      </c>
      <c r="H199" s="50" t="str">
        <f t="shared" si="117"/>
        <v>End year</v>
      </c>
      <c r="J199" s="105">
        <v>0</v>
      </c>
      <c r="K199" s="239">
        <v>0</v>
      </c>
      <c r="L199" s="104">
        <v>0</v>
      </c>
      <c r="M199" s="104">
        <v>0</v>
      </c>
      <c r="N199" s="104">
        <v>0</v>
      </c>
      <c r="O199" s="107">
        <v>0</v>
      </c>
      <c r="P199" s="106">
        <v>0</v>
      </c>
      <c r="Q199" s="104">
        <v>0</v>
      </c>
      <c r="R199" s="104">
        <v>0</v>
      </c>
      <c r="S199" s="104">
        <v>0</v>
      </c>
      <c r="T199" s="107">
        <v>0</v>
      </c>
    </row>
    <row r="200" spans="3:20" ht="12.75" x14ac:dyDescent="0.2">
      <c r="D200" s="75" t="str">
        <f t="shared" si="114"/>
        <v>Transmission Lines (2004-09)</v>
      </c>
      <c r="E200" s="93" t="str">
        <f t="shared" si="118"/>
        <v>RFM / PTRM</v>
      </c>
      <c r="F200" s="93" t="str">
        <f t="shared" si="115"/>
        <v>Dollars</v>
      </c>
      <c r="G200" s="93" t="str">
        <f t="shared" si="116"/>
        <v>Nominal</v>
      </c>
      <c r="H200" s="50" t="str">
        <f t="shared" si="117"/>
        <v>End year</v>
      </c>
      <c r="J200" s="105">
        <v>0</v>
      </c>
      <c r="K200" s="239">
        <v>0</v>
      </c>
      <c r="L200" s="104">
        <v>0</v>
      </c>
      <c r="M200" s="104">
        <v>0</v>
      </c>
      <c r="N200" s="104">
        <v>0</v>
      </c>
      <c r="O200" s="107">
        <v>0</v>
      </c>
      <c r="P200" s="106">
        <v>0</v>
      </c>
      <c r="Q200" s="104">
        <v>0</v>
      </c>
      <c r="R200" s="104">
        <v>0</v>
      </c>
      <c r="S200" s="104">
        <v>0</v>
      </c>
      <c r="T200" s="107">
        <v>0</v>
      </c>
    </row>
    <row r="201" spans="3:20" ht="12.75" x14ac:dyDescent="0.2">
      <c r="D201" s="75" t="str">
        <f t="shared" si="114"/>
        <v>Underground Cables (2004-09)</v>
      </c>
      <c r="E201" s="93" t="str">
        <f t="shared" si="118"/>
        <v>RFM / PTRM</v>
      </c>
      <c r="F201" s="93" t="str">
        <f t="shared" si="115"/>
        <v>Dollars</v>
      </c>
      <c r="G201" s="93" t="str">
        <f t="shared" si="116"/>
        <v>Nominal</v>
      </c>
      <c r="H201" s="50" t="str">
        <f t="shared" si="117"/>
        <v>End year</v>
      </c>
      <c r="J201" s="105">
        <v>0</v>
      </c>
      <c r="K201" s="239">
        <v>0</v>
      </c>
      <c r="L201" s="104">
        <v>0</v>
      </c>
      <c r="M201" s="104">
        <v>0</v>
      </c>
      <c r="N201" s="104">
        <v>0</v>
      </c>
      <c r="O201" s="107">
        <v>0</v>
      </c>
      <c r="P201" s="106">
        <v>0</v>
      </c>
      <c r="Q201" s="104">
        <v>0</v>
      </c>
      <c r="R201" s="104">
        <v>0</v>
      </c>
      <c r="S201" s="104">
        <v>0</v>
      </c>
      <c r="T201" s="107">
        <v>0</v>
      </c>
    </row>
    <row r="202" spans="3:20" ht="12.75" x14ac:dyDescent="0.2">
      <c r="D202" s="75" t="str">
        <f t="shared" si="114"/>
        <v>Substations including Buildings (2004-09)</v>
      </c>
      <c r="E202" s="93" t="str">
        <f t="shared" si="118"/>
        <v>RFM / PTRM</v>
      </c>
      <c r="F202" s="93" t="str">
        <f t="shared" si="115"/>
        <v>Dollars</v>
      </c>
      <c r="G202" s="93" t="str">
        <f t="shared" si="116"/>
        <v>Nominal</v>
      </c>
      <c r="H202" s="50" t="str">
        <f t="shared" si="117"/>
        <v>End year</v>
      </c>
      <c r="J202" s="105">
        <v>0</v>
      </c>
      <c r="K202" s="239">
        <v>0</v>
      </c>
      <c r="L202" s="104">
        <v>0</v>
      </c>
      <c r="M202" s="104">
        <v>0</v>
      </c>
      <c r="N202" s="104">
        <v>0</v>
      </c>
      <c r="O202" s="107">
        <v>0</v>
      </c>
      <c r="P202" s="106">
        <v>0</v>
      </c>
      <c r="Q202" s="104">
        <v>0</v>
      </c>
      <c r="R202" s="104">
        <v>0</v>
      </c>
      <c r="S202" s="104">
        <v>0</v>
      </c>
      <c r="T202" s="107">
        <v>0</v>
      </c>
    </row>
    <row r="203" spans="3:20" ht="12.75" x14ac:dyDescent="0.2">
      <c r="D203" s="75" t="str">
        <f t="shared" si="114"/>
        <v>SCADA and Communications (2004-09)</v>
      </c>
      <c r="E203" s="93" t="str">
        <f t="shared" si="118"/>
        <v>RFM / PTRM</v>
      </c>
      <c r="F203" s="93" t="str">
        <f t="shared" si="115"/>
        <v>Dollars</v>
      </c>
      <c r="G203" s="93" t="str">
        <f t="shared" si="116"/>
        <v>Nominal</v>
      </c>
      <c r="H203" s="50" t="str">
        <f t="shared" si="117"/>
        <v>End year</v>
      </c>
      <c r="J203" s="105">
        <v>0</v>
      </c>
      <c r="K203" s="239">
        <v>0</v>
      </c>
      <c r="L203" s="104">
        <v>0</v>
      </c>
      <c r="M203" s="104">
        <v>0</v>
      </c>
      <c r="N203" s="104">
        <v>0</v>
      </c>
      <c r="O203" s="107">
        <v>0</v>
      </c>
      <c r="P203" s="106">
        <v>0</v>
      </c>
      <c r="Q203" s="104">
        <v>0</v>
      </c>
      <c r="R203" s="104">
        <v>0</v>
      </c>
      <c r="S203" s="104">
        <v>0</v>
      </c>
      <c r="T203" s="107">
        <v>0</v>
      </c>
    </row>
    <row r="204" spans="3:20" ht="12.75" x14ac:dyDescent="0.2">
      <c r="D204" s="75" t="str">
        <f t="shared" si="114"/>
        <v>Transmission Lines &amp; Cables (09-14)</v>
      </c>
      <c r="E204" s="93" t="str">
        <f t="shared" si="118"/>
        <v>RFM / PTRM</v>
      </c>
      <c r="F204" s="93" t="str">
        <f t="shared" si="115"/>
        <v>Dollars</v>
      </c>
      <c r="G204" s="93" t="str">
        <f t="shared" si="116"/>
        <v>Nominal</v>
      </c>
      <c r="H204" s="50" t="str">
        <f t="shared" si="117"/>
        <v>End year</v>
      </c>
      <c r="J204" s="105">
        <v>0</v>
      </c>
      <c r="K204" s="239">
        <v>0</v>
      </c>
      <c r="L204" s="104">
        <v>0</v>
      </c>
      <c r="M204" s="104">
        <v>0</v>
      </c>
      <c r="N204" s="104">
        <v>0</v>
      </c>
      <c r="O204" s="107">
        <v>0</v>
      </c>
      <c r="P204" s="106">
        <v>0</v>
      </c>
      <c r="Q204" s="104">
        <v>0</v>
      </c>
      <c r="R204" s="104">
        <v>0</v>
      </c>
      <c r="S204" s="104">
        <v>0</v>
      </c>
      <c r="T204" s="107">
        <v>0</v>
      </c>
    </row>
    <row r="205" spans="3:20" ht="12.75" x14ac:dyDescent="0.2">
      <c r="D205" s="75" t="str">
        <f t="shared" si="114"/>
        <v>Substations (09-14)</v>
      </c>
      <c r="E205" s="93" t="str">
        <f t="shared" si="118"/>
        <v>RFM / PTRM</v>
      </c>
      <c r="F205" s="93" t="str">
        <f t="shared" si="115"/>
        <v>Dollars</v>
      </c>
      <c r="G205" s="93" t="str">
        <f t="shared" si="116"/>
        <v>Nominal</v>
      </c>
      <c r="H205" s="50" t="str">
        <f t="shared" si="117"/>
        <v>End year</v>
      </c>
      <c r="J205" s="105">
        <v>0</v>
      </c>
      <c r="K205" s="239">
        <v>0</v>
      </c>
      <c r="L205" s="104">
        <v>0</v>
      </c>
      <c r="M205" s="104">
        <v>0</v>
      </c>
      <c r="N205" s="104">
        <v>0</v>
      </c>
      <c r="O205" s="107">
        <v>0</v>
      </c>
      <c r="P205" s="106">
        <v>0</v>
      </c>
      <c r="Q205" s="104">
        <v>0</v>
      </c>
      <c r="R205" s="104">
        <v>0</v>
      </c>
      <c r="S205" s="104">
        <v>0</v>
      </c>
      <c r="T205" s="107">
        <v>0</v>
      </c>
    </row>
    <row r="206" spans="3:20" ht="12.75" x14ac:dyDescent="0.2">
      <c r="D206" s="75" t="str">
        <f t="shared" si="114"/>
        <v>Secondary Systems (09-14)</v>
      </c>
      <c r="E206" s="93" t="str">
        <f t="shared" si="118"/>
        <v>RFM / PTRM</v>
      </c>
      <c r="F206" s="93" t="str">
        <f t="shared" si="115"/>
        <v>Dollars</v>
      </c>
      <c r="G206" s="93" t="str">
        <f t="shared" si="116"/>
        <v>Nominal</v>
      </c>
      <c r="H206" s="50" t="str">
        <f t="shared" si="117"/>
        <v>End year</v>
      </c>
      <c r="J206" s="105">
        <v>0</v>
      </c>
      <c r="K206" s="239">
        <v>0</v>
      </c>
      <c r="L206" s="104">
        <v>0</v>
      </c>
      <c r="M206" s="104">
        <v>0</v>
      </c>
      <c r="N206" s="104">
        <v>0</v>
      </c>
      <c r="O206" s="107">
        <v>0</v>
      </c>
      <c r="P206" s="106">
        <v>0</v>
      </c>
      <c r="Q206" s="104">
        <v>0</v>
      </c>
      <c r="R206" s="104">
        <v>0</v>
      </c>
      <c r="S206" s="104">
        <v>0</v>
      </c>
      <c r="T206" s="107">
        <v>0</v>
      </c>
    </row>
    <row r="207" spans="3:20" ht="12.75" x14ac:dyDescent="0.2">
      <c r="D207" s="75" t="str">
        <f t="shared" si="114"/>
        <v>Communications (09-14)</v>
      </c>
      <c r="E207" s="93" t="str">
        <f t="shared" si="118"/>
        <v>RFM / PTRM</v>
      </c>
      <c r="F207" s="93" t="str">
        <f t="shared" si="115"/>
        <v>Dollars</v>
      </c>
      <c r="G207" s="93" t="str">
        <f t="shared" si="116"/>
        <v>Nominal</v>
      </c>
      <c r="H207" s="50" t="str">
        <f t="shared" si="117"/>
        <v>End year</v>
      </c>
      <c r="J207" s="105">
        <v>0</v>
      </c>
      <c r="K207" s="239">
        <v>0</v>
      </c>
      <c r="L207" s="104">
        <v>0</v>
      </c>
      <c r="M207" s="104">
        <v>0</v>
      </c>
      <c r="N207" s="104">
        <v>0</v>
      </c>
      <c r="O207" s="107">
        <v>0</v>
      </c>
      <c r="P207" s="106">
        <v>0</v>
      </c>
      <c r="Q207" s="104">
        <v>0</v>
      </c>
      <c r="R207" s="104">
        <v>0</v>
      </c>
      <c r="S207" s="104">
        <v>0</v>
      </c>
      <c r="T207" s="107">
        <v>0</v>
      </c>
    </row>
    <row r="208" spans="3:20" ht="12.75" x14ac:dyDescent="0.2">
      <c r="D208" s="75" t="str">
        <f t="shared" si="114"/>
        <v>Minor Plant, Motor Vehicles &amp; Mobile Plant (2009-14)</v>
      </c>
      <c r="E208" s="93" t="str">
        <f t="shared" si="118"/>
        <v>RFM / PTRM</v>
      </c>
      <c r="F208" s="93" t="str">
        <f t="shared" si="115"/>
        <v>Dollars</v>
      </c>
      <c r="G208" s="93" t="str">
        <f t="shared" si="116"/>
        <v>Nominal</v>
      </c>
      <c r="H208" s="50" t="str">
        <f t="shared" si="117"/>
        <v>End year</v>
      </c>
      <c r="J208" s="105">
        <v>0</v>
      </c>
      <c r="K208" s="239">
        <v>0</v>
      </c>
      <c r="L208" s="104">
        <v>0</v>
      </c>
      <c r="M208" s="104">
        <v>0</v>
      </c>
      <c r="N208" s="104">
        <v>0</v>
      </c>
      <c r="O208" s="107">
        <v>0</v>
      </c>
      <c r="P208" s="106">
        <v>0</v>
      </c>
      <c r="Q208" s="104">
        <v>0</v>
      </c>
      <c r="R208" s="104">
        <v>0</v>
      </c>
      <c r="S208" s="104">
        <v>0</v>
      </c>
      <c r="T208" s="107">
        <v>0</v>
      </c>
    </row>
    <row r="209" spans="4:20" ht="12.75" x14ac:dyDescent="0.2">
      <c r="D209" s="75" t="str">
        <f t="shared" si="114"/>
        <v>Transmission Lines (2014-18)</v>
      </c>
      <c r="E209" s="93" t="str">
        <f t="shared" si="118"/>
        <v>RFM / PTRM</v>
      </c>
      <c r="F209" s="93" t="str">
        <f t="shared" si="115"/>
        <v>Dollars</v>
      </c>
      <c r="G209" s="93" t="str">
        <f t="shared" si="116"/>
        <v>Nominal</v>
      </c>
      <c r="H209" s="50" t="str">
        <f t="shared" si="117"/>
        <v>End year</v>
      </c>
      <c r="J209" s="105">
        <v>141.68451395899712</v>
      </c>
      <c r="K209" s="239">
        <v>0</v>
      </c>
      <c r="L209" s="104">
        <v>0</v>
      </c>
      <c r="M209" s="104">
        <v>0</v>
      </c>
      <c r="N209" s="104">
        <v>0</v>
      </c>
      <c r="O209" s="107">
        <v>0</v>
      </c>
      <c r="P209" s="106">
        <v>0</v>
      </c>
      <c r="Q209" s="104">
        <v>0</v>
      </c>
      <c r="R209" s="104">
        <v>0</v>
      </c>
      <c r="S209" s="104">
        <v>0</v>
      </c>
      <c r="T209" s="107">
        <v>0</v>
      </c>
    </row>
    <row r="210" spans="4:20" ht="12.75" x14ac:dyDescent="0.2">
      <c r="D210" s="75" t="str">
        <f t="shared" si="114"/>
        <v>Underground Cables (2014-18)</v>
      </c>
      <c r="E210" s="93" t="str">
        <f t="shared" si="118"/>
        <v>RFM / PTRM</v>
      </c>
      <c r="F210" s="93" t="str">
        <f t="shared" si="115"/>
        <v>Dollars</v>
      </c>
      <c r="G210" s="93" t="str">
        <f t="shared" si="116"/>
        <v>Nominal</v>
      </c>
      <c r="H210" s="50" t="str">
        <f t="shared" si="117"/>
        <v>End year</v>
      </c>
      <c r="J210" s="105">
        <v>0</v>
      </c>
      <c r="K210" s="239">
        <v>0</v>
      </c>
      <c r="L210" s="104">
        <v>0</v>
      </c>
      <c r="M210" s="104">
        <v>0</v>
      </c>
      <c r="N210" s="104">
        <v>0</v>
      </c>
      <c r="O210" s="107">
        <v>0</v>
      </c>
      <c r="P210" s="106">
        <v>0</v>
      </c>
      <c r="Q210" s="104">
        <v>0</v>
      </c>
      <c r="R210" s="104">
        <v>0</v>
      </c>
      <c r="S210" s="104">
        <v>0</v>
      </c>
      <c r="T210" s="107">
        <v>0</v>
      </c>
    </row>
    <row r="211" spans="4:20" ht="12.75" x14ac:dyDescent="0.2">
      <c r="D211" s="75" t="str">
        <f t="shared" si="114"/>
        <v>Substations (2014-18)</v>
      </c>
      <c r="E211" s="93" t="str">
        <f t="shared" si="118"/>
        <v>RFM / PTRM</v>
      </c>
      <c r="F211" s="93" t="str">
        <f t="shared" si="115"/>
        <v>Dollars</v>
      </c>
      <c r="G211" s="93" t="str">
        <f t="shared" si="116"/>
        <v>Nominal</v>
      </c>
      <c r="H211" s="50" t="str">
        <f t="shared" si="117"/>
        <v>End year</v>
      </c>
      <c r="J211" s="105">
        <v>123.01959698851442</v>
      </c>
      <c r="K211" s="239">
        <v>0</v>
      </c>
      <c r="L211" s="104">
        <v>0</v>
      </c>
      <c r="M211" s="104">
        <v>0</v>
      </c>
      <c r="N211" s="104">
        <v>0</v>
      </c>
      <c r="O211" s="107">
        <v>0</v>
      </c>
      <c r="P211" s="106">
        <v>0</v>
      </c>
      <c r="Q211" s="104">
        <v>0</v>
      </c>
      <c r="R211" s="104">
        <v>0</v>
      </c>
      <c r="S211" s="104">
        <v>0</v>
      </c>
      <c r="T211" s="107">
        <v>0</v>
      </c>
    </row>
    <row r="212" spans="4:20" ht="12.75" x14ac:dyDescent="0.2">
      <c r="D212" s="75" t="str">
        <f t="shared" si="114"/>
        <v>Secondary Systems (2014-18)</v>
      </c>
      <c r="E212" s="93" t="str">
        <f t="shared" si="118"/>
        <v>RFM / PTRM</v>
      </c>
      <c r="F212" s="93" t="str">
        <f t="shared" si="115"/>
        <v>Dollars</v>
      </c>
      <c r="G212" s="93" t="str">
        <f t="shared" si="116"/>
        <v>Nominal</v>
      </c>
      <c r="H212" s="50" t="str">
        <f t="shared" si="117"/>
        <v>End year</v>
      </c>
      <c r="J212" s="105">
        <v>34.582955490554433</v>
      </c>
      <c r="K212" s="239">
        <v>0</v>
      </c>
      <c r="L212" s="104">
        <v>0</v>
      </c>
      <c r="M212" s="104">
        <v>0</v>
      </c>
      <c r="N212" s="104">
        <v>0</v>
      </c>
      <c r="O212" s="107">
        <v>0</v>
      </c>
      <c r="P212" s="106">
        <v>0</v>
      </c>
      <c r="Q212" s="104">
        <v>0</v>
      </c>
      <c r="R212" s="104">
        <v>0</v>
      </c>
      <c r="S212" s="104">
        <v>0</v>
      </c>
      <c r="T212" s="107">
        <v>0</v>
      </c>
    </row>
    <row r="213" spans="4:20" ht="12.75" x14ac:dyDescent="0.2">
      <c r="D213" s="75" t="str">
        <f t="shared" ref="D213:D246" si="119">D34</f>
        <v>Communications (short life) (2014-18)</v>
      </c>
      <c r="E213" s="93" t="str">
        <f t="shared" si="118"/>
        <v>RFM / PTRM</v>
      </c>
      <c r="F213" s="93" t="str">
        <f t="shared" si="115"/>
        <v>Dollars</v>
      </c>
      <c r="G213" s="93" t="str">
        <f t="shared" si="116"/>
        <v>Nominal</v>
      </c>
      <c r="H213" s="50" t="str">
        <f t="shared" si="117"/>
        <v>End year</v>
      </c>
      <c r="J213" s="105">
        <v>34.072673377529213</v>
      </c>
      <c r="K213" s="239">
        <v>0</v>
      </c>
      <c r="L213" s="104">
        <v>0</v>
      </c>
      <c r="M213" s="104">
        <v>0</v>
      </c>
      <c r="N213" s="104">
        <v>0</v>
      </c>
      <c r="O213" s="107">
        <v>0</v>
      </c>
      <c r="P213" s="106">
        <v>0</v>
      </c>
      <c r="Q213" s="104">
        <v>0</v>
      </c>
      <c r="R213" s="104">
        <v>0</v>
      </c>
      <c r="S213" s="104">
        <v>0</v>
      </c>
      <c r="T213" s="107">
        <v>0</v>
      </c>
    </row>
    <row r="214" spans="4:20" ht="12.75" x14ac:dyDescent="0.2">
      <c r="D214" s="75" t="str">
        <f t="shared" si="119"/>
        <v>Business IT (2014-18)</v>
      </c>
      <c r="E214" s="93" t="str">
        <f t="shared" si="118"/>
        <v>RFM / PTRM</v>
      </c>
      <c r="F214" s="93" t="str">
        <f t="shared" si="115"/>
        <v>Dollars</v>
      </c>
      <c r="G214" s="93" t="str">
        <f t="shared" si="116"/>
        <v>Nominal</v>
      </c>
      <c r="H214" s="50" t="str">
        <f t="shared" si="117"/>
        <v>End year</v>
      </c>
      <c r="J214" s="105">
        <v>23.902572782104279</v>
      </c>
      <c r="K214" s="239">
        <v>0</v>
      </c>
      <c r="L214" s="104">
        <v>0</v>
      </c>
      <c r="M214" s="104">
        <v>0</v>
      </c>
      <c r="N214" s="104">
        <v>0</v>
      </c>
      <c r="O214" s="107">
        <v>0</v>
      </c>
      <c r="P214" s="106">
        <v>0</v>
      </c>
      <c r="Q214" s="104">
        <v>0</v>
      </c>
      <c r="R214" s="104">
        <v>0</v>
      </c>
      <c r="S214" s="104">
        <v>0</v>
      </c>
      <c r="T214" s="107">
        <v>0</v>
      </c>
    </row>
    <row r="215" spans="4:20" ht="12.75" x14ac:dyDescent="0.2">
      <c r="D215" s="75" t="str">
        <f t="shared" si="119"/>
        <v>Minor Plant, Motor Vehicles &amp; Mobile Plant (2014-18)</v>
      </c>
      <c r="E215" s="93" t="str">
        <f t="shared" si="118"/>
        <v>RFM / PTRM</v>
      </c>
      <c r="F215" s="93" t="str">
        <f t="shared" si="115"/>
        <v>Dollars</v>
      </c>
      <c r="G215" s="93" t="str">
        <f t="shared" si="116"/>
        <v>Nominal</v>
      </c>
      <c r="H215" s="50" t="str">
        <f t="shared" si="117"/>
        <v>End year</v>
      </c>
      <c r="J215" s="105">
        <v>7.0988879893989028</v>
      </c>
      <c r="K215" s="239">
        <v>0</v>
      </c>
      <c r="L215" s="104">
        <v>0</v>
      </c>
      <c r="M215" s="104">
        <v>0</v>
      </c>
      <c r="N215" s="104">
        <v>0</v>
      </c>
      <c r="O215" s="107">
        <v>0</v>
      </c>
      <c r="P215" s="106">
        <v>0</v>
      </c>
      <c r="Q215" s="104">
        <v>0</v>
      </c>
      <c r="R215" s="104">
        <v>0</v>
      </c>
      <c r="S215" s="104">
        <v>0</v>
      </c>
      <c r="T215" s="107">
        <v>0</v>
      </c>
    </row>
    <row r="216" spans="4:20" ht="12.75" x14ac:dyDescent="0.2">
      <c r="D216" s="75" t="str">
        <f t="shared" si="119"/>
        <v>Transmission Line Life Extension (2014-18)</v>
      </c>
      <c r="E216" s="93" t="str">
        <f t="shared" si="118"/>
        <v>RFM / PTRM</v>
      </c>
      <c r="F216" s="93" t="str">
        <f t="shared" si="115"/>
        <v>Dollars</v>
      </c>
      <c r="G216" s="93" t="str">
        <f t="shared" si="116"/>
        <v>Nominal</v>
      </c>
      <c r="H216" s="50" t="str">
        <f t="shared" si="117"/>
        <v>End year</v>
      </c>
      <c r="J216" s="105">
        <v>2.747782243931828</v>
      </c>
      <c r="K216" s="239">
        <v>0</v>
      </c>
      <c r="L216" s="104">
        <v>0</v>
      </c>
      <c r="M216" s="104">
        <v>0</v>
      </c>
      <c r="N216" s="104">
        <v>0</v>
      </c>
      <c r="O216" s="107">
        <v>0</v>
      </c>
      <c r="P216" s="106">
        <v>0</v>
      </c>
      <c r="Q216" s="104">
        <v>0</v>
      </c>
      <c r="R216" s="104">
        <v>0</v>
      </c>
      <c r="S216" s="104">
        <v>0</v>
      </c>
      <c r="T216" s="107">
        <v>0</v>
      </c>
    </row>
    <row r="217" spans="4:20" ht="12.75" x14ac:dyDescent="0.2">
      <c r="D217" s="75" t="str">
        <f t="shared" si="119"/>
        <v>Residual - other</v>
      </c>
      <c r="E217" s="93" t="str">
        <f t="shared" si="118"/>
        <v>RFM / PTRM</v>
      </c>
      <c r="F217" s="93" t="str">
        <f t="shared" si="115"/>
        <v>Dollars</v>
      </c>
      <c r="G217" s="93" t="str">
        <f t="shared" si="116"/>
        <v>Nominal</v>
      </c>
      <c r="H217" s="50" t="str">
        <f t="shared" si="117"/>
        <v>End year</v>
      </c>
      <c r="J217" s="105">
        <v>0</v>
      </c>
      <c r="K217" s="239">
        <v>0</v>
      </c>
      <c r="L217" s="104">
        <v>0</v>
      </c>
      <c r="M217" s="104">
        <v>0</v>
      </c>
      <c r="N217" s="104">
        <v>0</v>
      </c>
      <c r="O217" s="107">
        <v>0</v>
      </c>
      <c r="P217" s="106">
        <v>0</v>
      </c>
      <c r="Q217" s="104">
        <v>0</v>
      </c>
      <c r="R217" s="104">
        <v>0</v>
      </c>
      <c r="S217" s="104">
        <v>0</v>
      </c>
      <c r="T217" s="107">
        <v>0</v>
      </c>
    </row>
    <row r="218" spans="4:20" ht="12.75" x14ac:dyDescent="0.2">
      <c r="D218" s="75" t="str">
        <f t="shared" si="119"/>
        <v>Transmission Lines (2018 onwards)</v>
      </c>
      <c r="E218" s="93" t="str">
        <f t="shared" si="118"/>
        <v>RFM / PTRM</v>
      </c>
      <c r="F218" s="93" t="str">
        <f t="shared" si="115"/>
        <v>Dollars</v>
      </c>
      <c r="G218" s="93" t="str">
        <f t="shared" si="116"/>
        <v>Nominal</v>
      </c>
      <c r="H218" s="50" t="str">
        <f t="shared" si="117"/>
        <v>End year</v>
      </c>
      <c r="J218" s="105">
        <v>0</v>
      </c>
      <c r="K218" s="239">
        <v>89.522769181231055</v>
      </c>
      <c r="L218" s="104">
        <v>28.088609235892889</v>
      </c>
      <c r="M218" s="104">
        <v>18.289883830966293</v>
      </c>
      <c r="N218" s="104">
        <v>38.114433617822669</v>
      </c>
      <c r="O218" s="107">
        <v>305.45578627430291</v>
      </c>
      <c r="P218" s="106">
        <v>453.02730757024631</v>
      </c>
      <c r="Q218" s="104">
        <v>937.72970815472331</v>
      </c>
      <c r="R218" s="104">
        <v>76.693814267085244</v>
      </c>
      <c r="S218" s="104">
        <v>56.679143175071438</v>
      </c>
      <c r="T218" s="107">
        <v>103.09913040299207</v>
      </c>
    </row>
    <row r="219" spans="4:20" ht="12.75" x14ac:dyDescent="0.2">
      <c r="D219" s="75" t="str">
        <f t="shared" si="119"/>
        <v>Underground Cables (2018 onwards)</v>
      </c>
      <c r="E219" s="93" t="str">
        <f t="shared" si="118"/>
        <v>RFM / PTRM</v>
      </c>
      <c r="F219" s="93" t="str">
        <f t="shared" si="115"/>
        <v>Dollars</v>
      </c>
      <c r="G219" s="93" t="str">
        <f t="shared" si="116"/>
        <v>Nominal</v>
      </c>
      <c r="H219" s="50" t="str">
        <f t="shared" si="117"/>
        <v>End year</v>
      </c>
      <c r="J219" s="105">
        <v>0</v>
      </c>
      <c r="K219" s="239">
        <v>0</v>
      </c>
      <c r="L219" s="104">
        <v>0</v>
      </c>
      <c r="M219" s="104">
        <v>-9.0426705108243919E-5</v>
      </c>
      <c r="N219" s="104">
        <v>0.95498166831318676</v>
      </c>
      <c r="O219" s="107">
        <v>5.5368677448702917</v>
      </c>
      <c r="P219" s="106">
        <v>0</v>
      </c>
      <c r="Q219" s="104">
        <v>0</v>
      </c>
      <c r="R219" s="104">
        <v>4.301899411521946</v>
      </c>
      <c r="S219" s="104">
        <v>0</v>
      </c>
      <c r="T219" s="107">
        <v>3.7705376576075218</v>
      </c>
    </row>
    <row r="220" spans="4:20" ht="12.75" x14ac:dyDescent="0.2">
      <c r="D220" s="75" t="str">
        <f t="shared" si="119"/>
        <v>Substations (2018 onwards)</v>
      </c>
      <c r="E220" s="93" t="str">
        <f t="shared" si="118"/>
        <v>RFM / PTRM</v>
      </c>
      <c r="F220" s="93" t="str">
        <f t="shared" si="115"/>
        <v>Dollars</v>
      </c>
      <c r="G220" s="93" t="str">
        <f t="shared" si="116"/>
        <v>Nominal</v>
      </c>
      <c r="H220" s="50" t="str">
        <f t="shared" si="117"/>
        <v>End year</v>
      </c>
      <c r="J220" s="105">
        <v>0</v>
      </c>
      <c r="K220" s="239">
        <v>106.24219579112815</v>
      </c>
      <c r="L220" s="104">
        <v>79.438016415035889</v>
      </c>
      <c r="M220" s="104">
        <v>96.746768372767548</v>
      </c>
      <c r="N220" s="104">
        <v>291.43199636270259</v>
      </c>
      <c r="O220" s="107">
        <v>197.1561295200591</v>
      </c>
      <c r="P220" s="106">
        <v>240.1840507542008</v>
      </c>
      <c r="Q220" s="104">
        <v>219.05217151671792</v>
      </c>
      <c r="R220" s="104">
        <v>151.57867466761371</v>
      </c>
      <c r="S220" s="104">
        <v>82.909645764275865</v>
      </c>
      <c r="T220" s="107">
        <v>139.48292063168171</v>
      </c>
    </row>
    <row r="221" spans="4:20" ht="12.75" x14ac:dyDescent="0.2">
      <c r="D221" s="75" t="str">
        <f t="shared" si="119"/>
        <v>Secondary Systems (2018 onwards)</v>
      </c>
      <c r="E221" s="93" t="str">
        <f t="shared" si="118"/>
        <v>RFM / PTRM</v>
      </c>
      <c r="F221" s="93" t="str">
        <f t="shared" si="115"/>
        <v>Dollars</v>
      </c>
      <c r="G221" s="93" t="str">
        <f t="shared" si="116"/>
        <v>Nominal</v>
      </c>
      <c r="H221" s="50" t="str">
        <f t="shared" si="117"/>
        <v>End year</v>
      </c>
      <c r="J221" s="105">
        <v>0</v>
      </c>
      <c r="K221" s="239">
        <v>17.004726036685238</v>
      </c>
      <c r="L221" s="104">
        <v>30.767439578782319</v>
      </c>
      <c r="M221" s="104">
        <v>19.361683435712791</v>
      </c>
      <c r="N221" s="104">
        <v>86.273796625035033</v>
      </c>
      <c r="O221" s="107">
        <v>6.0358099305157769</v>
      </c>
      <c r="P221" s="106">
        <v>33.087373038477963</v>
      </c>
      <c r="Q221" s="104">
        <v>23.79744612913316</v>
      </c>
      <c r="R221" s="104">
        <v>51.127648511298048</v>
      </c>
      <c r="S221" s="104">
        <v>53.226458790557572</v>
      </c>
      <c r="T221" s="107">
        <v>118.1194488284134</v>
      </c>
    </row>
    <row r="222" spans="4:20" ht="12.75" x14ac:dyDescent="0.2">
      <c r="D222" s="75" t="str">
        <f t="shared" si="119"/>
        <v>Communications (short life) (2018 onwards)</v>
      </c>
      <c r="E222" s="93" t="str">
        <f t="shared" si="118"/>
        <v>RFM / PTRM</v>
      </c>
      <c r="F222" s="93" t="str">
        <f t="shared" si="115"/>
        <v>Dollars</v>
      </c>
      <c r="G222" s="93" t="str">
        <f t="shared" si="116"/>
        <v>Nominal</v>
      </c>
      <c r="H222" s="50" t="str">
        <f t="shared" si="117"/>
        <v>End year</v>
      </c>
      <c r="J222" s="105">
        <v>0</v>
      </c>
      <c r="K222" s="239">
        <v>12.488018260180995</v>
      </c>
      <c r="L222" s="104">
        <v>5.5513432415716881</v>
      </c>
      <c r="M222" s="104">
        <v>10.312893069638651</v>
      </c>
      <c r="N222" s="104">
        <v>14.532461844028857</v>
      </c>
      <c r="O222" s="107">
        <v>19.488583743296754</v>
      </c>
      <c r="P222" s="106">
        <v>3.173570679168519</v>
      </c>
      <c r="Q222" s="104">
        <v>15.670804046393171</v>
      </c>
      <c r="R222" s="104">
        <v>8.5404434553199309</v>
      </c>
      <c r="S222" s="104">
        <v>8.7363736884575047</v>
      </c>
      <c r="T222" s="107">
        <v>10.325694972751576</v>
      </c>
    </row>
    <row r="223" spans="4:20" ht="12.75" x14ac:dyDescent="0.2">
      <c r="D223" s="75" t="str">
        <f t="shared" si="119"/>
        <v>Business IT (2018 onwards)</v>
      </c>
      <c r="E223" s="93" t="str">
        <f t="shared" si="118"/>
        <v>RFM / PTRM</v>
      </c>
      <c r="F223" s="93" t="str">
        <f t="shared" si="115"/>
        <v>Dollars</v>
      </c>
      <c r="G223" s="93" t="str">
        <f t="shared" si="116"/>
        <v>Nominal</v>
      </c>
      <c r="H223" s="50" t="str">
        <f t="shared" si="117"/>
        <v>End year</v>
      </c>
      <c r="J223" s="105">
        <v>0</v>
      </c>
      <c r="K223" s="239">
        <v>19.211137443175854</v>
      </c>
      <c r="L223" s="104">
        <v>16.920783874800449</v>
      </c>
      <c r="M223" s="104">
        <v>17.917216105163789</v>
      </c>
      <c r="N223" s="104">
        <v>37.920131225266189</v>
      </c>
      <c r="O223" s="107">
        <v>0.64227536183760514</v>
      </c>
      <c r="P223" s="106">
        <v>22.292918482426597</v>
      </c>
      <c r="Q223" s="104">
        <v>37.78182613025416</v>
      </c>
      <c r="R223" s="104">
        <v>16.092053130652371</v>
      </c>
      <c r="S223" s="104">
        <v>19.798707408276645</v>
      </c>
      <c r="T223" s="107">
        <v>22.116665811994871</v>
      </c>
    </row>
    <row r="224" spans="4:20" ht="12.75" x14ac:dyDescent="0.2">
      <c r="D224" s="75" t="str">
        <f t="shared" si="119"/>
        <v>Minor Plant, Motor Vehicles &amp; Mobile Plant (2018 onwards)</v>
      </c>
      <c r="E224" s="93" t="str">
        <f t="shared" si="118"/>
        <v>RFM / PTRM</v>
      </c>
      <c r="F224" s="93" t="str">
        <f t="shared" si="115"/>
        <v>Dollars</v>
      </c>
      <c r="G224" s="93" t="str">
        <f t="shared" si="116"/>
        <v>Nominal</v>
      </c>
      <c r="H224" s="50" t="str">
        <f t="shared" si="117"/>
        <v>End year</v>
      </c>
      <c r="J224" s="105">
        <v>0</v>
      </c>
      <c r="K224" s="239">
        <v>10.230227823500295</v>
      </c>
      <c r="L224" s="104">
        <v>10.170446903087736</v>
      </c>
      <c r="M224" s="104">
        <v>9.8932771867628109</v>
      </c>
      <c r="N224" s="104">
        <v>8.7347614168143881</v>
      </c>
      <c r="O224" s="107">
        <v>5.055887736652946</v>
      </c>
      <c r="P224" s="106">
        <v>10.251240114586709</v>
      </c>
      <c r="Q224" s="104">
        <v>10.492139528649332</v>
      </c>
      <c r="R224" s="104">
        <v>10.7386999678218</v>
      </c>
      <c r="S224" s="104">
        <v>10.991054463582911</v>
      </c>
      <c r="T224" s="107">
        <v>11.249339173589847</v>
      </c>
    </row>
    <row r="225" spans="4:20" ht="12.75" x14ac:dyDescent="0.2">
      <c r="D225" s="75" t="str">
        <f t="shared" si="119"/>
        <v>Transmission Line Life Extension (2018 onwards)</v>
      </c>
      <c r="E225" s="93" t="str">
        <f t="shared" si="118"/>
        <v>RFM / PTRM</v>
      </c>
      <c r="F225" s="93" t="str">
        <f t="shared" si="115"/>
        <v>Dollars</v>
      </c>
      <c r="G225" s="93" t="str">
        <f t="shared" si="116"/>
        <v>Nominal</v>
      </c>
      <c r="H225" s="50" t="str">
        <f t="shared" si="117"/>
        <v>End year</v>
      </c>
      <c r="J225" s="105">
        <v>0</v>
      </c>
      <c r="K225" s="239">
        <v>9.0346610521890156</v>
      </c>
      <c r="L225" s="104">
        <v>42.663700419879909</v>
      </c>
      <c r="M225" s="104">
        <v>35.647017729832243</v>
      </c>
      <c r="N225" s="104">
        <v>103.1017350150918</v>
      </c>
      <c r="O225" s="107">
        <v>13.990442504275315</v>
      </c>
      <c r="P225" s="106">
        <v>6.1637314418234146</v>
      </c>
      <c r="Q225" s="104">
        <v>5.6828079589355758</v>
      </c>
      <c r="R225" s="104">
        <v>0.46390409612970129</v>
      </c>
      <c r="S225" s="104">
        <v>0</v>
      </c>
      <c r="T225" s="107">
        <v>0.85256671177945176</v>
      </c>
    </row>
    <row r="226" spans="4:20" ht="12.75" x14ac:dyDescent="0.2">
      <c r="D226" s="75" t="str">
        <f t="shared" si="119"/>
        <v xml:space="preserve">Land and Easements </v>
      </c>
      <c r="E226" s="93" t="str">
        <f t="shared" si="118"/>
        <v>RFM / PTRM</v>
      </c>
      <c r="F226" s="93" t="str">
        <f t="shared" si="115"/>
        <v>Dollars</v>
      </c>
      <c r="G226" s="93" t="str">
        <f t="shared" si="116"/>
        <v>Nominal</v>
      </c>
      <c r="H226" s="50" t="str">
        <f t="shared" si="117"/>
        <v>End year</v>
      </c>
      <c r="J226" s="105">
        <v>7.6004188195757312</v>
      </c>
      <c r="K226" s="239">
        <v>2.02080170570621</v>
      </c>
      <c r="L226" s="104">
        <v>3.5152329962843329</v>
      </c>
      <c r="M226" s="104">
        <v>0.3233331727002936</v>
      </c>
      <c r="N226" s="104">
        <v>4.8663047000705013E-2</v>
      </c>
      <c r="O226" s="107">
        <v>5.9384398084695036</v>
      </c>
      <c r="P226" s="106">
        <v>76.007058978981732</v>
      </c>
      <c r="Q226" s="104">
        <v>188.32527810355811</v>
      </c>
      <c r="R226" s="104">
        <v>0</v>
      </c>
      <c r="S226" s="104">
        <v>0</v>
      </c>
      <c r="T226" s="107">
        <v>18.703141459708672</v>
      </c>
    </row>
    <row r="227" spans="4:20" ht="12.75" x14ac:dyDescent="0.2">
      <c r="D227" s="75" t="str">
        <f t="shared" si="119"/>
        <v>Synchronous Condensers</v>
      </c>
      <c r="E227" s="93" t="str">
        <f t="shared" si="118"/>
        <v>RFM / PTRM</v>
      </c>
      <c r="F227" s="93" t="str">
        <f t="shared" si="115"/>
        <v>Dollars</v>
      </c>
      <c r="G227" s="93" t="str">
        <f t="shared" si="116"/>
        <v>Nominal</v>
      </c>
      <c r="H227" s="50" t="str">
        <f t="shared" si="117"/>
        <v>End year</v>
      </c>
      <c r="J227" s="105">
        <v>0</v>
      </c>
      <c r="K227" s="239">
        <v>0</v>
      </c>
      <c r="L227" s="104">
        <v>0</v>
      </c>
      <c r="M227" s="104">
        <v>0</v>
      </c>
      <c r="N227" s="104">
        <v>0</v>
      </c>
      <c r="O227" s="107">
        <v>0</v>
      </c>
      <c r="P227" s="106">
        <v>58.786130283239231</v>
      </c>
      <c r="Q227" s="104">
        <v>103.80324986306847</v>
      </c>
      <c r="R227" s="104">
        <v>0</v>
      </c>
      <c r="S227" s="104">
        <v>0</v>
      </c>
      <c r="T227" s="107">
        <v>0</v>
      </c>
    </row>
    <row r="228" spans="4:20" ht="12.75" x14ac:dyDescent="0.2">
      <c r="D228" s="75" t="str">
        <f t="shared" si="119"/>
        <v>Leasehold Land and Property</v>
      </c>
      <c r="E228" s="93" t="str">
        <f t="shared" si="118"/>
        <v>RFM / PTRM</v>
      </c>
      <c r="F228" s="93" t="str">
        <f t="shared" si="115"/>
        <v>Dollars</v>
      </c>
      <c r="G228" s="93" t="str">
        <f t="shared" si="116"/>
        <v>Nominal</v>
      </c>
      <c r="H228" s="50" t="str">
        <f t="shared" si="117"/>
        <v>End year</v>
      </c>
      <c r="J228" s="105">
        <v>0</v>
      </c>
      <c r="K228" s="239">
        <v>0</v>
      </c>
      <c r="L228" s="104">
        <v>0</v>
      </c>
      <c r="M228" s="104">
        <v>0</v>
      </c>
      <c r="N228" s="104">
        <v>1.4554351238945398</v>
      </c>
      <c r="O228" s="107">
        <v>1.0219617959632574</v>
      </c>
      <c r="P228" s="106">
        <v>0</v>
      </c>
      <c r="Q228" s="104">
        <v>0</v>
      </c>
      <c r="R228" s="104">
        <v>0</v>
      </c>
      <c r="S228" s="104">
        <v>0</v>
      </c>
      <c r="T228" s="107">
        <v>0</v>
      </c>
    </row>
    <row r="229" spans="4:20" ht="12.75" hidden="1" outlineLevel="1" x14ac:dyDescent="0.2">
      <c r="D229" s="75">
        <f t="shared" si="119"/>
        <v>0</v>
      </c>
      <c r="E229" s="93" t="str">
        <f t="shared" si="118"/>
        <v>RFM / PTRM</v>
      </c>
      <c r="F229" s="93" t="str">
        <f t="shared" si="115"/>
        <v>Dollars</v>
      </c>
      <c r="G229" s="93" t="str">
        <f t="shared" si="116"/>
        <v>Nominal</v>
      </c>
      <c r="H229" s="50" t="str">
        <f t="shared" si="117"/>
        <v>End year</v>
      </c>
      <c r="J229" s="105">
        <v>0</v>
      </c>
      <c r="K229" s="239">
        <v>0</v>
      </c>
      <c r="L229" s="104">
        <v>0</v>
      </c>
      <c r="M229" s="104">
        <v>0</v>
      </c>
      <c r="N229" s="104">
        <v>0</v>
      </c>
      <c r="O229" s="107">
        <v>0</v>
      </c>
      <c r="P229" s="106">
        <v>0</v>
      </c>
      <c r="Q229" s="104">
        <v>0</v>
      </c>
      <c r="R229" s="104">
        <v>0</v>
      </c>
      <c r="S229" s="104">
        <v>0</v>
      </c>
      <c r="T229" s="107">
        <v>0</v>
      </c>
    </row>
    <row r="230" spans="4:20" ht="12.75" hidden="1" outlineLevel="1" x14ac:dyDescent="0.2">
      <c r="D230" s="75">
        <f t="shared" si="119"/>
        <v>0</v>
      </c>
      <c r="E230" s="93" t="str">
        <f t="shared" si="118"/>
        <v>RFM / PTRM</v>
      </c>
      <c r="F230" s="93" t="str">
        <f t="shared" si="115"/>
        <v>Dollars</v>
      </c>
      <c r="G230" s="93" t="str">
        <f t="shared" si="116"/>
        <v>Nominal</v>
      </c>
      <c r="H230" s="50" t="str">
        <f t="shared" si="117"/>
        <v>End year</v>
      </c>
      <c r="J230" s="105">
        <v>0</v>
      </c>
      <c r="K230" s="239">
        <v>0</v>
      </c>
      <c r="L230" s="104">
        <v>0</v>
      </c>
      <c r="M230" s="104">
        <v>0</v>
      </c>
      <c r="N230" s="104">
        <v>0</v>
      </c>
      <c r="O230" s="107">
        <v>0</v>
      </c>
      <c r="P230" s="106">
        <v>0</v>
      </c>
      <c r="Q230" s="104">
        <v>0</v>
      </c>
      <c r="R230" s="104">
        <v>0</v>
      </c>
      <c r="S230" s="104">
        <v>0</v>
      </c>
      <c r="T230" s="107">
        <v>0</v>
      </c>
    </row>
    <row r="231" spans="4:20" ht="12.75" hidden="1" outlineLevel="1" x14ac:dyDescent="0.2">
      <c r="D231" s="75">
        <f t="shared" si="119"/>
        <v>0</v>
      </c>
      <c r="E231" s="93" t="str">
        <f t="shared" si="118"/>
        <v>RFM / PTRM</v>
      </c>
      <c r="F231" s="93" t="str">
        <f t="shared" si="115"/>
        <v>Dollars</v>
      </c>
      <c r="G231" s="93" t="str">
        <f t="shared" si="116"/>
        <v>Nominal</v>
      </c>
      <c r="H231" s="50" t="str">
        <f t="shared" si="117"/>
        <v>End year</v>
      </c>
      <c r="J231" s="105">
        <v>0</v>
      </c>
      <c r="K231" s="239">
        <v>0</v>
      </c>
      <c r="L231" s="104">
        <v>0</v>
      </c>
      <c r="M231" s="104">
        <v>0</v>
      </c>
      <c r="N231" s="104">
        <v>0</v>
      </c>
      <c r="O231" s="107">
        <v>0</v>
      </c>
      <c r="P231" s="106">
        <v>0</v>
      </c>
      <c r="Q231" s="104">
        <v>0</v>
      </c>
      <c r="R231" s="104">
        <v>0</v>
      </c>
      <c r="S231" s="104">
        <v>0</v>
      </c>
      <c r="T231" s="107">
        <v>0</v>
      </c>
    </row>
    <row r="232" spans="4:20" ht="12.75" hidden="1" outlineLevel="1" x14ac:dyDescent="0.2">
      <c r="D232" s="75">
        <f t="shared" si="119"/>
        <v>0</v>
      </c>
      <c r="E232" s="93" t="str">
        <f t="shared" si="118"/>
        <v>RFM / PTRM</v>
      </c>
      <c r="F232" s="93" t="str">
        <f t="shared" si="115"/>
        <v>Dollars</v>
      </c>
      <c r="G232" s="93" t="str">
        <f t="shared" si="116"/>
        <v>Nominal</v>
      </c>
      <c r="H232" s="50" t="str">
        <f t="shared" si="117"/>
        <v>End year</v>
      </c>
      <c r="J232" s="105">
        <v>0</v>
      </c>
      <c r="K232" s="239">
        <v>0</v>
      </c>
      <c r="L232" s="104">
        <v>0</v>
      </c>
      <c r="M232" s="104">
        <v>0</v>
      </c>
      <c r="N232" s="104">
        <v>0</v>
      </c>
      <c r="O232" s="107">
        <v>0</v>
      </c>
      <c r="P232" s="106">
        <v>0</v>
      </c>
      <c r="Q232" s="104">
        <v>0</v>
      </c>
      <c r="R232" s="104">
        <v>0</v>
      </c>
      <c r="S232" s="104">
        <v>0</v>
      </c>
      <c r="T232" s="107">
        <v>0</v>
      </c>
    </row>
    <row r="233" spans="4:20" ht="12.75" hidden="1" outlineLevel="1" x14ac:dyDescent="0.2">
      <c r="D233" s="75">
        <f t="shared" si="119"/>
        <v>0</v>
      </c>
      <c r="E233" s="93" t="str">
        <f t="shared" si="118"/>
        <v>RFM / PTRM</v>
      </c>
      <c r="F233" s="93" t="str">
        <f t="shared" si="115"/>
        <v>Dollars</v>
      </c>
      <c r="G233" s="93" t="str">
        <f t="shared" si="116"/>
        <v>Nominal</v>
      </c>
      <c r="H233" s="50" t="str">
        <f t="shared" si="117"/>
        <v>End year</v>
      </c>
      <c r="J233" s="105">
        <v>0</v>
      </c>
      <c r="K233" s="239">
        <v>0</v>
      </c>
      <c r="L233" s="104">
        <v>0</v>
      </c>
      <c r="M233" s="104">
        <v>0</v>
      </c>
      <c r="N233" s="104">
        <v>0</v>
      </c>
      <c r="O233" s="107">
        <v>0</v>
      </c>
      <c r="P233" s="106">
        <v>0</v>
      </c>
      <c r="Q233" s="104">
        <v>0</v>
      </c>
      <c r="R233" s="104">
        <v>0</v>
      </c>
      <c r="S233" s="104">
        <v>0</v>
      </c>
      <c r="T233" s="107">
        <v>0</v>
      </c>
    </row>
    <row r="234" spans="4:20" ht="12.75" hidden="1" outlineLevel="1" x14ac:dyDescent="0.2">
      <c r="D234" s="75">
        <f t="shared" si="119"/>
        <v>0</v>
      </c>
      <c r="E234" s="93" t="str">
        <f t="shared" si="118"/>
        <v>RFM / PTRM</v>
      </c>
      <c r="F234" s="93" t="str">
        <f t="shared" si="115"/>
        <v>Dollars</v>
      </c>
      <c r="G234" s="93" t="str">
        <f t="shared" si="116"/>
        <v>Nominal</v>
      </c>
      <c r="H234" s="50" t="str">
        <f t="shared" si="117"/>
        <v>End year</v>
      </c>
      <c r="J234" s="105">
        <v>0</v>
      </c>
      <c r="K234" s="239">
        <v>0</v>
      </c>
      <c r="L234" s="104">
        <v>0</v>
      </c>
      <c r="M234" s="104">
        <v>0</v>
      </c>
      <c r="N234" s="104">
        <v>0</v>
      </c>
      <c r="O234" s="107">
        <v>0</v>
      </c>
      <c r="P234" s="106">
        <v>0</v>
      </c>
      <c r="Q234" s="104">
        <v>0</v>
      </c>
      <c r="R234" s="104">
        <v>0</v>
      </c>
      <c r="S234" s="104">
        <v>0</v>
      </c>
      <c r="T234" s="107">
        <v>0</v>
      </c>
    </row>
    <row r="235" spans="4:20" ht="12.75" hidden="1" outlineLevel="1" x14ac:dyDescent="0.2">
      <c r="D235" s="75">
        <f t="shared" si="119"/>
        <v>0</v>
      </c>
      <c r="E235" s="93" t="str">
        <f t="shared" si="118"/>
        <v>RFM / PTRM</v>
      </c>
      <c r="F235" s="93" t="str">
        <f t="shared" si="115"/>
        <v>Dollars</v>
      </c>
      <c r="G235" s="93" t="str">
        <f t="shared" si="116"/>
        <v>Nominal</v>
      </c>
      <c r="H235" s="50" t="str">
        <f t="shared" si="117"/>
        <v>End year</v>
      </c>
      <c r="J235" s="105">
        <v>0</v>
      </c>
      <c r="K235" s="239">
        <v>0</v>
      </c>
      <c r="L235" s="104">
        <v>0</v>
      </c>
      <c r="M235" s="104">
        <v>0</v>
      </c>
      <c r="N235" s="104">
        <v>0</v>
      </c>
      <c r="O235" s="107">
        <v>0</v>
      </c>
      <c r="P235" s="106">
        <v>0</v>
      </c>
      <c r="Q235" s="104">
        <v>0</v>
      </c>
      <c r="R235" s="104">
        <v>0</v>
      </c>
      <c r="S235" s="104">
        <v>0</v>
      </c>
      <c r="T235" s="107">
        <v>0</v>
      </c>
    </row>
    <row r="236" spans="4:20" ht="12.75" hidden="1" outlineLevel="1" x14ac:dyDescent="0.2">
      <c r="D236" s="75">
        <f t="shared" si="119"/>
        <v>0</v>
      </c>
      <c r="E236" s="93" t="str">
        <f t="shared" si="118"/>
        <v>RFM / PTRM</v>
      </c>
      <c r="F236" s="93" t="str">
        <f t="shared" si="115"/>
        <v>Dollars</v>
      </c>
      <c r="G236" s="93" t="str">
        <f t="shared" si="116"/>
        <v>Nominal</v>
      </c>
      <c r="H236" s="50" t="str">
        <f t="shared" si="117"/>
        <v>End year</v>
      </c>
      <c r="J236" s="105">
        <v>0</v>
      </c>
      <c r="K236" s="239">
        <v>0</v>
      </c>
      <c r="L236" s="104">
        <v>0</v>
      </c>
      <c r="M236" s="104">
        <v>0</v>
      </c>
      <c r="N236" s="104">
        <v>0</v>
      </c>
      <c r="O236" s="107">
        <v>0</v>
      </c>
      <c r="P236" s="106">
        <v>0</v>
      </c>
      <c r="Q236" s="104">
        <v>0</v>
      </c>
      <c r="R236" s="104">
        <v>0</v>
      </c>
      <c r="S236" s="104">
        <v>0</v>
      </c>
      <c r="T236" s="107">
        <v>0</v>
      </c>
    </row>
    <row r="237" spans="4:20" ht="12.75" hidden="1" outlineLevel="1" x14ac:dyDescent="0.2">
      <c r="D237" s="75">
        <f t="shared" si="119"/>
        <v>0</v>
      </c>
      <c r="E237" s="93" t="str">
        <f t="shared" si="118"/>
        <v>RFM / PTRM</v>
      </c>
      <c r="F237" s="93" t="str">
        <f t="shared" si="115"/>
        <v>Dollars</v>
      </c>
      <c r="G237" s="93" t="str">
        <f t="shared" si="116"/>
        <v>Nominal</v>
      </c>
      <c r="H237" s="50" t="str">
        <f t="shared" si="117"/>
        <v>End year</v>
      </c>
      <c r="J237" s="105">
        <v>0</v>
      </c>
      <c r="K237" s="239">
        <v>0</v>
      </c>
      <c r="L237" s="104">
        <v>0</v>
      </c>
      <c r="M237" s="104">
        <v>0</v>
      </c>
      <c r="N237" s="104">
        <v>0</v>
      </c>
      <c r="O237" s="107">
        <v>0</v>
      </c>
      <c r="P237" s="106">
        <v>0</v>
      </c>
      <c r="Q237" s="104">
        <v>0</v>
      </c>
      <c r="R237" s="104">
        <v>0</v>
      </c>
      <c r="S237" s="104">
        <v>0</v>
      </c>
      <c r="T237" s="107">
        <v>0</v>
      </c>
    </row>
    <row r="238" spans="4:20" ht="12.75" hidden="1" outlineLevel="1" x14ac:dyDescent="0.2">
      <c r="D238" s="75">
        <f t="shared" si="119"/>
        <v>0</v>
      </c>
      <c r="E238" s="93" t="str">
        <f t="shared" si="118"/>
        <v>RFM / PTRM</v>
      </c>
      <c r="F238" s="93" t="str">
        <f t="shared" si="115"/>
        <v>Dollars</v>
      </c>
      <c r="G238" s="93" t="str">
        <f t="shared" si="116"/>
        <v>Nominal</v>
      </c>
      <c r="H238" s="50" t="str">
        <f t="shared" si="117"/>
        <v>End year</v>
      </c>
      <c r="J238" s="105">
        <v>0</v>
      </c>
      <c r="K238" s="239">
        <v>0</v>
      </c>
      <c r="L238" s="104">
        <v>0</v>
      </c>
      <c r="M238" s="104">
        <v>0</v>
      </c>
      <c r="N238" s="104">
        <v>0</v>
      </c>
      <c r="O238" s="107">
        <v>0</v>
      </c>
      <c r="P238" s="106">
        <v>0</v>
      </c>
      <c r="Q238" s="104">
        <v>0</v>
      </c>
      <c r="R238" s="104">
        <v>0</v>
      </c>
      <c r="S238" s="104">
        <v>0</v>
      </c>
      <c r="T238" s="107">
        <v>0</v>
      </c>
    </row>
    <row r="239" spans="4:20" ht="12.75" hidden="1" outlineLevel="1" x14ac:dyDescent="0.2">
      <c r="D239" s="75">
        <f t="shared" si="119"/>
        <v>0</v>
      </c>
      <c r="E239" s="93" t="str">
        <f t="shared" si="118"/>
        <v>RFM / PTRM</v>
      </c>
      <c r="F239" s="93" t="str">
        <f t="shared" si="115"/>
        <v>Dollars</v>
      </c>
      <c r="G239" s="93" t="str">
        <f t="shared" si="116"/>
        <v>Nominal</v>
      </c>
      <c r="H239" s="50" t="str">
        <f t="shared" si="117"/>
        <v>End year</v>
      </c>
      <c r="J239" s="105">
        <v>0</v>
      </c>
      <c r="K239" s="239">
        <v>0</v>
      </c>
      <c r="L239" s="104">
        <v>0</v>
      </c>
      <c r="M239" s="104">
        <v>0</v>
      </c>
      <c r="N239" s="104">
        <v>0</v>
      </c>
      <c r="O239" s="107">
        <v>0</v>
      </c>
      <c r="P239" s="106">
        <v>0</v>
      </c>
      <c r="Q239" s="104">
        <v>0</v>
      </c>
      <c r="R239" s="104">
        <v>0</v>
      </c>
      <c r="S239" s="104">
        <v>0</v>
      </c>
      <c r="T239" s="107">
        <v>0</v>
      </c>
    </row>
    <row r="240" spans="4:20" ht="12.75" hidden="1" outlineLevel="1" x14ac:dyDescent="0.2">
      <c r="D240" s="75">
        <f t="shared" si="119"/>
        <v>0</v>
      </c>
      <c r="E240" s="93" t="str">
        <f t="shared" si="118"/>
        <v>RFM / PTRM</v>
      </c>
      <c r="F240" s="93" t="str">
        <f t="shared" si="115"/>
        <v>Dollars</v>
      </c>
      <c r="G240" s="93" t="str">
        <f t="shared" si="116"/>
        <v>Nominal</v>
      </c>
      <c r="H240" s="50" t="str">
        <f t="shared" si="117"/>
        <v>End year</v>
      </c>
      <c r="J240" s="105">
        <v>0</v>
      </c>
      <c r="K240" s="239">
        <v>0</v>
      </c>
      <c r="L240" s="104">
        <v>0</v>
      </c>
      <c r="M240" s="104">
        <v>0</v>
      </c>
      <c r="N240" s="104">
        <v>0</v>
      </c>
      <c r="O240" s="107">
        <v>0</v>
      </c>
      <c r="P240" s="106">
        <v>0</v>
      </c>
      <c r="Q240" s="104">
        <v>0</v>
      </c>
      <c r="R240" s="104">
        <v>0</v>
      </c>
      <c r="S240" s="104">
        <v>0</v>
      </c>
      <c r="T240" s="107">
        <v>0</v>
      </c>
    </row>
    <row r="241" spans="1:20" ht="12.75" hidden="1" outlineLevel="1" x14ac:dyDescent="0.2">
      <c r="D241" s="75">
        <f t="shared" si="119"/>
        <v>0</v>
      </c>
      <c r="E241" s="93" t="str">
        <f t="shared" si="118"/>
        <v>RFM / PTRM</v>
      </c>
      <c r="F241" s="93" t="str">
        <f t="shared" si="115"/>
        <v>Dollars</v>
      </c>
      <c r="G241" s="93" t="str">
        <f t="shared" si="116"/>
        <v>Nominal</v>
      </c>
      <c r="H241" s="50" t="str">
        <f t="shared" si="117"/>
        <v>End year</v>
      </c>
      <c r="J241" s="105">
        <v>0</v>
      </c>
      <c r="K241" s="239">
        <v>0</v>
      </c>
      <c r="L241" s="104">
        <v>0</v>
      </c>
      <c r="M241" s="104">
        <v>0</v>
      </c>
      <c r="N241" s="104">
        <v>0</v>
      </c>
      <c r="O241" s="107">
        <v>0</v>
      </c>
      <c r="P241" s="106">
        <v>0</v>
      </c>
      <c r="Q241" s="104">
        <v>0</v>
      </c>
      <c r="R241" s="104">
        <v>0</v>
      </c>
      <c r="S241" s="104">
        <v>0</v>
      </c>
      <c r="T241" s="107">
        <v>0</v>
      </c>
    </row>
    <row r="242" spans="1:20" ht="12.75" hidden="1" outlineLevel="1" x14ac:dyDescent="0.2">
      <c r="D242" s="75">
        <f t="shared" si="119"/>
        <v>0</v>
      </c>
      <c r="E242" s="93" t="str">
        <f t="shared" si="118"/>
        <v>RFM / PTRM</v>
      </c>
      <c r="F242" s="93" t="str">
        <f t="shared" si="115"/>
        <v>Dollars</v>
      </c>
      <c r="G242" s="93" t="str">
        <f t="shared" si="116"/>
        <v>Nominal</v>
      </c>
      <c r="H242" s="50" t="str">
        <f t="shared" si="117"/>
        <v>End year</v>
      </c>
      <c r="J242" s="105">
        <v>0</v>
      </c>
      <c r="K242" s="239">
        <v>0</v>
      </c>
      <c r="L242" s="104">
        <v>0</v>
      </c>
      <c r="M242" s="104">
        <v>0</v>
      </c>
      <c r="N242" s="104">
        <v>0</v>
      </c>
      <c r="O242" s="107">
        <v>0</v>
      </c>
      <c r="P242" s="106">
        <v>0</v>
      </c>
      <c r="Q242" s="104">
        <v>0</v>
      </c>
      <c r="R242" s="104">
        <v>0</v>
      </c>
      <c r="S242" s="104">
        <v>0</v>
      </c>
      <c r="T242" s="107">
        <v>0</v>
      </c>
    </row>
    <row r="243" spans="1:20" ht="12.75" hidden="1" outlineLevel="1" x14ac:dyDescent="0.2">
      <c r="D243" s="75">
        <f t="shared" si="119"/>
        <v>0</v>
      </c>
      <c r="E243" s="93" t="str">
        <f t="shared" si="118"/>
        <v>RFM / PTRM</v>
      </c>
      <c r="F243" s="93" t="str">
        <f t="shared" si="115"/>
        <v>Dollars</v>
      </c>
      <c r="G243" s="93" t="str">
        <f t="shared" si="116"/>
        <v>Nominal</v>
      </c>
      <c r="H243" s="50" t="str">
        <f t="shared" si="117"/>
        <v>End year</v>
      </c>
      <c r="J243" s="105">
        <v>0</v>
      </c>
      <c r="K243" s="239">
        <v>0</v>
      </c>
      <c r="L243" s="104">
        <v>0</v>
      </c>
      <c r="M243" s="104">
        <v>0</v>
      </c>
      <c r="N243" s="104">
        <v>0</v>
      </c>
      <c r="O243" s="107">
        <v>0</v>
      </c>
      <c r="P243" s="106">
        <v>0</v>
      </c>
      <c r="Q243" s="104">
        <v>0</v>
      </c>
      <c r="R243" s="104">
        <v>0</v>
      </c>
      <c r="S243" s="104">
        <v>0</v>
      </c>
      <c r="T243" s="107">
        <v>0</v>
      </c>
    </row>
    <row r="244" spans="1:20" ht="12.75" collapsed="1" x14ac:dyDescent="0.2">
      <c r="D244" s="75" t="str">
        <f t="shared" si="119"/>
        <v>Buildings - capital works</v>
      </c>
      <c r="E244" s="93" t="str">
        <f t="shared" si="118"/>
        <v>RFM / PTRM</v>
      </c>
      <c r="F244" s="93" t="str">
        <f t="shared" si="115"/>
        <v>Dollars</v>
      </c>
      <c r="G244" s="93" t="str">
        <f t="shared" si="116"/>
        <v>Nominal</v>
      </c>
      <c r="H244" s="50" t="str">
        <f t="shared" si="117"/>
        <v>End year</v>
      </c>
      <c r="J244" s="105">
        <v>0</v>
      </c>
      <c r="K244" s="239">
        <v>0</v>
      </c>
      <c r="L244" s="104">
        <v>0</v>
      </c>
      <c r="M244" s="104">
        <v>0</v>
      </c>
      <c r="N244" s="104">
        <v>0</v>
      </c>
      <c r="O244" s="107">
        <v>0</v>
      </c>
      <c r="P244" s="106">
        <v>4.8076329474530874</v>
      </c>
      <c r="Q244" s="104">
        <v>4.9206101040823285</v>
      </c>
      <c r="R244" s="104">
        <v>5.0362421717789347</v>
      </c>
      <c r="S244" s="104">
        <v>5.1545915397283499</v>
      </c>
      <c r="T244" s="107">
        <v>5.2757220632330926</v>
      </c>
    </row>
    <row r="245" spans="1:20" ht="12.75" x14ac:dyDescent="0.2">
      <c r="D245" s="75" t="str">
        <f t="shared" si="119"/>
        <v>In-house software</v>
      </c>
      <c r="E245" s="93" t="str">
        <f t="shared" si="118"/>
        <v>RFM / PTRM</v>
      </c>
      <c r="F245" s="93" t="str">
        <f t="shared" si="115"/>
        <v>Dollars</v>
      </c>
      <c r="G245" s="93" t="str">
        <f t="shared" si="116"/>
        <v>Nominal</v>
      </c>
      <c r="H245" s="50" t="str">
        <f t="shared" si="117"/>
        <v>End year</v>
      </c>
      <c r="J245" s="105">
        <v>0</v>
      </c>
      <c r="K245" s="239">
        <v>0</v>
      </c>
      <c r="L245" s="104">
        <v>0</v>
      </c>
      <c r="M245" s="104">
        <v>0</v>
      </c>
      <c r="N245" s="104">
        <v>0</v>
      </c>
      <c r="O245" s="107">
        <v>0</v>
      </c>
      <c r="P245" s="106">
        <v>18.301377398626123</v>
      </c>
      <c r="Q245" s="104">
        <v>11.392007394664114</v>
      </c>
      <c r="R245" s="104">
        <v>12.070256422474289</v>
      </c>
      <c r="S245" s="104">
        <v>11.618529746769417</v>
      </c>
      <c r="T245" s="107">
        <v>4.4166798611759006</v>
      </c>
    </row>
    <row r="246" spans="1:20" ht="12.75" x14ac:dyDescent="0.2">
      <c r="D246" s="75" t="str">
        <f t="shared" si="119"/>
        <v>Equity raising costs</v>
      </c>
      <c r="E246" s="93" t="str">
        <f t="shared" si="118"/>
        <v>RFM / PTRM</v>
      </c>
      <c r="F246" s="93" t="str">
        <f t="shared" si="115"/>
        <v>Dollars</v>
      </c>
      <c r="G246" s="93" t="str">
        <f t="shared" si="116"/>
        <v>Nominal</v>
      </c>
      <c r="H246" s="50" t="str">
        <f t="shared" si="117"/>
        <v>End year</v>
      </c>
      <c r="J246" s="105">
        <v>0</v>
      </c>
      <c r="K246" s="106">
        <v>16.499399702836168</v>
      </c>
      <c r="L246" s="104">
        <v>0</v>
      </c>
      <c r="M246" s="104">
        <v>0</v>
      </c>
      <c r="N246" s="104">
        <v>0</v>
      </c>
      <c r="O246" s="107">
        <v>0</v>
      </c>
      <c r="P246" s="106">
        <v>0</v>
      </c>
      <c r="Q246" s="104">
        <v>0</v>
      </c>
      <c r="R246" s="104">
        <v>0</v>
      </c>
      <c r="S246" s="104">
        <v>0</v>
      </c>
      <c r="T246" s="107">
        <v>0</v>
      </c>
    </row>
    <row r="247" spans="1:20" x14ac:dyDescent="0.2">
      <c r="J247" s="88"/>
      <c r="K247" s="89"/>
      <c r="L247" s="89"/>
      <c r="M247" s="89"/>
      <c r="N247" s="89"/>
      <c r="O247" s="91"/>
      <c r="P247" s="88"/>
      <c r="Q247" s="89"/>
      <c r="R247" s="89"/>
      <c r="S247" s="89"/>
      <c r="T247" s="91"/>
    </row>
    <row r="248" spans="1:20" ht="12.75" x14ac:dyDescent="0.2">
      <c r="D248" s="98" t="str">
        <f>"Total "&amp;C193</f>
        <v>Total RAB Net Additions - as commissioned (including half year of WACC, where relevant)</v>
      </c>
      <c r="E248" s="99" t="s">
        <v>92</v>
      </c>
      <c r="F248" s="99" t="str">
        <f>F197</f>
        <v>Dollars</v>
      </c>
      <c r="G248" s="99" t="str">
        <f>G197</f>
        <v>Nominal</v>
      </c>
      <c r="H248" s="45" t="str">
        <f>H197</f>
        <v>End year</v>
      </c>
      <c r="J248" s="251">
        <f t="shared" ref="J248:T248" si="120">SUM(J197:J246)</f>
        <v>374.70940165060597</v>
      </c>
      <c r="K248" s="252">
        <f t="shared" si="120"/>
        <v>282.253936996633</v>
      </c>
      <c r="L248" s="252">
        <f t="shared" si="120"/>
        <v>217.11557266533524</v>
      </c>
      <c r="M248" s="252">
        <f t="shared" si="120"/>
        <v>208.49198247683933</v>
      </c>
      <c r="N248" s="252">
        <f t="shared" si="120"/>
        <v>582.56839594596977</v>
      </c>
      <c r="O248" s="253">
        <f t="shared" si="120"/>
        <v>560.3221844202435</v>
      </c>
      <c r="P248" s="100">
        <f t="shared" si="120"/>
        <v>926.08239168923035</v>
      </c>
      <c r="Q248" s="101">
        <f t="shared" si="120"/>
        <v>1558.6480489301794</v>
      </c>
      <c r="R248" s="101">
        <f t="shared" si="120"/>
        <v>336.6436361016959</v>
      </c>
      <c r="S248" s="101">
        <f t="shared" si="120"/>
        <v>249.11450457671967</v>
      </c>
      <c r="T248" s="102">
        <f t="shared" si="120"/>
        <v>437.41184757492817</v>
      </c>
    </row>
    <row r="249" spans="1:20" s="82" customFormat="1" ht="11.25" customHeight="1" x14ac:dyDescent="0.2">
      <c r="H249" s="6"/>
    </row>
    <row r="250" spans="1:20" s="82" customFormat="1" ht="11.25" customHeight="1" x14ac:dyDescent="0.2">
      <c r="A250" s="69">
        <f>IF(SUM($J250:$T250)&lt;&gt;0,1,0)</f>
        <v>0</v>
      </c>
      <c r="D250" s="75" t="s">
        <v>121</v>
      </c>
      <c r="H250" s="6"/>
      <c r="J250" s="108">
        <f t="shared" ref="J250:K250" si="121">IF(ISERROR(J248),1,0)</f>
        <v>0</v>
      </c>
      <c r="K250" s="103">
        <f t="shared" si="121"/>
        <v>0</v>
      </c>
      <c r="L250" s="103">
        <f>IF(ISERROR(L248),1,0)</f>
        <v>0</v>
      </c>
      <c r="M250" s="103">
        <f t="shared" ref="M250:P250" si="122">IF(ISERROR(M248),1,0)</f>
        <v>0</v>
      </c>
      <c r="N250" s="103">
        <f t="shared" si="122"/>
        <v>0</v>
      </c>
      <c r="O250" s="103">
        <f t="shared" si="122"/>
        <v>0</v>
      </c>
      <c r="P250" s="109">
        <f t="shared" si="122"/>
        <v>0</v>
      </c>
      <c r="Q250" s="103">
        <f>IF(ISERROR(Q248),1,0)</f>
        <v>0</v>
      </c>
      <c r="R250" s="103">
        <f t="shared" ref="R250:T250" si="123">IF(ISERROR(R248),1,0)</f>
        <v>0</v>
      </c>
      <c r="S250" s="103">
        <f t="shared" si="123"/>
        <v>0</v>
      </c>
      <c r="T250" s="110">
        <f t="shared" si="123"/>
        <v>0</v>
      </c>
    </row>
    <row r="251" spans="1:20" s="82" customFormat="1" ht="11.25" customHeight="1" x14ac:dyDescent="0.2">
      <c r="A251" s="69">
        <f>IF(SUM($J251:$T251)&lt;&gt;0,1,0)</f>
        <v>0</v>
      </c>
      <c r="D251" s="75" t="s">
        <v>122</v>
      </c>
      <c r="H251" s="6"/>
      <c r="J251" s="108">
        <v>0</v>
      </c>
      <c r="K251" s="103">
        <v>0</v>
      </c>
      <c r="L251" s="103">
        <v>0</v>
      </c>
      <c r="M251" s="103">
        <v>0</v>
      </c>
      <c r="N251" s="103">
        <v>0</v>
      </c>
      <c r="O251" s="103">
        <v>0</v>
      </c>
      <c r="P251" s="109">
        <v>0</v>
      </c>
      <c r="Q251" s="103">
        <v>0</v>
      </c>
      <c r="R251" s="103">
        <v>0</v>
      </c>
      <c r="S251" s="103">
        <v>0</v>
      </c>
      <c r="T251" s="110">
        <v>0</v>
      </c>
    </row>
    <row r="253" spans="1:20" s="83" customFormat="1" ht="15" x14ac:dyDescent="0.2">
      <c r="C253" s="83" t="s">
        <v>279</v>
      </c>
      <c r="H253" s="13"/>
    </row>
    <row r="254" spans="1:20" s="82" customFormat="1" ht="11.25" customHeight="1" x14ac:dyDescent="0.2">
      <c r="H254" s="6"/>
    </row>
    <row r="255" spans="1:20" ht="12.75" x14ac:dyDescent="0.2">
      <c r="D255" s="84" t="str">
        <f>D$16</f>
        <v>RAB Asset Class</v>
      </c>
      <c r="E255" s="85" t="str">
        <f>Lookup!E$20</f>
        <v>Source</v>
      </c>
      <c r="F255" s="85" t="str">
        <f>Lookup!F$20</f>
        <v>Unit</v>
      </c>
      <c r="G255" s="85" t="str">
        <f>Lookup!G$20</f>
        <v>Basis</v>
      </c>
      <c r="H255" s="43" t="str">
        <f>Lookup!H$20</f>
        <v>Timing</v>
      </c>
      <c r="J255" s="229" t="str">
        <f t="shared" ref="J255:T255" si="124">J$10</f>
        <v>RY18</v>
      </c>
      <c r="K255" s="226" t="str">
        <f t="shared" si="124"/>
        <v>RY19</v>
      </c>
      <c r="L255" s="85" t="str">
        <f>L$10</f>
        <v>RY20</v>
      </c>
      <c r="M255" s="85" t="str">
        <f t="shared" si="124"/>
        <v>RY21</v>
      </c>
      <c r="N255" s="85" t="str">
        <f t="shared" si="124"/>
        <v>RY22</v>
      </c>
      <c r="O255" s="87" t="str">
        <f t="shared" si="124"/>
        <v>RY23</v>
      </c>
      <c r="P255" s="225" t="str">
        <f t="shared" si="124"/>
        <v>RY24</v>
      </c>
      <c r="Q255" s="226" t="str">
        <f>Q$10</f>
        <v>RY25</v>
      </c>
      <c r="R255" s="226" t="str">
        <f t="shared" si="124"/>
        <v>RY26</v>
      </c>
      <c r="S255" s="226" t="str">
        <f t="shared" si="124"/>
        <v>RY27</v>
      </c>
      <c r="T255" s="227" t="str">
        <f t="shared" si="124"/>
        <v>RY28</v>
      </c>
    </row>
    <row r="256" spans="1:20" x14ac:dyDescent="0.2">
      <c r="J256" s="90"/>
      <c r="K256" s="89"/>
      <c r="L256" s="89"/>
      <c r="M256" s="89"/>
      <c r="N256" s="89"/>
      <c r="O256" s="91"/>
      <c r="P256" s="88"/>
      <c r="Q256" s="89"/>
      <c r="R256" s="89"/>
      <c r="S256" s="89"/>
      <c r="T256" s="91"/>
    </row>
    <row r="257" spans="4:20" ht="12.75" x14ac:dyDescent="0.2">
      <c r="D257" s="75" t="str">
        <f t="shared" ref="D257:D272" si="125">D18</f>
        <v>Transmission Lines (pre 2004-05)</v>
      </c>
      <c r="E257" s="93" t="s">
        <v>254</v>
      </c>
      <c r="F257" s="93" t="str">
        <f t="shared" ref="F257:F306" si="126">Dollars</f>
        <v>Dollars</v>
      </c>
      <c r="G257" s="93" t="str">
        <f t="shared" ref="G257:G306" si="127">Nominal</f>
        <v>Nominal</v>
      </c>
      <c r="H257" s="50" t="str">
        <f t="shared" ref="H257:H306" si="128">End_year</f>
        <v>End year</v>
      </c>
      <c r="J257" s="254"/>
      <c r="K257" s="239">
        <v>0</v>
      </c>
      <c r="L257" s="104">
        <v>0</v>
      </c>
      <c r="M257" s="104">
        <v>0</v>
      </c>
      <c r="N257" s="104">
        <v>0</v>
      </c>
      <c r="O257" s="107">
        <v>0</v>
      </c>
      <c r="P257" s="106">
        <v>0</v>
      </c>
      <c r="Q257" s="104">
        <v>0</v>
      </c>
      <c r="R257" s="104">
        <v>0</v>
      </c>
      <c r="S257" s="104">
        <v>0</v>
      </c>
      <c r="T257" s="107">
        <v>0</v>
      </c>
    </row>
    <row r="258" spans="4:20" ht="12.75" x14ac:dyDescent="0.2">
      <c r="D258" s="75" t="str">
        <f t="shared" si="125"/>
        <v>Underground Cables (pre 2004-05)</v>
      </c>
      <c r="E258" s="93" t="str">
        <f>E257</f>
        <v>RFM / PTRM</v>
      </c>
      <c r="F258" s="93" t="str">
        <f t="shared" si="126"/>
        <v>Dollars</v>
      </c>
      <c r="G258" s="93" t="str">
        <f t="shared" si="127"/>
        <v>Nominal</v>
      </c>
      <c r="H258" s="50" t="str">
        <f t="shared" si="128"/>
        <v>End year</v>
      </c>
      <c r="J258" s="254"/>
      <c r="K258" s="239">
        <v>0</v>
      </c>
      <c r="L258" s="104">
        <v>0</v>
      </c>
      <c r="M258" s="104">
        <v>0</v>
      </c>
      <c r="N258" s="104">
        <v>0</v>
      </c>
      <c r="O258" s="107">
        <v>0</v>
      </c>
      <c r="P258" s="106">
        <v>0</v>
      </c>
      <c r="Q258" s="104">
        <v>0</v>
      </c>
      <c r="R258" s="104">
        <v>0</v>
      </c>
      <c r="S258" s="104">
        <v>0</v>
      </c>
      <c r="T258" s="107">
        <v>0</v>
      </c>
    </row>
    <row r="259" spans="4:20" ht="12.75" x14ac:dyDescent="0.2">
      <c r="D259" s="75" t="str">
        <f t="shared" si="125"/>
        <v>Substations including Buildings (pre 2004-05)</v>
      </c>
      <c r="E259" s="93" t="str">
        <f t="shared" ref="E259:E306" si="129">E258</f>
        <v>RFM / PTRM</v>
      </c>
      <c r="F259" s="93" t="str">
        <f t="shared" si="126"/>
        <v>Dollars</v>
      </c>
      <c r="G259" s="93" t="str">
        <f t="shared" si="127"/>
        <v>Nominal</v>
      </c>
      <c r="H259" s="50" t="str">
        <f t="shared" si="128"/>
        <v>End year</v>
      </c>
      <c r="J259" s="254"/>
      <c r="K259" s="239">
        <v>0</v>
      </c>
      <c r="L259" s="104">
        <v>0</v>
      </c>
      <c r="M259" s="104">
        <v>0</v>
      </c>
      <c r="N259" s="104">
        <v>0</v>
      </c>
      <c r="O259" s="107">
        <v>0</v>
      </c>
      <c r="P259" s="106">
        <v>0</v>
      </c>
      <c r="Q259" s="104">
        <v>0</v>
      </c>
      <c r="R259" s="104">
        <v>0</v>
      </c>
      <c r="S259" s="104">
        <v>0</v>
      </c>
      <c r="T259" s="107">
        <v>0</v>
      </c>
    </row>
    <row r="260" spans="4:20" ht="12.75" x14ac:dyDescent="0.2">
      <c r="D260" s="75" t="str">
        <f t="shared" si="125"/>
        <v>Transmission Lines (2004-09)</v>
      </c>
      <c r="E260" s="93" t="str">
        <f t="shared" si="129"/>
        <v>RFM / PTRM</v>
      </c>
      <c r="F260" s="93" t="str">
        <f t="shared" si="126"/>
        <v>Dollars</v>
      </c>
      <c r="G260" s="93" t="str">
        <f t="shared" si="127"/>
        <v>Nominal</v>
      </c>
      <c r="H260" s="50" t="str">
        <f t="shared" si="128"/>
        <v>End year</v>
      </c>
      <c r="J260" s="254"/>
      <c r="K260" s="239">
        <v>0</v>
      </c>
      <c r="L260" s="104">
        <v>0</v>
      </c>
      <c r="M260" s="104">
        <v>0</v>
      </c>
      <c r="N260" s="104">
        <v>0</v>
      </c>
      <c r="O260" s="107">
        <v>0</v>
      </c>
      <c r="P260" s="106">
        <v>0</v>
      </c>
      <c r="Q260" s="104">
        <v>0</v>
      </c>
      <c r="R260" s="104">
        <v>0</v>
      </c>
      <c r="S260" s="104">
        <v>0</v>
      </c>
      <c r="T260" s="107">
        <v>0</v>
      </c>
    </row>
    <row r="261" spans="4:20" ht="12.75" x14ac:dyDescent="0.2">
      <c r="D261" s="75" t="str">
        <f t="shared" si="125"/>
        <v>Underground Cables (2004-09)</v>
      </c>
      <c r="E261" s="93" t="str">
        <f t="shared" si="129"/>
        <v>RFM / PTRM</v>
      </c>
      <c r="F261" s="93" t="str">
        <f t="shared" si="126"/>
        <v>Dollars</v>
      </c>
      <c r="G261" s="93" t="str">
        <f t="shared" si="127"/>
        <v>Nominal</v>
      </c>
      <c r="H261" s="50" t="str">
        <f t="shared" si="128"/>
        <v>End year</v>
      </c>
      <c r="J261" s="254"/>
      <c r="K261" s="239">
        <v>0</v>
      </c>
      <c r="L261" s="104">
        <v>0</v>
      </c>
      <c r="M261" s="104">
        <v>0</v>
      </c>
      <c r="N261" s="104">
        <v>0</v>
      </c>
      <c r="O261" s="107">
        <v>0</v>
      </c>
      <c r="P261" s="106">
        <v>0</v>
      </c>
      <c r="Q261" s="104">
        <v>0</v>
      </c>
      <c r="R261" s="104">
        <v>0</v>
      </c>
      <c r="S261" s="104">
        <v>0</v>
      </c>
      <c r="T261" s="107">
        <v>0</v>
      </c>
    </row>
    <row r="262" spans="4:20" ht="12.75" x14ac:dyDescent="0.2">
      <c r="D262" s="75" t="str">
        <f t="shared" si="125"/>
        <v>Substations including Buildings (2004-09)</v>
      </c>
      <c r="E262" s="93" t="str">
        <f t="shared" si="129"/>
        <v>RFM / PTRM</v>
      </c>
      <c r="F262" s="93" t="str">
        <f t="shared" si="126"/>
        <v>Dollars</v>
      </c>
      <c r="G262" s="93" t="str">
        <f t="shared" si="127"/>
        <v>Nominal</v>
      </c>
      <c r="H262" s="50" t="str">
        <f t="shared" si="128"/>
        <v>End year</v>
      </c>
      <c r="J262" s="254"/>
      <c r="K262" s="239">
        <v>0</v>
      </c>
      <c r="L262" s="104">
        <v>0</v>
      </c>
      <c r="M262" s="104">
        <v>0</v>
      </c>
      <c r="N262" s="104">
        <v>0</v>
      </c>
      <c r="O262" s="107">
        <v>0</v>
      </c>
      <c r="P262" s="106">
        <v>0</v>
      </c>
      <c r="Q262" s="104">
        <v>0</v>
      </c>
      <c r="R262" s="104">
        <v>0</v>
      </c>
      <c r="S262" s="104">
        <v>0</v>
      </c>
      <c r="T262" s="107">
        <v>0</v>
      </c>
    </row>
    <row r="263" spans="4:20" ht="12.75" x14ac:dyDescent="0.2">
      <c r="D263" s="75" t="str">
        <f t="shared" si="125"/>
        <v>SCADA and Communications (2004-09)</v>
      </c>
      <c r="E263" s="93" t="str">
        <f t="shared" si="129"/>
        <v>RFM / PTRM</v>
      </c>
      <c r="F263" s="93" t="str">
        <f t="shared" si="126"/>
        <v>Dollars</v>
      </c>
      <c r="G263" s="93" t="str">
        <f t="shared" si="127"/>
        <v>Nominal</v>
      </c>
      <c r="H263" s="50" t="str">
        <f t="shared" si="128"/>
        <v>End year</v>
      </c>
      <c r="J263" s="254"/>
      <c r="K263" s="239">
        <v>0</v>
      </c>
      <c r="L263" s="104">
        <v>0</v>
      </c>
      <c r="M263" s="104">
        <v>0</v>
      </c>
      <c r="N263" s="104">
        <v>0</v>
      </c>
      <c r="O263" s="107">
        <v>0</v>
      </c>
      <c r="P263" s="106">
        <v>0</v>
      </c>
      <c r="Q263" s="104">
        <v>0</v>
      </c>
      <c r="R263" s="104">
        <v>0</v>
      </c>
      <c r="S263" s="104">
        <v>0</v>
      </c>
      <c r="T263" s="107">
        <v>0</v>
      </c>
    </row>
    <row r="264" spans="4:20" ht="12.75" x14ac:dyDescent="0.2">
      <c r="D264" s="75" t="str">
        <f t="shared" si="125"/>
        <v>Transmission Lines &amp; Cables (09-14)</v>
      </c>
      <c r="E264" s="93" t="str">
        <f t="shared" si="129"/>
        <v>RFM / PTRM</v>
      </c>
      <c r="F264" s="93" t="str">
        <f t="shared" si="126"/>
        <v>Dollars</v>
      </c>
      <c r="G264" s="93" t="str">
        <f t="shared" si="127"/>
        <v>Nominal</v>
      </c>
      <c r="H264" s="50" t="str">
        <f t="shared" si="128"/>
        <v>End year</v>
      </c>
      <c r="J264" s="254"/>
      <c r="K264" s="239">
        <v>0</v>
      </c>
      <c r="L264" s="104">
        <v>0</v>
      </c>
      <c r="M264" s="104">
        <v>0</v>
      </c>
      <c r="N264" s="104">
        <v>0</v>
      </c>
      <c r="O264" s="107">
        <v>0</v>
      </c>
      <c r="P264" s="106">
        <v>0</v>
      </c>
      <c r="Q264" s="104">
        <v>0</v>
      </c>
      <c r="R264" s="104">
        <v>0</v>
      </c>
      <c r="S264" s="104">
        <v>0</v>
      </c>
      <c r="T264" s="107">
        <v>0</v>
      </c>
    </row>
    <row r="265" spans="4:20" ht="12.75" x14ac:dyDescent="0.2">
      <c r="D265" s="75" t="str">
        <f t="shared" si="125"/>
        <v>Substations (09-14)</v>
      </c>
      <c r="E265" s="93" t="str">
        <f t="shared" si="129"/>
        <v>RFM / PTRM</v>
      </c>
      <c r="F265" s="93" t="str">
        <f t="shared" si="126"/>
        <v>Dollars</v>
      </c>
      <c r="G265" s="93" t="str">
        <f t="shared" si="127"/>
        <v>Nominal</v>
      </c>
      <c r="H265" s="50" t="str">
        <f t="shared" si="128"/>
        <v>End year</v>
      </c>
      <c r="J265" s="254"/>
      <c r="K265" s="239">
        <v>0</v>
      </c>
      <c r="L265" s="104">
        <v>0</v>
      </c>
      <c r="M265" s="104">
        <v>0</v>
      </c>
      <c r="N265" s="104">
        <v>0</v>
      </c>
      <c r="O265" s="107">
        <v>0</v>
      </c>
      <c r="P265" s="106">
        <v>0</v>
      </c>
      <c r="Q265" s="104">
        <v>0</v>
      </c>
      <c r="R265" s="104">
        <v>0</v>
      </c>
      <c r="S265" s="104">
        <v>0</v>
      </c>
      <c r="T265" s="107">
        <v>0</v>
      </c>
    </row>
    <row r="266" spans="4:20" ht="12.75" x14ac:dyDescent="0.2">
      <c r="D266" s="75" t="str">
        <f t="shared" si="125"/>
        <v>Secondary Systems (09-14)</v>
      </c>
      <c r="E266" s="93" t="str">
        <f t="shared" si="129"/>
        <v>RFM / PTRM</v>
      </c>
      <c r="F266" s="93" t="str">
        <f t="shared" si="126"/>
        <v>Dollars</v>
      </c>
      <c r="G266" s="93" t="str">
        <f t="shared" si="127"/>
        <v>Nominal</v>
      </c>
      <c r="H266" s="50" t="str">
        <f t="shared" si="128"/>
        <v>End year</v>
      </c>
      <c r="J266" s="254"/>
      <c r="K266" s="239">
        <v>0</v>
      </c>
      <c r="L266" s="104">
        <v>0</v>
      </c>
      <c r="M266" s="104">
        <v>0</v>
      </c>
      <c r="N266" s="104">
        <v>0</v>
      </c>
      <c r="O266" s="107">
        <v>0</v>
      </c>
      <c r="P266" s="106">
        <v>0</v>
      </c>
      <c r="Q266" s="104">
        <v>0</v>
      </c>
      <c r="R266" s="104">
        <v>0</v>
      </c>
      <c r="S266" s="104">
        <v>0</v>
      </c>
      <c r="T266" s="107">
        <v>0</v>
      </c>
    </row>
    <row r="267" spans="4:20" ht="12.75" x14ac:dyDescent="0.2">
      <c r="D267" s="75" t="str">
        <f t="shared" si="125"/>
        <v>Communications (09-14)</v>
      </c>
      <c r="E267" s="93" t="str">
        <f t="shared" si="129"/>
        <v>RFM / PTRM</v>
      </c>
      <c r="F267" s="93" t="str">
        <f t="shared" si="126"/>
        <v>Dollars</v>
      </c>
      <c r="G267" s="93" t="str">
        <f t="shared" si="127"/>
        <v>Nominal</v>
      </c>
      <c r="H267" s="50" t="str">
        <f t="shared" si="128"/>
        <v>End year</v>
      </c>
      <c r="J267" s="254"/>
      <c r="K267" s="239">
        <v>0</v>
      </c>
      <c r="L267" s="104">
        <v>0</v>
      </c>
      <c r="M267" s="104">
        <v>0</v>
      </c>
      <c r="N267" s="104">
        <v>0</v>
      </c>
      <c r="O267" s="107">
        <v>0</v>
      </c>
      <c r="P267" s="106">
        <v>0</v>
      </c>
      <c r="Q267" s="104">
        <v>0</v>
      </c>
      <c r="R267" s="104">
        <v>0</v>
      </c>
      <c r="S267" s="104">
        <v>0</v>
      </c>
      <c r="T267" s="107">
        <v>0</v>
      </c>
    </row>
    <row r="268" spans="4:20" ht="12.75" x14ac:dyDescent="0.2">
      <c r="D268" s="75" t="str">
        <f t="shared" si="125"/>
        <v>Minor Plant, Motor Vehicles &amp; Mobile Plant (2009-14)</v>
      </c>
      <c r="E268" s="93" t="str">
        <f t="shared" si="129"/>
        <v>RFM / PTRM</v>
      </c>
      <c r="F268" s="93" t="str">
        <f t="shared" si="126"/>
        <v>Dollars</v>
      </c>
      <c r="G268" s="93" t="str">
        <f t="shared" si="127"/>
        <v>Nominal</v>
      </c>
      <c r="H268" s="50" t="str">
        <f t="shared" si="128"/>
        <v>End year</v>
      </c>
      <c r="J268" s="254"/>
      <c r="K268" s="239">
        <v>0</v>
      </c>
      <c r="L268" s="104">
        <v>0</v>
      </c>
      <c r="M268" s="104">
        <v>0</v>
      </c>
      <c r="N268" s="104">
        <v>0</v>
      </c>
      <c r="O268" s="107">
        <v>0</v>
      </c>
      <c r="P268" s="106">
        <v>0</v>
      </c>
      <c r="Q268" s="104">
        <v>0</v>
      </c>
      <c r="R268" s="104">
        <v>0</v>
      </c>
      <c r="S268" s="104">
        <v>0</v>
      </c>
      <c r="T268" s="107">
        <v>0</v>
      </c>
    </row>
    <row r="269" spans="4:20" ht="12.75" x14ac:dyDescent="0.2">
      <c r="D269" s="75" t="str">
        <f t="shared" si="125"/>
        <v>Transmission Lines (2014-18)</v>
      </c>
      <c r="E269" s="93" t="str">
        <f t="shared" si="129"/>
        <v>RFM / PTRM</v>
      </c>
      <c r="F269" s="93" t="str">
        <f t="shared" si="126"/>
        <v>Dollars</v>
      </c>
      <c r="G269" s="93" t="str">
        <f t="shared" si="127"/>
        <v>Nominal</v>
      </c>
      <c r="H269" s="50" t="str">
        <f t="shared" si="128"/>
        <v>End year</v>
      </c>
      <c r="J269" s="254"/>
      <c r="K269" s="239">
        <v>0</v>
      </c>
      <c r="L269" s="104">
        <v>0</v>
      </c>
      <c r="M269" s="104">
        <v>0</v>
      </c>
      <c r="N269" s="104">
        <v>0</v>
      </c>
      <c r="O269" s="107">
        <v>0</v>
      </c>
      <c r="P269" s="106">
        <v>0</v>
      </c>
      <c r="Q269" s="104">
        <v>0</v>
      </c>
      <c r="R269" s="104">
        <v>0</v>
      </c>
      <c r="S269" s="104">
        <v>0</v>
      </c>
      <c r="T269" s="107">
        <v>0</v>
      </c>
    </row>
    <row r="270" spans="4:20" ht="12.75" x14ac:dyDescent="0.2">
      <c r="D270" s="75" t="str">
        <f t="shared" si="125"/>
        <v>Underground Cables (2014-18)</v>
      </c>
      <c r="E270" s="93" t="str">
        <f t="shared" si="129"/>
        <v>RFM / PTRM</v>
      </c>
      <c r="F270" s="93" t="str">
        <f t="shared" si="126"/>
        <v>Dollars</v>
      </c>
      <c r="G270" s="93" t="str">
        <f t="shared" si="127"/>
        <v>Nominal</v>
      </c>
      <c r="H270" s="50" t="str">
        <f t="shared" si="128"/>
        <v>End year</v>
      </c>
      <c r="J270" s="254"/>
      <c r="K270" s="239">
        <v>0</v>
      </c>
      <c r="L270" s="104">
        <v>0</v>
      </c>
      <c r="M270" s="104">
        <v>0</v>
      </c>
      <c r="N270" s="104">
        <v>0</v>
      </c>
      <c r="O270" s="107">
        <v>0</v>
      </c>
      <c r="P270" s="106">
        <v>0</v>
      </c>
      <c r="Q270" s="104">
        <v>0</v>
      </c>
      <c r="R270" s="104">
        <v>0</v>
      </c>
      <c r="S270" s="104">
        <v>0</v>
      </c>
      <c r="T270" s="107">
        <v>0</v>
      </c>
    </row>
    <row r="271" spans="4:20" ht="12.75" x14ac:dyDescent="0.2">
      <c r="D271" s="75" t="str">
        <f t="shared" si="125"/>
        <v>Substations (2014-18)</v>
      </c>
      <c r="E271" s="93" t="str">
        <f t="shared" si="129"/>
        <v>RFM / PTRM</v>
      </c>
      <c r="F271" s="93" t="str">
        <f t="shared" si="126"/>
        <v>Dollars</v>
      </c>
      <c r="G271" s="93" t="str">
        <f t="shared" si="127"/>
        <v>Nominal</v>
      </c>
      <c r="H271" s="50" t="str">
        <f t="shared" si="128"/>
        <v>End year</v>
      </c>
      <c r="J271" s="254"/>
      <c r="K271" s="239">
        <v>0</v>
      </c>
      <c r="L271" s="104">
        <v>0</v>
      </c>
      <c r="M271" s="104">
        <v>0</v>
      </c>
      <c r="N271" s="104">
        <v>0</v>
      </c>
      <c r="O271" s="107">
        <v>0</v>
      </c>
      <c r="P271" s="106">
        <v>0</v>
      </c>
      <c r="Q271" s="104">
        <v>0</v>
      </c>
      <c r="R271" s="104">
        <v>0</v>
      </c>
      <c r="S271" s="104">
        <v>0</v>
      </c>
      <c r="T271" s="107">
        <v>0</v>
      </c>
    </row>
    <row r="272" spans="4:20" ht="12.75" x14ac:dyDescent="0.2">
      <c r="D272" s="75" t="str">
        <f t="shared" si="125"/>
        <v>Secondary Systems (2014-18)</v>
      </c>
      <c r="E272" s="93" t="str">
        <f t="shared" si="129"/>
        <v>RFM / PTRM</v>
      </c>
      <c r="F272" s="93" t="str">
        <f t="shared" si="126"/>
        <v>Dollars</v>
      </c>
      <c r="G272" s="93" t="str">
        <f t="shared" si="127"/>
        <v>Nominal</v>
      </c>
      <c r="H272" s="50" t="str">
        <f t="shared" si="128"/>
        <v>End year</v>
      </c>
      <c r="J272" s="254"/>
      <c r="K272" s="239">
        <v>0</v>
      </c>
      <c r="L272" s="104">
        <v>0</v>
      </c>
      <c r="M272" s="104">
        <v>0</v>
      </c>
      <c r="N272" s="104">
        <v>0</v>
      </c>
      <c r="O272" s="107">
        <v>0</v>
      </c>
      <c r="P272" s="106">
        <v>0</v>
      </c>
      <c r="Q272" s="104">
        <v>0</v>
      </c>
      <c r="R272" s="104">
        <v>0</v>
      </c>
      <c r="S272" s="104">
        <v>0</v>
      </c>
      <c r="T272" s="107">
        <v>0</v>
      </c>
    </row>
    <row r="273" spans="4:20" ht="12.75" x14ac:dyDescent="0.2">
      <c r="D273" s="75" t="str">
        <f t="shared" ref="D273:D306" si="130">D34</f>
        <v>Communications (short life) (2014-18)</v>
      </c>
      <c r="E273" s="93" t="str">
        <f t="shared" si="129"/>
        <v>RFM / PTRM</v>
      </c>
      <c r="F273" s="93" t="str">
        <f t="shared" si="126"/>
        <v>Dollars</v>
      </c>
      <c r="G273" s="93" t="str">
        <f t="shared" si="127"/>
        <v>Nominal</v>
      </c>
      <c r="H273" s="50" t="str">
        <f t="shared" si="128"/>
        <v>End year</v>
      </c>
      <c r="J273" s="254"/>
      <c r="K273" s="239">
        <v>0</v>
      </c>
      <c r="L273" s="104">
        <v>0</v>
      </c>
      <c r="M273" s="104">
        <v>0</v>
      </c>
      <c r="N273" s="104">
        <v>0</v>
      </c>
      <c r="O273" s="107">
        <v>0</v>
      </c>
      <c r="P273" s="106">
        <v>0</v>
      </c>
      <c r="Q273" s="104">
        <v>0</v>
      </c>
      <c r="R273" s="104">
        <v>0</v>
      </c>
      <c r="S273" s="104">
        <v>0</v>
      </c>
      <c r="T273" s="107">
        <v>0</v>
      </c>
    </row>
    <row r="274" spans="4:20" ht="12.75" x14ac:dyDescent="0.2">
      <c r="D274" s="75" t="str">
        <f t="shared" si="130"/>
        <v>Business IT (2014-18)</v>
      </c>
      <c r="E274" s="93" t="str">
        <f t="shared" si="129"/>
        <v>RFM / PTRM</v>
      </c>
      <c r="F274" s="93" t="str">
        <f t="shared" si="126"/>
        <v>Dollars</v>
      </c>
      <c r="G274" s="93" t="str">
        <f t="shared" si="127"/>
        <v>Nominal</v>
      </c>
      <c r="H274" s="50" t="str">
        <f t="shared" si="128"/>
        <v>End year</v>
      </c>
      <c r="J274" s="254"/>
      <c r="K274" s="239">
        <v>0</v>
      </c>
      <c r="L274" s="104">
        <v>0</v>
      </c>
      <c r="M274" s="104">
        <v>0</v>
      </c>
      <c r="N274" s="104">
        <v>0</v>
      </c>
      <c r="O274" s="107">
        <v>0</v>
      </c>
      <c r="P274" s="106">
        <v>0</v>
      </c>
      <c r="Q274" s="104">
        <v>0</v>
      </c>
      <c r="R274" s="104">
        <v>0</v>
      </c>
      <c r="S274" s="104">
        <v>0</v>
      </c>
      <c r="T274" s="107">
        <v>0</v>
      </c>
    </row>
    <row r="275" spans="4:20" ht="12.75" x14ac:dyDescent="0.2">
      <c r="D275" s="75" t="str">
        <f t="shared" si="130"/>
        <v>Minor Plant, Motor Vehicles &amp; Mobile Plant (2014-18)</v>
      </c>
      <c r="E275" s="93" t="str">
        <f t="shared" si="129"/>
        <v>RFM / PTRM</v>
      </c>
      <c r="F275" s="93" t="str">
        <f t="shared" si="126"/>
        <v>Dollars</v>
      </c>
      <c r="G275" s="93" t="str">
        <f t="shared" si="127"/>
        <v>Nominal</v>
      </c>
      <c r="H275" s="50" t="str">
        <f t="shared" si="128"/>
        <v>End year</v>
      </c>
      <c r="J275" s="254"/>
      <c r="K275" s="239">
        <v>0</v>
      </c>
      <c r="L275" s="104">
        <v>0</v>
      </c>
      <c r="M275" s="104">
        <v>0</v>
      </c>
      <c r="N275" s="104">
        <v>0</v>
      </c>
      <c r="O275" s="107">
        <v>0</v>
      </c>
      <c r="P275" s="106">
        <v>0</v>
      </c>
      <c r="Q275" s="104">
        <v>0</v>
      </c>
      <c r="R275" s="104">
        <v>0</v>
      </c>
      <c r="S275" s="104">
        <v>0</v>
      </c>
      <c r="T275" s="107">
        <v>0</v>
      </c>
    </row>
    <row r="276" spans="4:20" ht="12.75" x14ac:dyDescent="0.2">
      <c r="D276" s="75" t="str">
        <f t="shared" si="130"/>
        <v>Transmission Line Life Extension (2014-18)</v>
      </c>
      <c r="E276" s="93" t="str">
        <f t="shared" si="129"/>
        <v>RFM / PTRM</v>
      </c>
      <c r="F276" s="93" t="str">
        <f t="shared" si="126"/>
        <v>Dollars</v>
      </c>
      <c r="G276" s="93" t="str">
        <f t="shared" si="127"/>
        <v>Nominal</v>
      </c>
      <c r="H276" s="50" t="str">
        <f t="shared" si="128"/>
        <v>End year</v>
      </c>
      <c r="J276" s="254"/>
      <c r="K276" s="239">
        <v>0</v>
      </c>
      <c r="L276" s="104">
        <v>0</v>
      </c>
      <c r="M276" s="104">
        <v>0</v>
      </c>
      <c r="N276" s="104">
        <v>0</v>
      </c>
      <c r="O276" s="107">
        <v>0</v>
      </c>
      <c r="P276" s="106">
        <v>0</v>
      </c>
      <c r="Q276" s="104">
        <v>0</v>
      </c>
      <c r="R276" s="104">
        <v>0</v>
      </c>
      <c r="S276" s="104">
        <v>0</v>
      </c>
      <c r="T276" s="107">
        <v>0</v>
      </c>
    </row>
    <row r="277" spans="4:20" ht="12.75" x14ac:dyDescent="0.2">
      <c r="D277" s="75" t="str">
        <f t="shared" si="130"/>
        <v>Residual - other</v>
      </c>
      <c r="E277" s="93" t="str">
        <f t="shared" si="129"/>
        <v>RFM / PTRM</v>
      </c>
      <c r="F277" s="93" t="str">
        <f t="shared" si="126"/>
        <v>Dollars</v>
      </c>
      <c r="G277" s="93" t="str">
        <f t="shared" si="127"/>
        <v>Nominal</v>
      </c>
      <c r="H277" s="50" t="str">
        <f t="shared" si="128"/>
        <v>End year</v>
      </c>
      <c r="J277" s="254"/>
      <c r="K277" s="239">
        <v>0</v>
      </c>
      <c r="L277" s="104">
        <v>0</v>
      </c>
      <c r="M277" s="104">
        <v>0</v>
      </c>
      <c r="N277" s="104">
        <v>0</v>
      </c>
      <c r="O277" s="107">
        <v>0</v>
      </c>
      <c r="P277" s="106">
        <v>0</v>
      </c>
      <c r="Q277" s="104">
        <v>0</v>
      </c>
      <c r="R277" s="104">
        <v>0</v>
      </c>
      <c r="S277" s="104">
        <v>0</v>
      </c>
      <c r="T277" s="107">
        <v>0</v>
      </c>
    </row>
    <row r="278" spans="4:20" ht="12.75" x14ac:dyDescent="0.2">
      <c r="D278" s="75" t="str">
        <f t="shared" si="130"/>
        <v>Transmission Lines (2018 onwards)</v>
      </c>
      <c r="E278" s="93" t="str">
        <f t="shared" si="129"/>
        <v>RFM / PTRM</v>
      </c>
      <c r="F278" s="93" t="str">
        <f t="shared" si="126"/>
        <v>Dollars</v>
      </c>
      <c r="G278" s="93" t="str">
        <f t="shared" si="127"/>
        <v>Nominal</v>
      </c>
      <c r="H278" s="50" t="str">
        <f t="shared" si="128"/>
        <v>End year</v>
      </c>
      <c r="J278" s="254"/>
      <c r="K278" s="239">
        <v>0</v>
      </c>
      <c r="L278" s="104">
        <v>0</v>
      </c>
      <c r="M278" s="104">
        <v>0</v>
      </c>
      <c r="N278" s="104">
        <v>0</v>
      </c>
      <c r="O278" s="107">
        <v>0</v>
      </c>
      <c r="P278" s="106">
        <v>0</v>
      </c>
      <c r="Q278" s="104">
        <v>0</v>
      </c>
      <c r="R278" s="104">
        <v>0</v>
      </c>
      <c r="S278" s="104">
        <v>0</v>
      </c>
      <c r="T278" s="107">
        <v>0</v>
      </c>
    </row>
    <row r="279" spans="4:20" ht="12.75" x14ac:dyDescent="0.2">
      <c r="D279" s="75" t="str">
        <f t="shared" si="130"/>
        <v>Underground Cables (2018 onwards)</v>
      </c>
      <c r="E279" s="93" t="str">
        <f t="shared" si="129"/>
        <v>RFM / PTRM</v>
      </c>
      <c r="F279" s="93" t="str">
        <f t="shared" si="126"/>
        <v>Dollars</v>
      </c>
      <c r="G279" s="93" t="str">
        <f t="shared" si="127"/>
        <v>Nominal</v>
      </c>
      <c r="H279" s="50" t="str">
        <f t="shared" si="128"/>
        <v>End year</v>
      </c>
      <c r="J279" s="254"/>
      <c r="K279" s="239">
        <v>0</v>
      </c>
      <c r="L279" s="104">
        <v>0</v>
      </c>
      <c r="M279" s="104">
        <v>0</v>
      </c>
      <c r="N279" s="104">
        <v>0</v>
      </c>
      <c r="O279" s="107">
        <v>0</v>
      </c>
      <c r="P279" s="106">
        <v>0</v>
      </c>
      <c r="Q279" s="104">
        <v>0</v>
      </c>
      <c r="R279" s="104">
        <v>0</v>
      </c>
      <c r="S279" s="104">
        <v>0</v>
      </c>
      <c r="T279" s="107">
        <v>0</v>
      </c>
    </row>
    <row r="280" spans="4:20" ht="12.75" x14ac:dyDescent="0.2">
      <c r="D280" s="75" t="str">
        <f t="shared" si="130"/>
        <v>Substations (2018 onwards)</v>
      </c>
      <c r="E280" s="93" t="str">
        <f t="shared" si="129"/>
        <v>RFM / PTRM</v>
      </c>
      <c r="F280" s="93" t="str">
        <f t="shared" si="126"/>
        <v>Dollars</v>
      </c>
      <c r="G280" s="93" t="str">
        <f t="shared" si="127"/>
        <v>Nominal</v>
      </c>
      <c r="H280" s="50" t="str">
        <f t="shared" si="128"/>
        <v>End year</v>
      </c>
      <c r="J280" s="254"/>
      <c r="K280" s="239">
        <v>0</v>
      </c>
      <c r="L280" s="104">
        <v>0</v>
      </c>
      <c r="M280" s="104">
        <v>0</v>
      </c>
      <c r="N280" s="104">
        <v>0</v>
      </c>
      <c r="O280" s="107">
        <v>0</v>
      </c>
      <c r="P280" s="106">
        <v>0</v>
      </c>
      <c r="Q280" s="104">
        <v>0</v>
      </c>
      <c r="R280" s="104">
        <v>0</v>
      </c>
      <c r="S280" s="104">
        <v>0</v>
      </c>
      <c r="T280" s="107">
        <v>0</v>
      </c>
    </row>
    <row r="281" spans="4:20" ht="12.75" x14ac:dyDescent="0.2">
      <c r="D281" s="75" t="str">
        <f t="shared" si="130"/>
        <v>Secondary Systems (2018 onwards)</v>
      </c>
      <c r="E281" s="93" t="str">
        <f t="shared" si="129"/>
        <v>RFM / PTRM</v>
      </c>
      <c r="F281" s="93" t="str">
        <f t="shared" si="126"/>
        <v>Dollars</v>
      </c>
      <c r="G281" s="93" t="str">
        <f t="shared" si="127"/>
        <v>Nominal</v>
      </c>
      <c r="H281" s="50" t="str">
        <f t="shared" si="128"/>
        <v>End year</v>
      </c>
      <c r="J281" s="254"/>
      <c r="K281" s="239">
        <v>0</v>
      </c>
      <c r="L281" s="104">
        <v>0</v>
      </c>
      <c r="M281" s="104">
        <v>0</v>
      </c>
      <c r="N281" s="104">
        <v>0</v>
      </c>
      <c r="O281" s="107">
        <v>0</v>
      </c>
      <c r="P281" s="106">
        <v>0</v>
      </c>
      <c r="Q281" s="104">
        <v>0</v>
      </c>
      <c r="R281" s="104">
        <v>0</v>
      </c>
      <c r="S281" s="104">
        <v>0</v>
      </c>
      <c r="T281" s="107">
        <v>0</v>
      </c>
    </row>
    <row r="282" spans="4:20" ht="12.75" x14ac:dyDescent="0.2">
      <c r="D282" s="75" t="str">
        <f t="shared" si="130"/>
        <v>Communications (short life) (2018 onwards)</v>
      </c>
      <c r="E282" s="93" t="str">
        <f t="shared" si="129"/>
        <v>RFM / PTRM</v>
      </c>
      <c r="F282" s="93" t="str">
        <f t="shared" si="126"/>
        <v>Dollars</v>
      </c>
      <c r="G282" s="93" t="str">
        <f t="shared" si="127"/>
        <v>Nominal</v>
      </c>
      <c r="H282" s="50" t="str">
        <f t="shared" si="128"/>
        <v>End year</v>
      </c>
      <c r="J282" s="254"/>
      <c r="K282" s="239">
        <v>0</v>
      </c>
      <c r="L282" s="104">
        <v>0</v>
      </c>
      <c r="M282" s="104">
        <v>0</v>
      </c>
      <c r="N282" s="104">
        <v>0</v>
      </c>
      <c r="O282" s="107">
        <v>0</v>
      </c>
      <c r="P282" s="106">
        <v>0</v>
      </c>
      <c r="Q282" s="104">
        <v>0</v>
      </c>
      <c r="R282" s="104">
        <v>0</v>
      </c>
      <c r="S282" s="104">
        <v>0</v>
      </c>
      <c r="T282" s="107">
        <v>0</v>
      </c>
    </row>
    <row r="283" spans="4:20" ht="12.75" x14ac:dyDescent="0.2">
      <c r="D283" s="75" t="str">
        <f t="shared" si="130"/>
        <v>Business IT (2018 onwards)</v>
      </c>
      <c r="E283" s="93" t="str">
        <f t="shared" si="129"/>
        <v>RFM / PTRM</v>
      </c>
      <c r="F283" s="93" t="str">
        <f t="shared" si="126"/>
        <v>Dollars</v>
      </c>
      <c r="G283" s="93" t="str">
        <f t="shared" si="127"/>
        <v>Nominal</v>
      </c>
      <c r="H283" s="50" t="str">
        <f t="shared" si="128"/>
        <v>End year</v>
      </c>
      <c r="J283" s="254"/>
      <c r="K283" s="239">
        <v>-9.9003775825350308E-3</v>
      </c>
      <c r="L283" s="104">
        <v>0</v>
      </c>
      <c r="M283" s="104">
        <v>0</v>
      </c>
      <c r="N283" s="104">
        <v>0</v>
      </c>
      <c r="O283" s="107">
        <v>0</v>
      </c>
      <c r="P283" s="106">
        <v>0</v>
      </c>
      <c r="Q283" s="104">
        <v>0</v>
      </c>
      <c r="R283" s="104">
        <v>0</v>
      </c>
      <c r="S283" s="104">
        <v>0</v>
      </c>
      <c r="T283" s="107">
        <v>0</v>
      </c>
    </row>
    <row r="284" spans="4:20" ht="12.75" x14ac:dyDescent="0.2">
      <c r="D284" s="75" t="str">
        <f t="shared" si="130"/>
        <v>Minor Plant, Motor Vehicles &amp; Mobile Plant (2018 onwards)</v>
      </c>
      <c r="E284" s="93" t="str">
        <f t="shared" si="129"/>
        <v>RFM / PTRM</v>
      </c>
      <c r="F284" s="93" t="str">
        <f t="shared" si="126"/>
        <v>Dollars</v>
      </c>
      <c r="G284" s="93" t="str">
        <f t="shared" si="127"/>
        <v>Nominal</v>
      </c>
      <c r="H284" s="50" t="str">
        <f t="shared" si="128"/>
        <v>End year</v>
      </c>
      <c r="J284" s="254"/>
      <c r="K284" s="239">
        <v>-3.4149835258008445</v>
      </c>
      <c r="L284" s="104">
        <v>-2.1986786384355659</v>
      </c>
      <c r="M284" s="104">
        <v>-3.9106187803706614</v>
      </c>
      <c r="N284" s="104">
        <v>-4.0800328648060651</v>
      </c>
      <c r="O284" s="107">
        <v>-4.1515818652274916</v>
      </c>
      <c r="P284" s="106">
        <v>-4.2264154033260315</v>
      </c>
      <c r="Q284" s="104">
        <v>-4.325734215768807</v>
      </c>
      <c r="R284" s="104">
        <v>-4.4273869744908048</v>
      </c>
      <c r="S284" s="104">
        <v>-4.5314285261529994</v>
      </c>
      <c r="T284" s="107">
        <v>-4.6379150062875949</v>
      </c>
    </row>
    <row r="285" spans="4:20" ht="12.75" x14ac:dyDescent="0.2">
      <c r="D285" s="75" t="str">
        <f t="shared" si="130"/>
        <v>Transmission Line Life Extension (2018 onwards)</v>
      </c>
      <c r="E285" s="93" t="str">
        <f t="shared" si="129"/>
        <v>RFM / PTRM</v>
      </c>
      <c r="F285" s="93" t="str">
        <f t="shared" si="126"/>
        <v>Dollars</v>
      </c>
      <c r="G285" s="93" t="str">
        <f t="shared" si="127"/>
        <v>Nominal</v>
      </c>
      <c r="H285" s="50" t="str">
        <f t="shared" si="128"/>
        <v>End year</v>
      </c>
      <c r="J285" s="254"/>
      <c r="K285" s="239">
        <v>0</v>
      </c>
      <c r="L285" s="104">
        <v>0</v>
      </c>
      <c r="M285" s="104">
        <v>0</v>
      </c>
      <c r="N285" s="104">
        <v>0</v>
      </c>
      <c r="O285" s="107">
        <v>0</v>
      </c>
      <c r="P285" s="106">
        <v>0</v>
      </c>
      <c r="Q285" s="104">
        <v>0</v>
      </c>
      <c r="R285" s="104">
        <v>0</v>
      </c>
      <c r="S285" s="104">
        <v>0</v>
      </c>
      <c r="T285" s="107">
        <v>0</v>
      </c>
    </row>
    <row r="286" spans="4:20" ht="12.75" x14ac:dyDescent="0.2">
      <c r="D286" s="75" t="str">
        <f t="shared" si="130"/>
        <v xml:space="preserve">Land and Easements </v>
      </c>
      <c r="E286" s="93" t="str">
        <f t="shared" si="129"/>
        <v>RFM / PTRM</v>
      </c>
      <c r="F286" s="93" t="str">
        <f t="shared" si="126"/>
        <v>Dollars</v>
      </c>
      <c r="G286" s="93" t="str">
        <f t="shared" si="127"/>
        <v>Nominal</v>
      </c>
      <c r="H286" s="50" t="str">
        <f t="shared" si="128"/>
        <v>End year</v>
      </c>
      <c r="J286" s="254"/>
      <c r="K286" s="239">
        <v>-0.87711448128930969</v>
      </c>
      <c r="L286" s="104">
        <v>-2.8175153249596799E-2</v>
      </c>
      <c r="M286" s="104">
        <v>0</v>
      </c>
      <c r="N286" s="104">
        <v>-0.31291563550417728</v>
      </c>
      <c r="O286" s="107">
        <v>-0.31840304251250867</v>
      </c>
      <c r="P286" s="106">
        <v>-0.32414235513744355</v>
      </c>
      <c r="Q286" s="104">
        <v>-0.33175955096474441</v>
      </c>
      <c r="R286" s="104">
        <v>-0.33955574738037275</v>
      </c>
      <c r="S286" s="104">
        <v>-0.34753515081558595</v>
      </c>
      <c r="T286" s="107">
        <v>-0.35570206655083553</v>
      </c>
    </row>
    <row r="287" spans="4:20" ht="12.75" x14ac:dyDescent="0.2">
      <c r="D287" s="75" t="str">
        <f t="shared" si="130"/>
        <v>Synchronous Condensers</v>
      </c>
      <c r="E287" s="93" t="str">
        <f t="shared" si="129"/>
        <v>RFM / PTRM</v>
      </c>
      <c r="F287" s="93" t="str">
        <f t="shared" si="126"/>
        <v>Dollars</v>
      </c>
      <c r="G287" s="93" t="str">
        <f t="shared" si="127"/>
        <v>Nominal</v>
      </c>
      <c r="H287" s="50" t="str">
        <f t="shared" si="128"/>
        <v>End year</v>
      </c>
      <c r="J287" s="254"/>
      <c r="K287" s="239">
        <v>0</v>
      </c>
      <c r="L287" s="104">
        <v>0</v>
      </c>
      <c r="M287" s="104">
        <v>0</v>
      </c>
      <c r="N287" s="104">
        <v>0</v>
      </c>
      <c r="O287" s="107">
        <v>0</v>
      </c>
      <c r="P287" s="106">
        <v>0</v>
      </c>
      <c r="Q287" s="104">
        <v>0</v>
      </c>
      <c r="R287" s="104">
        <v>0</v>
      </c>
      <c r="S287" s="104">
        <v>0</v>
      </c>
      <c r="T287" s="107">
        <v>0</v>
      </c>
    </row>
    <row r="288" spans="4:20" ht="12.75" x14ac:dyDescent="0.2">
      <c r="D288" s="75" t="str">
        <f t="shared" si="130"/>
        <v>Leasehold Land and Property</v>
      </c>
      <c r="E288" s="93" t="str">
        <f t="shared" si="129"/>
        <v>RFM / PTRM</v>
      </c>
      <c r="F288" s="93" t="str">
        <f t="shared" si="126"/>
        <v>Dollars</v>
      </c>
      <c r="G288" s="93" t="str">
        <f t="shared" si="127"/>
        <v>Nominal</v>
      </c>
      <c r="H288" s="50" t="str">
        <f t="shared" si="128"/>
        <v>End year</v>
      </c>
      <c r="J288" s="254"/>
      <c r="K288" s="239">
        <v>0</v>
      </c>
      <c r="L288" s="104">
        <v>0</v>
      </c>
      <c r="M288" s="104">
        <v>0</v>
      </c>
      <c r="N288" s="104">
        <v>0</v>
      </c>
      <c r="O288" s="107">
        <v>0</v>
      </c>
      <c r="P288" s="106">
        <v>0</v>
      </c>
      <c r="Q288" s="104">
        <v>0</v>
      </c>
      <c r="R288" s="104">
        <v>0</v>
      </c>
      <c r="S288" s="104">
        <v>0</v>
      </c>
      <c r="T288" s="107">
        <v>0</v>
      </c>
    </row>
    <row r="289" spans="4:20" ht="12.75" hidden="1" outlineLevel="1" x14ac:dyDescent="0.2">
      <c r="D289" s="75">
        <f t="shared" si="130"/>
        <v>0</v>
      </c>
      <c r="E289" s="93" t="str">
        <f t="shared" si="129"/>
        <v>RFM / PTRM</v>
      </c>
      <c r="F289" s="93" t="str">
        <f t="shared" si="126"/>
        <v>Dollars</v>
      </c>
      <c r="G289" s="93" t="str">
        <f t="shared" si="127"/>
        <v>Nominal</v>
      </c>
      <c r="H289" s="50" t="str">
        <f t="shared" si="128"/>
        <v>End year</v>
      </c>
      <c r="J289" s="254"/>
      <c r="K289" s="239">
        <v>0</v>
      </c>
      <c r="L289" s="104">
        <v>0</v>
      </c>
      <c r="M289" s="104">
        <v>0</v>
      </c>
      <c r="N289" s="104">
        <v>0</v>
      </c>
      <c r="O289" s="107">
        <v>0</v>
      </c>
      <c r="P289" s="106">
        <v>0</v>
      </c>
      <c r="Q289" s="104">
        <v>0</v>
      </c>
      <c r="R289" s="104">
        <v>0</v>
      </c>
      <c r="S289" s="104">
        <v>0</v>
      </c>
      <c r="T289" s="107">
        <v>0</v>
      </c>
    </row>
    <row r="290" spans="4:20" ht="12.75" hidden="1" outlineLevel="1" x14ac:dyDescent="0.2">
      <c r="D290" s="75">
        <f t="shared" si="130"/>
        <v>0</v>
      </c>
      <c r="E290" s="93" t="str">
        <f t="shared" si="129"/>
        <v>RFM / PTRM</v>
      </c>
      <c r="F290" s="93" t="str">
        <f t="shared" si="126"/>
        <v>Dollars</v>
      </c>
      <c r="G290" s="93" t="str">
        <f t="shared" si="127"/>
        <v>Nominal</v>
      </c>
      <c r="H290" s="50" t="str">
        <f t="shared" si="128"/>
        <v>End year</v>
      </c>
      <c r="J290" s="254"/>
      <c r="K290" s="239">
        <v>0</v>
      </c>
      <c r="L290" s="104">
        <v>0</v>
      </c>
      <c r="M290" s="104">
        <v>0</v>
      </c>
      <c r="N290" s="104">
        <v>0</v>
      </c>
      <c r="O290" s="107">
        <v>0</v>
      </c>
      <c r="P290" s="106">
        <v>0</v>
      </c>
      <c r="Q290" s="104">
        <v>0</v>
      </c>
      <c r="R290" s="104">
        <v>0</v>
      </c>
      <c r="S290" s="104">
        <v>0</v>
      </c>
      <c r="T290" s="107">
        <v>0</v>
      </c>
    </row>
    <row r="291" spans="4:20" ht="12.75" hidden="1" outlineLevel="1" x14ac:dyDescent="0.2">
      <c r="D291" s="75">
        <f t="shared" si="130"/>
        <v>0</v>
      </c>
      <c r="E291" s="93" t="str">
        <f t="shared" si="129"/>
        <v>RFM / PTRM</v>
      </c>
      <c r="F291" s="93" t="str">
        <f t="shared" si="126"/>
        <v>Dollars</v>
      </c>
      <c r="G291" s="93" t="str">
        <f t="shared" si="127"/>
        <v>Nominal</v>
      </c>
      <c r="H291" s="50" t="str">
        <f t="shared" si="128"/>
        <v>End year</v>
      </c>
      <c r="J291" s="254"/>
      <c r="K291" s="239">
        <v>0</v>
      </c>
      <c r="L291" s="104">
        <v>0</v>
      </c>
      <c r="M291" s="104">
        <v>0</v>
      </c>
      <c r="N291" s="104">
        <v>0</v>
      </c>
      <c r="O291" s="107">
        <v>0</v>
      </c>
      <c r="P291" s="106">
        <v>0</v>
      </c>
      <c r="Q291" s="104">
        <v>0</v>
      </c>
      <c r="R291" s="104">
        <v>0</v>
      </c>
      <c r="S291" s="104">
        <v>0</v>
      </c>
      <c r="T291" s="107">
        <v>0</v>
      </c>
    </row>
    <row r="292" spans="4:20" ht="12.75" hidden="1" outlineLevel="1" x14ac:dyDescent="0.2">
      <c r="D292" s="75">
        <f t="shared" si="130"/>
        <v>0</v>
      </c>
      <c r="E292" s="93" t="str">
        <f t="shared" si="129"/>
        <v>RFM / PTRM</v>
      </c>
      <c r="F292" s="93" t="str">
        <f t="shared" si="126"/>
        <v>Dollars</v>
      </c>
      <c r="G292" s="93" t="str">
        <f t="shared" si="127"/>
        <v>Nominal</v>
      </c>
      <c r="H292" s="50" t="str">
        <f t="shared" si="128"/>
        <v>End year</v>
      </c>
      <c r="J292" s="254"/>
      <c r="K292" s="239">
        <v>0</v>
      </c>
      <c r="L292" s="104">
        <v>0</v>
      </c>
      <c r="M292" s="104">
        <v>0</v>
      </c>
      <c r="N292" s="104">
        <v>0</v>
      </c>
      <c r="O292" s="107">
        <v>0</v>
      </c>
      <c r="P292" s="106">
        <v>0</v>
      </c>
      <c r="Q292" s="104">
        <v>0</v>
      </c>
      <c r="R292" s="104">
        <v>0</v>
      </c>
      <c r="S292" s="104">
        <v>0</v>
      </c>
      <c r="T292" s="107">
        <v>0</v>
      </c>
    </row>
    <row r="293" spans="4:20" ht="12.75" hidden="1" outlineLevel="1" x14ac:dyDescent="0.2">
      <c r="D293" s="75">
        <f t="shared" si="130"/>
        <v>0</v>
      </c>
      <c r="E293" s="93" t="str">
        <f t="shared" si="129"/>
        <v>RFM / PTRM</v>
      </c>
      <c r="F293" s="93" t="str">
        <f t="shared" si="126"/>
        <v>Dollars</v>
      </c>
      <c r="G293" s="93" t="str">
        <f t="shared" si="127"/>
        <v>Nominal</v>
      </c>
      <c r="H293" s="50" t="str">
        <f t="shared" si="128"/>
        <v>End year</v>
      </c>
      <c r="J293" s="254"/>
      <c r="K293" s="239">
        <v>0</v>
      </c>
      <c r="L293" s="104">
        <v>0</v>
      </c>
      <c r="M293" s="104">
        <v>0</v>
      </c>
      <c r="N293" s="104">
        <v>0</v>
      </c>
      <c r="O293" s="107">
        <v>0</v>
      </c>
      <c r="P293" s="106">
        <v>0</v>
      </c>
      <c r="Q293" s="104">
        <v>0</v>
      </c>
      <c r="R293" s="104">
        <v>0</v>
      </c>
      <c r="S293" s="104">
        <v>0</v>
      </c>
      <c r="T293" s="107">
        <v>0</v>
      </c>
    </row>
    <row r="294" spans="4:20" ht="12.75" hidden="1" outlineLevel="1" x14ac:dyDescent="0.2">
      <c r="D294" s="75">
        <f t="shared" si="130"/>
        <v>0</v>
      </c>
      <c r="E294" s="93" t="str">
        <f t="shared" si="129"/>
        <v>RFM / PTRM</v>
      </c>
      <c r="F294" s="93" t="str">
        <f t="shared" si="126"/>
        <v>Dollars</v>
      </c>
      <c r="G294" s="93" t="str">
        <f t="shared" si="127"/>
        <v>Nominal</v>
      </c>
      <c r="H294" s="50" t="str">
        <f t="shared" si="128"/>
        <v>End year</v>
      </c>
      <c r="J294" s="254"/>
      <c r="K294" s="239">
        <v>0</v>
      </c>
      <c r="L294" s="104">
        <v>0</v>
      </c>
      <c r="M294" s="104">
        <v>0</v>
      </c>
      <c r="N294" s="104">
        <v>0</v>
      </c>
      <c r="O294" s="107">
        <v>0</v>
      </c>
      <c r="P294" s="106">
        <v>0</v>
      </c>
      <c r="Q294" s="104">
        <v>0</v>
      </c>
      <c r="R294" s="104">
        <v>0</v>
      </c>
      <c r="S294" s="104">
        <v>0</v>
      </c>
      <c r="T294" s="107">
        <v>0</v>
      </c>
    </row>
    <row r="295" spans="4:20" ht="12.75" hidden="1" outlineLevel="1" x14ac:dyDescent="0.2">
      <c r="D295" s="75">
        <f t="shared" si="130"/>
        <v>0</v>
      </c>
      <c r="E295" s="93" t="str">
        <f t="shared" si="129"/>
        <v>RFM / PTRM</v>
      </c>
      <c r="F295" s="93" t="str">
        <f t="shared" si="126"/>
        <v>Dollars</v>
      </c>
      <c r="G295" s="93" t="str">
        <f t="shared" si="127"/>
        <v>Nominal</v>
      </c>
      <c r="H295" s="50" t="str">
        <f t="shared" si="128"/>
        <v>End year</v>
      </c>
      <c r="J295" s="254"/>
      <c r="K295" s="239">
        <v>0</v>
      </c>
      <c r="L295" s="104">
        <v>0</v>
      </c>
      <c r="M295" s="104">
        <v>0</v>
      </c>
      <c r="N295" s="104">
        <v>0</v>
      </c>
      <c r="O295" s="107">
        <v>0</v>
      </c>
      <c r="P295" s="106">
        <v>0</v>
      </c>
      <c r="Q295" s="104">
        <v>0</v>
      </c>
      <c r="R295" s="104">
        <v>0</v>
      </c>
      <c r="S295" s="104">
        <v>0</v>
      </c>
      <c r="T295" s="107">
        <v>0</v>
      </c>
    </row>
    <row r="296" spans="4:20" ht="12.75" hidden="1" outlineLevel="1" x14ac:dyDescent="0.2">
      <c r="D296" s="75">
        <f t="shared" si="130"/>
        <v>0</v>
      </c>
      <c r="E296" s="93" t="str">
        <f t="shared" si="129"/>
        <v>RFM / PTRM</v>
      </c>
      <c r="F296" s="93" t="str">
        <f t="shared" si="126"/>
        <v>Dollars</v>
      </c>
      <c r="G296" s="93" t="str">
        <f t="shared" si="127"/>
        <v>Nominal</v>
      </c>
      <c r="H296" s="50" t="str">
        <f t="shared" si="128"/>
        <v>End year</v>
      </c>
      <c r="J296" s="254"/>
      <c r="K296" s="239">
        <v>0</v>
      </c>
      <c r="L296" s="104">
        <v>0</v>
      </c>
      <c r="M296" s="104">
        <v>0</v>
      </c>
      <c r="N296" s="104">
        <v>0</v>
      </c>
      <c r="O296" s="107">
        <v>0</v>
      </c>
      <c r="P296" s="106">
        <v>0</v>
      </c>
      <c r="Q296" s="104">
        <v>0</v>
      </c>
      <c r="R296" s="104">
        <v>0</v>
      </c>
      <c r="S296" s="104">
        <v>0</v>
      </c>
      <c r="T296" s="107">
        <v>0</v>
      </c>
    </row>
    <row r="297" spans="4:20" ht="12.75" hidden="1" outlineLevel="1" x14ac:dyDescent="0.2">
      <c r="D297" s="75">
        <f t="shared" si="130"/>
        <v>0</v>
      </c>
      <c r="E297" s="93" t="str">
        <f t="shared" si="129"/>
        <v>RFM / PTRM</v>
      </c>
      <c r="F297" s="93" t="str">
        <f t="shared" si="126"/>
        <v>Dollars</v>
      </c>
      <c r="G297" s="93" t="str">
        <f t="shared" si="127"/>
        <v>Nominal</v>
      </c>
      <c r="H297" s="50" t="str">
        <f t="shared" si="128"/>
        <v>End year</v>
      </c>
      <c r="J297" s="254"/>
      <c r="K297" s="239">
        <v>0</v>
      </c>
      <c r="L297" s="104">
        <v>0</v>
      </c>
      <c r="M297" s="104">
        <v>0</v>
      </c>
      <c r="N297" s="104">
        <v>0</v>
      </c>
      <c r="O297" s="107">
        <v>0</v>
      </c>
      <c r="P297" s="106">
        <v>0</v>
      </c>
      <c r="Q297" s="104">
        <v>0</v>
      </c>
      <c r="R297" s="104">
        <v>0</v>
      </c>
      <c r="S297" s="104">
        <v>0</v>
      </c>
      <c r="T297" s="107">
        <v>0</v>
      </c>
    </row>
    <row r="298" spans="4:20" ht="12.75" hidden="1" outlineLevel="1" x14ac:dyDescent="0.2">
      <c r="D298" s="75">
        <f t="shared" si="130"/>
        <v>0</v>
      </c>
      <c r="E298" s="93" t="str">
        <f t="shared" si="129"/>
        <v>RFM / PTRM</v>
      </c>
      <c r="F298" s="93" t="str">
        <f t="shared" si="126"/>
        <v>Dollars</v>
      </c>
      <c r="G298" s="93" t="str">
        <f t="shared" si="127"/>
        <v>Nominal</v>
      </c>
      <c r="H298" s="50" t="str">
        <f t="shared" si="128"/>
        <v>End year</v>
      </c>
      <c r="J298" s="254"/>
      <c r="K298" s="239">
        <v>0</v>
      </c>
      <c r="L298" s="104">
        <v>0</v>
      </c>
      <c r="M298" s="104">
        <v>0</v>
      </c>
      <c r="N298" s="104">
        <v>0</v>
      </c>
      <c r="O298" s="107">
        <v>0</v>
      </c>
      <c r="P298" s="106">
        <v>0</v>
      </c>
      <c r="Q298" s="104">
        <v>0</v>
      </c>
      <c r="R298" s="104">
        <v>0</v>
      </c>
      <c r="S298" s="104">
        <v>0</v>
      </c>
      <c r="T298" s="107">
        <v>0</v>
      </c>
    </row>
    <row r="299" spans="4:20" ht="12.75" hidden="1" outlineLevel="1" x14ac:dyDescent="0.2">
      <c r="D299" s="75">
        <f t="shared" si="130"/>
        <v>0</v>
      </c>
      <c r="E299" s="93" t="str">
        <f t="shared" si="129"/>
        <v>RFM / PTRM</v>
      </c>
      <c r="F299" s="93" t="str">
        <f t="shared" si="126"/>
        <v>Dollars</v>
      </c>
      <c r="G299" s="93" t="str">
        <f t="shared" si="127"/>
        <v>Nominal</v>
      </c>
      <c r="H299" s="50" t="str">
        <f t="shared" si="128"/>
        <v>End year</v>
      </c>
      <c r="J299" s="254"/>
      <c r="K299" s="239">
        <v>0</v>
      </c>
      <c r="L299" s="104">
        <v>0</v>
      </c>
      <c r="M299" s="104">
        <v>0</v>
      </c>
      <c r="N299" s="104">
        <v>0</v>
      </c>
      <c r="O299" s="107">
        <v>0</v>
      </c>
      <c r="P299" s="106">
        <v>0</v>
      </c>
      <c r="Q299" s="104">
        <v>0</v>
      </c>
      <c r="R299" s="104">
        <v>0</v>
      </c>
      <c r="S299" s="104">
        <v>0</v>
      </c>
      <c r="T299" s="107">
        <v>0</v>
      </c>
    </row>
    <row r="300" spans="4:20" ht="12.75" hidden="1" outlineLevel="1" x14ac:dyDescent="0.2">
      <c r="D300" s="75">
        <f t="shared" si="130"/>
        <v>0</v>
      </c>
      <c r="E300" s="93" t="str">
        <f t="shared" si="129"/>
        <v>RFM / PTRM</v>
      </c>
      <c r="F300" s="93" t="str">
        <f t="shared" si="126"/>
        <v>Dollars</v>
      </c>
      <c r="G300" s="93" t="str">
        <f t="shared" si="127"/>
        <v>Nominal</v>
      </c>
      <c r="H300" s="50" t="str">
        <f t="shared" si="128"/>
        <v>End year</v>
      </c>
      <c r="J300" s="254"/>
      <c r="K300" s="239">
        <v>0</v>
      </c>
      <c r="L300" s="104">
        <v>0</v>
      </c>
      <c r="M300" s="104">
        <v>0</v>
      </c>
      <c r="N300" s="104">
        <v>0</v>
      </c>
      <c r="O300" s="107">
        <v>0</v>
      </c>
      <c r="P300" s="106">
        <v>0</v>
      </c>
      <c r="Q300" s="104">
        <v>0</v>
      </c>
      <c r="R300" s="104">
        <v>0</v>
      </c>
      <c r="S300" s="104">
        <v>0</v>
      </c>
      <c r="T300" s="107">
        <v>0</v>
      </c>
    </row>
    <row r="301" spans="4:20" ht="12.75" hidden="1" outlineLevel="1" x14ac:dyDescent="0.2">
      <c r="D301" s="75">
        <f t="shared" si="130"/>
        <v>0</v>
      </c>
      <c r="E301" s="93" t="str">
        <f t="shared" si="129"/>
        <v>RFM / PTRM</v>
      </c>
      <c r="F301" s="93" t="str">
        <f t="shared" si="126"/>
        <v>Dollars</v>
      </c>
      <c r="G301" s="93" t="str">
        <f t="shared" si="127"/>
        <v>Nominal</v>
      </c>
      <c r="H301" s="50" t="str">
        <f t="shared" si="128"/>
        <v>End year</v>
      </c>
      <c r="J301" s="254"/>
      <c r="K301" s="239">
        <v>0</v>
      </c>
      <c r="L301" s="104">
        <v>0</v>
      </c>
      <c r="M301" s="104">
        <v>0</v>
      </c>
      <c r="N301" s="104">
        <v>0</v>
      </c>
      <c r="O301" s="107">
        <v>0</v>
      </c>
      <c r="P301" s="106">
        <v>0</v>
      </c>
      <c r="Q301" s="104">
        <v>0</v>
      </c>
      <c r="R301" s="104">
        <v>0</v>
      </c>
      <c r="S301" s="104">
        <v>0</v>
      </c>
      <c r="T301" s="107">
        <v>0</v>
      </c>
    </row>
    <row r="302" spans="4:20" ht="12.75" hidden="1" outlineLevel="1" x14ac:dyDescent="0.2">
      <c r="D302" s="75">
        <f t="shared" si="130"/>
        <v>0</v>
      </c>
      <c r="E302" s="93" t="str">
        <f t="shared" si="129"/>
        <v>RFM / PTRM</v>
      </c>
      <c r="F302" s="93" t="str">
        <f t="shared" si="126"/>
        <v>Dollars</v>
      </c>
      <c r="G302" s="93" t="str">
        <f t="shared" si="127"/>
        <v>Nominal</v>
      </c>
      <c r="H302" s="50" t="str">
        <f t="shared" si="128"/>
        <v>End year</v>
      </c>
      <c r="J302" s="254"/>
      <c r="K302" s="239">
        <v>0</v>
      </c>
      <c r="L302" s="104">
        <v>0</v>
      </c>
      <c r="M302" s="104">
        <v>0</v>
      </c>
      <c r="N302" s="104">
        <v>0</v>
      </c>
      <c r="O302" s="107">
        <v>0</v>
      </c>
      <c r="P302" s="106">
        <v>0</v>
      </c>
      <c r="Q302" s="104">
        <v>0</v>
      </c>
      <c r="R302" s="104">
        <v>0</v>
      </c>
      <c r="S302" s="104">
        <v>0</v>
      </c>
      <c r="T302" s="107">
        <v>0</v>
      </c>
    </row>
    <row r="303" spans="4:20" ht="12.75" hidden="1" outlineLevel="1" x14ac:dyDescent="0.2">
      <c r="D303" s="75">
        <f t="shared" si="130"/>
        <v>0</v>
      </c>
      <c r="E303" s="93" t="str">
        <f t="shared" si="129"/>
        <v>RFM / PTRM</v>
      </c>
      <c r="F303" s="93" t="str">
        <f t="shared" si="126"/>
        <v>Dollars</v>
      </c>
      <c r="G303" s="93" t="str">
        <f t="shared" si="127"/>
        <v>Nominal</v>
      </c>
      <c r="H303" s="50" t="str">
        <f t="shared" si="128"/>
        <v>End year</v>
      </c>
      <c r="J303" s="254"/>
      <c r="K303" s="239">
        <v>0</v>
      </c>
      <c r="L303" s="104">
        <v>0</v>
      </c>
      <c r="M303" s="104">
        <v>0</v>
      </c>
      <c r="N303" s="104">
        <v>0</v>
      </c>
      <c r="O303" s="107">
        <v>0</v>
      </c>
      <c r="P303" s="106">
        <v>0</v>
      </c>
      <c r="Q303" s="104">
        <v>0</v>
      </c>
      <c r="R303" s="104">
        <v>0</v>
      </c>
      <c r="S303" s="104">
        <v>0</v>
      </c>
      <c r="T303" s="107">
        <v>0</v>
      </c>
    </row>
    <row r="304" spans="4:20" ht="12.75" collapsed="1" x14ac:dyDescent="0.2">
      <c r="D304" s="75" t="str">
        <f t="shared" si="130"/>
        <v>Buildings - capital works</v>
      </c>
      <c r="E304" s="93" t="str">
        <f t="shared" si="129"/>
        <v>RFM / PTRM</v>
      </c>
      <c r="F304" s="93" t="str">
        <f t="shared" si="126"/>
        <v>Dollars</v>
      </c>
      <c r="G304" s="93" t="str">
        <f t="shared" si="127"/>
        <v>Nominal</v>
      </c>
      <c r="H304" s="50" t="str">
        <f t="shared" si="128"/>
        <v>End year</v>
      </c>
      <c r="J304" s="254"/>
      <c r="K304" s="239">
        <v>0</v>
      </c>
      <c r="L304" s="104">
        <v>0</v>
      </c>
      <c r="M304" s="104">
        <v>0</v>
      </c>
      <c r="N304" s="104">
        <v>0</v>
      </c>
      <c r="O304" s="107">
        <v>0</v>
      </c>
      <c r="P304" s="106">
        <v>0</v>
      </c>
      <c r="Q304" s="104">
        <v>0</v>
      </c>
      <c r="R304" s="104">
        <v>0</v>
      </c>
      <c r="S304" s="104">
        <v>0</v>
      </c>
      <c r="T304" s="107">
        <v>0</v>
      </c>
    </row>
    <row r="305" spans="1:20" ht="12.75" x14ac:dyDescent="0.2">
      <c r="D305" s="75" t="str">
        <f t="shared" si="130"/>
        <v>In-house software</v>
      </c>
      <c r="E305" s="93" t="str">
        <f t="shared" si="129"/>
        <v>RFM / PTRM</v>
      </c>
      <c r="F305" s="93" t="str">
        <f t="shared" si="126"/>
        <v>Dollars</v>
      </c>
      <c r="G305" s="93" t="str">
        <f t="shared" si="127"/>
        <v>Nominal</v>
      </c>
      <c r="H305" s="50" t="str">
        <f t="shared" si="128"/>
        <v>End year</v>
      </c>
      <c r="J305" s="254"/>
      <c r="K305" s="239">
        <v>0</v>
      </c>
      <c r="L305" s="104">
        <v>0</v>
      </c>
      <c r="M305" s="104">
        <v>0</v>
      </c>
      <c r="N305" s="104">
        <v>0</v>
      </c>
      <c r="O305" s="107">
        <v>0</v>
      </c>
      <c r="P305" s="106">
        <v>0</v>
      </c>
      <c r="Q305" s="104">
        <v>0</v>
      </c>
      <c r="R305" s="104">
        <v>0</v>
      </c>
      <c r="S305" s="104">
        <v>0</v>
      </c>
      <c r="T305" s="107">
        <v>0</v>
      </c>
    </row>
    <row r="306" spans="1:20" ht="12.75" x14ac:dyDescent="0.2">
      <c r="D306" s="75" t="str">
        <f t="shared" si="130"/>
        <v>Equity raising costs</v>
      </c>
      <c r="E306" s="93" t="str">
        <f t="shared" si="129"/>
        <v>RFM / PTRM</v>
      </c>
      <c r="F306" s="93" t="str">
        <f t="shared" si="126"/>
        <v>Dollars</v>
      </c>
      <c r="G306" s="93" t="str">
        <f t="shared" si="127"/>
        <v>Nominal</v>
      </c>
      <c r="H306" s="50" t="str">
        <f t="shared" si="128"/>
        <v>End year</v>
      </c>
      <c r="J306" s="254"/>
      <c r="K306" s="239">
        <v>0</v>
      </c>
      <c r="L306" s="104">
        <v>0</v>
      </c>
      <c r="M306" s="104">
        <v>0</v>
      </c>
      <c r="N306" s="104">
        <v>0</v>
      </c>
      <c r="O306" s="107">
        <v>0</v>
      </c>
      <c r="P306" s="106">
        <v>0</v>
      </c>
      <c r="Q306" s="104">
        <v>0</v>
      </c>
      <c r="R306" s="104">
        <v>0</v>
      </c>
      <c r="S306" s="104">
        <v>0</v>
      </c>
      <c r="T306" s="107">
        <v>0</v>
      </c>
    </row>
    <row r="307" spans="1:20" x14ac:dyDescent="0.2">
      <c r="J307" s="88"/>
      <c r="K307" s="89"/>
      <c r="L307" s="89"/>
      <c r="M307" s="89"/>
      <c r="N307" s="89"/>
      <c r="O307" s="91"/>
      <c r="P307" s="88"/>
      <c r="Q307" s="89"/>
      <c r="R307" s="89"/>
      <c r="S307" s="89"/>
      <c r="T307" s="91"/>
    </row>
    <row r="308" spans="1:20" ht="12.75" x14ac:dyDescent="0.2">
      <c r="D308" s="98" t="str">
        <f>"Total "&amp;C253</f>
        <v>Total Disposals - as commissioned (including half year of WACC, where relevant)</v>
      </c>
      <c r="E308" s="99" t="s">
        <v>92</v>
      </c>
      <c r="F308" s="99" t="str">
        <f>F257</f>
        <v>Dollars</v>
      </c>
      <c r="G308" s="99" t="str">
        <f>G257</f>
        <v>Nominal</v>
      </c>
      <c r="H308" s="45" t="str">
        <f>H257</f>
        <v>End year</v>
      </c>
      <c r="J308" s="100">
        <f t="shared" ref="J308:T308" si="131">SUM(J257:J306)</f>
        <v>0</v>
      </c>
      <c r="K308" s="101">
        <f t="shared" si="131"/>
        <v>-4.3019983846726895</v>
      </c>
      <c r="L308" s="101">
        <f t="shared" si="131"/>
        <v>-2.2268537916851625</v>
      </c>
      <c r="M308" s="101">
        <f t="shared" si="131"/>
        <v>-3.9106187803706614</v>
      </c>
      <c r="N308" s="101">
        <f t="shared" si="131"/>
        <v>-4.3929485003102426</v>
      </c>
      <c r="O308" s="102">
        <f t="shared" si="131"/>
        <v>-4.4699849077400007</v>
      </c>
      <c r="P308" s="100">
        <f t="shared" si="131"/>
        <v>-4.5505577584634747</v>
      </c>
      <c r="Q308" s="101">
        <f t="shared" si="131"/>
        <v>-4.6574937667335519</v>
      </c>
      <c r="R308" s="101">
        <f t="shared" si="131"/>
        <v>-4.7669427218711773</v>
      </c>
      <c r="S308" s="101">
        <f t="shared" si="131"/>
        <v>-4.8789636769685849</v>
      </c>
      <c r="T308" s="102">
        <f t="shared" si="131"/>
        <v>-4.9936170728384308</v>
      </c>
    </row>
    <row r="309" spans="1:20" s="82" customFormat="1" ht="11.25" customHeight="1" x14ac:dyDescent="0.2">
      <c r="H309" s="6"/>
    </row>
    <row r="310" spans="1:20" s="82" customFormat="1" ht="11.25" customHeight="1" x14ac:dyDescent="0.2">
      <c r="A310" s="69">
        <f>IF(SUM($J310:$T310)&lt;&gt;0,1,0)</f>
        <v>0</v>
      </c>
      <c r="D310" s="75" t="s">
        <v>121</v>
      </c>
      <c r="H310" s="6"/>
      <c r="J310" s="108">
        <f t="shared" ref="J310:K310" si="132">IF(ISERROR(J308),1,0)</f>
        <v>0</v>
      </c>
      <c r="K310" s="103">
        <f t="shared" si="132"/>
        <v>0</v>
      </c>
      <c r="L310" s="103">
        <f>IF(ISERROR(L308),1,0)</f>
        <v>0</v>
      </c>
      <c r="M310" s="103">
        <f t="shared" ref="M310:P310" si="133">IF(ISERROR(M308),1,0)</f>
        <v>0</v>
      </c>
      <c r="N310" s="103">
        <f t="shared" si="133"/>
        <v>0</v>
      </c>
      <c r="O310" s="103">
        <f t="shared" si="133"/>
        <v>0</v>
      </c>
      <c r="P310" s="109">
        <f t="shared" si="133"/>
        <v>0</v>
      </c>
      <c r="Q310" s="103">
        <f>IF(ISERROR(Q308),1,0)</f>
        <v>0</v>
      </c>
      <c r="R310" s="103">
        <f t="shared" ref="R310:T310" si="134">IF(ISERROR(R308),1,0)</f>
        <v>0</v>
      </c>
      <c r="S310" s="103">
        <f t="shared" si="134"/>
        <v>0</v>
      </c>
      <c r="T310" s="110">
        <f t="shared" si="134"/>
        <v>0</v>
      </c>
    </row>
    <row r="311" spans="1:20" s="82" customFormat="1" ht="11.25" customHeight="1" x14ac:dyDescent="0.2">
      <c r="A311" s="69">
        <f>IF(SUM($J311:$T311)&lt;&gt;0,1,0)</f>
        <v>0</v>
      </c>
      <c r="D311" s="75" t="s">
        <v>122</v>
      </c>
      <c r="H311" s="6"/>
      <c r="J311" s="108">
        <f>IF(ROUND(J308+0,3)=0,0,1)</f>
        <v>0</v>
      </c>
      <c r="K311" s="103">
        <v>0</v>
      </c>
      <c r="L311" s="103">
        <v>0</v>
      </c>
      <c r="M311" s="103">
        <v>0</v>
      </c>
      <c r="N311" s="103">
        <v>0</v>
      </c>
      <c r="O311" s="103">
        <v>0</v>
      </c>
      <c r="P311" s="109">
        <v>0</v>
      </c>
      <c r="Q311" s="103">
        <v>0</v>
      </c>
      <c r="R311" s="103">
        <v>0</v>
      </c>
      <c r="S311" s="103">
        <v>0</v>
      </c>
      <c r="T311" s="110">
        <v>0</v>
      </c>
    </row>
    <row r="313" spans="1:20" s="83" customFormat="1" ht="15" x14ac:dyDescent="0.2">
      <c r="C313" s="83" t="s">
        <v>116</v>
      </c>
      <c r="H313" s="13"/>
    </row>
    <row r="314" spans="1:20" s="82" customFormat="1" ht="11.25" customHeight="1" x14ac:dyDescent="0.2">
      <c r="H314" s="6"/>
    </row>
    <row r="315" spans="1:20" ht="12.75" x14ac:dyDescent="0.2">
      <c r="D315" s="84" t="str">
        <f>D$16</f>
        <v>RAB Asset Class</v>
      </c>
      <c r="E315" s="85" t="str">
        <f>Lookup!E$20</f>
        <v>Source</v>
      </c>
      <c r="F315" s="85" t="str">
        <f>Lookup!F$20</f>
        <v>Unit</v>
      </c>
      <c r="G315" s="85" t="str">
        <f>Lookup!G$20</f>
        <v>Basis</v>
      </c>
      <c r="H315" s="43" t="str">
        <f>Lookup!H$20</f>
        <v>Timing</v>
      </c>
      <c r="J315" s="86" t="str">
        <f t="shared" ref="J315:T315" si="135">J$10</f>
        <v>RY18</v>
      </c>
      <c r="K315" s="85" t="str">
        <f t="shared" si="135"/>
        <v>RY19</v>
      </c>
      <c r="L315" s="85" t="str">
        <f>L$10</f>
        <v>RY20</v>
      </c>
      <c r="M315" s="85" t="str">
        <f t="shared" si="135"/>
        <v>RY21</v>
      </c>
      <c r="N315" s="85" t="str">
        <f t="shared" si="135"/>
        <v>RY22</v>
      </c>
      <c r="O315" s="87" t="str">
        <f t="shared" si="135"/>
        <v>RY23</v>
      </c>
      <c r="P315" s="86" t="str">
        <f t="shared" si="135"/>
        <v>RY24</v>
      </c>
      <c r="Q315" s="85" t="str">
        <f>Q$10</f>
        <v>RY25</v>
      </c>
      <c r="R315" s="85" t="str">
        <f t="shared" si="135"/>
        <v>RY26</v>
      </c>
      <c r="S315" s="85" t="str">
        <f t="shared" si="135"/>
        <v>RY27</v>
      </c>
      <c r="T315" s="87" t="str">
        <f t="shared" si="135"/>
        <v>RY28</v>
      </c>
    </row>
    <row r="316" spans="1:20" x14ac:dyDescent="0.2">
      <c r="J316" s="88"/>
      <c r="K316" s="89"/>
      <c r="L316" s="89"/>
      <c r="M316" s="89"/>
      <c r="N316" s="89"/>
      <c r="O316" s="91"/>
      <c r="P316" s="88"/>
      <c r="Q316" s="89"/>
      <c r="R316" s="89"/>
      <c r="S316" s="89"/>
      <c r="T316" s="91"/>
    </row>
    <row r="317" spans="1:20" ht="12.75" x14ac:dyDescent="0.2">
      <c r="D317" s="75" t="str">
        <f t="shared" ref="D317:D332" si="136">D18</f>
        <v>Transmission Lines (pre 2004-05)</v>
      </c>
      <c r="E317" s="93" t="s">
        <v>92</v>
      </c>
      <c r="F317" s="93" t="str">
        <f t="shared" ref="F317:F366" si="137">Dollars</f>
        <v>Dollars</v>
      </c>
      <c r="G317" s="93" t="str">
        <f t="shared" ref="G317:G366" si="138">Nominal</f>
        <v>Nominal</v>
      </c>
      <c r="H317" s="50" t="str">
        <f t="shared" ref="H317:H366" si="139">End_year</f>
        <v>End year</v>
      </c>
      <c r="J317" s="96">
        <f t="shared" ref="J317:T317" si="140">J18+J77+J137+J197+J257</f>
        <v>891.17032220086242</v>
      </c>
      <c r="K317" s="95">
        <f t="shared" si="140"/>
        <v>842.81009462637269</v>
      </c>
      <c r="L317" s="95">
        <f t="shared" si="140"/>
        <v>792.9156770007113</v>
      </c>
      <c r="M317" s="95">
        <f t="shared" si="140"/>
        <v>733.12933589732711</v>
      </c>
      <c r="N317" s="95">
        <f t="shared" si="140"/>
        <v>689.77274697951771</v>
      </c>
      <c r="O317" s="97">
        <f t="shared" si="140"/>
        <v>635.92588445121396</v>
      </c>
      <c r="P317" s="96">
        <f t="shared" si="140"/>
        <v>579.6041262639086</v>
      </c>
      <c r="Q317" s="95">
        <f t="shared" si="140"/>
        <v>520.28412111829243</v>
      </c>
      <c r="R317" s="95">
        <f t="shared" si="140"/>
        <v>457.8560566432734</v>
      </c>
      <c r="S317" s="95">
        <f t="shared" si="140"/>
        <v>392.20661510450714</v>
      </c>
      <c r="T317" s="97">
        <f t="shared" si="140"/>
        <v>323.21886929705914</v>
      </c>
    </row>
    <row r="318" spans="1:20" ht="12.75" x14ac:dyDescent="0.2">
      <c r="D318" s="75" t="str">
        <f t="shared" si="136"/>
        <v>Underground Cables (pre 2004-05)</v>
      </c>
      <c r="E318" s="93" t="s">
        <v>92</v>
      </c>
      <c r="F318" s="93" t="str">
        <f t="shared" si="137"/>
        <v>Dollars</v>
      </c>
      <c r="G318" s="93" t="str">
        <f t="shared" si="138"/>
        <v>Nominal</v>
      </c>
      <c r="H318" s="50" t="str">
        <f t="shared" si="139"/>
        <v>End year</v>
      </c>
      <c r="J318" s="96">
        <f t="shared" ref="J318:T318" si="141">J19+J78+J138+J198+J258</f>
        <v>189.16769425732397</v>
      </c>
      <c r="K318" s="95">
        <f t="shared" si="141"/>
        <v>185.21350850104</v>
      </c>
      <c r="L318" s="95">
        <f t="shared" si="141"/>
        <v>181.16241793063364</v>
      </c>
      <c r="M318" s="95">
        <f t="shared" si="141"/>
        <v>175.12424744227732</v>
      </c>
      <c r="N318" s="95">
        <f t="shared" si="141"/>
        <v>173.15317742805047</v>
      </c>
      <c r="O318" s="97">
        <f t="shared" si="141"/>
        <v>169.13748110225745</v>
      </c>
      <c r="P318" s="96">
        <f t="shared" si="141"/>
        <v>164.98594819308943</v>
      </c>
      <c r="Q318" s="95">
        <f t="shared" si="141"/>
        <v>160.54589456008355</v>
      </c>
      <c r="R318" s="95">
        <f t="shared" si="141"/>
        <v>155.80605258943891</v>
      </c>
      <c r="S318" s="95">
        <f t="shared" si="141"/>
        <v>150.7547844292155</v>
      </c>
      <c r="T318" s="97">
        <f t="shared" si="141"/>
        <v>145.38007081077885</v>
      </c>
    </row>
    <row r="319" spans="1:20" ht="12.75" x14ac:dyDescent="0.2">
      <c r="D319" s="75" t="str">
        <f t="shared" si="136"/>
        <v>Substations including Buildings (pre 2004-05)</v>
      </c>
      <c r="E319" s="93" t="s">
        <v>92</v>
      </c>
      <c r="F319" s="93" t="str">
        <f t="shared" si="137"/>
        <v>Dollars</v>
      </c>
      <c r="G319" s="93" t="str">
        <f t="shared" si="138"/>
        <v>Nominal</v>
      </c>
      <c r="H319" s="50" t="str">
        <f t="shared" si="139"/>
        <v>End year</v>
      </c>
      <c r="J319" s="96">
        <f t="shared" ref="J319:T319" si="142">J20+J79+J139+J199+J259</f>
        <v>557.99654605703927</v>
      </c>
      <c r="K319" s="95">
        <f t="shared" si="142"/>
        <v>522.36877860463824</v>
      </c>
      <c r="L319" s="95">
        <f t="shared" si="142"/>
        <v>485.58656725181783</v>
      </c>
      <c r="M319" s="95">
        <f t="shared" si="142"/>
        <v>442.51517197225166</v>
      </c>
      <c r="N319" s="95">
        <f t="shared" si="142"/>
        <v>409.24000473314067</v>
      </c>
      <c r="O319" s="97">
        <f t="shared" si="142"/>
        <v>369.24214492576039</v>
      </c>
      <c r="P319" s="96">
        <f t="shared" si="142"/>
        <v>327.36141718233949</v>
      </c>
      <c r="Q319" s="95">
        <f t="shared" si="142"/>
        <v>283.30842790246669</v>
      </c>
      <c r="R319" s="95">
        <f t="shared" si="142"/>
        <v>237.00421052188028</v>
      </c>
      <c r="S319" s="95">
        <f t="shared" si="142"/>
        <v>188.36728670498837</v>
      </c>
      <c r="T319" s="97">
        <f t="shared" si="142"/>
        <v>137.31359190150667</v>
      </c>
    </row>
    <row r="320" spans="1:20" ht="12.75" x14ac:dyDescent="0.2">
      <c r="D320" s="75" t="str">
        <f t="shared" si="136"/>
        <v>Transmission Lines (2004-09)</v>
      </c>
      <c r="E320" s="93" t="s">
        <v>92</v>
      </c>
      <c r="F320" s="93" t="str">
        <f t="shared" si="137"/>
        <v>Dollars</v>
      </c>
      <c r="G320" s="93" t="str">
        <f t="shared" si="138"/>
        <v>Nominal</v>
      </c>
      <c r="H320" s="50" t="str">
        <f t="shared" si="139"/>
        <v>End year</v>
      </c>
      <c r="J320" s="96">
        <f t="shared" ref="J320:T320" si="143">J21+J80+J140+J200+J260</f>
        <v>202.03449566544833</v>
      </c>
      <c r="K320" s="95">
        <f t="shared" si="143"/>
        <v>200.5030002248736</v>
      </c>
      <c r="L320" s="95">
        <f t="shared" si="143"/>
        <v>198.96557042837961</v>
      </c>
      <c r="M320" s="95">
        <f t="shared" si="143"/>
        <v>195.35395484397876</v>
      </c>
      <c r="N320" s="95">
        <f t="shared" si="143"/>
        <v>196.33325798769681</v>
      </c>
      <c r="O320" s="97">
        <f t="shared" si="143"/>
        <v>195.20654064107561</v>
      </c>
      <c r="P320" s="96">
        <f t="shared" si="143"/>
        <v>194.09966667087764</v>
      </c>
      <c r="Q320" s="95">
        <f t="shared" si="143"/>
        <v>192.8329720651677</v>
      </c>
      <c r="R320" s="95">
        <f t="shared" si="143"/>
        <v>191.3995566486723</v>
      </c>
      <c r="S320" s="95">
        <f t="shared" si="143"/>
        <v>189.79228420172703</v>
      </c>
      <c r="T320" s="97">
        <f t="shared" si="143"/>
        <v>188.00377517687997</v>
      </c>
    </row>
    <row r="321" spans="4:20" ht="12.75" x14ac:dyDescent="0.2">
      <c r="D321" s="75" t="str">
        <f t="shared" si="136"/>
        <v>Underground Cables (2004-09)</v>
      </c>
      <c r="E321" s="93" t="s">
        <v>92</v>
      </c>
      <c r="F321" s="93" t="str">
        <f t="shared" si="137"/>
        <v>Dollars</v>
      </c>
      <c r="G321" s="93" t="str">
        <f t="shared" si="138"/>
        <v>Nominal</v>
      </c>
      <c r="H321" s="50" t="str">
        <f t="shared" si="139"/>
        <v>End year</v>
      </c>
      <c r="J321" s="96">
        <f t="shared" ref="J321:T321" si="144">J22+J81+J141+J201+J261</f>
        <v>8.4882047065247495</v>
      </c>
      <c r="K321" s="95">
        <f t="shared" si="144"/>
        <v>8.3727302779542061</v>
      </c>
      <c r="L321" s="95">
        <f t="shared" si="144"/>
        <v>8.2551532348718339</v>
      </c>
      <c r="M321" s="95">
        <f t="shared" si="144"/>
        <v>8.0495193096758495</v>
      </c>
      <c r="N321" s="95">
        <f t="shared" si="144"/>
        <v>8.0320710977855185</v>
      </c>
      <c r="O321" s="97">
        <f t="shared" si="144"/>
        <v>7.9246657363736164</v>
      </c>
      <c r="P321" s="96">
        <f t="shared" si="144"/>
        <v>7.8149639718940831</v>
      </c>
      <c r="Q321" s="95">
        <f t="shared" si="144"/>
        <v>7.6957301008403203</v>
      </c>
      <c r="R321" s="95">
        <f t="shared" si="144"/>
        <v>7.5665767034183027</v>
      </c>
      <c r="S321" s="95">
        <f t="shared" si="144"/>
        <v>7.4271034153602997</v>
      </c>
      <c r="T321" s="97">
        <f t="shared" si="144"/>
        <v>7.2768965334907376</v>
      </c>
    </row>
    <row r="322" spans="4:20" ht="12.75" x14ac:dyDescent="0.2">
      <c r="D322" s="75" t="str">
        <f t="shared" si="136"/>
        <v>Substations including Buildings (2004-09)</v>
      </c>
      <c r="E322" s="93" t="s">
        <v>92</v>
      </c>
      <c r="F322" s="93" t="str">
        <f t="shared" si="137"/>
        <v>Dollars</v>
      </c>
      <c r="G322" s="93" t="str">
        <f t="shared" si="138"/>
        <v>Nominal</v>
      </c>
      <c r="H322" s="50" t="str">
        <f t="shared" si="139"/>
        <v>End year</v>
      </c>
      <c r="J322" s="96">
        <f t="shared" ref="J322:T322" si="145">J23+J82+J142+J202+J262</f>
        <v>913.54443105262123</v>
      </c>
      <c r="K322" s="95">
        <f t="shared" si="145"/>
        <v>898.58024459222747</v>
      </c>
      <c r="L322" s="95">
        <f t="shared" si="145"/>
        <v>883.2978353242363</v>
      </c>
      <c r="M322" s="95">
        <f t="shared" si="145"/>
        <v>858.49301278924042</v>
      </c>
      <c r="N322" s="95">
        <f t="shared" si="145"/>
        <v>853.70879846865819</v>
      </c>
      <c r="O322" s="97">
        <f t="shared" si="145"/>
        <v>839.16973898779281</v>
      </c>
      <c r="P322" s="96">
        <f t="shared" si="145"/>
        <v>824.22810834559095</v>
      </c>
      <c r="Q322" s="95">
        <f t="shared" si="145"/>
        <v>808.12082155213739</v>
      </c>
      <c r="R322" s="95">
        <f t="shared" si="145"/>
        <v>790.80134503528984</v>
      </c>
      <c r="S322" s="95">
        <f t="shared" si="145"/>
        <v>772.22160189628289</v>
      </c>
      <c r="T322" s="97">
        <f t="shared" si="145"/>
        <v>752.33192507195758</v>
      </c>
    </row>
    <row r="323" spans="4:20" ht="12.75" x14ac:dyDescent="0.2">
      <c r="D323" s="75" t="str">
        <f t="shared" si="136"/>
        <v>SCADA and Communications (2004-09)</v>
      </c>
      <c r="E323" s="93" t="s">
        <v>92</v>
      </c>
      <c r="F323" s="93" t="str">
        <f t="shared" si="137"/>
        <v>Dollars</v>
      </c>
      <c r="G323" s="93" t="str">
        <f t="shared" si="138"/>
        <v>Nominal</v>
      </c>
      <c r="H323" s="50" t="str">
        <f t="shared" si="139"/>
        <v>End year</v>
      </c>
      <c r="J323" s="96">
        <f t="shared" ref="J323:T323" si="146">J24+J83+J143+J203+J263</f>
        <v>35.771124521832959</v>
      </c>
      <c r="K323" s="95">
        <f t="shared" si="146"/>
        <v>28.780529604957913</v>
      </c>
      <c r="L323" s="95">
        <f t="shared" si="146"/>
        <v>21.545330466647478</v>
      </c>
      <c r="M323" s="95">
        <f t="shared" si="146"/>
        <v>13.82293194504169</v>
      </c>
      <c r="N323" s="95">
        <f t="shared" si="146"/>
        <v>6.296309306201433</v>
      </c>
      <c r="O323" s="97">
        <f t="shared" si="146"/>
        <v>2.7147101938227891E-2</v>
      </c>
      <c r="P323" s="96">
        <f t="shared" si="146"/>
        <v>0</v>
      </c>
      <c r="Q323" s="95">
        <f t="shared" si="146"/>
        <v>0</v>
      </c>
      <c r="R323" s="95">
        <f t="shared" si="146"/>
        <v>0</v>
      </c>
      <c r="S323" s="95">
        <f t="shared" si="146"/>
        <v>0</v>
      </c>
      <c r="T323" s="97">
        <f t="shared" si="146"/>
        <v>0</v>
      </c>
    </row>
    <row r="324" spans="4:20" ht="12.75" x14ac:dyDescent="0.2">
      <c r="D324" s="75" t="str">
        <f t="shared" si="136"/>
        <v>Transmission Lines &amp; Cables (09-14)</v>
      </c>
      <c r="E324" s="93" t="s">
        <v>92</v>
      </c>
      <c r="F324" s="93" t="str">
        <f t="shared" si="137"/>
        <v>Dollars</v>
      </c>
      <c r="G324" s="93" t="str">
        <f t="shared" si="138"/>
        <v>Nominal</v>
      </c>
      <c r="H324" s="50" t="str">
        <f t="shared" si="139"/>
        <v>End year</v>
      </c>
      <c r="J324" s="96">
        <f t="shared" ref="J324:T324" si="147">J25+J84+J144+J204+J264</f>
        <v>470.62885503768769</v>
      </c>
      <c r="K324" s="95">
        <f t="shared" si="147"/>
        <v>461.93728510914724</v>
      </c>
      <c r="L324" s="95">
        <f t="shared" si="147"/>
        <v>459.6474287777317</v>
      </c>
      <c r="M324" s="95">
        <f t="shared" si="147"/>
        <v>452.61269543265752</v>
      </c>
      <c r="N324" s="95">
        <f t="shared" si="147"/>
        <v>456.23763527556855</v>
      </c>
      <c r="O324" s="97">
        <f t="shared" si="147"/>
        <v>455.05774769596235</v>
      </c>
      <c r="P324" s="96">
        <f t="shared" si="147"/>
        <v>453.99682245218713</v>
      </c>
      <c r="Q324" s="95">
        <f t="shared" si="147"/>
        <v>452.6347389250426</v>
      </c>
      <c r="R324" s="95">
        <f t="shared" si="147"/>
        <v>450.95792882600881</v>
      </c>
      <c r="S324" s="95">
        <f t="shared" si="147"/>
        <v>448.95235247765555</v>
      </c>
      <c r="T324" s="97">
        <f t="shared" si="147"/>
        <v>446.603484151592</v>
      </c>
    </row>
    <row r="325" spans="4:20" ht="12.75" x14ac:dyDescent="0.2">
      <c r="D325" s="75" t="str">
        <f t="shared" si="136"/>
        <v>Substations (09-14)</v>
      </c>
      <c r="E325" s="93" t="s">
        <v>92</v>
      </c>
      <c r="F325" s="93" t="str">
        <f t="shared" si="137"/>
        <v>Dollars</v>
      </c>
      <c r="G325" s="93" t="str">
        <f t="shared" si="138"/>
        <v>Nominal</v>
      </c>
      <c r="H325" s="50" t="str">
        <f t="shared" si="139"/>
        <v>End year</v>
      </c>
      <c r="J325" s="96">
        <f t="shared" ref="J325:T325" si="148">J26+J85+J145+J205+J265</f>
        <v>1019.9503639721264</v>
      </c>
      <c r="K325" s="95">
        <f t="shared" si="148"/>
        <v>965.79212034394232</v>
      </c>
      <c r="L325" s="95">
        <f t="shared" si="148"/>
        <v>953.91034425122984</v>
      </c>
      <c r="M325" s="95">
        <f t="shared" si="148"/>
        <v>931.91662825016408</v>
      </c>
      <c r="N325" s="95">
        <f t="shared" si="148"/>
        <v>931.74106952199202</v>
      </c>
      <c r="O325" s="97">
        <f t="shared" si="148"/>
        <v>921.25235184267967</v>
      </c>
      <c r="P325" s="96">
        <f t="shared" si="148"/>
        <v>910.59719426990557</v>
      </c>
      <c r="Q325" s="95">
        <f t="shared" si="148"/>
        <v>898.93251248224033</v>
      </c>
      <c r="R325" s="95">
        <f t="shared" si="148"/>
        <v>886.21674385268796</v>
      </c>
      <c r="S325" s="95">
        <f t="shared" si="148"/>
        <v>872.40692983698887</v>
      </c>
      <c r="T325" s="97">
        <f t="shared" si="148"/>
        <v>857.45867331885529</v>
      </c>
    </row>
    <row r="326" spans="4:20" ht="12.75" x14ac:dyDescent="0.2">
      <c r="D326" s="75" t="str">
        <f t="shared" si="136"/>
        <v>Secondary Systems (09-14)</v>
      </c>
      <c r="E326" s="93" t="s">
        <v>92</v>
      </c>
      <c r="F326" s="93" t="str">
        <f t="shared" si="137"/>
        <v>Dollars</v>
      </c>
      <c r="G326" s="93" t="str">
        <f t="shared" si="138"/>
        <v>Nominal</v>
      </c>
      <c r="H326" s="50" t="str">
        <f t="shared" si="139"/>
        <v>End year</v>
      </c>
      <c r="J326" s="96">
        <f t="shared" ref="J326:T326" si="149">J27+J86+J146+J206+J266</f>
        <v>73.360345208067088</v>
      </c>
      <c r="K326" s="95">
        <f t="shared" si="149"/>
        <v>69.485462543281926</v>
      </c>
      <c r="L326" s="95">
        <f t="shared" si="149"/>
        <v>68.278936517893655</v>
      </c>
      <c r="M326" s="95">
        <f t="shared" si="149"/>
        <v>66.335391819392072</v>
      </c>
      <c r="N326" s="95">
        <f t="shared" si="149"/>
        <v>65.938366291015768</v>
      </c>
      <c r="O326" s="97">
        <f t="shared" si="149"/>
        <v>64.786083682775612</v>
      </c>
      <c r="P326" s="96">
        <f t="shared" si="149"/>
        <v>63.601218959444246</v>
      </c>
      <c r="Q326" s="95">
        <f t="shared" si="149"/>
        <v>62.3248899770375</v>
      </c>
      <c r="R326" s="95">
        <f t="shared" si="149"/>
        <v>60.953452315614975</v>
      </c>
      <c r="S326" s="95">
        <f t="shared" si="149"/>
        <v>59.48314078001539</v>
      </c>
      <c r="T326" s="97">
        <f t="shared" si="149"/>
        <v>57.910065736084526</v>
      </c>
    </row>
    <row r="327" spans="4:20" ht="12.75" x14ac:dyDescent="0.2">
      <c r="D327" s="75" t="str">
        <f t="shared" si="136"/>
        <v>Communications (09-14)</v>
      </c>
      <c r="E327" s="93" t="s">
        <v>92</v>
      </c>
      <c r="F327" s="93" t="str">
        <f t="shared" si="137"/>
        <v>Dollars</v>
      </c>
      <c r="G327" s="93" t="str">
        <f t="shared" si="138"/>
        <v>Nominal</v>
      </c>
      <c r="H327" s="50" t="str">
        <f t="shared" si="139"/>
        <v>End year</v>
      </c>
      <c r="J327" s="96">
        <f t="shared" ref="J327:T327" si="150">J28+J87+J147+J207+J267</f>
        <v>104.92116400520443</v>
      </c>
      <c r="K327" s="95">
        <f t="shared" si="150"/>
        <v>93.596610285800338</v>
      </c>
      <c r="L327" s="95">
        <f t="shared" si="150"/>
        <v>91.956756624360395</v>
      </c>
      <c r="M327" s="95">
        <f t="shared" si="150"/>
        <v>89.323745868629203</v>
      </c>
      <c r="N327" s="95">
        <f t="shared" si="150"/>
        <v>88.77292093610609</v>
      </c>
      <c r="O327" s="97">
        <f t="shared" si="150"/>
        <v>87.204214967034176</v>
      </c>
      <c r="P327" s="96">
        <f t="shared" si="150"/>
        <v>85.590760983865124</v>
      </c>
      <c r="Q327" s="95">
        <f t="shared" si="150"/>
        <v>83.853319514818239</v>
      </c>
      <c r="R327" s="95">
        <f t="shared" si="150"/>
        <v>81.986954257424742</v>
      </c>
      <c r="S327" s="95">
        <f t="shared" si="150"/>
        <v>79.986565376954857</v>
      </c>
      <c r="T327" s="97">
        <f t="shared" si="150"/>
        <v>77.84688454651841</v>
      </c>
    </row>
    <row r="328" spans="4:20" ht="12.75" x14ac:dyDescent="0.2">
      <c r="D328" s="75" t="str">
        <f t="shared" si="136"/>
        <v>Minor Plant, Motor Vehicles &amp; Mobile Plant (2009-14)</v>
      </c>
      <c r="E328" s="93" t="s">
        <v>92</v>
      </c>
      <c r="F328" s="93" t="str">
        <f t="shared" si="137"/>
        <v>Dollars</v>
      </c>
      <c r="G328" s="93" t="str">
        <f t="shared" si="138"/>
        <v>Nominal</v>
      </c>
      <c r="H328" s="50" t="str">
        <f t="shared" si="139"/>
        <v>End year</v>
      </c>
      <c r="J328" s="96">
        <f t="shared" ref="J328:T328" si="151">J29+J88+J148+J208+J268</f>
        <v>11.434528827114214</v>
      </c>
      <c r="K328" s="95">
        <f t="shared" si="151"/>
        <v>6.269128547140487</v>
      </c>
      <c r="L328" s="95">
        <f t="shared" si="151"/>
        <v>0.91930841465540336</v>
      </c>
      <c r="M328" s="95">
        <f t="shared" si="151"/>
        <v>-2.0221760507204922E-2</v>
      </c>
      <c r="N328" s="95">
        <f t="shared" si="151"/>
        <v>-2.0878967723689083E-2</v>
      </c>
      <c r="O328" s="97">
        <f t="shared" si="151"/>
        <v>-2.1348744497472087E-2</v>
      </c>
      <c r="P328" s="96">
        <f t="shared" si="151"/>
        <v>0</v>
      </c>
      <c r="Q328" s="95">
        <f t="shared" si="151"/>
        <v>0</v>
      </c>
      <c r="R328" s="95">
        <f t="shared" si="151"/>
        <v>0</v>
      </c>
      <c r="S328" s="95">
        <f t="shared" si="151"/>
        <v>0</v>
      </c>
      <c r="T328" s="97">
        <f t="shared" si="151"/>
        <v>0</v>
      </c>
    </row>
    <row r="329" spans="4:20" ht="12.75" x14ac:dyDescent="0.2">
      <c r="D329" s="75" t="str">
        <f t="shared" si="136"/>
        <v>Transmission Lines (2014-18)</v>
      </c>
      <c r="E329" s="93" t="s">
        <v>92</v>
      </c>
      <c r="F329" s="93" t="str">
        <f t="shared" si="137"/>
        <v>Dollars</v>
      </c>
      <c r="G329" s="93" t="str">
        <f t="shared" si="138"/>
        <v>Nominal</v>
      </c>
      <c r="H329" s="50" t="str">
        <f t="shared" si="139"/>
        <v>End year</v>
      </c>
      <c r="J329" s="96">
        <f t="shared" ref="J329:T329" si="152">J30+J89+J149+J209+J269</f>
        <v>177.39473894999276</v>
      </c>
      <c r="K329" s="95">
        <f t="shared" si="152"/>
        <v>176.91523001603079</v>
      </c>
      <c r="L329" s="95">
        <f t="shared" si="152"/>
        <v>176.46187090805216</v>
      </c>
      <c r="M329" s="95">
        <f t="shared" si="152"/>
        <v>174.20273560272793</v>
      </c>
      <c r="N329" s="95">
        <f t="shared" si="152"/>
        <v>176.05407379180377</v>
      </c>
      <c r="O329" s="97">
        <f t="shared" si="152"/>
        <v>176.08120658577116</v>
      </c>
      <c r="P329" s="96">
        <f t="shared" si="152"/>
        <v>82.415189055635253</v>
      </c>
      <c r="Q329" s="95">
        <f t="shared" si="152"/>
        <v>82.397513653934766</v>
      </c>
      <c r="R329" s="95">
        <f t="shared" si="152"/>
        <v>82.333495523238355</v>
      </c>
      <c r="S329" s="95">
        <f t="shared" si="152"/>
        <v>82.220966358894003</v>
      </c>
      <c r="T329" s="97">
        <f t="shared" si="152"/>
        <v>82.057681539698791</v>
      </c>
    </row>
    <row r="330" spans="4:20" ht="12.75" x14ac:dyDescent="0.2">
      <c r="D330" s="75" t="str">
        <f t="shared" si="136"/>
        <v>Underground Cables (2014-18)</v>
      </c>
      <c r="E330" s="93" t="s">
        <v>92</v>
      </c>
      <c r="F330" s="93" t="str">
        <f t="shared" si="137"/>
        <v>Dollars</v>
      </c>
      <c r="G330" s="93" t="str">
        <f t="shared" si="138"/>
        <v>Nominal</v>
      </c>
      <c r="H330" s="50" t="str">
        <f t="shared" si="139"/>
        <v>End year</v>
      </c>
      <c r="J330" s="96">
        <f t="shared" ref="J330:T330" si="153">J31+J90+J150+J210+J270</f>
        <v>3.2165456685124867</v>
      </c>
      <c r="K330" s="95">
        <f t="shared" si="153"/>
        <v>3.1978394091043154</v>
      </c>
      <c r="L330" s="95">
        <f t="shared" si="153"/>
        <v>3.1792444152545114</v>
      </c>
      <c r="M330" s="95">
        <f t="shared" si="153"/>
        <v>3.1277281108927402</v>
      </c>
      <c r="N330" s="95">
        <f t="shared" si="153"/>
        <v>3.1498240645716433</v>
      </c>
      <c r="O330" s="97">
        <f t="shared" si="153"/>
        <v>3.1385543517768282</v>
      </c>
      <c r="P330" s="96">
        <f t="shared" si="153"/>
        <v>3.1426871011230992</v>
      </c>
      <c r="Q330" s="95">
        <f t="shared" si="153"/>
        <v>3.1298084301407627</v>
      </c>
      <c r="R330" s="95">
        <f t="shared" si="153"/>
        <v>3.1145889926842516</v>
      </c>
      <c r="S330" s="95">
        <f t="shared" si="153"/>
        <v>3.0969258868555931</v>
      </c>
      <c r="T330" s="97">
        <f t="shared" si="153"/>
        <v>3.0767126671000811</v>
      </c>
    </row>
    <row r="331" spans="4:20" ht="12.75" x14ac:dyDescent="0.2">
      <c r="D331" s="75" t="str">
        <f t="shared" si="136"/>
        <v>Substations (2014-18)</v>
      </c>
      <c r="E331" s="93" t="s">
        <v>92</v>
      </c>
      <c r="F331" s="93" t="str">
        <f t="shared" si="137"/>
        <v>Dollars</v>
      </c>
      <c r="G331" s="93" t="str">
        <f t="shared" si="138"/>
        <v>Nominal</v>
      </c>
      <c r="H331" s="50" t="str">
        <f t="shared" si="139"/>
        <v>End year</v>
      </c>
      <c r="J331" s="96">
        <f t="shared" ref="J331:T331" si="154">J32+J91+J151+J211+J271</f>
        <v>489.44463881066878</v>
      </c>
      <c r="K331" s="95">
        <f t="shared" si="154"/>
        <v>485.1414361455374</v>
      </c>
      <c r="L331" s="95">
        <f t="shared" si="154"/>
        <v>480.80236188072416</v>
      </c>
      <c r="M331" s="95">
        <f t="shared" si="154"/>
        <v>471.42782070429365</v>
      </c>
      <c r="N331" s="95">
        <f t="shared" si="154"/>
        <v>473.1206852754961</v>
      </c>
      <c r="O331" s="97">
        <f t="shared" si="154"/>
        <v>469.6944335554528</v>
      </c>
      <c r="P331" s="96">
        <f t="shared" si="154"/>
        <v>480.2263445440642</v>
      </c>
      <c r="Q331" s="95">
        <f t="shared" si="154"/>
        <v>476.30000773256631</v>
      </c>
      <c r="R331" s="95">
        <f t="shared" si="154"/>
        <v>471.92394212553302</v>
      </c>
      <c r="S331" s="95">
        <f t="shared" si="154"/>
        <v>467.07917911885301</v>
      </c>
      <c r="T331" s="97">
        <f t="shared" si="154"/>
        <v>461.7461069544986</v>
      </c>
    </row>
    <row r="332" spans="4:20" ht="12.75" x14ac:dyDescent="0.2">
      <c r="D332" s="75" t="str">
        <f t="shared" si="136"/>
        <v>Secondary Systems (2014-18)</v>
      </c>
      <c r="E332" s="93" t="s">
        <v>92</v>
      </c>
      <c r="F332" s="93" t="str">
        <f t="shared" si="137"/>
        <v>Dollars</v>
      </c>
      <c r="G332" s="93" t="str">
        <f t="shared" si="138"/>
        <v>Nominal</v>
      </c>
      <c r="H332" s="50" t="str">
        <f t="shared" si="139"/>
        <v>End year</v>
      </c>
      <c r="J332" s="96">
        <f t="shared" ref="J332:T332" si="155">J33+J92+J152+J212+J272</f>
        <v>117.37963227814103</v>
      </c>
      <c r="K332" s="95">
        <f t="shared" si="155"/>
        <v>110.70153280664763</v>
      </c>
      <c r="L332" s="95">
        <f t="shared" si="155"/>
        <v>103.81018143735214</v>
      </c>
      <c r="M332" s="95">
        <f t="shared" si="155"/>
        <v>95.610419803823774</v>
      </c>
      <c r="N332" s="95">
        <f t="shared" si="155"/>
        <v>89.546367570147922</v>
      </c>
      <c r="O332" s="97">
        <f t="shared" si="155"/>
        <v>82.091699759663868</v>
      </c>
      <c r="P332" s="96">
        <f t="shared" si="155"/>
        <v>49.111564411830955</v>
      </c>
      <c r="Q332" s="95">
        <f t="shared" si="155"/>
        <v>43.16877809532771</v>
      </c>
      <c r="R332" s="95">
        <f t="shared" si="155"/>
        <v>36.919565507729772</v>
      </c>
      <c r="S332" s="95">
        <f t="shared" si="155"/>
        <v>30.352806671894299</v>
      </c>
      <c r="T332" s="97">
        <f t="shared" si="155"/>
        <v>23.457028199276429</v>
      </c>
    </row>
    <row r="333" spans="4:20" ht="12.75" x14ac:dyDescent="0.2">
      <c r="D333" s="75" t="str">
        <f t="shared" ref="D333:D366" si="156">D34</f>
        <v>Communications (short life) (2014-18)</v>
      </c>
      <c r="E333" s="93" t="s">
        <v>92</v>
      </c>
      <c r="F333" s="93" t="str">
        <f t="shared" si="137"/>
        <v>Dollars</v>
      </c>
      <c r="G333" s="93" t="str">
        <f t="shared" si="138"/>
        <v>Nominal</v>
      </c>
      <c r="H333" s="50" t="str">
        <f t="shared" si="139"/>
        <v>End year</v>
      </c>
      <c r="J333" s="96">
        <f t="shared" ref="J333:T333" si="157">J34+J93+J153+J213+J273</f>
        <v>48.311848994007228</v>
      </c>
      <c r="K333" s="95">
        <f t="shared" si="157"/>
        <v>43.759248693037939</v>
      </c>
      <c r="L333" s="95">
        <f t="shared" si="157"/>
        <v>39.053489335678528</v>
      </c>
      <c r="M333" s="95">
        <f t="shared" si="157"/>
        <v>33.777001477818899</v>
      </c>
      <c r="N333" s="95">
        <f t="shared" si="157"/>
        <v>29.213876617712675</v>
      </c>
      <c r="O333" s="97">
        <f t="shared" si="157"/>
        <v>24.026332917711471</v>
      </c>
      <c r="P333" s="96">
        <f t="shared" si="157"/>
        <v>-9.3897678406271616</v>
      </c>
      <c r="Q333" s="95">
        <f t="shared" si="157"/>
        <v>-8.5822107115595756</v>
      </c>
      <c r="R333" s="95">
        <f t="shared" si="157"/>
        <v>-7.73151384671299</v>
      </c>
      <c r="S333" s="95">
        <f t="shared" si="157"/>
        <v>-6.8360956742212267</v>
      </c>
      <c r="T333" s="97">
        <f t="shared" si="157"/>
        <v>-8.8817841970012523E-16</v>
      </c>
    </row>
    <row r="334" spans="4:20" ht="12.75" x14ac:dyDescent="0.2">
      <c r="D334" s="75" t="str">
        <f t="shared" si="156"/>
        <v>Business IT (2014-18)</v>
      </c>
      <c r="E334" s="93" t="s">
        <v>92</v>
      </c>
      <c r="F334" s="93" t="str">
        <f t="shared" si="137"/>
        <v>Dollars</v>
      </c>
      <c r="G334" s="93" t="str">
        <f t="shared" si="138"/>
        <v>Nominal</v>
      </c>
      <c r="H334" s="50" t="str">
        <f t="shared" si="139"/>
        <v>End year</v>
      </c>
      <c r="J334" s="96">
        <f t="shared" ref="J334:T334" si="158">J35+J94+J154+J214+J274</f>
        <v>32.1927238916428</v>
      </c>
      <c r="K334" s="95">
        <f t="shared" si="158"/>
        <v>22.320524816341294</v>
      </c>
      <c r="L334" s="95">
        <f t="shared" si="158"/>
        <v>12.098396457087697</v>
      </c>
      <c r="M334" s="95">
        <f t="shared" si="158"/>
        <v>1.3738797011495727</v>
      </c>
      <c r="N334" s="95">
        <f t="shared" si="158"/>
        <v>-0.11588305640992824</v>
      </c>
      <c r="O334" s="97">
        <f t="shared" si="158"/>
        <v>-0.11849042517915162</v>
      </c>
      <c r="P334" s="96">
        <f t="shared" si="158"/>
        <v>0</v>
      </c>
      <c r="Q334" s="95">
        <f t="shared" si="158"/>
        <v>0</v>
      </c>
      <c r="R334" s="95">
        <f t="shared" si="158"/>
        <v>0</v>
      </c>
      <c r="S334" s="95">
        <f t="shared" si="158"/>
        <v>0</v>
      </c>
      <c r="T334" s="97">
        <f t="shared" si="158"/>
        <v>0</v>
      </c>
    </row>
    <row r="335" spans="4:20" ht="12.75" x14ac:dyDescent="0.2">
      <c r="D335" s="75" t="str">
        <f t="shared" si="156"/>
        <v>Minor Plant, Motor Vehicles &amp; Mobile Plant (2014-18)</v>
      </c>
      <c r="E335" s="93" t="s">
        <v>92</v>
      </c>
      <c r="F335" s="93" t="str">
        <f t="shared" si="137"/>
        <v>Dollars</v>
      </c>
      <c r="G335" s="93" t="str">
        <f t="shared" si="138"/>
        <v>Nominal</v>
      </c>
      <c r="H335" s="50" t="str">
        <f t="shared" si="139"/>
        <v>End year</v>
      </c>
      <c r="J335" s="96">
        <f t="shared" ref="J335:T335" si="159">J36+J95+J155+J215+J275</f>
        <v>24.077143855692729</v>
      </c>
      <c r="K335" s="95">
        <f t="shared" si="159"/>
        <v>20.867512388520197</v>
      </c>
      <c r="L335" s="95">
        <f t="shared" si="159"/>
        <v>17.547452421491403</v>
      </c>
      <c r="M335" s="95">
        <f t="shared" si="159"/>
        <v>13.926164514811614</v>
      </c>
      <c r="N335" s="95">
        <f t="shared" si="159"/>
        <v>10.574002332605671</v>
      </c>
      <c r="O335" s="97">
        <f t="shared" si="159"/>
        <v>6.883500073961514</v>
      </c>
      <c r="P335" s="96">
        <f t="shared" si="159"/>
        <v>1.4664386168135719</v>
      </c>
      <c r="Q335" s="95">
        <f t="shared" si="159"/>
        <v>-0.78991630221078202</v>
      </c>
      <c r="R335" s="95">
        <f t="shared" si="159"/>
        <v>8.8817841970012523E-16</v>
      </c>
      <c r="S335" s="95">
        <f t="shared" si="159"/>
        <v>9.0905020286949773E-16</v>
      </c>
      <c r="T335" s="97">
        <f t="shared" si="159"/>
        <v>9.3041246331574037E-16</v>
      </c>
    </row>
    <row r="336" spans="4:20" ht="12.75" x14ac:dyDescent="0.2">
      <c r="D336" s="75" t="str">
        <f t="shared" si="156"/>
        <v>Transmission Line Life Extension (2014-18)</v>
      </c>
      <c r="E336" s="93" t="s">
        <v>92</v>
      </c>
      <c r="F336" s="93" t="str">
        <f t="shared" si="137"/>
        <v>Dollars</v>
      </c>
      <c r="G336" s="93" t="str">
        <f t="shared" si="138"/>
        <v>Nominal</v>
      </c>
      <c r="H336" s="50" t="str">
        <f t="shared" si="139"/>
        <v>End year</v>
      </c>
      <c r="J336" s="96">
        <f t="shared" ref="J336:T336" si="160">J37+J96+J156+J216+J276</f>
        <v>4.7846517164107718</v>
      </c>
      <c r="K336" s="95">
        <f t="shared" si="160"/>
        <v>4.6664254297941081</v>
      </c>
      <c r="L336" s="95">
        <f t="shared" si="160"/>
        <v>4.5450879848594159</v>
      </c>
      <c r="M336" s="95">
        <f t="shared" si="160"/>
        <v>4.3731658513124865</v>
      </c>
      <c r="N336" s="95">
        <f t="shared" si="160"/>
        <v>4.3024411047246316</v>
      </c>
      <c r="O336" s="97">
        <f t="shared" si="160"/>
        <v>4.1794756821308718</v>
      </c>
      <c r="P336" s="96">
        <f t="shared" si="160"/>
        <v>3.3487363013799092</v>
      </c>
      <c r="Q336" s="95">
        <f t="shared" si="160"/>
        <v>3.2342619680587243</v>
      </c>
      <c r="R336" s="95">
        <f t="shared" si="160"/>
        <v>3.1125581796565425</v>
      </c>
      <c r="S336" s="95">
        <f t="shared" si="160"/>
        <v>2.9833483744228864</v>
      </c>
      <c r="T336" s="97">
        <f t="shared" si="160"/>
        <v>2.8463469847699856</v>
      </c>
    </row>
    <row r="337" spans="4:20" ht="12.75" x14ac:dyDescent="0.2">
      <c r="D337" s="75" t="str">
        <f t="shared" si="156"/>
        <v>Residual - other</v>
      </c>
      <c r="E337" s="93" t="s">
        <v>92</v>
      </c>
      <c r="F337" s="93" t="str">
        <f t="shared" si="137"/>
        <v>Dollars</v>
      </c>
      <c r="G337" s="93" t="str">
        <f t="shared" si="138"/>
        <v>Nominal</v>
      </c>
      <c r="H337" s="50" t="str">
        <f t="shared" si="139"/>
        <v>End year</v>
      </c>
      <c r="J337" s="96">
        <f t="shared" ref="J337:T337" si="161">J38+J97+J157+J217+J277</f>
        <v>-1.5957119620075271</v>
      </c>
      <c r="K337" s="95">
        <f t="shared" si="161"/>
        <v>1.9941546780093411E-3</v>
      </c>
      <c r="L337" s="95">
        <f t="shared" si="161"/>
        <v>2.0308569113469364E-3</v>
      </c>
      <c r="M337" s="95">
        <f t="shared" si="161"/>
        <v>2.0483341653172197E-3</v>
      </c>
      <c r="N337" s="95">
        <f t="shared" si="161"/>
        <v>2.1149050256900294E-3</v>
      </c>
      <c r="O337" s="97">
        <f t="shared" si="161"/>
        <v>2.1624903887680551E-3</v>
      </c>
      <c r="P337" s="96">
        <f t="shared" si="161"/>
        <v>0</v>
      </c>
      <c r="Q337" s="95">
        <f t="shared" si="161"/>
        <v>0</v>
      </c>
      <c r="R337" s="95">
        <f t="shared" si="161"/>
        <v>0</v>
      </c>
      <c r="S337" s="95">
        <f t="shared" si="161"/>
        <v>0</v>
      </c>
      <c r="T337" s="97">
        <f t="shared" si="161"/>
        <v>0</v>
      </c>
    </row>
    <row r="338" spans="4:20" ht="12.75" x14ac:dyDescent="0.2">
      <c r="D338" s="75" t="str">
        <f t="shared" si="156"/>
        <v>Transmission Lines (2018 onwards)</v>
      </c>
      <c r="E338" s="93" t="s">
        <v>92</v>
      </c>
      <c r="F338" s="93" t="str">
        <f t="shared" si="137"/>
        <v>Dollars</v>
      </c>
      <c r="G338" s="93" t="str">
        <f t="shared" si="138"/>
        <v>Nominal</v>
      </c>
      <c r="H338" s="50" t="str">
        <f t="shared" si="139"/>
        <v>End year</v>
      </c>
      <c r="J338" s="96">
        <f t="shared" ref="J338:T338" si="162">J39+J98+J158+J218+J278</f>
        <v>0</v>
      </c>
      <c r="K338" s="95">
        <f t="shared" si="162"/>
        <v>89.522769181231055</v>
      </c>
      <c r="L338" s="95">
        <f t="shared" si="162"/>
        <v>118.69328557528878</v>
      </c>
      <c r="M338" s="95">
        <f t="shared" si="162"/>
        <v>137.18233828898605</v>
      </c>
      <c r="N338" s="95">
        <f t="shared" si="162"/>
        <v>178.92146918720906</v>
      </c>
      <c r="O338" s="97">
        <f t="shared" si="162"/>
        <v>485.36134700833031</v>
      </c>
      <c r="P338" s="96">
        <f t="shared" si="162"/>
        <v>939.62962703559731</v>
      </c>
      <c r="Q338" s="95">
        <f t="shared" si="162"/>
        <v>1879.76306987818</v>
      </c>
      <c r="R338" s="95">
        <f t="shared" si="162"/>
        <v>1961.2955991716321</v>
      </c>
      <c r="S338" s="95">
        <f t="shared" si="162"/>
        <v>2022.2351617005611</v>
      </c>
      <c r="T338" s="97">
        <f t="shared" si="162"/>
        <v>2128.8835764442865</v>
      </c>
    </row>
    <row r="339" spans="4:20" ht="12.75" x14ac:dyDescent="0.2">
      <c r="D339" s="75" t="str">
        <f t="shared" si="156"/>
        <v>Underground Cables (2018 onwards)</v>
      </c>
      <c r="E339" s="93" t="s">
        <v>92</v>
      </c>
      <c r="F339" s="93" t="str">
        <f t="shared" si="137"/>
        <v>Dollars</v>
      </c>
      <c r="G339" s="93" t="str">
        <f t="shared" si="138"/>
        <v>Nominal</v>
      </c>
      <c r="H339" s="50" t="str">
        <f t="shared" si="139"/>
        <v>End year</v>
      </c>
      <c r="J339" s="96">
        <f t="shared" ref="J339:T339" si="163">J40+J99+J159+J219+J279</f>
        <v>0</v>
      </c>
      <c r="K339" s="95">
        <f t="shared" si="163"/>
        <v>0</v>
      </c>
      <c r="L339" s="95">
        <f t="shared" si="163"/>
        <v>-3.8371541040607905E-6</v>
      </c>
      <c r="M339" s="95">
        <f t="shared" si="163"/>
        <v>-1.0211023907446657E-4</v>
      </c>
      <c r="N339" s="95">
        <f t="shared" si="163"/>
        <v>0.95486442366920588</v>
      </c>
      <c r="O339" s="97">
        <f t="shared" si="163"/>
        <v>6.5081404837769137</v>
      </c>
      <c r="P339" s="96">
        <f t="shared" si="163"/>
        <v>6.5125559840101106</v>
      </c>
      <c r="Q339" s="95">
        <f t="shared" si="163"/>
        <v>6.5135850291928872</v>
      </c>
      <c r="R339" s="95">
        <f t="shared" si="163"/>
        <v>10.812965432219709</v>
      </c>
      <c r="S339" s="95">
        <f t="shared" si="163"/>
        <v>10.809979430271563</v>
      </c>
      <c r="T339" s="97">
        <f t="shared" si="163"/>
        <v>14.571419520855613</v>
      </c>
    </row>
    <row r="340" spans="4:20" ht="12.75" x14ac:dyDescent="0.2">
      <c r="D340" s="75" t="str">
        <f t="shared" si="156"/>
        <v>Substations (2018 onwards)</v>
      </c>
      <c r="E340" s="93" t="s">
        <v>92</v>
      </c>
      <c r="F340" s="93" t="str">
        <f t="shared" si="137"/>
        <v>Dollars</v>
      </c>
      <c r="G340" s="93" t="str">
        <f t="shared" si="138"/>
        <v>Nominal</v>
      </c>
      <c r="H340" s="50" t="str">
        <f t="shared" si="139"/>
        <v>End year</v>
      </c>
      <c r="J340" s="96">
        <f t="shared" ref="J340:T340" si="164">J41+J100+J160+J220+J280</f>
        <v>0</v>
      </c>
      <c r="K340" s="95">
        <f t="shared" si="164"/>
        <v>106.24219579112815</v>
      </c>
      <c r="L340" s="95">
        <f t="shared" si="164"/>
        <v>185.24087361944527</v>
      </c>
      <c r="M340" s="95">
        <f t="shared" si="164"/>
        <v>278.60040619850929</v>
      </c>
      <c r="N340" s="95">
        <f t="shared" si="164"/>
        <v>572.34545027969955</v>
      </c>
      <c r="O340" s="97">
        <f t="shared" si="164"/>
        <v>768.07755856340646</v>
      </c>
      <c r="P340" s="96">
        <f t="shared" si="164"/>
        <v>1005.8807020086358</v>
      </c>
      <c r="Q340" s="95">
        <f t="shared" si="164"/>
        <v>1221.5144193624758</v>
      </c>
      <c r="R340" s="95">
        <f t="shared" si="164"/>
        <v>1368.5011299396872</v>
      </c>
      <c r="S340" s="95">
        <f t="shared" si="164"/>
        <v>1445.6119500268649</v>
      </c>
      <c r="T340" s="97">
        <f t="shared" si="164"/>
        <v>1578.094669270462</v>
      </c>
    </row>
    <row r="341" spans="4:20" ht="12.75" x14ac:dyDescent="0.2">
      <c r="D341" s="75" t="str">
        <f t="shared" si="156"/>
        <v>Secondary Systems (2018 onwards)</v>
      </c>
      <c r="E341" s="93" t="s">
        <v>92</v>
      </c>
      <c r="F341" s="93" t="str">
        <f t="shared" si="137"/>
        <v>Dollars</v>
      </c>
      <c r="G341" s="93" t="str">
        <f t="shared" si="138"/>
        <v>Nominal</v>
      </c>
      <c r="H341" s="50" t="str">
        <f t="shared" si="139"/>
        <v>End year</v>
      </c>
      <c r="J341" s="96">
        <f t="shared" ref="J341:T341" si="165">J42+J101+J161+J221+J281</f>
        <v>0</v>
      </c>
      <c r="K341" s="95">
        <f t="shared" si="165"/>
        <v>17.004726036685238</v>
      </c>
      <c r="L341" s="95">
        <f t="shared" si="165"/>
        <v>46.98877565627447</v>
      </c>
      <c r="M341" s="95">
        <f t="shared" si="165"/>
        <v>62.944810120070102</v>
      </c>
      <c r="N341" s="95">
        <f t="shared" si="165"/>
        <v>143.75808788763197</v>
      </c>
      <c r="O341" s="97">
        <f t="shared" si="165"/>
        <v>142.90780020339722</v>
      </c>
      <c r="P341" s="96">
        <f t="shared" si="165"/>
        <v>168.26537190245261</v>
      </c>
      <c r="Q341" s="95">
        <f t="shared" si="165"/>
        <v>182.41068269374458</v>
      </c>
      <c r="R341" s="95">
        <f t="shared" si="165"/>
        <v>222.27508417167448</v>
      </c>
      <c r="S341" s="95">
        <f t="shared" si="165"/>
        <v>261.32106920926378</v>
      </c>
      <c r="T341" s="97">
        <f t="shared" si="165"/>
        <v>362.08980866568936</v>
      </c>
    </row>
    <row r="342" spans="4:20" ht="12.75" x14ac:dyDescent="0.2">
      <c r="D342" s="75" t="str">
        <f t="shared" si="156"/>
        <v>Communications (short life) (2018 onwards)</v>
      </c>
      <c r="E342" s="93" t="s">
        <v>92</v>
      </c>
      <c r="F342" s="93" t="str">
        <f t="shared" si="137"/>
        <v>Dollars</v>
      </c>
      <c r="G342" s="93" t="str">
        <f t="shared" si="138"/>
        <v>Nominal</v>
      </c>
      <c r="H342" s="50" t="str">
        <f t="shared" si="139"/>
        <v>End year</v>
      </c>
      <c r="J342" s="96">
        <f t="shared" ref="J342:T342" si="166">J43+J102+J162+J222+J282</f>
        <v>0</v>
      </c>
      <c r="K342" s="95">
        <f t="shared" si="166"/>
        <v>12.488018260180995</v>
      </c>
      <c r="L342" s="95">
        <f t="shared" si="166"/>
        <v>17.687299866989981</v>
      </c>
      <c r="M342" s="95">
        <f t="shared" si="166"/>
        <v>26.732628057171471</v>
      </c>
      <c r="N342" s="95">
        <f t="shared" si="166"/>
        <v>40.183971175162149</v>
      </c>
      <c r="O342" s="97">
        <f t="shared" si="166"/>
        <v>58.082825727279584</v>
      </c>
      <c r="P342" s="96">
        <f t="shared" si="166"/>
        <v>55.482279414753037</v>
      </c>
      <c r="Q342" s="95">
        <f t="shared" si="166"/>
        <v>64.82527595089995</v>
      </c>
      <c r="R342" s="95">
        <f t="shared" si="166"/>
        <v>65.474222489989501</v>
      </c>
      <c r="S342" s="95">
        <f t="shared" si="166"/>
        <v>65.238990322196457</v>
      </c>
      <c r="T342" s="97">
        <f t="shared" si="166"/>
        <v>65.446398828068681</v>
      </c>
    </row>
    <row r="343" spans="4:20" ht="12.75" x14ac:dyDescent="0.2">
      <c r="D343" s="75" t="str">
        <f t="shared" si="156"/>
        <v>Business IT (2018 onwards)</v>
      </c>
      <c r="E343" s="93" t="s">
        <v>92</v>
      </c>
      <c r="F343" s="93" t="str">
        <f t="shared" si="137"/>
        <v>Dollars</v>
      </c>
      <c r="G343" s="93" t="str">
        <f t="shared" si="138"/>
        <v>Nominal</v>
      </c>
      <c r="H343" s="50" t="str">
        <f t="shared" si="139"/>
        <v>End year</v>
      </c>
      <c r="J343" s="96">
        <f t="shared" ref="J343:T343" si="167">J44+J103+J163+J223+J283</f>
        <v>0</v>
      </c>
      <c r="K343" s="95">
        <f t="shared" si="167"/>
        <v>19.201237065593318</v>
      </c>
      <c r="L343" s="95">
        <f t="shared" si="167"/>
        <v>30.237406216385935</v>
      </c>
      <c r="M343" s="95">
        <f t="shared" si="167"/>
        <v>35.741716508917939</v>
      </c>
      <c r="N343" s="95">
        <f t="shared" si="167"/>
        <v>60.32769990802435</v>
      </c>
      <c r="O343" s="97">
        <f t="shared" si="167"/>
        <v>42.756875322328568</v>
      </c>
      <c r="P343" s="96">
        <f t="shared" si="167"/>
        <v>46.981306605539416</v>
      </c>
      <c r="Q343" s="95">
        <f t="shared" si="167"/>
        <v>65.226912774136551</v>
      </c>
      <c r="R343" s="95">
        <f t="shared" si="167"/>
        <v>56.938773223176526</v>
      </c>
      <c r="S343" s="95">
        <f t="shared" si="167"/>
        <v>57.916004780783993</v>
      </c>
      <c r="T343" s="97">
        <f t="shared" si="167"/>
        <v>55.87038623939204</v>
      </c>
    </row>
    <row r="344" spans="4:20" ht="12.75" x14ac:dyDescent="0.2">
      <c r="D344" s="75" t="str">
        <f t="shared" si="156"/>
        <v>Minor Plant, Motor Vehicles &amp; Mobile Plant (2018 onwards)</v>
      </c>
      <c r="E344" s="93" t="s">
        <v>92</v>
      </c>
      <c r="F344" s="93" t="str">
        <f t="shared" si="137"/>
        <v>Dollars</v>
      </c>
      <c r="G344" s="93" t="str">
        <f t="shared" si="138"/>
        <v>Nominal</v>
      </c>
      <c r="H344" s="50" t="str">
        <f t="shared" si="139"/>
        <v>End year</v>
      </c>
      <c r="J344" s="96">
        <f t="shared" ref="J344:T344" si="168">J45+J104+J164+J224+J284</f>
        <v>0</v>
      </c>
      <c r="K344" s="95">
        <f t="shared" si="168"/>
        <v>6.8152442976994507</v>
      </c>
      <c r="L344" s="95">
        <f t="shared" si="168"/>
        <v>13.544784409975112</v>
      </c>
      <c r="M344" s="95">
        <f t="shared" si="168"/>
        <v>16.629921957707772</v>
      </c>
      <c r="N344" s="95">
        <f t="shared" si="168"/>
        <v>17.419341862877616</v>
      </c>
      <c r="O344" s="97">
        <f t="shared" si="168"/>
        <v>13.019842204943384</v>
      </c>
      <c r="P344" s="96">
        <f t="shared" si="168"/>
        <v>16.884491160520916</v>
      </c>
      <c r="Q344" s="95">
        <f t="shared" si="168"/>
        <v>20.152784461984748</v>
      </c>
      <c r="R344" s="95">
        <f t="shared" si="168"/>
        <v>22.77644631510049</v>
      </c>
      <c r="S344" s="95">
        <f t="shared" si="168"/>
        <v>24.704835674366578</v>
      </c>
      <c r="T344" s="97">
        <f t="shared" si="168"/>
        <v>26.602262831183896</v>
      </c>
    </row>
    <row r="345" spans="4:20" ht="12.75" x14ac:dyDescent="0.2">
      <c r="D345" s="75" t="str">
        <f t="shared" si="156"/>
        <v>Transmission Line Life Extension (2018 onwards)</v>
      </c>
      <c r="E345" s="93" t="s">
        <v>92</v>
      </c>
      <c r="F345" s="93" t="str">
        <f t="shared" si="137"/>
        <v>Dollars</v>
      </c>
      <c r="G345" s="93" t="str">
        <f t="shared" si="138"/>
        <v>Nominal</v>
      </c>
      <c r="H345" s="50" t="str">
        <f t="shared" si="139"/>
        <v>End year</v>
      </c>
      <c r="J345" s="96">
        <f t="shared" ref="J345:T345" si="169">J46+J105+J165+J225+J285</f>
        <v>0</v>
      </c>
      <c r="K345" s="95">
        <f t="shared" si="169"/>
        <v>9.0346610521890156</v>
      </c>
      <c r="L345" s="95">
        <f t="shared" si="169"/>
        <v>51.606711692885682</v>
      </c>
      <c r="M345" s="95">
        <f t="shared" si="169"/>
        <v>87.258760765985642</v>
      </c>
      <c r="N345" s="95">
        <f t="shared" si="169"/>
        <v>192.396962227703</v>
      </c>
      <c r="O345" s="97">
        <f t="shared" si="169"/>
        <v>209.6509770333374</v>
      </c>
      <c r="P345" s="96">
        <f t="shared" si="169"/>
        <v>214.3030125804984</v>
      </c>
      <c r="Q345" s="95">
        <f t="shared" si="169"/>
        <v>218.25190093435754</v>
      </c>
      <c r="R345" s="95">
        <f t="shared" si="169"/>
        <v>216.74941051020116</v>
      </c>
      <c r="S345" s="95">
        <f t="shared" si="169"/>
        <v>214.56740803806656</v>
      </c>
      <c r="T345" s="97">
        <f t="shared" si="169"/>
        <v>213.015725011623</v>
      </c>
    </row>
    <row r="346" spans="4:20" ht="12.75" x14ac:dyDescent="0.2">
      <c r="D346" s="75" t="str">
        <f t="shared" si="156"/>
        <v xml:space="preserve">Land and Easements </v>
      </c>
      <c r="E346" s="93" t="s">
        <v>92</v>
      </c>
      <c r="F346" s="93" t="str">
        <f t="shared" si="137"/>
        <v>Dollars</v>
      </c>
      <c r="G346" s="93" t="str">
        <f t="shared" si="138"/>
        <v>Nominal</v>
      </c>
      <c r="H346" s="50" t="str">
        <f t="shared" si="139"/>
        <v>End year</v>
      </c>
      <c r="J346" s="96">
        <f t="shared" ref="J346:T346" si="170">J47+J106+J166+J226+J286</f>
        <v>879.83250010690949</v>
      </c>
      <c r="K346" s="95">
        <f t="shared" si="170"/>
        <v>904.14875359410485</v>
      </c>
      <c r="L346" s="95">
        <f t="shared" si="170"/>
        <v>924.27658604316616</v>
      </c>
      <c r="M346" s="95">
        <f t="shared" si="170"/>
        <v>932.55410670332913</v>
      </c>
      <c r="N346" s="95">
        <f t="shared" si="170"/>
        <v>962.59786258268377</v>
      </c>
      <c r="O346" s="97">
        <f t="shared" si="170"/>
        <v>989.87635125675115</v>
      </c>
      <c r="P346" s="96">
        <f t="shared" si="170"/>
        <v>1078.6981536843543</v>
      </c>
      <c r="Q346" s="95">
        <f t="shared" si="170"/>
        <v>1292.0405812731565</v>
      </c>
      <c r="R346" s="95">
        <f t="shared" si="170"/>
        <v>1322.0633832010146</v>
      </c>
      <c r="S346" s="95">
        <f t="shared" si="170"/>
        <v>1352.7837277220056</v>
      </c>
      <c r="T346" s="97">
        <f t="shared" si="170"/>
        <v>1402.9209607127179</v>
      </c>
    </row>
    <row r="347" spans="4:20" ht="12.75" x14ac:dyDescent="0.2">
      <c r="D347" s="75" t="str">
        <f t="shared" si="156"/>
        <v>Synchronous Condensers</v>
      </c>
      <c r="E347" s="93" t="s">
        <v>92</v>
      </c>
      <c r="F347" s="93" t="str">
        <f t="shared" si="137"/>
        <v>Dollars</v>
      </c>
      <c r="G347" s="93" t="str">
        <f t="shared" si="138"/>
        <v>Nominal</v>
      </c>
      <c r="H347" s="50" t="str">
        <f t="shared" si="139"/>
        <v>End year</v>
      </c>
      <c r="J347" s="96">
        <f t="shared" ref="J347:T347" si="171">J48+J107+J167+J227+J287</f>
        <v>0</v>
      </c>
      <c r="K347" s="95">
        <f t="shared" si="171"/>
        <v>0</v>
      </c>
      <c r="L347" s="95">
        <f t="shared" si="171"/>
        <v>0</v>
      </c>
      <c r="M347" s="95">
        <f t="shared" si="171"/>
        <v>0</v>
      </c>
      <c r="N347" s="95">
        <f t="shared" si="171"/>
        <v>0</v>
      </c>
      <c r="O347" s="97">
        <f t="shared" si="171"/>
        <v>0</v>
      </c>
      <c r="P347" s="96">
        <f t="shared" si="171"/>
        <v>58.786130283239231</v>
      </c>
      <c r="Q347" s="95">
        <f t="shared" si="171"/>
        <v>162.46663766074289</v>
      </c>
      <c r="R347" s="95">
        <f t="shared" si="171"/>
        <v>162.08892705682467</v>
      </c>
      <c r="S347" s="95">
        <f t="shared" si="171"/>
        <v>161.60374572455231</v>
      </c>
      <c r="T347" s="97">
        <f t="shared" si="171"/>
        <v>161.00625122133243</v>
      </c>
    </row>
    <row r="348" spans="4:20" ht="12.75" x14ac:dyDescent="0.2">
      <c r="D348" s="75" t="str">
        <f t="shared" si="156"/>
        <v>Leasehold Land and Property</v>
      </c>
      <c r="E348" s="93" t="s">
        <v>92</v>
      </c>
      <c r="F348" s="93" t="str">
        <f t="shared" si="137"/>
        <v>Dollars</v>
      </c>
      <c r="G348" s="93" t="str">
        <f t="shared" si="138"/>
        <v>Nominal</v>
      </c>
      <c r="H348" s="50" t="str">
        <f t="shared" si="139"/>
        <v>End year</v>
      </c>
      <c r="J348" s="96">
        <f t="shared" ref="J348:T348" si="172">J49+J108+J168+J228+J288</f>
        <v>0</v>
      </c>
      <c r="K348" s="95">
        <f t="shared" si="172"/>
        <v>0</v>
      </c>
      <c r="L348" s="95">
        <f t="shared" si="172"/>
        <v>0</v>
      </c>
      <c r="M348" s="95">
        <f t="shared" si="172"/>
        <v>0</v>
      </c>
      <c r="N348" s="95">
        <f t="shared" si="172"/>
        <v>1.4554351238945398</v>
      </c>
      <c r="O348" s="97">
        <f t="shared" si="172"/>
        <v>2.5101442101454241</v>
      </c>
      <c r="P348" s="96">
        <f t="shared" si="172"/>
        <v>2.2959586617789967</v>
      </c>
      <c r="Q348" s="95">
        <f t="shared" si="172"/>
        <v>2.0703204175148096</v>
      </c>
      <c r="R348" s="95">
        <f t="shared" si="172"/>
        <v>1.8328094905369436</v>
      </c>
      <c r="S348" s="95">
        <f t="shared" si="172"/>
        <v>1.5829924795396093</v>
      </c>
      <c r="T348" s="97">
        <f t="shared" si="172"/>
        <v>1.3204221701871104</v>
      </c>
    </row>
    <row r="349" spans="4:20" ht="12.75" hidden="1" outlineLevel="1" x14ac:dyDescent="0.2">
      <c r="D349" s="75">
        <f t="shared" si="156"/>
        <v>0</v>
      </c>
      <c r="E349" s="93" t="s">
        <v>92</v>
      </c>
      <c r="F349" s="93" t="str">
        <f t="shared" si="137"/>
        <v>Dollars</v>
      </c>
      <c r="G349" s="93" t="str">
        <f t="shared" si="138"/>
        <v>Nominal</v>
      </c>
      <c r="H349" s="50" t="str">
        <f t="shared" si="139"/>
        <v>End year</v>
      </c>
      <c r="J349" s="96">
        <f t="shared" ref="J349:T349" si="173">J50+J109+J169+J229+J289</f>
        <v>0</v>
      </c>
      <c r="K349" s="95">
        <f t="shared" si="173"/>
        <v>0</v>
      </c>
      <c r="L349" s="95">
        <f t="shared" si="173"/>
        <v>0</v>
      </c>
      <c r="M349" s="95">
        <f t="shared" si="173"/>
        <v>0</v>
      </c>
      <c r="N349" s="95">
        <f t="shared" si="173"/>
        <v>0</v>
      </c>
      <c r="O349" s="97">
        <f t="shared" si="173"/>
        <v>0</v>
      </c>
      <c r="P349" s="96">
        <f t="shared" si="173"/>
        <v>0</v>
      </c>
      <c r="Q349" s="95">
        <f t="shared" si="173"/>
        <v>0</v>
      </c>
      <c r="R349" s="95">
        <f t="shared" si="173"/>
        <v>0</v>
      </c>
      <c r="S349" s="95">
        <f t="shared" si="173"/>
        <v>0</v>
      </c>
      <c r="T349" s="97">
        <f t="shared" si="173"/>
        <v>0</v>
      </c>
    </row>
    <row r="350" spans="4:20" ht="12.75" hidden="1" outlineLevel="1" x14ac:dyDescent="0.2">
      <c r="D350" s="75">
        <f t="shared" si="156"/>
        <v>0</v>
      </c>
      <c r="E350" s="93" t="s">
        <v>92</v>
      </c>
      <c r="F350" s="93" t="str">
        <f t="shared" si="137"/>
        <v>Dollars</v>
      </c>
      <c r="G350" s="93" t="str">
        <f t="shared" si="138"/>
        <v>Nominal</v>
      </c>
      <c r="H350" s="50" t="str">
        <f t="shared" si="139"/>
        <v>End year</v>
      </c>
      <c r="J350" s="96">
        <f t="shared" ref="J350:T350" si="174">J51+J110+J170+J230+J290</f>
        <v>0</v>
      </c>
      <c r="K350" s="95">
        <f t="shared" si="174"/>
        <v>0</v>
      </c>
      <c r="L350" s="95">
        <f t="shared" si="174"/>
        <v>0</v>
      </c>
      <c r="M350" s="95">
        <f t="shared" si="174"/>
        <v>0</v>
      </c>
      <c r="N350" s="95">
        <f t="shared" si="174"/>
        <v>0</v>
      </c>
      <c r="O350" s="97">
        <f t="shared" si="174"/>
        <v>0</v>
      </c>
      <c r="P350" s="96">
        <f t="shared" si="174"/>
        <v>0</v>
      </c>
      <c r="Q350" s="95">
        <f t="shared" si="174"/>
        <v>0</v>
      </c>
      <c r="R350" s="95">
        <f t="shared" si="174"/>
        <v>0</v>
      </c>
      <c r="S350" s="95">
        <f t="shared" si="174"/>
        <v>0</v>
      </c>
      <c r="T350" s="97">
        <f t="shared" si="174"/>
        <v>0</v>
      </c>
    </row>
    <row r="351" spans="4:20" ht="12.75" hidden="1" outlineLevel="1" x14ac:dyDescent="0.2">
      <c r="D351" s="75">
        <f t="shared" si="156"/>
        <v>0</v>
      </c>
      <c r="E351" s="93" t="s">
        <v>92</v>
      </c>
      <c r="F351" s="93" t="str">
        <f t="shared" si="137"/>
        <v>Dollars</v>
      </c>
      <c r="G351" s="93" t="str">
        <f t="shared" si="138"/>
        <v>Nominal</v>
      </c>
      <c r="H351" s="50" t="str">
        <f t="shared" si="139"/>
        <v>End year</v>
      </c>
      <c r="J351" s="96">
        <f t="shared" ref="J351:T351" si="175">J52+J111+J171+J231+J291</f>
        <v>0</v>
      </c>
      <c r="K351" s="95">
        <f t="shared" si="175"/>
        <v>0</v>
      </c>
      <c r="L351" s="95">
        <f t="shared" si="175"/>
        <v>0</v>
      </c>
      <c r="M351" s="95">
        <f t="shared" si="175"/>
        <v>0</v>
      </c>
      <c r="N351" s="95">
        <f t="shared" si="175"/>
        <v>0</v>
      </c>
      <c r="O351" s="97">
        <f t="shared" si="175"/>
        <v>0</v>
      </c>
      <c r="P351" s="96">
        <f t="shared" si="175"/>
        <v>0</v>
      </c>
      <c r="Q351" s="95">
        <f t="shared" si="175"/>
        <v>0</v>
      </c>
      <c r="R351" s="95">
        <f t="shared" si="175"/>
        <v>0</v>
      </c>
      <c r="S351" s="95">
        <f t="shared" si="175"/>
        <v>0</v>
      </c>
      <c r="T351" s="97">
        <f t="shared" si="175"/>
        <v>0</v>
      </c>
    </row>
    <row r="352" spans="4:20" ht="12.75" hidden="1" outlineLevel="1" x14ac:dyDescent="0.2">
      <c r="D352" s="75">
        <f t="shared" si="156"/>
        <v>0</v>
      </c>
      <c r="E352" s="93" t="s">
        <v>92</v>
      </c>
      <c r="F352" s="93" t="str">
        <f t="shared" si="137"/>
        <v>Dollars</v>
      </c>
      <c r="G352" s="93" t="str">
        <f t="shared" si="138"/>
        <v>Nominal</v>
      </c>
      <c r="H352" s="50" t="str">
        <f t="shared" si="139"/>
        <v>End year</v>
      </c>
      <c r="J352" s="96">
        <f t="shared" ref="J352:T352" si="176">J53+J112+J172+J232+J292</f>
        <v>0</v>
      </c>
      <c r="K352" s="95">
        <f t="shared" si="176"/>
        <v>0</v>
      </c>
      <c r="L352" s="95">
        <f t="shared" si="176"/>
        <v>0</v>
      </c>
      <c r="M352" s="95">
        <f t="shared" si="176"/>
        <v>0</v>
      </c>
      <c r="N352" s="95">
        <f t="shared" si="176"/>
        <v>0</v>
      </c>
      <c r="O352" s="97">
        <f t="shared" si="176"/>
        <v>0</v>
      </c>
      <c r="P352" s="96">
        <f t="shared" si="176"/>
        <v>0</v>
      </c>
      <c r="Q352" s="95">
        <f t="shared" si="176"/>
        <v>0</v>
      </c>
      <c r="R352" s="95">
        <f t="shared" si="176"/>
        <v>0</v>
      </c>
      <c r="S352" s="95">
        <f t="shared" si="176"/>
        <v>0</v>
      </c>
      <c r="T352" s="97">
        <f t="shared" si="176"/>
        <v>0</v>
      </c>
    </row>
    <row r="353" spans="4:20" ht="12.75" hidden="1" outlineLevel="1" x14ac:dyDescent="0.2">
      <c r="D353" s="75">
        <f t="shared" si="156"/>
        <v>0</v>
      </c>
      <c r="E353" s="93" t="s">
        <v>92</v>
      </c>
      <c r="F353" s="93" t="str">
        <f t="shared" si="137"/>
        <v>Dollars</v>
      </c>
      <c r="G353" s="93" t="str">
        <f t="shared" si="138"/>
        <v>Nominal</v>
      </c>
      <c r="H353" s="50" t="str">
        <f t="shared" si="139"/>
        <v>End year</v>
      </c>
      <c r="J353" s="96">
        <f t="shared" ref="J353:T353" si="177">J54+J113+J173+J233+J293</f>
        <v>0</v>
      </c>
      <c r="K353" s="95">
        <f t="shared" si="177"/>
        <v>0</v>
      </c>
      <c r="L353" s="95">
        <f t="shared" si="177"/>
        <v>0</v>
      </c>
      <c r="M353" s="95">
        <f t="shared" si="177"/>
        <v>0</v>
      </c>
      <c r="N353" s="95">
        <f t="shared" si="177"/>
        <v>0</v>
      </c>
      <c r="O353" s="97">
        <f t="shared" si="177"/>
        <v>0</v>
      </c>
      <c r="P353" s="96">
        <f t="shared" si="177"/>
        <v>0</v>
      </c>
      <c r="Q353" s="95">
        <f t="shared" si="177"/>
        <v>0</v>
      </c>
      <c r="R353" s="95">
        <f t="shared" si="177"/>
        <v>0</v>
      </c>
      <c r="S353" s="95">
        <f t="shared" si="177"/>
        <v>0</v>
      </c>
      <c r="T353" s="97">
        <f t="shared" si="177"/>
        <v>0</v>
      </c>
    </row>
    <row r="354" spans="4:20" ht="12.75" hidden="1" outlineLevel="1" x14ac:dyDescent="0.2">
      <c r="D354" s="75">
        <f t="shared" si="156"/>
        <v>0</v>
      </c>
      <c r="E354" s="93" t="s">
        <v>92</v>
      </c>
      <c r="F354" s="93" t="str">
        <f t="shared" si="137"/>
        <v>Dollars</v>
      </c>
      <c r="G354" s="93" t="str">
        <f t="shared" si="138"/>
        <v>Nominal</v>
      </c>
      <c r="H354" s="50" t="str">
        <f t="shared" si="139"/>
        <v>End year</v>
      </c>
      <c r="J354" s="96">
        <f t="shared" ref="J354:T354" si="178">J55+J114+J174+J234+J294</f>
        <v>0</v>
      </c>
      <c r="K354" s="95">
        <f t="shared" si="178"/>
        <v>0</v>
      </c>
      <c r="L354" s="95">
        <f t="shared" si="178"/>
        <v>0</v>
      </c>
      <c r="M354" s="95">
        <f t="shared" si="178"/>
        <v>0</v>
      </c>
      <c r="N354" s="95">
        <f t="shared" si="178"/>
        <v>0</v>
      </c>
      <c r="O354" s="97">
        <f t="shared" si="178"/>
        <v>0</v>
      </c>
      <c r="P354" s="96">
        <f t="shared" si="178"/>
        <v>0</v>
      </c>
      <c r="Q354" s="95">
        <f t="shared" si="178"/>
        <v>0</v>
      </c>
      <c r="R354" s="95">
        <f t="shared" si="178"/>
        <v>0</v>
      </c>
      <c r="S354" s="95">
        <f t="shared" si="178"/>
        <v>0</v>
      </c>
      <c r="T354" s="97">
        <f t="shared" si="178"/>
        <v>0</v>
      </c>
    </row>
    <row r="355" spans="4:20" ht="12.75" hidden="1" outlineLevel="1" x14ac:dyDescent="0.2">
      <c r="D355" s="75">
        <f t="shared" si="156"/>
        <v>0</v>
      </c>
      <c r="E355" s="93" t="s">
        <v>92</v>
      </c>
      <c r="F355" s="93" t="str">
        <f t="shared" si="137"/>
        <v>Dollars</v>
      </c>
      <c r="G355" s="93" t="str">
        <f t="shared" si="138"/>
        <v>Nominal</v>
      </c>
      <c r="H355" s="50" t="str">
        <f t="shared" si="139"/>
        <v>End year</v>
      </c>
      <c r="J355" s="96">
        <f t="shared" ref="J355:T355" si="179">J56+J115+J175+J235+J295</f>
        <v>0</v>
      </c>
      <c r="K355" s="95">
        <f t="shared" si="179"/>
        <v>0</v>
      </c>
      <c r="L355" s="95">
        <f t="shared" si="179"/>
        <v>0</v>
      </c>
      <c r="M355" s="95">
        <f t="shared" si="179"/>
        <v>0</v>
      </c>
      <c r="N355" s="95">
        <f t="shared" si="179"/>
        <v>0</v>
      </c>
      <c r="O355" s="97">
        <f t="shared" si="179"/>
        <v>0</v>
      </c>
      <c r="P355" s="96">
        <f t="shared" si="179"/>
        <v>0</v>
      </c>
      <c r="Q355" s="95">
        <f t="shared" si="179"/>
        <v>0</v>
      </c>
      <c r="R355" s="95">
        <f t="shared" si="179"/>
        <v>0</v>
      </c>
      <c r="S355" s="95">
        <f t="shared" si="179"/>
        <v>0</v>
      </c>
      <c r="T355" s="97">
        <f t="shared" si="179"/>
        <v>0</v>
      </c>
    </row>
    <row r="356" spans="4:20" ht="12.75" hidden="1" outlineLevel="1" x14ac:dyDescent="0.2">
      <c r="D356" s="75">
        <f t="shared" si="156"/>
        <v>0</v>
      </c>
      <c r="E356" s="93" t="s">
        <v>92</v>
      </c>
      <c r="F356" s="93" t="str">
        <f t="shared" si="137"/>
        <v>Dollars</v>
      </c>
      <c r="G356" s="93" t="str">
        <f t="shared" si="138"/>
        <v>Nominal</v>
      </c>
      <c r="H356" s="50" t="str">
        <f t="shared" si="139"/>
        <v>End year</v>
      </c>
      <c r="J356" s="96">
        <f t="shared" ref="J356:T356" si="180">J57+J116+J176+J236+J296</f>
        <v>0</v>
      </c>
      <c r="K356" s="95">
        <f t="shared" si="180"/>
        <v>0</v>
      </c>
      <c r="L356" s="95">
        <f t="shared" si="180"/>
        <v>0</v>
      </c>
      <c r="M356" s="95">
        <f t="shared" si="180"/>
        <v>0</v>
      </c>
      <c r="N356" s="95">
        <f t="shared" si="180"/>
        <v>0</v>
      </c>
      <c r="O356" s="97">
        <f t="shared" si="180"/>
        <v>0</v>
      </c>
      <c r="P356" s="96">
        <f t="shared" si="180"/>
        <v>0</v>
      </c>
      <c r="Q356" s="95">
        <f t="shared" si="180"/>
        <v>0</v>
      </c>
      <c r="R356" s="95">
        <f t="shared" si="180"/>
        <v>0</v>
      </c>
      <c r="S356" s="95">
        <f t="shared" si="180"/>
        <v>0</v>
      </c>
      <c r="T356" s="97">
        <f t="shared" si="180"/>
        <v>0</v>
      </c>
    </row>
    <row r="357" spans="4:20" ht="12.75" hidden="1" outlineLevel="1" x14ac:dyDescent="0.2">
      <c r="D357" s="75">
        <f t="shared" si="156"/>
        <v>0</v>
      </c>
      <c r="E357" s="93" t="s">
        <v>92</v>
      </c>
      <c r="F357" s="93" t="str">
        <f t="shared" si="137"/>
        <v>Dollars</v>
      </c>
      <c r="G357" s="93" t="str">
        <f t="shared" si="138"/>
        <v>Nominal</v>
      </c>
      <c r="H357" s="50" t="str">
        <f t="shared" si="139"/>
        <v>End year</v>
      </c>
      <c r="J357" s="96">
        <f t="shared" ref="J357:T357" si="181">J58+J117+J177+J237+J297</f>
        <v>0</v>
      </c>
      <c r="K357" s="95">
        <f t="shared" si="181"/>
        <v>0</v>
      </c>
      <c r="L357" s="95">
        <f t="shared" si="181"/>
        <v>0</v>
      </c>
      <c r="M357" s="95">
        <f t="shared" si="181"/>
        <v>0</v>
      </c>
      <c r="N357" s="95">
        <f t="shared" si="181"/>
        <v>0</v>
      </c>
      <c r="O357" s="97">
        <f t="shared" si="181"/>
        <v>0</v>
      </c>
      <c r="P357" s="96">
        <f t="shared" si="181"/>
        <v>0</v>
      </c>
      <c r="Q357" s="95">
        <f t="shared" si="181"/>
        <v>0</v>
      </c>
      <c r="R357" s="95">
        <f t="shared" si="181"/>
        <v>0</v>
      </c>
      <c r="S357" s="95">
        <f t="shared" si="181"/>
        <v>0</v>
      </c>
      <c r="T357" s="97">
        <f t="shared" si="181"/>
        <v>0</v>
      </c>
    </row>
    <row r="358" spans="4:20" ht="12.75" hidden="1" outlineLevel="1" x14ac:dyDescent="0.2">
      <c r="D358" s="75">
        <f t="shared" si="156"/>
        <v>0</v>
      </c>
      <c r="E358" s="93" t="s">
        <v>92</v>
      </c>
      <c r="F358" s="93" t="str">
        <f t="shared" si="137"/>
        <v>Dollars</v>
      </c>
      <c r="G358" s="93" t="str">
        <f t="shared" si="138"/>
        <v>Nominal</v>
      </c>
      <c r="H358" s="50" t="str">
        <f t="shared" si="139"/>
        <v>End year</v>
      </c>
      <c r="J358" s="96">
        <f t="shared" ref="J358:T358" si="182">J59+J118+J178+J238+J298</f>
        <v>0</v>
      </c>
      <c r="K358" s="95">
        <f t="shared" si="182"/>
        <v>0</v>
      </c>
      <c r="L358" s="95">
        <f t="shared" si="182"/>
        <v>0</v>
      </c>
      <c r="M358" s="95">
        <f t="shared" si="182"/>
        <v>0</v>
      </c>
      <c r="N358" s="95">
        <f t="shared" si="182"/>
        <v>0</v>
      </c>
      <c r="O358" s="97">
        <f t="shared" si="182"/>
        <v>0</v>
      </c>
      <c r="P358" s="96">
        <f t="shared" si="182"/>
        <v>0</v>
      </c>
      <c r="Q358" s="95">
        <f t="shared" si="182"/>
        <v>0</v>
      </c>
      <c r="R358" s="95">
        <f t="shared" si="182"/>
        <v>0</v>
      </c>
      <c r="S358" s="95">
        <f t="shared" si="182"/>
        <v>0</v>
      </c>
      <c r="T358" s="97">
        <f t="shared" si="182"/>
        <v>0</v>
      </c>
    </row>
    <row r="359" spans="4:20" ht="12.75" hidden="1" outlineLevel="1" x14ac:dyDescent="0.2">
      <c r="D359" s="75">
        <f t="shared" si="156"/>
        <v>0</v>
      </c>
      <c r="E359" s="93" t="s">
        <v>92</v>
      </c>
      <c r="F359" s="93" t="str">
        <f t="shared" si="137"/>
        <v>Dollars</v>
      </c>
      <c r="G359" s="93" t="str">
        <f t="shared" si="138"/>
        <v>Nominal</v>
      </c>
      <c r="H359" s="50" t="str">
        <f t="shared" si="139"/>
        <v>End year</v>
      </c>
      <c r="J359" s="96">
        <f t="shared" ref="J359:T359" si="183">J60+J119+J179+J239+J299</f>
        <v>0</v>
      </c>
      <c r="K359" s="95">
        <f t="shared" si="183"/>
        <v>0</v>
      </c>
      <c r="L359" s="95">
        <f t="shared" si="183"/>
        <v>0</v>
      </c>
      <c r="M359" s="95">
        <f t="shared" si="183"/>
        <v>0</v>
      </c>
      <c r="N359" s="95">
        <f t="shared" si="183"/>
        <v>0</v>
      </c>
      <c r="O359" s="97">
        <f t="shared" si="183"/>
        <v>0</v>
      </c>
      <c r="P359" s="96">
        <f t="shared" si="183"/>
        <v>0</v>
      </c>
      <c r="Q359" s="95">
        <f t="shared" si="183"/>
        <v>0</v>
      </c>
      <c r="R359" s="95">
        <f t="shared" si="183"/>
        <v>0</v>
      </c>
      <c r="S359" s="95">
        <f t="shared" si="183"/>
        <v>0</v>
      </c>
      <c r="T359" s="97">
        <f t="shared" si="183"/>
        <v>0</v>
      </c>
    </row>
    <row r="360" spans="4:20" ht="12.75" hidden="1" outlineLevel="1" x14ac:dyDescent="0.2">
      <c r="D360" s="75">
        <f t="shared" si="156"/>
        <v>0</v>
      </c>
      <c r="E360" s="93" t="s">
        <v>92</v>
      </c>
      <c r="F360" s="93" t="str">
        <f t="shared" si="137"/>
        <v>Dollars</v>
      </c>
      <c r="G360" s="93" t="str">
        <f t="shared" si="138"/>
        <v>Nominal</v>
      </c>
      <c r="H360" s="50" t="str">
        <f t="shared" si="139"/>
        <v>End year</v>
      </c>
      <c r="J360" s="96">
        <f t="shared" ref="J360:T360" si="184">J61+J120+J180+J240+J300</f>
        <v>0</v>
      </c>
      <c r="K360" s="95">
        <f t="shared" si="184"/>
        <v>0</v>
      </c>
      <c r="L360" s="95">
        <f t="shared" si="184"/>
        <v>0</v>
      </c>
      <c r="M360" s="95">
        <f t="shared" si="184"/>
        <v>0</v>
      </c>
      <c r="N360" s="95">
        <f t="shared" si="184"/>
        <v>0</v>
      </c>
      <c r="O360" s="97">
        <f t="shared" si="184"/>
        <v>0</v>
      </c>
      <c r="P360" s="96">
        <f t="shared" si="184"/>
        <v>0</v>
      </c>
      <c r="Q360" s="95">
        <f t="shared" si="184"/>
        <v>0</v>
      </c>
      <c r="R360" s="95">
        <f t="shared" si="184"/>
        <v>0</v>
      </c>
      <c r="S360" s="95">
        <f t="shared" si="184"/>
        <v>0</v>
      </c>
      <c r="T360" s="97">
        <f t="shared" si="184"/>
        <v>0</v>
      </c>
    </row>
    <row r="361" spans="4:20" ht="12.75" hidden="1" outlineLevel="1" x14ac:dyDescent="0.2">
      <c r="D361" s="75">
        <f t="shared" si="156"/>
        <v>0</v>
      </c>
      <c r="E361" s="93" t="s">
        <v>92</v>
      </c>
      <c r="F361" s="93" t="str">
        <f t="shared" si="137"/>
        <v>Dollars</v>
      </c>
      <c r="G361" s="93" t="str">
        <f t="shared" si="138"/>
        <v>Nominal</v>
      </c>
      <c r="H361" s="50" t="str">
        <f t="shared" si="139"/>
        <v>End year</v>
      </c>
      <c r="J361" s="96">
        <f t="shared" ref="J361:T361" si="185">J62+J121+J181+J241+J301</f>
        <v>0</v>
      </c>
      <c r="K361" s="95">
        <f t="shared" si="185"/>
        <v>0</v>
      </c>
      <c r="L361" s="95">
        <f t="shared" si="185"/>
        <v>0</v>
      </c>
      <c r="M361" s="95">
        <f t="shared" si="185"/>
        <v>0</v>
      </c>
      <c r="N361" s="95">
        <f t="shared" si="185"/>
        <v>0</v>
      </c>
      <c r="O361" s="97">
        <f t="shared" si="185"/>
        <v>0</v>
      </c>
      <c r="P361" s="96">
        <f t="shared" si="185"/>
        <v>0</v>
      </c>
      <c r="Q361" s="95">
        <f t="shared" si="185"/>
        <v>0</v>
      </c>
      <c r="R361" s="95">
        <f t="shared" si="185"/>
        <v>0</v>
      </c>
      <c r="S361" s="95">
        <f t="shared" si="185"/>
        <v>0</v>
      </c>
      <c r="T361" s="97">
        <f t="shared" si="185"/>
        <v>0</v>
      </c>
    </row>
    <row r="362" spans="4:20" ht="12.75" hidden="1" outlineLevel="1" x14ac:dyDescent="0.2">
      <c r="D362" s="75">
        <f t="shared" si="156"/>
        <v>0</v>
      </c>
      <c r="E362" s="93" t="s">
        <v>92</v>
      </c>
      <c r="F362" s="93" t="str">
        <f t="shared" si="137"/>
        <v>Dollars</v>
      </c>
      <c r="G362" s="93" t="str">
        <f t="shared" si="138"/>
        <v>Nominal</v>
      </c>
      <c r="H362" s="50" t="str">
        <f t="shared" si="139"/>
        <v>End year</v>
      </c>
      <c r="J362" s="96">
        <f t="shared" ref="J362:T362" si="186">J63+J122+J182+J242+J302</f>
        <v>0</v>
      </c>
      <c r="K362" s="95">
        <f t="shared" si="186"/>
        <v>0</v>
      </c>
      <c r="L362" s="95">
        <f t="shared" si="186"/>
        <v>0</v>
      </c>
      <c r="M362" s="95">
        <f t="shared" si="186"/>
        <v>0</v>
      </c>
      <c r="N362" s="95">
        <f t="shared" si="186"/>
        <v>0</v>
      </c>
      <c r="O362" s="97">
        <f t="shared" si="186"/>
        <v>0</v>
      </c>
      <c r="P362" s="96">
        <f t="shared" si="186"/>
        <v>0</v>
      </c>
      <c r="Q362" s="95">
        <f t="shared" si="186"/>
        <v>0</v>
      </c>
      <c r="R362" s="95">
        <f t="shared" si="186"/>
        <v>0</v>
      </c>
      <c r="S362" s="95">
        <f t="shared" si="186"/>
        <v>0</v>
      </c>
      <c r="T362" s="97">
        <f t="shared" si="186"/>
        <v>0</v>
      </c>
    </row>
    <row r="363" spans="4:20" ht="12.75" hidden="1" outlineLevel="1" x14ac:dyDescent="0.2">
      <c r="D363" s="75">
        <f t="shared" si="156"/>
        <v>0</v>
      </c>
      <c r="E363" s="93" t="s">
        <v>92</v>
      </c>
      <c r="F363" s="93" t="str">
        <f t="shared" si="137"/>
        <v>Dollars</v>
      </c>
      <c r="G363" s="93" t="str">
        <f t="shared" si="138"/>
        <v>Nominal</v>
      </c>
      <c r="H363" s="50" t="str">
        <f t="shared" si="139"/>
        <v>End year</v>
      </c>
      <c r="J363" s="96">
        <f t="shared" ref="J363:T363" si="187">J64+J123+J183+J243+J303</f>
        <v>0</v>
      </c>
      <c r="K363" s="95">
        <f t="shared" si="187"/>
        <v>0</v>
      </c>
      <c r="L363" s="95">
        <f t="shared" si="187"/>
        <v>0</v>
      </c>
      <c r="M363" s="95">
        <f t="shared" si="187"/>
        <v>0</v>
      </c>
      <c r="N363" s="95">
        <f t="shared" si="187"/>
        <v>0</v>
      </c>
      <c r="O363" s="97">
        <f t="shared" si="187"/>
        <v>0</v>
      </c>
      <c r="P363" s="96">
        <f t="shared" si="187"/>
        <v>0</v>
      </c>
      <c r="Q363" s="95">
        <f t="shared" si="187"/>
        <v>0</v>
      </c>
      <c r="R363" s="95">
        <f t="shared" si="187"/>
        <v>0</v>
      </c>
      <c r="S363" s="95">
        <f t="shared" si="187"/>
        <v>0</v>
      </c>
      <c r="T363" s="97">
        <f t="shared" si="187"/>
        <v>0</v>
      </c>
    </row>
    <row r="364" spans="4:20" ht="12.75" collapsed="1" x14ac:dyDescent="0.2">
      <c r="D364" s="75" t="str">
        <f t="shared" si="156"/>
        <v>Buildings - capital works</v>
      </c>
      <c r="E364" s="93" t="s">
        <v>92</v>
      </c>
      <c r="F364" s="93" t="str">
        <f t="shared" si="137"/>
        <v>Dollars</v>
      </c>
      <c r="G364" s="93" t="str">
        <f t="shared" si="138"/>
        <v>Nominal</v>
      </c>
      <c r="H364" s="50" t="str">
        <f t="shared" si="139"/>
        <v>End year</v>
      </c>
      <c r="J364" s="96">
        <f t="shared" ref="J364:T364" si="188">J65+J124+J184+J244+J304</f>
        <v>0</v>
      </c>
      <c r="K364" s="95">
        <f t="shared" si="188"/>
        <v>0</v>
      </c>
      <c r="L364" s="95">
        <f t="shared" si="188"/>
        <v>0</v>
      </c>
      <c r="M364" s="95">
        <f t="shared" si="188"/>
        <v>0</v>
      </c>
      <c r="N364" s="95">
        <f t="shared" si="188"/>
        <v>0</v>
      </c>
      <c r="O364" s="97">
        <f t="shared" si="188"/>
        <v>0</v>
      </c>
      <c r="P364" s="96">
        <f t="shared" si="188"/>
        <v>4.8076329474530874</v>
      </c>
      <c r="Q364" s="95">
        <f t="shared" si="188"/>
        <v>9.718204955562598</v>
      </c>
      <c r="R364" s="95">
        <f t="shared" si="188"/>
        <v>14.731008352453383</v>
      </c>
      <c r="S364" s="95">
        <f t="shared" si="188"/>
        <v>19.845177427954145</v>
      </c>
      <c r="T364" s="97">
        <f t="shared" si="188"/>
        <v>25.059679800357191</v>
      </c>
    </row>
    <row r="365" spans="4:20" ht="12.75" x14ac:dyDescent="0.2">
      <c r="D365" s="75" t="str">
        <f t="shared" si="156"/>
        <v>In-house software</v>
      </c>
      <c r="E365" s="93" t="s">
        <v>92</v>
      </c>
      <c r="F365" s="93" t="str">
        <f t="shared" si="137"/>
        <v>Dollars</v>
      </c>
      <c r="G365" s="93" t="str">
        <f t="shared" si="138"/>
        <v>Nominal</v>
      </c>
      <c r="H365" s="50" t="str">
        <f t="shared" si="139"/>
        <v>End year</v>
      </c>
      <c r="J365" s="96">
        <f t="shared" ref="J365:T365" si="189">J66+J125+J185+J245+J305</f>
        <v>0</v>
      </c>
      <c r="K365" s="95">
        <f t="shared" si="189"/>
        <v>0</v>
      </c>
      <c r="L365" s="95">
        <f t="shared" si="189"/>
        <v>0</v>
      </c>
      <c r="M365" s="95">
        <f t="shared" si="189"/>
        <v>0</v>
      </c>
      <c r="N365" s="95">
        <f t="shared" si="189"/>
        <v>0</v>
      </c>
      <c r="O365" s="97">
        <f t="shared" si="189"/>
        <v>0</v>
      </c>
      <c r="P365" s="96">
        <f t="shared" si="189"/>
        <v>18.301377398626123</v>
      </c>
      <c r="Q365" s="95">
        <f t="shared" si="189"/>
        <v>28.874695298506055</v>
      </c>
      <c r="R365" s="95">
        <f t="shared" si="189"/>
        <v>39.568070667685625</v>
      </c>
      <c r="S365" s="95">
        <f t="shared" si="189"/>
        <v>49.189113796928602</v>
      </c>
      <c r="T365" s="97">
        <f t="shared" si="189"/>
        <v>50.972835837085285</v>
      </c>
    </row>
    <row r="366" spans="4:20" ht="12.75" x14ac:dyDescent="0.2">
      <c r="D366" s="75" t="str">
        <f t="shared" si="156"/>
        <v>Equity raising costs</v>
      </c>
      <c r="E366" s="93" t="s">
        <v>92</v>
      </c>
      <c r="F366" s="93" t="str">
        <f t="shared" si="137"/>
        <v>Dollars</v>
      </c>
      <c r="G366" s="93" t="str">
        <f t="shared" si="138"/>
        <v>Nominal</v>
      </c>
      <c r="H366" s="50" t="str">
        <f t="shared" si="139"/>
        <v>End year</v>
      </c>
      <c r="J366" s="96">
        <f t="shared" ref="J366:T366" si="190">J67+J126+J186+J246+J306</f>
        <v>1.2926939950129772</v>
      </c>
      <c r="K366" s="95">
        <f t="shared" si="190"/>
        <v>17.774802147370572</v>
      </c>
      <c r="L366" s="95">
        <f t="shared" si="190"/>
        <v>17.643780681991487</v>
      </c>
      <c r="M366" s="95">
        <f t="shared" si="190"/>
        <v>17.329022897887832</v>
      </c>
      <c r="N366" s="95">
        <f t="shared" si="190"/>
        <v>17.421603123619573</v>
      </c>
      <c r="O366" s="97">
        <f t="shared" si="190"/>
        <v>17.327681252351788</v>
      </c>
      <c r="P366" s="96">
        <f t="shared" si="190"/>
        <v>17.235799146806794</v>
      </c>
      <c r="Q366" s="95">
        <f t="shared" si="190"/>
        <v>17.130029830753521</v>
      </c>
      <c r="R366" s="95">
        <f t="shared" si="190"/>
        <v>17.009771358010511</v>
      </c>
      <c r="S366" s="95">
        <f t="shared" si="190"/>
        <v>16.874401160392033</v>
      </c>
      <c r="T366" s="97">
        <f t="shared" si="190"/>
        <v>16.723275410904641</v>
      </c>
    </row>
    <row r="367" spans="4:20" x14ac:dyDescent="0.2">
      <c r="J367" s="88"/>
      <c r="K367" s="89"/>
      <c r="L367" s="89"/>
      <c r="M367" s="89"/>
      <c r="N367" s="89"/>
      <c r="O367" s="91"/>
      <c r="P367" s="88"/>
      <c r="Q367" s="89"/>
      <c r="R367" s="89"/>
      <c r="S367" s="89"/>
      <c r="T367" s="91"/>
    </row>
    <row r="368" spans="4:20" ht="12.75" x14ac:dyDescent="0.2">
      <c r="D368" s="98" t="str">
        <f>"Total "&amp;C313</f>
        <v>Total Interim Closing Balance</v>
      </c>
      <c r="E368" s="99" t="s">
        <v>92</v>
      </c>
      <c r="F368" s="99" t="str">
        <f>F317</f>
        <v>Dollars</v>
      </c>
      <c r="G368" s="99" t="str">
        <f>G317</f>
        <v>Nominal</v>
      </c>
      <c r="H368" s="45" t="str">
        <f>H317</f>
        <v>End year</v>
      </c>
      <c r="J368" s="251">
        <f t="shared" ref="J368:T368" si="191">SUM(J317:J366)</f>
        <v>6254.7994818168354</v>
      </c>
      <c r="K368" s="252">
        <f t="shared" si="191"/>
        <v>6333.5136445472499</v>
      </c>
      <c r="L368" s="252">
        <f t="shared" si="191"/>
        <v>6389.8609418458291</v>
      </c>
      <c r="M368" s="252">
        <f t="shared" si="191"/>
        <v>6359.4509872994504</v>
      </c>
      <c r="N368" s="252">
        <f t="shared" si="191"/>
        <v>6852.8357294458592</v>
      </c>
      <c r="O368" s="253">
        <f t="shared" si="191"/>
        <v>7246.9710706480928</v>
      </c>
      <c r="P368" s="100">
        <f t="shared" si="191"/>
        <v>7856.2658182975874</v>
      </c>
      <c r="Q368" s="101">
        <f t="shared" si="191"/>
        <v>9240.3507715855958</v>
      </c>
      <c r="R368" s="101">
        <f t="shared" si="191"/>
        <v>9392.3391152560453</v>
      </c>
      <c r="S368" s="101">
        <f t="shared" si="191"/>
        <v>9444.7803524541414</v>
      </c>
      <c r="T368" s="102">
        <f t="shared" si="191"/>
        <v>9669.1057848542132</v>
      </c>
    </row>
    <row r="369" spans="1:20" s="82" customFormat="1" ht="11.25" customHeight="1" x14ac:dyDescent="0.2">
      <c r="H369" s="6"/>
    </row>
    <row r="370" spans="1:20" s="82" customFormat="1" ht="11.25" customHeight="1" x14ac:dyDescent="0.2">
      <c r="A370" s="69">
        <f>IF(SUM($J370:$T370)&lt;&gt;0,1,0)</f>
        <v>0</v>
      </c>
      <c r="D370" s="75" t="s">
        <v>121</v>
      </c>
      <c r="H370" s="6"/>
      <c r="J370" s="103">
        <f t="shared" ref="J370:K370" si="192">IF(ISERROR(J368),1,0)</f>
        <v>0</v>
      </c>
      <c r="K370" s="103">
        <f t="shared" si="192"/>
        <v>0</v>
      </c>
      <c r="L370" s="103">
        <f>IF(ISERROR(L368),1,0)</f>
        <v>0</v>
      </c>
      <c r="M370" s="103">
        <f t="shared" ref="M370:P370" si="193">IF(ISERROR(M368),1,0)</f>
        <v>0</v>
      </c>
      <c r="N370" s="103">
        <f t="shared" si="193"/>
        <v>0</v>
      </c>
      <c r="O370" s="103">
        <f t="shared" si="193"/>
        <v>0</v>
      </c>
      <c r="P370" s="103">
        <f t="shared" si="193"/>
        <v>0</v>
      </c>
      <c r="Q370" s="103">
        <f>IF(ISERROR(Q368),1,0)</f>
        <v>0</v>
      </c>
      <c r="R370" s="103">
        <f t="shared" ref="R370:T370" si="194">IF(ISERROR(R368),1,0)</f>
        <v>0</v>
      </c>
      <c r="S370" s="103">
        <f t="shared" si="194"/>
        <v>0</v>
      </c>
      <c r="T370" s="103">
        <f t="shared" si="194"/>
        <v>0</v>
      </c>
    </row>
    <row r="372" spans="1:20" s="83" customFormat="1" ht="15" x14ac:dyDescent="0.2">
      <c r="C372" s="83" t="s">
        <v>205</v>
      </c>
      <c r="H372" s="13"/>
    </row>
    <row r="373" spans="1:20" s="82" customFormat="1" ht="11.25" customHeight="1" x14ac:dyDescent="0.2">
      <c r="H373" s="6"/>
    </row>
    <row r="374" spans="1:20" ht="12.75" x14ac:dyDescent="0.2">
      <c r="D374" s="84" t="str">
        <f>D$16</f>
        <v>RAB Asset Class</v>
      </c>
      <c r="E374" s="85" t="str">
        <f>Lookup!E$20</f>
        <v>Source</v>
      </c>
      <c r="F374" s="85" t="str">
        <f>Lookup!F$20</f>
        <v>Unit</v>
      </c>
      <c r="G374" s="85" t="str">
        <f>Lookup!G$20</f>
        <v>Basis</v>
      </c>
      <c r="H374" s="43" t="str">
        <f>Lookup!H$20</f>
        <v>Timing</v>
      </c>
      <c r="J374" s="86" t="str">
        <f t="shared" ref="J374:T374" si="195">J$10</f>
        <v>RY18</v>
      </c>
      <c r="K374" s="85" t="str">
        <f t="shared" si="195"/>
        <v>RY19</v>
      </c>
      <c r="L374" s="85" t="str">
        <f>L$10</f>
        <v>RY20</v>
      </c>
      <c r="M374" s="85" t="str">
        <f t="shared" si="195"/>
        <v>RY21</v>
      </c>
      <c r="N374" s="85" t="str">
        <f t="shared" si="195"/>
        <v>RY22</v>
      </c>
      <c r="O374" s="227" t="str">
        <f t="shared" si="195"/>
        <v>RY23</v>
      </c>
      <c r="P374" s="86" t="str">
        <f t="shared" si="195"/>
        <v>RY24</v>
      </c>
      <c r="Q374" s="85" t="str">
        <f>Q$10</f>
        <v>RY25</v>
      </c>
      <c r="R374" s="85" t="str">
        <f t="shared" si="195"/>
        <v>RY26</v>
      </c>
      <c r="S374" s="85" t="str">
        <f t="shared" si="195"/>
        <v>RY27</v>
      </c>
      <c r="T374" s="87" t="str">
        <f t="shared" si="195"/>
        <v>RY28</v>
      </c>
    </row>
    <row r="375" spans="1:20" x14ac:dyDescent="0.2">
      <c r="J375" s="88"/>
      <c r="K375" s="89"/>
      <c r="L375" s="89"/>
      <c r="M375" s="89"/>
      <c r="N375" s="89"/>
      <c r="O375" s="91"/>
      <c r="P375" s="88"/>
      <c r="Q375" s="89"/>
      <c r="R375" s="89"/>
      <c r="S375" s="89"/>
      <c r="T375" s="91"/>
    </row>
    <row r="376" spans="1:20" ht="12.75" x14ac:dyDescent="0.2">
      <c r="D376" s="75" t="str">
        <f t="shared" ref="D376:D391" si="196">D18</f>
        <v>Transmission Lines (pre 2004-05)</v>
      </c>
      <c r="E376" s="93" t="s">
        <v>254</v>
      </c>
      <c r="F376" s="93" t="str">
        <f t="shared" ref="F376:F425" si="197">Dollars</f>
        <v>Dollars</v>
      </c>
      <c r="G376" s="93" t="str">
        <f t="shared" ref="G376:G425" si="198">Nominal</f>
        <v>Nominal</v>
      </c>
      <c r="H376" s="50" t="str">
        <f t="shared" ref="H376:H425" si="199">End_year</f>
        <v>End year</v>
      </c>
      <c r="J376" s="94">
        <v>0</v>
      </c>
      <c r="K376" s="230"/>
      <c r="L376" s="230"/>
      <c r="M376" s="230"/>
      <c r="N376" s="230"/>
      <c r="O376" s="107">
        <v>0</v>
      </c>
      <c r="P376" s="231"/>
      <c r="Q376" s="230"/>
      <c r="R376" s="230"/>
      <c r="S376" s="230"/>
      <c r="T376" s="232"/>
    </row>
    <row r="377" spans="1:20" ht="12.75" x14ac:dyDescent="0.2">
      <c r="D377" s="75" t="str">
        <f t="shared" si="196"/>
        <v>Underground Cables (pre 2004-05)</v>
      </c>
      <c r="E377" s="93" t="str">
        <f>E376</f>
        <v>RFM / PTRM</v>
      </c>
      <c r="F377" s="93" t="str">
        <f t="shared" si="197"/>
        <v>Dollars</v>
      </c>
      <c r="G377" s="93" t="str">
        <f t="shared" si="198"/>
        <v>Nominal</v>
      </c>
      <c r="H377" s="50" t="str">
        <f t="shared" si="199"/>
        <v>End year</v>
      </c>
      <c r="J377" s="94">
        <v>0</v>
      </c>
      <c r="K377" s="230"/>
      <c r="L377" s="230"/>
      <c r="M377" s="230"/>
      <c r="N377" s="230"/>
      <c r="O377" s="107">
        <v>0</v>
      </c>
      <c r="P377" s="231"/>
      <c r="Q377" s="230"/>
      <c r="R377" s="230"/>
      <c r="S377" s="230"/>
      <c r="T377" s="232"/>
    </row>
    <row r="378" spans="1:20" ht="12.75" x14ac:dyDescent="0.2">
      <c r="D378" s="75" t="str">
        <f t="shared" si="196"/>
        <v>Substations including Buildings (pre 2004-05)</v>
      </c>
      <c r="E378" s="93" t="str">
        <f t="shared" ref="E378:E425" si="200">E377</f>
        <v>RFM / PTRM</v>
      </c>
      <c r="F378" s="93" t="str">
        <f t="shared" si="197"/>
        <v>Dollars</v>
      </c>
      <c r="G378" s="93" t="str">
        <f t="shared" si="198"/>
        <v>Nominal</v>
      </c>
      <c r="H378" s="50" t="str">
        <f t="shared" si="199"/>
        <v>End year</v>
      </c>
      <c r="J378" s="94">
        <v>0</v>
      </c>
      <c r="K378" s="230"/>
      <c r="L378" s="230"/>
      <c r="M378" s="230"/>
      <c r="N378" s="230"/>
      <c r="O378" s="107">
        <v>0</v>
      </c>
      <c r="P378" s="231"/>
      <c r="Q378" s="230"/>
      <c r="R378" s="230"/>
      <c r="S378" s="230"/>
      <c r="T378" s="232"/>
    </row>
    <row r="379" spans="1:20" ht="12.75" x14ac:dyDescent="0.2">
      <c r="D379" s="75" t="str">
        <f t="shared" si="196"/>
        <v>Transmission Lines (2004-09)</v>
      </c>
      <c r="E379" s="93" t="str">
        <f t="shared" si="200"/>
        <v>RFM / PTRM</v>
      </c>
      <c r="F379" s="93" t="str">
        <f t="shared" si="197"/>
        <v>Dollars</v>
      </c>
      <c r="G379" s="93" t="str">
        <f t="shared" si="198"/>
        <v>Nominal</v>
      </c>
      <c r="H379" s="50" t="str">
        <f t="shared" si="199"/>
        <v>End year</v>
      </c>
      <c r="J379" s="94">
        <v>0</v>
      </c>
      <c r="K379" s="230"/>
      <c r="L379" s="230"/>
      <c r="M379" s="230"/>
      <c r="N379" s="230"/>
      <c r="O379" s="107">
        <v>0</v>
      </c>
      <c r="P379" s="231"/>
      <c r="Q379" s="230"/>
      <c r="R379" s="230"/>
      <c r="S379" s="230"/>
      <c r="T379" s="232"/>
    </row>
    <row r="380" spans="1:20" ht="12.75" x14ac:dyDescent="0.2">
      <c r="D380" s="75" t="str">
        <f t="shared" si="196"/>
        <v>Underground Cables (2004-09)</v>
      </c>
      <c r="E380" s="93" t="str">
        <f t="shared" si="200"/>
        <v>RFM / PTRM</v>
      </c>
      <c r="F380" s="93" t="str">
        <f t="shared" si="197"/>
        <v>Dollars</v>
      </c>
      <c r="G380" s="93" t="str">
        <f t="shared" si="198"/>
        <v>Nominal</v>
      </c>
      <c r="H380" s="50" t="str">
        <f t="shared" si="199"/>
        <v>End year</v>
      </c>
      <c r="J380" s="94">
        <v>0</v>
      </c>
      <c r="K380" s="230"/>
      <c r="L380" s="230"/>
      <c r="M380" s="230"/>
      <c r="N380" s="230"/>
      <c r="O380" s="107">
        <v>0</v>
      </c>
      <c r="P380" s="231"/>
      <c r="Q380" s="230"/>
      <c r="R380" s="230"/>
      <c r="S380" s="230"/>
      <c r="T380" s="232"/>
    </row>
    <row r="381" spans="1:20" ht="12.75" x14ac:dyDescent="0.2">
      <c r="D381" s="75" t="str">
        <f t="shared" si="196"/>
        <v>Substations including Buildings (2004-09)</v>
      </c>
      <c r="E381" s="93" t="str">
        <f t="shared" si="200"/>
        <v>RFM / PTRM</v>
      </c>
      <c r="F381" s="93" t="str">
        <f t="shared" si="197"/>
        <v>Dollars</v>
      </c>
      <c r="G381" s="93" t="str">
        <f t="shared" si="198"/>
        <v>Nominal</v>
      </c>
      <c r="H381" s="50" t="str">
        <f t="shared" si="199"/>
        <v>End year</v>
      </c>
      <c r="J381" s="94">
        <v>0</v>
      </c>
      <c r="K381" s="230"/>
      <c r="L381" s="230"/>
      <c r="M381" s="230"/>
      <c r="N381" s="230"/>
      <c r="O381" s="107">
        <v>0</v>
      </c>
      <c r="P381" s="231"/>
      <c r="Q381" s="230"/>
      <c r="R381" s="230"/>
      <c r="S381" s="230"/>
      <c r="T381" s="232"/>
    </row>
    <row r="382" spans="1:20" ht="12.75" x14ac:dyDescent="0.2">
      <c r="D382" s="75" t="str">
        <f t="shared" si="196"/>
        <v>SCADA and Communications (2004-09)</v>
      </c>
      <c r="E382" s="93" t="str">
        <f t="shared" si="200"/>
        <v>RFM / PTRM</v>
      </c>
      <c r="F382" s="93" t="str">
        <f t="shared" si="197"/>
        <v>Dollars</v>
      </c>
      <c r="G382" s="93" t="str">
        <f t="shared" si="198"/>
        <v>Nominal</v>
      </c>
      <c r="H382" s="50" t="str">
        <f t="shared" si="199"/>
        <v>End year</v>
      </c>
      <c r="J382" s="94">
        <v>0</v>
      </c>
      <c r="K382" s="230"/>
      <c r="L382" s="230"/>
      <c r="M382" s="230"/>
      <c r="N382" s="230"/>
      <c r="O382" s="107">
        <v>0</v>
      </c>
      <c r="P382" s="231"/>
      <c r="Q382" s="230"/>
      <c r="R382" s="230"/>
      <c r="S382" s="230"/>
      <c r="T382" s="232"/>
    </row>
    <row r="383" spans="1:20" ht="12.75" x14ac:dyDescent="0.2">
      <c r="D383" s="75" t="str">
        <f t="shared" si="196"/>
        <v>Transmission Lines &amp; Cables (09-14)</v>
      </c>
      <c r="E383" s="93" t="str">
        <f t="shared" si="200"/>
        <v>RFM / PTRM</v>
      </c>
      <c r="F383" s="93" t="str">
        <f t="shared" si="197"/>
        <v>Dollars</v>
      </c>
      <c r="G383" s="93" t="str">
        <f t="shared" si="198"/>
        <v>Nominal</v>
      </c>
      <c r="H383" s="50" t="str">
        <f t="shared" si="199"/>
        <v>End year</v>
      </c>
      <c r="J383" s="94">
        <v>-6.3718715549768445</v>
      </c>
      <c r="K383" s="230"/>
      <c r="L383" s="230"/>
      <c r="M383" s="230"/>
      <c r="N383" s="230"/>
      <c r="O383" s="107">
        <v>0</v>
      </c>
      <c r="P383" s="231"/>
      <c r="Q383" s="230"/>
      <c r="R383" s="230"/>
      <c r="S383" s="230"/>
      <c r="T383" s="232"/>
    </row>
    <row r="384" spans="1:20" ht="12.75" x14ac:dyDescent="0.2">
      <c r="D384" s="75" t="str">
        <f t="shared" si="196"/>
        <v>Substations (09-14)</v>
      </c>
      <c r="E384" s="93" t="str">
        <f t="shared" si="200"/>
        <v>RFM / PTRM</v>
      </c>
      <c r="F384" s="93" t="str">
        <f t="shared" si="197"/>
        <v>Dollars</v>
      </c>
      <c r="G384" s="93" t="str">
        <f t="shared" si="198"/>
        <v>Nominal</v>
      </c>
      <c r="H384" s="50" t="str">
        <f t="shared" si="199"/>
        <v>End year</v>
      </c>
      <c r="J384" s="94">
        <v>-42.460599569176267</v>
      </c>
      <c r="K384" s="230"/>
      <c r="L384" s="230"/>
      <c r="M384" s="230"/>
      <c r="N384" s="230"/>
      <c r="O384" s="107">
        <v>0</v>
      </c>
      <c r="P384" s="231"/>
      <c r="Q384" s="230"/>
      <c r="R384" s="230"/>
      <c r="S384" s="230"/>
      <c r="T384" s="232"/>
    </row>
    <row r="385" spans="4:20" ht="12.75" x14ac:dyDescent="0.2">
      <c r="D385" s="75" t="str">
        <f t="shared" si="196"/>
        <v>Secondary Systems (09-14)</v>
      </c>
      <c r="E385" s="93" t="str">
        <f t="shared" si="200"/>
        <v>RFM / PTRM</v>
      </c>
      <c r="F385" s="93" t="str">
        <f t="shared" si="197"/>
        <v>Dollars</v>
      </c>
      <c r="G385" s="93" t="str">
        <f t="shared" si="198"/>
        <v>Nominal</v>
      </c>
      <c r="H385" s="50" t="str">
        <f t="shared" si="199"/>
        <v>End year</v>
      </c>
      <c r="J385" s="94">
        <v>-2.6938248379077714</v>
      </c>
      <c r="K385" s="230"/>
      <c r="L385" s="230"/>
      <c r="M385" s="230"/>
      <c r="N385" s="230"/>
      <c r="O385" s="107">
        <v>0</v>
      </c>
      <c r="P385" s="231"/>
      <c r="Q385" s="230"/>
      <c r="R385" s="230"/>
      <c r="S385" s="230"/>
      <c r="T385" s="232"/>
    </row>
    <row r="386" spans="4:20" ht="12.75" x14ac:dyDescent="0.2">
      <c r="D386" s="75" t="str">
        <f t="shared" si="196"/>
        <v>Communications (09-14)</v>
      </c>
      <c r="E386" s="93" t="str">
        <f t="shared" si="200"/>
        <v>RFM / PTRM</v>
      </c>
      <c r="F386" s="93" t="str">
        <f t="shared" si="197"/>
        <v>Dollars</v>
      </c>
      <c r="G386" s="93" t="str">
        <f t="shared" si="198"/>
        <v>Nominal</v>
      </c>
      <c r="H386" s="50" t="str">
        <f t="shared" si="199"/>
        <v>End year</v>
      </c>
      <c r="J386" s="94">
        <v>-9.7195153330529411</v>
      </c>
      <c r="K386" s="230"/>
      <c r="L386" s="230"/>
      <c r="M386" s="230"/>
      <c r="N386" s="230"/>
      <c r="O386" s="107">
        <v>0</v>
      </c>
      <c r="P386" s="231"/>
      <c r="Q386" s="230"/>
      <c r="R386" s="230"/>
      <c r="S386" s="230"/>
      <c r="T386" s="232"/>
    </row>
    <row r="387" spans="4:20" ht="12.75" x14ac:dyDescent="0.2">
      <c r="D387" s="75" t="str">
        <f t="shared" si="196"/>
        <v>Minor Plant, Motor Vehicles &amp; Mobile Plant (2009-14)</v>
      </c>
      <c r="E387" s="93" t="str">
        <f t="shared" si="200"/>
        <v>RFM / PTRM</v>
      </c>
      <c r="F387" s="93" t="str">
        <f t="shared" si="197"/>
        <v>Dollars</v>
      </c>
      <c r="G387" s="93" t="str">
        <f t="shared" si="198"/>
        <v>Nominal</v>
      </c>
      <c r="H387" s="50" t="str">
        <f t="shared" si="199"/>
        <v>End year</v>
      </c>
      <c r="J387" s="94">
        <v>0</v>
      </c>
      <c r="K387" s="230"/>
      <c r="L387" s="230"/>
      <c r="M387" s="230"/>
      <c r="N387" s="230"/>
      <c r="O387" s="107">
        <v>0</v>
      </c>
      <c r="P387" s="231"/>
      <c r="Q387" s="230"/>
      <c r="R387" s="230"/>
      <c r="S387" s="230"/>
      <c r="T387" s="232"/>
    </row>
    <row r="388" spans="4:20" ht="12.75" x14ac:dyDescent="0.2">
      <c r="D388" s="75" t="str">
        <f t="shared" si="196"/>
        <v>Transmission Lines (2014-18)</v>
      </c>
      <c r="E388" s="93" t="str">
        <f t="shared" si="200"/>
        <v>RFM / PTRM</v>
      </c>
      <c r="F388" s="93" t="str">
        <f t="shared" si="197"/>
        <v>Dollars</v>
      </c>
      <c r="G388" s="93" t="str">
        <f t="shared" si="198"/>
        <v>Nominal</v>
      </c>
      <c r="H388" s="50" t="str">
        <f t="shared" si="199"/>
        <v>End year</v>
      </c>
      <c r="J388" s="94">
        <v>0</v>
      </c>
      <c r="K388" s="230"/>
      <c r="L388" s="230"/>
      <c r="M388" s="230"/>
      <c r="N388" s="230"/>
      <c r="O388" s="107">
        <v>-93.692590548152808</v>
      </c>
      <c r="P388" s="231"/>
      <c r="Q388" s="230"/>
      <c r="R388" s="230"/>
      <c r="S388" s="230"/>
      <c r="T388" s="232"/>
    </row>
    <row r="389" spans="4:20" ht="12.75" x14ac:dyDescent="0.2">
      <c r="D389" s="75" t="str">
        <f t="shared" si="196"/>
        <v>Underground Cables (2014-18)</v>
      </c>
      <c r="E389" s="93" t="str">
        <f t="shared" si="200"/>
        <v>RFM / PTRM</v>
      </c>
      <c r="F389" s="93" t="str">
        <f t="shared" si="197"/>
        <v>Dollars</v>
      </c>
      <c r="G389" s="93" t="str">
        <f t="shared" si="198"/>
        <v>Nominal</v>
      </c>
      <c r="H389" s="50" t="str">
        <f t="shared" si="199"/>
        <v>End year</v>
      </c>
      <c r="J389" s="94">
        <v>0</v>
      </c>
      <c r="K389" s="230"/>
      <c r="L389" s="230"/>
      <c r="M389" s="230"/>
      <c r="N389" s="230"/>
      <c r="O389" s="107">
        <v>1.4770118706355397E-2</v>
      </c>
      <c r="P389" s="231"/>
      <c r="Q389" s="230"/>
      <c r="R389" s="230"/>
      <c r="S389" s="230"/>
      <c r="T389" s="232"/>
    </row>
    <row r="390" spans="4:20" ht="12.75" x14ac:dyDescent="0.2">
      <c r="D390" s="75" t="str">
        <f t="shared" si="196"/>
        <v>Substations (2014-18)</v>
      </c>
      <c r="E390" s="93" t="str">
        <f t="shared" si="200"/>
        <v>RFM / PTRM</v>
      </c>
      <c r="F390" s="93" t="str">
        <f t="shared" si="197"/>
        <v>Dollars</v>
      </c>
      <c r="G390" s="93" t="str">
        <f t="shared" si="198"/>
        <v>Nominal</v>
      </c>
      <c r="H390" s="50" t="str">
        <f t="shared" si="199"/>
        <v>End year</v>
      </c>
      <c r="J390" s="94">
        <v>0</v>
      </c>
      <c r="K390" s="230"/>
      <c r="L390" s="230"/>
      <c r="M390" s="230"/>
      <c r="N390" s="230"/>
      <c r="O390" s="107">
        <v>14.026863649826907</v>
      </c>
      <c r="P390" s="231"/>
      <c r="Q390" s="230"/>
      <c r="R390" s="230"/>
      <c r="S390" s="230"/>
      <c r="T390" s="232"/>
    </row>
    <row r="391" spans="4:20" ht="12.75" x14ac:dyDescent="0.2">
      <c r="D391" s="75" t="str">
        <f t="shared" si="196"/>
        <v>Secondary Systems (2014-18)</v>
      </c>
      <c r="E391" s="93" t="str">
        <f t="shared" si="200"/>
        <v>RFM / PTRM</v>
      </c>
      <c r="F391" s="93" t="str">
        <f t="shared" si="197"/>
        <v>Dollars</v>
      </c>
      <c r="G391" s="93" t="str">
        <f t="shared" si="198"/>
        <v>Nominal</v>
      </c>
      <c r="H391" s="50" t="str">
        <f t="shared" si="199"/>
        <v>End year</v>
      </c>
      <c r="J391" s="94">
        <v>0</v>
      </c>
      <c r="K391" s="230"/>
      <c r="L391" s="230"/>
      <c r="M391" s="230"/>
      <c r="N391" s="230"/>
      <c r="O391" s="107">
        <v>-27.332998556363684</v>
      </c>
      <c r="P391" s="231"/>
      <c r="Q391" s="230"/>
      <c r="R391" s="230"/>
      <c r="S391" s="230"/>
      <c r="T391" s="232"/>
    </row>
    <row r="392" spans="4:20" ht="12.75" x14ac:dyDescent="0.2">
      <c r="D392" s="75" t="str">
        <f t="shared" ref="D392:D425" si="201">D34</f>
        <v>Communications (short life) (2014-18)</v>
      </c>
      <c r="E392" s="93" t="str">
        <f t="shared" si="200"/>
        <v>RFM / PTRM</v>
      </c>
      <c r="F392" s="93" t="str">
        <f t="shared" si="197"/>
        <v>Dollars</v>
      </c>
      <c r="G392" s="93" t="str">
        <f t="shared" si="198"/>
        <v>Nominal</v>
      </c>
      <c r="H392" s="50" t="str">
        <f t="shared" si="199"/>
        <v>End year</v>
      </c>
      <c r="J392" s="94">
        <v>0</v>
      </c>
      <c r="K392" s="230"/>
      <c r="L392" s="230"/>
      <c r="M392" s="230"/>
      <c r="N392" s="230"/>
      <c r="O392" s="107">
        <v>-34.182050673080987</v>
      </c>
      <c r="P392" s="231"/>
      <c r="Q392" s="230"/>
      <c r="R392" s="230"/>
      <c r="S392" s="230"/>
      <c r="T392" s="232"/>
    </row>
    <row r="393" spans="4:20" ht="12.75" x14ac:dyDescent="0.2">
      <c r="D393" s="75" t="str">
        <f t="shared" si="201"/>
        <v>Business IT (2014-18)</v>
      </c>
      <c r="E393" s="93" t="str">
        <f t="shared" si="200"/>
        <v>RFM / PTRM</v>
      </c>
      <c r="F393" s="93" t="str">
        <f t="shared" si="197"/>
        <v>Dollars</v>
      </c>
      <c r="G393" s="93" t="str">
        <f t="shared" si="198"/>
        <v>Nominal</v>
      </c>
      <c r="H393" s="50" t="str">
        <f t="shared" si="199"/>
        <v>End year</v>
      </c>
      <c r="J393" s="94">
        <v>0</v>
      </c>
      <c r="K393" s="230"/>
      <c r="L393" s="230"/>
      <c r="M393" s="230"/>
      <c r="N393" s="230"/>
      <c r="O393" s="107">
        <v>-8.6331716859952508</v>
      </c>
      <c r="P393" s="231"/>
      <c r="Q393" s="230"/>
      <c r="R393" s="230"/>
      <c r="S393" s="230"/>
      <c r="T393" s="232"/>
    </row>
    <row r="394" spans="4:20" ht="12.75" x14ac:dyDescent="0.2">
      <c r="D394" s="75" t="str">
        <f t="shared" si="201"/>
        <v>Minor Plant, Motor Vehicles &amp; Mobile Plant (2014-18)</v>
      </c>
      <c r="E394" s="93" t="str">
        <f t="shared" si="200"/>
        <v>RFM / PTRM</v>
      </c>
      <c r="F394" s="93" t="str">
        <f t="shared" si="197"/>
        <v>Dollars</v>
      </c>
      <c r="G394" s="93" t="str">
        <f t="shared" si="198"/>
        <v>Nominal</v>
      </c>
      <c r="H394" s="50" t="str">
        <f t="shared" si="199"/>
        <v>End year</v>
      </c>
      <c r="J394" s="94">
        <v>0</v>
      </c>
      <c r="K394" s="230"/>
      <c r="L394" s="230"/>
      <c r="M394" s="230"/>
      <c r="N394" s="230"/>
      <c r="O394" s="107">
        <v>-2.2432839683126131</v>
      </c>
      <c r="P394" s="231"/>
      <c r="Q394" s="230"/>
      <c r="R394" s="230"/>
      <c r="S394" s="230"/>
      <c r="T394" s="232"/>
    </row>
    <row r="395" spans="4:20" ht="12.75" x14ac:dyDescent="0.2">
      <c r="D395" s="75" t="str">
        <f t="shared" si="201"/>
        <v>Transmission Line Life Extension (2014-18)</v>
      </c>
      <c r="E395" s="93" t="str">
        <f t="shared" si="200"/>
        <v>RFM / PTRM</v>
      </c>
      <c r="F395" s="93" t="str">
        <f t="shared" si="197"/>
        <v>Dollars</v>
      </c>
      <c r="G395" s="93" t="str">
        <f t="shared" si="198"/>
        <v>Nominal</v>
      </c>
      <c r="H395" s="50" t="str">
        <f t="shared" si="199"/>
        <v>End year</v>
      </c>
      <c r="J395" s="94">
        <v>0</v>
      </c>
      <c r="K395" s="230"/>
      <c r="L395" s="230"/>
      <c r="M395" s="230"/>
      <c r="N395" s="230"/>
      <c r="O395" s="107">
        <v>-0.72322668358986497</v>
      </c>
      <c r="P395" s="231"/>
      <c r="Q395" s="230"/>
      <c r="R395" s="230"/>
      <c r="S395" s="230"/>
      <c r="T395" s="232"/>
    </row>
    <row r="396" spans="4:20" ht="12.75" x14ac:dyDescent="0.2">
      <c r="D396" s="75" t="str">
        <f t="shared" si="201"/>
        <v>Residual - other</v>
      </c>
      <c r="E396" s="93" t="str">
        <f t="shared" si="200"/>
        <v>RFM / PTRM</v>
      </c>
      <c r="F396" s="93" t="str">
        <f t="shared" si="197"/>
        <v>Dollars</v>
      </c>
      <c r="G396" s="93" t="str">
        <f t="shared" si="198"/>
        <v>Nominal</v>
      </c>
      <c r="H396" s="50" t="str">
        <f t="shared" si="199"/>
        <v>End year</v>
      </c>
      <c r="J396" s="94">
        <v>0</v>
      </c>
      <c r="K396" s="230"/>
      <c r="L396" s="230"/>
      <c r="M396" s="230"/>
      <c r="N396" s="230"/>
      <c r="O396" s="107">
        <v>0</v>
      </c>
      <c r="P396" s="231"/>
      <c r="Q396" s="230"/>
      <c r="R396" s="230"/>
      <c r="S396" s="230"/>
      <c r="T396" s="232"/>
    </row>
    <row r="397" spans="4:20" ht="12.75" x14ac:dyDescent="0.2">
      <c r="D397" s="75" t="str">
        <f t="shared" si="201"/>
        <v>Transmission Lines (2018 onwards)</v>
      </c>
      <c r="E397" s="93" t="str">
        <f t="shared" si="200"/>
        <v>RFM / PTRM</v>
      </c>
      <c r="F397" s="93" t="str">
        <f t="shared" si="197"/>
        <v>Dollars</v>
      </c>
      <c r="G397" s="93" t="str">
        <f t="shared" si="198"/>
        <v>Nominal</v>
      </c>
      <c r="H397" s="50" t="str">
        <f t="shared" si="199"/>
        <v>End year</v>
      </c>
      <c r="J397" s="94">
        <v>0</v>
      </c>
      <c r="K397" s="230"/>
      <c r="L397" s="230"/>
      <c r="M397" s="230"/>
      <c r="N397" s="230"/>
      <c r="O397" s="107">
        <v>0</v>
      </c>
      <c r="P397" s="231"/>
      <c r="Q397" s="230"/>
      <c r="R397" s="230"/>
      <c r="S397" s="230"/>
      <c r="T397" s="232"/>
    </row>
    <row r="398" spans="4:20" ht="12.75" x14ac:dyDescent="0.2">
      <c r="D398" s="75" t="str">
        <f t="shared" si="201"/>
        <v>Underground Cables (2018 onwards)</v>
      </c>
      <c r="E398" s="93" t="str">
        <f t="shared" si="200"/>
        <v>RFM / PTRM</v>
      </c>
      <c r="F398" s="93" t="str">
        <f t="shared" si="197"/>
        <v>Dollars</v>
      </c>
      <c r="G398" s="93" t="str">
        <f t="shared" si="198"/>
        <v>Nominal</v>
      </c>
      <c r="H398" s="50" t="str">
        <f t="shared" si="199"/>
        <v>End year</v>
      </c>
      <c r="J398" s="94">
        <v>0</v>
      </c>
      <c r="K398" s="230"/>
      <c r="L398" s="230"/>
      <c r="M398" s="230"/>
      <c r="N398" s="230"/>
      <c r="O398" s="107">
        <v>0</v>
      </c>
      <c r="P398" s="231"/>
      <c r="Q398" s="230"/>
      <c r="R398" s="230"/>
      <c r="S398" s="230"/>
      <c r="T398" s="232"/>
    </row>
    <row r="399" spans="4:20" ht="12.75" x14ac:dyDescent="0.2">
      <c r="D399" s="75" t="str">
        <f t="shared" si="201"/>
        <v>Substations (2018 onwards)</v>
      </c>
      <c r="E399" s="93" t="str">
        <f t="shared" si="200"/>
        <v>RFM / PTRM</v>
      </c>
      <c r="F399" s="93" t="str">
        <f t="shared" si="197"/>
        <v>Dollars</v>
      </c>
      <c r="G399" s="93" t="str">
        <f t="shared" si="198"/>
        <v>Nominal</v>
      </c>
      <c r="H399" s="50" t="str">
        <f t="shared" si="199"/>
        <v>End year</v>
      </c>
      <c r="J399" s="94">
        <v>0</v>
      </c>
      <c r="K399" s="230"/>
      <c r="L399" s="230"/>
      <c r="M399" s="230"/>
      <c r="N399" s="230"/>
      <c r="O399" s="107">
        <v>0</v>
      </c>
      <c r="P399" s="231"/>
      <c r="Q399" s="230"/>
      <c r="R399" s="230"/>
      <c r="S399" s="230"/>
      <c r="T399" s="232"/>
    </row>
    <row r="400" spans="4:20" ht="12.75" x14ac:dyDescent="0.2">
      <c r="D400" s="75" t="str">
        <f t="shared" si="201"/>
        <v>Secondary Systems (2018 onwards)</v>
      </c>
      <c r="E400" s="93" t="str">
        <f t="shared" si="200"/>
        <v>RFM / PTRM</v>
      </c>
      <c r="F400" s="93" t="str">
        <f t="shared" si="197"/>
        <v>Dollars</v>
      </c>
      <c r="G400" s="93" t="str">
        <f t="shared" si="198"/>
        <v>Nominal</v>
      </c>
      <c r="H400" s="50" t="str">
        <f t="shared" si="199"/>
        <v>End year</v>
      </c>
      <c r="J400" s="94">
        <v>0</v>
      </c>
      <c r="K400" s="230"/>
      <c r="L400" s="230"/>
      <c r="M400" s="230"/>
      <c r="N400" s="230"/>
      <c r="O400" s="107">
        <v>0</v>
      </c>
      <c r="P400" s="231"/>
      <c r="Q400" s="230"/>
      <c r="R400" s="230"/>
      <c r="S400" s="230"/>
      <c r="T400" s="232"/>
    </row>
    <row r="401" spans="4:20" ht="12.75" x14ac:dyDescent="0.2">
      <c r="D401" s="75" t="str">
        <f t="shared" si="201"/>
        <v>Communications (short life) (2018 onwards)</v>
      </c>
      <c r="E401" s="93" t="str">
        <f t="shared" si="200"/>
        <v>RFM / PTRM</v>
      </c>
      <c r="F401" s="93" t="str">
        <f t="shared" si="197"/>
        <v>Dollars</v>
      </c>
      <c r="G401" s="93" t="str">
        <f t="shared" si="198"/>
        <v>Nominal</v>
      </c>
      <c r="H401" s="50" t="str">
        <f t="shared" si="199"/>
        <v>End year</v>
      </c>
      <c r="J401" s="94">
        <v>0</v>
      </c>
      <c r="K401" s="230"/>
      <c r="L401" s="230"/>
      <c r="M401" s="230"/>
      <c r="N401" s="230"/>
      <c r="O401" s="107">
        <v>0</v>
      </c>
      <c r="P401" s="231"/>
      <c r="Q401" s="230"/>
      <c r="R401" s="230"/>
      <c r="S401" s="230"/>
      <c r="T401" s="232"/>
    </row>
    <row r="402" spans="4:20" ht="12.75" x14ac:dyDescent="0.2">
      <c r="D402" s="75" t="str">
        <f t="shared" si="201"/>
        <v>Business IT (2018 onwards)</v>
      </c>
      <c r="E402" s="93" t="str">
        <f t="shared" si="200"/>
        <v>RFM / PTRM</v>
      </c>
      <c r="F402" s="93" t="str">
        <f t="shared" si="197"/>
        <v>Dollars</v>
      </c>
      <c r="G402" s="93" t="str">
        <f t="shared" si="198"/>
        <v>Nominal</v>
      </c>
      <c r="H402" s="50" t="str">
        <f t="shared" si="199"/>
        <v>End year</v>
      </c>
      <c r="J402" s="94">
        <v>0</v>
      </c>
      <c r="K402" s="230"/>
      <c r="L402" s="230"/>
      <c r="M402" s="230"/>
      <c r="N402" s="230"/>
      <c r="O402" s="107">
        <v>0</v>
      </c>
      <c r="P402" s="231"/>
      <c r="Q402" s="230"/>
      <c r="R402" s="230"/>
      <c r="S402" s="230"/>
      <c r="T402" s="232"/>
    </row>
    <row r="403" spans="4:20" ht="12.75" x14ac:dyDescent="0.2">
      <c r="D403" s="75" t="str">
        <f t="shared" si="201"/>
        <v>Minor Plant, Motor Vehicles &amp; Mobile Plant (2018 onwards)</v>
      </c>
      <c r="E403" s="93" t="str">
        <f t="shared" si="200"/>
        <v>RFM / PTRM</v>
      </c>
      <c r="F403" s="93" t="str">
        <f t="shared" si="197"/>
        <v>Dollars</v>
      </c>
      <c r="G403" s="93" t="str">
        <f t="shared" si="198"/>
        <v>Nominal</v>
      </c>
      <c r="H403" s="50" t="str">
        <f t="shared" si="199"/>
        <v>End year</v>
      </c>
      <c r="J403" s="94">
        <v>0</v>
      </c>
      <c r="K403" s="230"/>
      <c r="L403" s="230"/>
      <c r="M403" s="230"/>
      <c r="N403" s="230"/>
      <c r="O403" s="107">
        <v>0</v>
      </c>
      <c r="P403" s="231"/>
      <c r="Q403" s="230"/>
      <c r="R403" s="230"/>
      <c r="S403" s="230"/>
      <c r="T403" s="232"/>
    </row>
    <row r="404" spans="4:20" ht="12.75" x14ac:dyDescent="0.2">
      <c r="D404" s="75" t="str">
        <f t="shared" si="201"/>
        <v>Transmission Line Life Extension (2018 onwards)</v>
      </c>
      <c r="E404" s="93" t="str">
        <f t="shared" si="200"/>
        <v>RFM / PTRM</v>
      </c>
      <c r="F404" s="93" t="str">
        <f t="shared" si="197"/>
        <v>Dollars</v>
      </c>
      <c r="G404" s="93" t="str">
        <f t="shared" si="198"/>
        <v>Nominal</v>
      </c>
      <c r="H404" s="50" t="str">
        <f t="shared" si="199"/>
        <v>End year</v>
      </c>
      <c r="J404" s="94">
        <v>0</v>
      </c>
      <c r="K404" s="230"/>
      <c r="L404" s="230"/>
      <c r="M404" s="230"/>
      <c r="N404" s="230"/>
      <c r="O404" s="107">
        <v>0</v>
      </c>
      <c r="P404" s="231"/>
      <c r="Q404" s="230"/>
      <c r="R404" s="230"/>
      <c r="S404" s="230"/>
      <c r="T404" s="232"/>
    </row>
    <row r="405" spans="4:20" ht="12.75" x14ac:dyDescent="0.2">
      <c r="D405" s="75" t="str">
        <f t="shared" si="201"/>
        <v xml:space="preserve">Land and Easements </v>
      </c>
      <c r="E405" s="93" t="str">
        <f t="shared" si="200"/>
        <v>RFM / PTRM</v>
      </c>
      <c r="F405" s="93" t="str">
        <f t="shared" si="197"/>
        <v>Dollars</v>
      </c>
      <c r="G405" s="93" t="str">
        <f t="shared" si="198"/>
        <v>Nominal</v>
      </c>
      <c r="H405" s="50" t="str">
        <f t="shared" si="199"/>
        <v>End year</v>
      </c>
      <c r="J405" s="94">
        <v>7.3442565981036712</v>
      </c>
      <c r="K405" s="230"/>
      <c r="L405" s="230"/>
      <c r="M405" s="230"/>
      <c r="N405" s="230"/>
      <c r="O405" s="107">
        <v>-9.8903335698482859</v>
      </c>
      <c r="P405" s="231"/>
      <c r="Q405" s="230"/>
      <c r="R405" s="230"/>
      <c r="S405" s="230"/>
      <c r="T405" s="232"/>
    </row>
    <row r="406" spans="4:20" ht="12.75" x14ac:dyDescent="0.2">
      <c r="D406" s="75" t="str">
        <f t="shared" si="201"/>
        <v>Synchronous Condensers</v>
      </c>
      <c r="E406" s="93" t="str">
        <f t="shared" si="200"/>
        <v>RFM / PTRM</v>
      </c>
      <c r="F406" s="93" t="str">
        <f t="shared" si="197"/>
        <v>Dollars</v>
      </c>
      <c r="G406" s="93" t="str">
        <f t="shared" si="198"/>
        <v>Nominal</v>
      </c>
      <c r="H406" s="50" t="str">
        <f t="shared" si="199"/>
        <v>End year</v>
      </c>
      <c r="J406" s="94">
        <v>0</v>
      </c>
      <c r="K406" s="230"/>
      <c r="L406" s="230"/>
      <c r="M406" s="230"/>
      <c r="N406" s="230"/>
      <c r="O406" s="107">
        <v>0</v>
      </c>
      <c r="P406" s="231"/>
      <c r="Q406" s="230"/>
      <c r="R406" s="230"/>
      <c r="S406" s="230"/>
      <c r="T406" s="232"/>
    </row>
    <row r="407" spans="4:20" ht="12.75" x14ac:dyDescent="0.2">
      <c r="D407" s="75" t="str">
        <f t="shared" si="201"/>
        <v>Leasehold Land and Property</v>
      </c>
      <c r="E407" s="93" t="str">
        <f t="shared" si="200"/>
        <v>RFM / PTRM</v>
      </c>
      <c r="F407" s="93" t="str">
        <f t="shared" si="197"/>
        <v>Dollars</v>
      </c>
      <c r="G407" s="93" t="str">
        <f t="shared" si="198"/>
        <v>Nominal</v>
      </c>
      <c r="H407" s="50" t="str">
        <f t="shared" si="199"/>
        <v>End year</v>
      </c>
      <c r="J407" s="94">
        <v>0</v>
      </c>
      <c r="K407" s="230"/>
      <c r="L407" s="230"/>
      <c r="M407" s="230"/>
      <c r="N407" s="230"/>
      <c r="O407" s="107">
        <v>0</v>
      </c>
      <c r="P407" s="231"/>
      <c r="Q407" s="230"/>
      <c r="R407" s="230"/>
      <c r="S407" s="230"/>
      <c r="T407" s="232"/>
    </row>
    <row r="408" spans="4:20" ht="12.75" hidden="1" outlineLevel="1" x14ac:dyDescent="0.2">
      <c r="D408" s="75">
        <f t="shared" si="201"/>
        <v>0</v>
      </c>
      <c r="E408" s="93" t="str">
        <f t="shared" si="200"/>
        <v>RFM / PTRM</v>
      </c>
      <c r="F408" s="93" t="str">
        <f t="shared" si="197"/>
        <v>Dollars</v>
      </c>
      <c r="G408" s="93" t="str">
        <f t="shared" si="198"/>
        <v>Nominal</v>
      </c>
      <c r="H408" s="50" t="str">
        <f t="shared" si="199"/>
        <v>End year</v>
      </c>
      <c r="J408" s="94">
        <v>0</v>
      </c>
      <c r="K408" s="230"/>
      <c r="L408" s="230"/>
      <c r="M408" s="230"/>
      <c r="N408" s="230"/>
      <c r="O408" s="107">
        <v>0</v>
      </c>
      <c r="P408" s="231"/>
      <c r="Q408" s="230"/>
      <c r="R408" s="230"/>
      <c r="S408" s="230"/>
      <c r="T408" s="232"/>
    </row>
    <row r="409" spans="4:20" ht="12.75" hidden="1" outlineLevel="1" x14ac:dyDescent="0.2">
      <c r="D409" s="75">
        <f t="shared" si="201"/>
        <v>0</v>
      </c>
      <c r="E409" s="93" t="str">
        <f t="shared" si="200"/>
        <v>RFM / PTRM</v>
      </c>
      <c r="F409" s="93" t="str">
        <f t="shared" si="197"/>
        <v>Dollars</v>
      </c>
      <c r="G409" s="93" t="str">
        <f t="shared" si="198"/>
        <v>Nominal</v>
      </c>
      <c r="H409" s="50" t="str">
        <f t="shared" si="199"/>
        <v>End year</v>
      </c>
      <c r="J409" s="94">
        <v>0</v>
      </c>
      <c r="K409" s="230"/>
      <c r="L409" s="230"/>
      <c r="M409" s="230"/>
      <c r="N409" s="230"/>
      <c r="O409" s="107">
        <v>0</v>
      </c>
      <c r="P409" s="231"/>
      <c r="Q409" s="230"/>
      <c r="R409" s="230"/>
      <c r="S409" s="230"/>
      <c r="T409" s="232"/>
    </row>
    <row r="410" spans="4:20" ht="12.75" hidden="1" outlineLevel="1" x14ac:dyDescent="0.2">
      <c r="D410" s="75">
        <f t="shared" si="201"/>
        <v>0</v>
      </c>
      <c r="E410" s="93" t="str">
        <f t="shared" si="200"/>
        <v>RFM / PTRM</v>
      </c>
      <c r="F410" s="93" t="str">
        <f t="shared" si="197"/>
        <v>Dollars</v>
      </c>
      <c r="G410" s="93" t="str">
        <f t="shared" si="198"/>
        <v>Nominal</v>
      </c>
      <c r="H410" s="50" t="str">
        <f t="shared" si="199"/>
        <v>End year</v>
      </c>
      <c r="J410" s="94">
        <v>0</v>
      </c>
      <c r="K410" s="230"/>
      <c r="L410" s="230"/>
      <c r="M410" s="230"/>
      <c r="N410" s="230"/>
      <c r="O410" s="107">
        <v>0</v>
      </c>
      <c r="P410" s="231"/>
      <c r="Q410" s="230"/>
      <c r="R410" s="230"/>
      <c r="S410" s="230"/>
      <c r="T410" s="232"/>
    </row>
    <row r="411" spans="4:20" ht="12.75" hidden="1" outlineLevel="1" x14ac:dyDescent="0.2">
      <c r="D411" s="75">
        <f t="shared" si="201"/>
        <v>0</v>
      </c>
      <c r="E411" s="93" t="str">
        <f t="shared" si="200"/>
        <v>RFM / PTRM</v>
      </c>
      <c r="F411" s="93" t="str">
        <f t="shared" si="197"/>
        <v>Dollars</v>
      </c>
      <c r="G411" s="93" t="str">
        <f t="shared" si="198"/>
        <v>Nominal</v>
      </c>
      <c r="H411" s="50" t="str">
        <f t="shared" si="199"/>
        <v>End year</v>
      </c>
      <c r="J411" s="94">
        <v>0</v>
      </c>
      <c r="K411" s="230"/>
      <c r="L411" s="230"/>
      <c r="M411" s="230"/>
      <c r="N411" s="230"/>
      <c r="O411" s="107">
        <v>0</v>
      </c>
      <c r="P411" s="231"/>
      <c r="Q411" s="230"/>
      <c r="R411" s="230"/>
      <c r="S411" s="230"/>
      <c r="T411" s="232"/>
    </row>
    <row r="412" spans="4:20" ht="12.75" hidden="1" outlineLevel="1" x14ac:dyDescent="0.2">
      <c r="D412" s="75">
        <f t="shared" si="201"/>
        <v>0</v>
      </c>
      <c r="E412" s="93" t="str">
        <f t="shared" si="200"/>
        <v>RFM / PTRM</v>
      </c>
      <c r="F412" s="93" t="str">
        <f t="shared" si="197"/>
        <v>Dollars</v>
      </c>
      <c r="G412" s="93" t="str">
        <f t="shared" si="198"/>
        <v>Nominal</v>
      </c>
      <c r="H412" s="50" t="str">
        <f t="shared" si="199"/>
        <v>End year</v>
      </c>
      <c r="J412" s="94">
        <v>0</v>
      </c>
      <c r="K412" s="230"/>
      <c r="L412" s="230"/>
      <c r="M412" s="230"/>
      <c r="N412" s="230"/>
      <c r="O412" s="107">
        <v>0</v>
      </c>
      <c r="P412" s="231"/>
      <c r="Q412" s="230"/>
      <c r="R412" s="230"/>
      <c r="S412" s="230"/>
      <c r="T412" s="232"/>
    </row>
    <row r="413" spans="4:20" ht="12.75" hidden="1" outlineLevel="1" x14ac:dyDescent="0.2">
      <c r="D413" s="75">
        <f t="shared" si="201"/>
        <v>0</v>
      </c>
      <c r="E413" s="93" t="str">
        <f t="shared" si="200"/>
        <v>RFM / PTRM</v>
      </c>
      <c r="F413" s="93" t="str">
        <f t="shared" si="197"/>
        <v>Dollars</v>
      </c>
      <c r="G413" s="93" t="str">
        <f t="shared" si="198"/>
        <v>Nominal</v>
      </c>
      <c r="H413" s="50" t="str">
        <f t="shared" si="199"/>
        <v>End year</v>
      </c>
      <c r="J413" s="94">
        <v>0</v>
      </c>
      <c r="K413" s="230"/>
      <c r="L413" s="230"/>
      <c r="M413" s="230"/>
      <c r="N413" s="230"/>
      <c r="O413" s="107">
        <v>0</v>
      </c>
      <c r="P413" s="231"/>
      <c r="Q413" s="230"/>
      <c r="R413" s="230"/>
      <c r="S413" s="230"/>
      <c r="T413" s="232"/>
    </row>
    <row r="414" spans="4:20" ht="12.75" hidden="1" outlineLevel="1" x14ac:dyDescent="0.2">
      <c r="D414" s="75">
        <f t="shared" si="201"/>
        <v>0</v>
      </c>
      <c r="E414" s="93" t="str">
        <f t="shared" si="200"/>
        <v>RFM / PTRM</v>
      </c>
      <c r="F414" s="93" t="str">
        <f t="shared" si="197"/>
        <v>Dollars</v>
      </c>
      <c r="G414" s="93" t="str">
        <f t="shared" si="198"/>
        <v>Nominal</v>
      </c>
      <c r="H414" s="50" t="str">
        <f t="shared" si="199"/>
        <v>End year</v>
      </c>
      <c r="J414" s="94">
        <v>0</v>
      </c>
      <c r="K414" s="230"/>
      <c r="L414" s="230"/>
      <c r="M414" s="230"/>
      <c r="N414" s="230"/>
      <c r="O414" s="107">
        <v>0</v>
      </c>
      <c r="P414" s="231"/>
      <c r="Q414" s="230"/>
      <c r="R414" s="230"/>
      <c r="S414" s="230"/>
      <c r="T414" s="232"/>
    </row>
    <row r="415" spans="4:20" ht="12.75" hidden="1" outlineLevel="1" x14ac:dyDescent="0.2">
      <c r="D415" s="75">
        <f t="shared" si="201"/>
        <v>0</v>
      </c>
      <c r="E415" s="93" t="str">
        <f t="shared" si="200"/>
        <v>RFM / PTRM</v>
      </c>
      <c r="F415" s="93" t="str">
        <f t="shared" si="197"/>
        <v>Dollars</v>
      </c>
      <c r="G415" s="93" t="str">
        <f t="shared" si="198"/>
        <v>Nominal</v>
      </c>
      <c r="H415" s="50" t="str">
        <f t="shared" si="199"/>
        <v>End year</v>
      </c>
      <c r="J415" s="94">
        <v>0</v>
      </c>
      <c r="K415" s="230"/>
      <c r="L415" s="230"/>
      <c r="M415" s="230"/>
      <c r="N415" s="230"/>
      <c r="O415" s="107">
        <v>0</v>
      </c>
      <c r="P415" s="231"/>
      <c r="Q415" s="230"/>
      <c r="R415" s="230"/>
      <c r="S415" s="230"/>
      <c r="T415" s="232"/>
    </row>
    <row r="416" spans="4:20" ht="12.75" hidden="1" outlineLevel="1" x14ac:dyDescent="0.2">
      <c r="D416" s="75">
        <f t="shared" si="201"/>
        <v>0</v>
      </c>
      <c r="E416" s="93" t="str">
        <f t="shared" si="200"/>
        <v>RFM / PTRM</v>
      </c>
      <c r="F416" s="93" t="str">
        <f t="shared" si="197"/>
        <v>Dollars</v>
      </c>
      <c r="G416" s="93" t="str">
        <f t="shared" si="198"/>
        <v>Nominal</v>
      </c>
      <c r="H416" s="50" t="str">
        <f t="shared" si="199"/>
        <v>End year</v>
      </c>
      <c r="J416" s="94">
        <v>0</v>
      </c>
      <c r="K416" s="230"/>
      <c r="L416" s="230"/>
      <c r="M416" s="230"/>
      <c r="N416" s="230"/>
      <c r="O416" s="107">
        <v>0</v>
      </c>
      <c r="P416" s="231"/>
      <c r="Q416" s="230"/>
      <c r="R416" s="230"/>
      <c r="S416" s="230"/>
      <c r="T416" s="232"/>
    </row>
    <row r="417" spans="1:20" ht="12.75" hidden="1" outlineLevel="1" x14ac:dyDescent="0.2">
      <c r="D417" s="75">
        <f t="shared" si="201"/>
        <v>0</v>
      </c>
      <c r="E417" s="93" t="str">
        <f t="shared" si="200"/>
        <v>RFM / PTRM</v>
      </c>
      <c r="F417" s="93" t="str">
        <f t="shared" si="197"/>
        <v>Dollars</v>
      </c>
      <c r="G417" s="93" t="str">
        <f t="shared" si="198"/>
        <v>Nominal</v>
      </c>
      <c r="H417" s="50" t="str">
        <f t="shared" si="199"/>
        <v>End year</v>
      </c>
      <c r="J417" s="94">
        <v>0</v>
      </c>
      <c r="K417" s="230"/>
      <c r="L417" s="230"/>
      <c r="M417" s="230"/>
      <c r="N417" s="230"/>
      <c r="O417" s="107">
        <v>0</v>
      </c>
      <c r="P417" s="231"/>
      <c r="Q417" s="230"/>
      <c r="R417" s="230"/>
      <c r="S417" s="230"/>
      <c r="T417" s="232"/>
    </row>
    <row r="418" spans="1:20" ht="12.75" hidden="1" outlineLevel="1" x14ac:dyDescent="0.2">
      <c r="D418" s="75">
        <f t="shared" si="201"/>
        <v>0</v>
      </c>
      <c r="E418" s="93" t="str">
        <f t="shared" si="200"/>
        <v>RFM / PTRM</v>
      </c>
      <c r="F418" s="93" t="str">
        <f t="shared" si="197"/>
        <v>Dollars</v>
      </c>
      <c r="G418" s="93" t="str">
        <f t="shared" si="198"/>
        <v>Nominal</v>
      </c>
      <c r="H418" s="50" t="str">
        <f t="shared" si="199"/>
        <v>End year</v>
      </c>
      <c r="J418" s="94">
        <v>0</v>
      </c>
      <c r="K418" s="230"/>
      <c r="L418" s="230"/>
      <c r="M418" s="230"/>
      <c r="N418" s="230"/>
      <c r="O418" s="107">
        <v>0</v>
      </c>
      <c r="P418" s="231"/>
      <c r="Q418" s="230"/>
      <c r="R418" s="230"/>
      <c r="S418" s="230"/>
      <c r="T418" s="232"/>
    </row>
    <row r="419" spans="1:20" ht="12.75" hidden="1" outlineLevel="1" x14ac:dyDescent="0.2">
      <c r="D419" s="75">
        <f t="shared" si="201"/>
        <v>0</v>
      </c>
      <c r="E419" s="93" t="str">
        <f t="shared" si="200"/>
        <v>RFM / PTRM</v>
      </c>
      <c r="F419" s="93" t="str">
        <f t="shared" si="197"/>
        <v>Dollars</v>
      </c>
      <c r="G419" s="93" t="str">
        <f t="shared" si="198"/>
        <v>Nominal</v>
      </c>
      <c r="H419" s="50" t="str">
        <f t="shared" si="199"/>
        <v>End year</v>
      </c>
      <c r="J419" s="94">
        <v>0</v>
      </c>
      <c r="K419" s="230"/>
      <c r="L419" s="230"/>
      <c r="M419" s="230"/>
      <c r="N419" s="230"/>
      <c r="O419" s="107">
        <v>0</v>
      </c>
      <c r="P419" s="231"/>
      <c r="Q419" s="230"/>
      <c r="R419" s="230"/>
      <c r="S419" s="230"/>
      <c r="T419" s="232"/>
    </row>
    <row r="420" spans="1:20" ht="12.75" hidden="1" outlineLevel="1" x14ac:dyDescent="0.2">
      <c r="D420" s="75">
        <f t="shared" si="201"/>
        <v>0</v>
      </c>
      <c r="E420" s="93" t="str">
        <f t="shared" si="200"/>
        <v>RFM / PTRM</v>
      </c>
      <c r="F420" s="93" t="str">
        <f t="shared" si="197"/>
        <v>Dollars</v>
      </c>
      <c r="G420" s="93" t="str">
        <f t="shared" si="198"/>
        <v>Nominal</v>
      </c>
      <c r="H420" s="50" t="str">
        <f t="shared" si="199"/>
        <v>End year</v>
      </c>
      <c r="J420" s="94">
        <v>0</v>
      </c>
      <c r="K420" s="230"/>
      <c r="L420" s="230"/>
      <c r="M420" s="230"/>
      <c r="N420" s="230"/>
      <c r="O420" s="107">
        <v>0</v>
      </c>
      <c r="P420" s="231"/>
      <c r="Q420" s="230"/>
      <c r="R420" s="230"/>
      <c r="S420" s="230"/>
      <c r="T420" s="232"/>
    </row>
    <row r="421" spans="1:20" ht="12.75" hidden="1" outlineLevel="1" x14ac:dyDescent="0.2">
      <c r="D421" s="75">
        <f t="shared" si="201"/>
        <v>0</v>
      </c>
      <c r="E421" s="93" t="str">
        <f t="shared" si="200"/>
        <v>RFM / PTRM</v>
      </c>
      <c r="F421" s="93" t="str">
        <f t="shared" si="197"/>
        <v>Dollars</v>
      </c>
      <c r="G421" s="93" t="str">
        <f t="shared" si="198"/>
        <v>Nominal</v>
      </c>
      <c r="H421" s="50" t="str">
        <f t="shared" si="199"/>
        <v>End year</v>
      </c>
      <c r="J421" s="94">
        <v>0</v>
      </c>
      <c r="K421" s="230"/>
      <c r="L421" s="230"/>
      <c r="M421" s="230"/>
      <c r="N421" s="230"/>
      <c r="O421" s="107">
        <v>0</v>
      </c>
      <c r="P421" s="231"/>
      <c r="Q421" s="230"/>
      <c r="R421" s="230"/>
      <c r="S421" s="230"/>
      <c r="T421" s="232"/>
    </row>
    <row r="422" spans="1:20" ht="12.75" hidden="1" outlineLevel="1" x14ac:dyDescent="0.2">
      <c r="D422" s="75">
        <f t="shared" si="201"/>
        <v>0</v>
      </c>
      <c r="E422" s="93" t="str">
        <f t="shared" si="200"/>
        <v>RFM / PTRM</v>
      </c>
      <c r="F422" s="93" t="str">
        <f t="shared" si="197"/>
        <v>Dollars</v>
      </c>
      <c r="G422" s="93" t="str">
        <f t="shared" si="198"/>
        <v>Nominal</v>
      </c>
      <c r="H422" s="50" t="str">
        <f t="shared" si="199"/>
        <v>End year</v>
      </c>
      <c r="J422" s="94">
        <v>0</v>
      </c>
      <c r="K422" s="230"/>
      <c r="L422" s="230"/>
      <c r="M422" s="230"/>
      <c r="N422" s="230"/>
      <c r="O422" s="107">
        <v>0</v>
      </c>
      <c r="P422" s="231"/>
      <c r="Q422" s="230"/>
      <c r="R422" s="230"/>
      <c r="S422" s="230"/>
      <c r="T422" s="232"/>
    </row>
    <row r="423" spans="1:20" ht="12.75" collapsed="1" x14ac:dyDescent="0.2">
      <c r="D423" s="75" t="str">
        <f t="shared" si="201"/>
        <v>Buildings - capital works</v>
      </c>
      <c r="E423" s="93" t="str">
        <f t="shared" si="200"/>
        <v>RFM / PTRM</v>
      </c>
      <c r="F423" s="93" t="str">
        <f t="shared" si="197"/>
        <v>Dollars</v>
      </c>
      <c r="G423" s="93" t="str">
        <f t="shared" si="198"/>
        <v>Nominal</v>
      </c>
      <c r="H423" s="50" t="str">
        <f t="shared" si="199"/>
        <v>End year</v>
      </c>
      <c r="J423" s="94">
        <v>0</v>
      </c>
      <c r="K423" s="230"/>
      <c r="L423" s="230"/>
      <c r="M423" s="230"/>
      <c r="N423" s="230"/>
      <c r="O423" s="107">
        <v>0</v>
      </c>
      <c r="P423" s="231"/>
      <c r="Q423" s="230"/>
      <c r="R423" s="230"/>
      <c r="S423" s="230"/>
      <c r="T423" s="232"/>
    </row>
    <row r="424" spans="1:20" ht="12.75" x14ac:dyDescent="0.2">
      <c r="D424" s="75" t="str">
        <f t="shared" si="201"/>
        <v>In-house software</v>
      </c>
      <c r="E424" s="93" t="str">
        <f t="shared" si="200"/>
        <v>RFM / PTRM</v>
      </c>
      <c r="F424" s="93" t="str">
        <f t="shared" si="197"/>
        <v>Dollars</v>
      </c>
      <c r="G424" s="93" t="str">
        <f t="shared" si="198"/>
        <v>Nominal</v>
      </c>
      <c r="H424" s="50" t="str">
        <f t="shared" si="199"/>
        <v>End year</v>
      </c>
      <c r="J424" s="94">
        <v>0</v>
      </c>
      <c r="K424" s="230"/>
      <c r="L424" s="230"/>
      <c r="M424" s="230"/>
      <c r="N424" s="230"/>
      <c r="O424" s="107">
        <v>0</v>
      </c>
      <c r="P424" s="231"/>
      <c r="Q424" s="230"/>
      <c r="R424" s="230"/>
      <c r="S424" s="230"/>
      <c r="T424" s="232"/>
    </row>
    <row r="425" spans="1:20" ht="12.75" x14ac:dyDescent="0.2">
      <c r="D425" s="75" t="str">
        <f t="shared" si="201"/>
        <v>Equity raising costs</v>
      </c>
      <c r="E425" s="93" t="str">
        <f t="shared" si="200"/>
        <v>RFM / PTRM</v>
      </c>
      <c r="F425" s="93" t="str">
        <f t="shared" si="197"/>
        <v>Dollars</v>
      </c>
      <c r="G425" s="93" t="str">
        <f t="shared" si="198"/>
        <v>Nominal</v>
      </c>
      <c r="H425" s="50" t="str">
        <f t="shared" si="199"/>
        <v>End year</v>
      </c>
      <c r="J425" s="94">
        <v>0</v>
      </c>
      <c r="K425" s="230"/>
      <c r="L425" s="230"/>
      <c r="M425" s="230"/>
      <c r="N425" s="230"/>
      <c r="O425" s="107">
        <v>0</v>
      </c>
      <c r="P425" s="231"/>
      <c r="Q425" s="230"/>
      <c r="R425" s="230"/>
      <c r="S425" s="230"/>
      <c r="T425" s="232"/>
    </row>
    <row r="426" spans="1:20" x14ac:dyDescent="0.2">
      <c r="J426" s="88"/>
      <c r="K426" s="89"/>
      <c r="L426" s="89"/>
      <c r="M426" s="89"/>
      <c r="N426" s="89"/>
      <c r="O426" s="91"/>
      <c r="P426" s="88"/>
      <c r="Q426" s="89"/>
      <c r="R426" s="89"/>
      <c r="S426" s="89"/>
      <c r="T426" s="91"/>
    </row>
    <row r="427" spans="1:20" ht="12.75" x14ac:dyDescent="0.2">
      <c r="D427" s="98" t="str">
        <f>"Total "&amp;C372</f>
        <v>Total Adjustments - [Note these are mapped into Actual additions (recognised in RAB) within the RAB template as there is no adjustment line]</v>
      </c>
      <c r="E427" s="99" t="s">
        <v>92</v>
      </c>
      <c r="F427" s="99" t="str">
        <f>F376</f>
        <v>Dollars</v>
      </c>
      <c r="G427" s="99" t="str">
        <f>G376</f>
        <v>Nominal</v>
      </c>
      <c r="H427" s="45" t="str">
        <f>H376</f>
        <v>End year</v>
      </c>
      <c r="J427" s="100">
        <f t="shared" ref="J427:T427" si="202">SUM(J376:J425)</f>
        <v>-53.901554697010148</v>
      </c>
      <c r="K427" s="101">
        <f t="shared" si="202"/>
        <v>0</v>
      </c>
      <c r="L427" s="101">
        <f t="shared" si="202"/>
        <v>0</v>
      </c>
      <c r="M427" s="101">
        <f t="shared" si="202"/>
        <v>0</v>
      </c>
      <c r="N427" s="101">
        <f t="shared" si="202"/>
        <v>0</v>
      </c>
      <c r="O427" s="102">
        <f t="shared" si="202"/>
        <v>-162.65602191681026</v>
      </c>
      <c r="P427" s="100">
        <f t="shared" si="202"/>
        <v>0</v>
      </c>
      <c r="Q427" s="101">
        <f t="shared" si="202"/>
        <v>0</v>
      </c>
      <c r="R427" s="101">
        <f t="shared" si="202"/>
        <v>0</v>
      </c>
      <c r="S427" s="101">
        <f t="shared" si="202"/>
        <v>0</v>
      </c>
      <c r="T427" s="102">
        <f t="shared" si="202"/>
        <v>0</v>
      </c>
    </row>
    <row r="428" spans="1:20" s="82" customFormat="1" ht="11.25" customHeight="1" x14ac:dyDescent="0.2">
      <c r="H428" s="6"/>
    </row>
    <row r="429" spans="1:20" s="82" customFormat="1" ht="11.25" customHeight="1" x14ac:dyDescent="0.2">
      <c r="A429" s="69">
        <f>IF(SUM($J429:$T429)&lt;&gt;0,1,0)</f>
        <v>0</v>
      </c>
      <c r="D429" s="75" t="s">
        <v>121</v>
      </c>
      <c r="H429" s="6"/>
      <c r="J429" s="103">
        <f t="shared" ref="J429:K429" si="203">IF(ISERROR(J427),1,0)</f>
        <v>0</v>
      </c>
      <c r="K429" s="103">
        <f t="shared" si="203"/>
        <v>0</v>
      </c>
      <c r="L429" s="103">
        <f>IF(ISERROR(L427),1,0)</f>
        <v>0</v>
      </c>
      <c r="M429" s="103">
        <f t="shared" ref="M429:P429" si="204">IF(ISERROR(M427),1,0)</f>
        <v>0</v>
      </c>
      <c r="N429" s="103">
        <f t="shared" si="204"/>
        <v>0</v>
      </c>
      <c r="O429" s="103">
        <f t="shared" si="204"/>
        <v>0</v>
      </c>
      <c r="P429" s="109">
        <f t="shared" si="204"/>
        <v>0</v>
      </c>
      <c r="Q429" s="103">
        <f>IF(ISERROR(Q427),1,0)</f>
        <v>0</v>
      </c>
      <c r="R429" s="103">
        <f t="shared" ref="R429:T429" si="205">IF(ISERROR(R427),1,0)</f>
        <v>0</v>
      </c>
      <c r="S429" s="103">
        <f t="shared" si="205"/>
        <v>0</v>
      </c>
      <c r="T429" s="110">
        <f t="shared" si="205"/>
        <v>0</v>
      </c>
    </row>
    <row r="430" spans="1:20" s="82" customFormat="1" ht="11.25" customHeight="1" x14ac:dyDescent="0.2">
      <c r="A430" s="69">
        <f>IF(SUM($J430:$T430)&lt;&gt;0,1,0)</f>
        <v>0</v>
      </c>
      <c r="D430" s="75" t="s">
        <v>122</v>
      </c>
      <c r="H430" s="6"/>
      <c r="J430" s="103">
        <v>0</v>
      </c>
      <c r="K430" s="103">
        <v>0</v>
      </c>
      <c r="L430" s="103">
        <v>0</v>
      </c>
      <c r="M430" s="103">
        <v>0</v>
      </c>
      <c r="N430" s="103">
        <v>0</v>
      </c>
      <c r="O430" s="103">
        <v>0</v>
      </c>
      <c r="P430" s="109" t="str">
        <f>NA</f>
        <v>N/A</v>
      </c>
      <c r="Q430" s="103" t="str">
        <f>NA</f>
        <v>N/A</v>
      </c>
      <c r="R430" s="103" t="str">
        <f>NA</f>
        <v>N/A</v>
      </c>
      <c r="S430" s="103" t="str">
        <f>NA</f>
        <v>N/A</v>
      </c>
      <c r="T430" s="110" t="str">
        <f>NA</f>
        <v>N/A</v>
      </c>
    </row>
    <row r="432" spans="1:20" s="83" customFormat="1" ht="15" x14ac:dyDescent="0.2">
      <c r="C432" s="83" t="s">
        <v>282</v>
      </c>
      <c r="H432" s="13"/>
    </row>
    <row r="433" spans="4:20" s="82" customFormat="1" ht="11.25" customHeight="1" x14ac:dyDescent="0.2">
      <c r="H433" s="6"/>
    </row>
    <row r="434" spans="4:20" ht="12.75" x14ac:dyDescent="0.2">
      <c r="D434" s="84" t="str">
        <f>D$16</f>
        <v>RAB Asset Class</v>
      </c>
      <c r="E434" s="85" t="str">
        <f>Lookup!E$20</f>
        <v>Source</v>
      </c>
      <c r="F434" s="85" t="str">
        <f>Lookup!F$20</f>
        <v>Unit</v>
      </c>
      <c r="G434" s="85" t="str">
        <f>Lookup!G$20</f>
        <v>Basis</v>
      </c>
      <c r="H434" s="43" t="str">
        <f>Lookup!H$20</f>
        <v>Timing</v>
      </c>
      <c r="J434" s="86" t="str">
        <f t="shared" ref="J434:T434" si="206">J$10</f>
        <v>RY18</v>
      </c>
      <c r="K434" s="85" t="str">
        <f t="shared" si="206"/>
        <v>RY19</v>
      </c>
      <c r="L434" s="85" t="str">
        <f>L$10</f>
        <v>RY20</v>
      </c>
      <c r="M434" s="85" t="str">
        <f t="shared" si="206"/>
        <v>RY21</v>
      </c>
      <c r="N434" s="85" t="str">
        <f t="shared" si="206"/>
        <v>RY22</v>
      </c>
      <c r="O434" s="87" t="str">
        <f t="shared" si="206"/>
        <v>RY23</v>
      </c>
      <c r="P434" s="86" t="str">
        <f t="shared" si="206"/>
        <v>RY24</v>
      </c>
      <c r="Q434" s="85" t="str">
        <f>Q$10</f>
        <v>RY25</v>
      </c>
      <c r="R434" s="85" t="str">
        <f t="shared" si="206"/>
        <v>RY26</v>
      </c>
      <c r="S434" s="85" t="str">
        <f t="shared" si="206"/>
        <v>RY27</v>
      </c>
      <c r="T434" s="87" t="str">
        <f t="shared" si="206"/>
        <v>RY28</v>
      </c>
    </row>
    <row r="435" spans="4:20" x14ac:dyDescent="0.2">
      <c r="J435" s="88"/>
      <c r="K435" s="89"/>
      <c r="L435" s="89"/>
      <c r="M435" s="89"/>
      <c r="N435" s="89"/>
      <c r="O435" s="91"/>
      <c r="P435" s="88"/>
      <c r="Q435" s="89"/>
      <c r="R435" s="89"/>
      <c r="S435" s="89"/>
      <c r="T435" s="91"/>
    </row>
    <row r="436" spans="4:20" ht="12.75" x14ac:dyDescent="0.2">
      <c r="D436" s="75" t="str">
        <f t="shared" ref="D436:D451" si="207">D18</f>
        <v>Transmission Lines (pre 2004-05)</v>
      </c>
      <c r="E436" s="93" t="s">
        <v>92</v>
      </c>
      <c r="F436" s="93" t="str">
        <f t="shared" ref="F436:F485" si="208">Dollars</f>
        <v>Dollars</v>
      </c>
      <c r="G436" s="93" t="str">
        <f t="shared" ref="G436:G485" si="209">Nominal</f>
        <v>Nominal</v>
      </c>
      <c r="H436" s="50" t="str">
        <f t="shared" ref="H436:H485" si="210">End_year</f>
        <v>End year</v>
      </c>
      <c r="J436" s="96">
        <f t="shared" ref="J436:T436" si="211">J317+J376</f>
        <v>891.17032220086242</v>
      </c>
      <c r="K436" s="95">
        <f t="shared" si="211"/>
        <v>842.81009462637269</v>
      </c>
      <c r="L436" s="95">
        <f t="shared" si="211"/>
        <v>792.9156770007113</v>
      </c>
      <c r="M436" s="95">
        <f t="shared" si="211"/>
        <v>733.12933589732711</v>
      </c>
      <c r="N436" s="95">
        <f t="shared" si="211"/>
        <v>689.77274697951771</v>
      </c>
      <c r="O436" s="97">
        <f t="shared" si="211"/>
        <v>635.92588445121396</v>
      </c>
      <c r="P436" s="96">
        <f t="shared" si="211"/>
        <v>579.6041262639086</v>
      </c>
      <c r="Q436" s="95">
        <f t="shared" si="211"/>
        <v>520.28412111829243</v>
      </c>
      <c r="R436" s="95">
        <f t="shared" si="211"/>
        <v>457.8560566432734</v>
      </c>
      <c r="S436" s="95">
        <f t="shared" si="211"/>
        <v>392.20661510450714</v>
      </c>
      <c r="T436" s="97">
        <f t="shared" si="211"/>
        <v>323.21886929705914</v>
      </c>
    </row>
    <row r="437" spans="4:20" ht="12.75" x14ac:dyDescent="0.2">
      <c r="D437" s="75" t="str">
        <f t="shared" si="207"/>
        <v>Underground Cables (pre 2004-05)</v>
      </c>
      <c r="E437" s="93" t="s">
        <v>92</v>
      </c>
      <c r="F437" s="93" t="str">
        <f t="shared" si="208"/>
        <v>Dollars</v>
      </c>
      <c r="G437" s="93" t="str">
        <f t="shared" si="209"/>
        <v>Nominal</v>
      </c>
      <c r="H437" s="50" t="str">
        <f t="shared" si="210"/>
        <v>End year</v>
      </c>
      <c r="J437" s="96">
        <f t="shared" ref="J437:T437" si="212">J318+J377</f>
        <v>189.16769425732397</v>
      </c>
      <c r="K437" s="95">
        <f t="shared" si="212"/>
        <v>185.21350850104</v>
      </c>
      <c r="L437" s="95">
        <f t="shared" si="212"/>
        <v>181.16241793063364</v>
      </c>
      <c r="M437" s="95">
        <f t="shared" si="212"/>
        <v>175.12424744227732</v>
      </c>
      <c r="N437" s="95">
        <f t="shared" si="212"/>
        <v>173.15317742805047</v>
      </c>
      <c r="O437" s="97">
        <f t="shared" si="212"/>
        <v>169.13748110225745</v>
      </c>
      <c r="P437" s="96">
        <f t="shared" si="212"/>
        <v>164.98594819308943</v>
      </c>
      <c r="Q437" s="95">
        <f t="shared" si="212"/>
        <v>160.54589456008355</v>
      </c>
      <c r="R437" s="95">
        <f t="shared" si="212"/>
        <v>155.80605258943891</v>
      </c>
      <c r="S437" s="95">
        <f t="shared" si="212"/>
        <v>150.7547844292155</v>
      </c>
      <c r="T437" s="97">
        <f t="shared" si="212"/>
        <v>145.38007081077885</v>
      </c>
    </row>
    <row r="438" spans="4:20" ht="12.75" x14ac:dyDescent="0.2">
      <c r="D438" s="75" t="str">
        <f t="shared" si="207"/>
        <v>Substations including Buildings (pre 2004-05)</v>
      </c>
      <c r="E438" s="93" t="s">
        <v>92</v>
      </c>
      <c r="F438" s="93" t="str">
        <f t="shared" si="208"/>
        <v>Dollars</v>
      </c>
      <c r="G438" s="93" t="str">
        <f t="shared" si="209"/>
        <v>Nominal</v>
      </c>
      <c r="H438" s="50" t="str">
        <f t="shared" si="210"/>
        <v>End year</v>
      </c>
      <c r="J438" s="96">
        <f t="shared" ref="J438:T438" si="213">J319+J378</f>
        <v>557.99654605703927</v>
      </c>
      <c r="K438" s="95">
        <f t="shared" si="213"/>
        <v>522.36877860463824</v>
      </c>
      <c r="L438" s="95">
        <f t="shared" si="213"/>
        <v>485.58656725181783</v>
      </c>
      <c r="M438" s="95">
        <f t="shared" si="213"/>
        <v>442.51517197225166</v>
      </c>
      <c r="N438" s="95">
        <f t="shared" si="213"/>
        <v>409.24000473314067</v>
      </c>
      <c r="O438" s="97">
        <f t="shared" si="213"/>
        <v>369.24214492576039</v>
      </c>
      <c r="P438" s="96">
        <f t="shared" si="213"/>
        <v>327.36141718233949</v>
      </c>
      <c r="Q438" s="95">
        <f t="shared" si="213"/>
        <v>283.30842790246669</v>
      </c>
      <c r="R438" s="95">
        <f t="shared" si="213"/>
        <v>237.00421052188028</v>
      </c>
      <c r="S438" s="95">
        <f t="shared" si="213"/>
        <v>188.36728670498837</v>
      </c>
      <c r="T438" s="97">
        <f t="shared" si="213"/>
        <v>137.31359190150667</v>
      </c>
    </row>
    <row r="439" spans="4:20" ht="12.75" x14ac:dyDescent="0.2">
      <c r="D439" s="75" t="str">
        <f t="shared" si="207"/>
        <v>Transmission Lines (2004-09)</v>
      </c>
      <c r="E439" s="93" t="s">
        <v>92</v>
      </c>
      <c r="F439" s="93" t="str">
        <f t="shared" si="208"/>
        <v>Dollars</v>
      </c>
      <c r="G439" s="93" t="str">
        <f t="shared" si="209"/>
        <v>Nominal</v>
      </c>
      <c r="H439" s="50" t="str">
        <f t="shared" si="210"/>
        <v>End year</v>
      </c>
      <c r="J439" s="96">
        <f t="shared" ref="J439:T439" si="214">J320+J379</f>
        <v>202.03449566544833</v>
      </c>
      <c r="K439" s="95">
        <f t="shared" si="214"/>
        <v>200.5030002248736</v>
      </c>
      <c r="L439" s="95">
        <f t="shared" si="214"/>
        <v>198.96557042837961</v>
      </c>
      <c r="M439" s="95">
        <f t="shared" si="214"/>
        <v>195.35395484397876</v>
      </c>
      <c r="N439" s="95">
        <f t="shared" si="214"/>
        <v>196.33325798769681</v>
      </c>
      <c r="O439" s="97">
        <f t="shared" si="214"/>
        <v>195.20654064107561</v>
      </c>
      <c r="P439" s="96">
        <f t="shared" si="214"/>
        <v>194.09966667087764</v>
      </c>
      <c r="Q439" s="95">
        <f t="shared" si="214"/>
        <v>192.8329720651677</v>
      </c>
      <c r="R439" s="95">
        <f t="shared" si="214"/>
        <v>191.3995566486723</v>
      </c>
      <c r="S439" s="95">
        <f t="shared" si="214"/>
        <v>189.79228420172703</v>
      </c>
      <c r="T439" s="97">
        <f t="shared" si="214"/>
        <v>188.00377517687997</v>
      </c>
    </row>
    <row r="440" spans="4:20" ht="12.75" x14ac:dyDescent="0.2">
      <c r="D440" s="75" t="str">
        <f t="shared" si="207"/>
        <v>Underground Cables (2004-09)</v>
      </c>
      <c r="E440" s="93" t="s">
        <v>92</v>
      </c>
      <c r="F440" s="93" t="str">
        <f t="shared" si="208"/>
        <v>Dollars</v>
      </c>
      <c r="G440" s="93" t="str">
        <f t="shared" si="209"/>
        <v>Nominal</v>
      </c>
      <c r="H440" s="50" t="str">
        <f t="shared" si="210"/>
        <v>End year</v>
      </c>
      <c r="J440" s="96">
        <f t="shared" ref="J440:T440" si="215">J321+J380</f>
        <v>8.4882047065247495</v>
      </c>
      <c r="K440" s="95">
        <f t="shared" si="215"/>
        <v>8.3727302779542061</v>
      </c>
      <c r="L440" s="95">
        <f t="shared" si="215"/>
        <v>8.2551532348718339</v>
      </c>
      <c r="M440" s="95">
        <f t="shared" si="215"/>
        <v>8.0495193096758495</v>
      </c>
      <c r="N440" s="95">
        <f t="shared" si="215"/>
        <v>8.0320710977855185</v>
      </c>
      <c r="O440" s="97">
        <f t="shared" si="215"/>
        <v>7.9246657363736164</v>
      </c>
      <c r="P440" s="96">
        <f t="shared" si="215"/>
        <v>7.8149639718940831</v>
      </c>
      <c r="Q440" s="95">
        <f t="shared" si="215"/>
        <v>7.6957301008403203</v>
      </c>
      <c r="R440" s="95">
        <f t="shared" si="215"/>
        <v>7.5665767034183027</v>
      </c>
      <c r="S440" s="95">
        <f t="shared" si="215"/>
        <v>7.4271034153602997</v>
      </c>
      <c r="T440" s="97">
        <f t="shared" si="215"/>
        <v>7.2768965334907376</v>
      </c>
    </row>
    <row r="441" spans="4:20" ht="12.75" x14ac:dyDescent="0.2">
      <c r="D441" s="75" t="str">
        <f t="shared" si="207"/>
        <v>Substations including Buildings (2004-09)</v>
      </c>
      <c r="E441" s="93" t="s">
        <v>92</v>
      </c>
      <c r="F441" s="93" t="str">
        <f t="shared" si="208"/>
        <v>Dollars</v>
      </c>
      <c r="G441" s="93" t="str">
        <f t="shared" si="209"/>
        <v>Nominal</v>
      </c>
      <c r="H441" s="50" t="str">
        <f t="shared" si="210"/>
        <v>End year</v>
      </c>
      <c r="J441" s="96">
        <f t="shared" ref="J441:T441" si="216">J322+J381</f>
        <v>913.54443105262123</v>
      </c>
      <c r="K441" s="95">
        <f t="shared" si="216"/>
        <v>898.58024459222747</v>
      </c>
      <c r="L441" s="95">
        <f t="shared" si="216"/>
        <v>883.2978353242363</v>
      </c>
      <c r="M441" s="95">
        <f t="shared" si="216"/>
        <v>858.49301278924042</v>
      </c>
      <c r="N441" s="95">
        <f t="shared" si="216"/>
        <v>853.70879846865819</v>
      </c>
      <c r="O441" s="97">
        <f t="shared" si="216"/>
        <v>839.16973898779281</v>
      </c>
      <c r="P441" s="96">
        <f t="shared" si="216"/>
        <v>824.22810834559095</v>
      </c>
      <c r="Q441" s="95">
        <f t="shared" si="216"/>
        <v>808.12082155213739</v>
      </c>
      <c r="R441" s="95">
        <f t="shared" si="216"/>
        <v>790.80134503528984</v>
      </c>
      <c r="S441" s="95">
        <f t="shared" si="216"/>
        <v>772.22160189628289</v>
      </c>
      <c r="T441" s="97">
        <f t="shared" si="216"/>
        <v>752.33192507195758</v>
      </c>
    </row>
    <row r="442" spans="4:20" ht="12.75" x14ac:dyDescent="0.2">
      <c r="D442" s="75" t="str">
        <f t="shared" si="207"/>
        <v>SCADA and Communications (2004-09)</v>
      </c>
      <c r="E442" s="93" t="s">
        <v>92</v>
      </c>
      <c r="F442" s="93" t="str">
        <f t="shared" si="208"/>
        <v>Dollars</v>
      </c>
      <c r="G442" s="93" t="str">
        <f t="shared" si="209"/>
        <v>Nominal</v>
      </c>
      <c r="H442" s="50" t="str">
        <f t="shared" si="210"/>
        <v>End year</v>
      </c>
      <c r="J442" s="96">
        <f t="shared" ref="J442:T442" si="217">J323+J382</f>
        <v>35.771124521832959</v>
      </c>
      <c r="K442" s="95">
        <f t="shared" si="217"/>
        <v>28.780529604957913</v>
      </c>
      <c r="L442" s="95">
        <f t="shared" si="217"/>
        <v>21.545330466647478</v>
      </c>
      <c r="M442" s="95">
        <f t="shared" si="217"/>
        <v>13.82293194504169</v>
      </c>
      <c r="N442" s="95">
        <f t="shared" si="217"/>
        <v>6.296309306201433</v>
      </c>
      <c r="O442" s="97">
        <f t="shared" si="217"/>
        <v>2.7147101938227891E-2</v>
      </c>
      <c r="P442" s="96">
        <f t="shared" si="217"/>
        <v>0</v>
      </c>
      <c r="Q442" s="95">
        <f t="shared" si="217"/>
        <v>0</v>
      </c>
      <c r="R442" s="95">
        <f t="shared" si="217"/>
        <v>0</v>
      </c>
      <c r="S442" s="95">
        <f t="shared" si="217"/>
        <v>0</v>
      </c>
      <c r="T442" s="97">
        <f t="shared" si="217"/>
        <v>0</v>
      </c>
    </row>
    <row r="443" spans="4:20" ht="12.75" x14ac:dyDescent="0.2">
      <c r="D443" s="75" t="str">
        <f t="shared" si="207"/>
        <v>Transmission Lines &amp; Cables (09-14)</v>
      </c>
      <c r="E443" s="93" t="s">
        <v>92</v>
      </c>
      <c r="F443" s="93" t="str">
        <f t="shared" si="208"/>
        <v>Dollars</v>
      </c>
      <c r="G443" s="93" t="str">
        <f t="shared" si="209"/>
        <v>Nominal</v>
      </c>
      <c r="H443" s="50" t="str">
        <f t="shared" si="210"/>
        <v>End year</v>
      </c>
      <c r="J443" s="96">
        <f t="shared" ref="J443:T443" si="218">J324+J383</f>
        <v>464.25698348271084</v>
      </c>
      <c r="K443" s="95">
        <f t="shared" si="218"/>
        <v>461.93728510914724</v>
      </c>
      <c r="L443" s="95">
        <f t="shared" si="218"/>
        <v>459.6474287777317</v>
      </c>
      <c r="M443" s="95">
        <f t="shared" si="218"/>
        <v>452.61269543265752</v>
      </c>
      <c r="N443" s="95">
        <f t="shared" si="218"/>
        <v>456.23763527556855</v>
      </c>
      <c r="O443" s="97">
        <f t="shared" si="218"/>
        <v>455.05774769596235</v>
      </c>
      <c r="P443" s="96">
        <f t="shared" si="218"/>
        <v>453.99682245218713</v>
      </c>
      <c r="Q443" s="95">
        <f t="shared" si="218"/>
        <v>452.6347389250426</v>
      </c>
      <c r="R443" s="95">
        <f t="shared" si="218"/>
        <v>450.95792882600881</v>
      </c>
      <c r="S443" s="95">
        <f t="shared" si="218"/>
        <v>448.95235247765555</v>
      </c>
      <c r="T443" s="97">
        <f t="shared" si="218"/>
        <v>446.603484151592</v>
      </c>
    </row>
    <row r="444" spans="4:20" ht="12.75" x14ac:dyDescent="0.2">
      <c r="D444" s="75" t="str">
        <f t="shared" si="207"/>
        <v>Substations (09-14)</v>
      </c>
      <c r="E444" s="93" t="s">
        <v>92</v>
      </c>
      <c r="F444" s="93" t="str">
        <f t="shared" si="208"/>
        <v>Dollars</v>
      </c>
      <c r="G444" s="93" t="str">
        <f t="shared" si="209"/>
        <v>Nominal</v>
      </c>
      <c r="H444" s="50" t="str">
        <f t="shared" si="210"/>
        <v>End year</v>
      </c>
      <c r="J444" s="96">
        <f t="shared" ref="J444:T444" si="219">J325+J384</f>
        <v>977.48976440295019</v>
      </c>
      <c r="K444" s="95">
        <f t="shared" si="219"/>
        <v>965.79212034394232</v>
      </c>
      <c r="L444" s="95">
        <f t="shared" si="219"/>
        <v>953.91034425122984</v>
      </c>
      <c r="M444" s="95">
        <f t="shared" si="219"/>
        <v>931.91662825016408</v>
      </c>
      <c r="N444" s="95">
        <f t="shared" si="219"/>
        <v>931.74106952199202</v>
      </c>
      <c r="O444" s="97">
        <f t="shared" si="219"/>
        <v>921.25235184267967</v>
      </c>
      <c r="P444" s="96">
        <f t="shared" si="219"/>
        <v>910.59719426990557</v>
      </c>
      <c r="Q444" s="95">
        <f t="shared" si="219"/>
        <v>898.93251248224033</v>
      </c>
      <c r="R444" s="95">
        <f t="shared" si="219"/>
        <v>886.21674385268796</v>
      </c>
      <c r="S444" s="95">
        <f t="shared" si="219"/>
        <v>872.40692983698887</v>
      </c>
      <c r="T444" s="97">
        <f t="shared" si="219"/>
        <v>857.45867331885529</v>
      </c>
    </row>
    <row r="445" spans="4:20" ht="12.75" x14ac:dyDescent="0.2">
      <c r="D445" s="75" t="str">
        <f t="shared" si="207"/>
        <v>Secondary Systems (09-14)</v>
      </c>
      <c r="E445" s="93" t="s">
        <v>92</v>
      </c>
      <c r="F445" s="93" t="str">
        <f t="shared" si="208"/>
        <v>Dollars</v>
      </c>
      <c r="G445" s="93" t="str">
        <f t="shared" si="209"/>
        <v>Nominal</v>
      </c>
      <c r="H445" s="50" t="str">
        <f t="shared" si="210"/>
        <v>End year</v>
      </c>
      <c r="J445" s="96">
        <f t="shared" ref="J445:T445" si="220">J326+J385</f>
        <v>70.666520370159319</v>
      </c>
      <c r="K445" s="95">
        <f t="shared" si="220"/>
        <v>69.485462543281926</v>
      </c>
      <c r="L445" s="95">
        <f t="shared" si="220"/>
        <v>68.278936517893655</v>
      </c>
      <c r="M445" s="95">
        <f t="shared" si="220"/>
        <v>66.335391819392072</v>
      </c>
      <c r="N445" s="95">
        <f t="shared" si="220"/>
        <v>65.938366291015768</v>
      </c>
      <c r="O445" s="97">
        <f t="shared" si="220"/>
        <v>64.786083682775612</v>
      </c>
      <c r="P445" s="96">
        <f t="shared" si="220"/>
        <v>63.601218959444246</v>
      </c>
      <c r="Q445" s="95">
        <f t="shared" si="220"/>
        <v>62.3248899770375</v>
      </c>
      <c r="R445" s="95">
        <f t="shared" si="220"/>
        <v>60.953452315614975</v>
      </c>
      <c r="S445" s="95">
        <f t="shared" si="220"/>
        <v>59.48314078001539</v>
      </c>
      <c r="T445" s="97">
        <f t="shared" si="220"/>
        <v>57.910065736084526</v>
      </c>
    </row>
    <row r="446" spans="4:20" ht="12.75" x14ac:dyDescent="0.2">
      <c r="D446" s="75" t="str">
        <f t="shared" si="207"/>
        <v>Communications (09-14)</v>
      </c>
      <c r="E446" s="93" t="s">
        <v>92</v>
      </c>
      <c r="F446" s="93" t="str">
        <f t="shared" si="208"/>
        <v>Dollars</v>
      </c>
      <c r="G446" s="93" t="str">
        <f t="shared" si="209"/>
        <v>Nominal</v>
      </c>
      <c r="H446" s="50" t="str">
        <f t="shared" si="210"/>
        <v>End year</v>
      </c>
      <c r="J446" s="96">
        <f t="shared" ref="J446:T446" si="221">J327+J386</f>
        <v>95.201648672151492</v>
      </c>
      <c r="K446" s="95">
        <f t="shared" si="221"/>
        <v>93.596610285800338</v>
      </c>
      <c r="L446" s="95">
        <f t="shared" si="221"/>
        <v>91.956756624360395</v>
      </c>
      <c r="M446" s="95">
        <f t="shared" si="221"/>
        <v>89.323745868629203</v>
      </c>
      <c r="N446" s="95">
        <f t="shared" si="221"/>
        <v>88.77292093610609</v>
      </c>
      <c r="O446" s="97">
        <f t="shared" si="221"/>
        <v>87.204214967034176</v>
      </c>
      <c r="P446" s="96">
        <f t="shared" si="221"/>
        <v>85.590760983865124</v>
      </c>
      <c r="Q446" s="95">
        <f t="shared" si="221"/>
        <v>83.853319514818239</v>
      </c>
      <c r="R446" s="95">
        <f t="shared" si="221"/>
        <v>81.986954257424742</v>
      </c>
      <c r="S446" s="95">
        <f t="shared" si="221"/>
        <v>79.986565376954857</v>
      </c>
      <c r="T446" s="97">
        <f t="shared" si="221"/>
        <v>77.84688454651841</v>
      </c>
    </row>
    <row r="447" spans="4:20" ht="12.75" x14ac:dyDescent="0.2">
      <c r="D447" s="75" t="str">
        <f t="shared" si="207"/>
        <v>Minor Plant, Motor Vehicles &amp; Mobile Plant (2009-14)</v>
      </c>
      <c r="E447" s="93" t="s">
        <v>92</v>
      </c>
      <c r="F447" s="93" t="str">
        <f t="shared" si="208"/>
        <v>Dollars</v>
      </c>
      <c r="G447" s="93" t="str">
        <f t="shared" si="209"/>
        <v>Nominal</v>
      </c>
      <c r="H447" s="50" t="str">
        <f t="shared" si="210"/>
        <v>End year</v>
      </c>
      <c r="J447" s="96">
        <f t="shared" ref="J447:T447" si="222">J328+J387</f>
        <v>11.434528827114214</v>
      </c>
      <c r="K447" s="95">
        <f t="shared" si="222"/>
        <v>6.269128547140487</v>
      </c>
      <c r="L447" s="95">
        <f t="shared" si="222"/>
        <v>0.91930841465540336</v>
      </c>
      <c r="M447" s="95">
        <f t="shared" si="222"/>
        <v>-2.0221760507204922E-2</v>
      </c>
      <c r="N447" s="95">
        <f t="shared" si="222"/>
        <v>-2.0878967723689083E-2</v>
      </c>
      <c r="O447" s="97">
        <f t="shared" si="222"/>
        <v>-2.1348744497472087E-2</v>
      </c>
      <c r="P447" s="96">
        <f t="shared" si="222"/>
        <v>0</v>
      </c>
      <c r="Q447" s="95">
        <f t="shared" si="222"/>
        <v>0</v>
      </c>
      <c r="R447" s="95">
        <f t="shared" si="222"/>
        <v>0</v>
      </c>
      <c r="S447" s="95">
        <f t="shared" si="222"/>
        <v>0</v>
      </c>
      <c r="T447" s="97">
        <f t="shared" si="222"/>
        <v>0</v>
      </c>
    </row>
    <row r="448" spans="4:20" ht="12.75" x14ac:dyDescent="0.2">
      <c r="D448" s="75" t="str">
        <f t="shared" si="207"/>
        <v>Transmission Lines (2014-18)</v>
      </c>
      <c r="E448" s="93" t="s">
        <v>92</v>
      </c>
      <c r="F448" s="93" t="str">
        <f t="shared" si="208"/>
        <v>Dollars</v>
      </c>
      <c r="G448" s="93" t="str">
        <f t="shared" si="209"/>
        <v>Nominal</v>
      </c>
      <c r="H448" s="50" t="str">
        <f t="shared" si="210"/>
        <v>End year</v>
      </c>
      <c r="J448" s="96">
        <f t="shared" ref="J448:T448" si="223">J329+J388</f>
        <v>177.39473894999276</v>
      </c>
      <c r="K448" s="95">
        <f t="shared" si="223"/>
        <v>176.91523001603079</v>
      </c>
      <c r="L448" s="95">
        <f t="shared" si="223"/>
        <v>176.46187090805216</v>
      </c>
      <c r="M448" s="95">
        <f t="shared" si="223"/>
        <v>174.20273560272793</v>
      </c>
      <c r="N448" s="95">
        <f t="shared" si="223"/>
        <v>176.05407379180377</v>
      </c>
      <c r="O448" s="97">
        <f t="shared" si="223"/>
        <v>82.388616037618348</v>
      </c>
      <c r="P448" s="96">
        <f t="shared" si="223"/>
        <v>82.415189055635253</v>
      </c>
      <c r="Q448" s="95">
        <f t="shared" si="223"/>
        <v>82.397513653934766</v>
      </c>
      <c r="R448" s="95">
        <f t="shared" si="223"/>
        <v>82.333495523238355</v>
      </c>
      <c r="S448" s="95">
        <f t="shared" si="223"/>
        <v>82.220966358894003</v>
      </c>
      <c r="T448" s="97">
        <f t="shared" si="223"/>
        <v>82.057681539698791</v>
      </c>
    </row>
    <row r="449" spans="4:20" ht="12.75" x14ac:dyDescent="0.2">
      <c r="D449" s="75" t="str">
        <f t="shared" si="207"/>
        <v>Underground Cables (2014-18)</v>
      </c>
      <c r="E449" s="93" t="s">
        <v>92</v>
      </c>
      <c r="F449" s="93" t="str">
        <f t="shared" si="208"/>
        <v>Dollars</v>
      </c>
      <c r="G449" s="93" t="str">
        <f t="shared" si="209"/>
        <v>Nominal</v>
      </c>
      <c r="H449" s="50" t="str">
        <f t="shared" si="210"/>
        <v>End year</v>
      </c>
      <c r="J449" s="96">
        <f t="shared" ref="J449:T449" si="224">J330+J389</f>
        <v>3.2165456685124867</v>
      </c>
      <c r="K449" s="95">
        <f t="shared" si="224"/>
        <v>3.1978394091043154</v>
      </c>
      <c r="L449" s="95">
        <f t="shared" si="224"/>
        <v>3.1792444152545114</v>
      </c>
      <c r="M449" s="95">
        <f t="shared" si="224"/>
        <v>3.1277281108927402</v>
      </c>
      <c r="N449" s="95">
        <f t="shared" si="224"/>
        <v>3.1498240645716433</v>
      </c>
      <c r="O449" s="97">
        <f t="shared" si="224"/>
        <v>3.1533244704831835</v>
      </c>
      <c r="P449" s="96">
        <f t="shared" si="224"/>
        <v>3.1426871011230992</v>
      </c>
      <c r="Q449" s="95">
        <f t="shared" si="224"/>
        <v>3.1298084301407627</v>
      </c>
      <c r="R449" s="95">
        <f t="shared" si="224"/>
        <v>3.1145889926842516</v>
      </c>
      <c r="S449" s="95">
        <f t="shared" si="224"/>
        <v>3.0969258868555931</v>
      </c>
      <c r="T449" s="97">
        <f t="shared" si="224"/>
        <v>3.0767126671000811</v>
      </c>
    </row>
    <row r="450" spans="4:20" ht="12.75" x14ac:dyDescent="0.2">
      <c r="D450" s="75" t="str">
        <f t="shared" si="207"/>
        <v>Substations (2014-18)</v>
      </c>
      <c r="E450" s="93" t="s">
        <v>92</v>
      </c>
      <c r="F450" s="93" t="str">
        <f t="shared" si="208"/>
        <v>Dollars</v>
      </c>
      <c r="G450" s="93" t="str">
        <f t="shared" si="209"/>
        <v>Nominal</v>
      </c>
      <c r="H450" s="50" t="str">
        <f t="shared" si="210"/>
        <v>End year</v>
      </c>
      <c r="J450" s="96">
        <f t="shared" ref="J450:T450" si="225">J331+J390</f>
        <v>489.44463881066878</v>
      </c>
      <c r="K450" s="95">
        <f t="shared" si="225"/>
        <v>485.1414361455374</v>
      </c>
      <c r="L450" s="95">
        <f t="shared" si="225"/>
        <v>480.80236188072416</v>
      </c>
      <c r="M450" s="95">
        <f t="shared" si="225"/>
        <v>471.42782070429365</v>
      </c>
      <c r="N450" s="95">
        <f t="shared" si="225"/>
        <v>473.1206852754961</v>
      </c>
      <c r="O450" s="97">
        <f t="shared" si="225"/>
        <v>483.72129720527971</v>
      </c>
      <c r="P450" s="96">
        <f t="shared" si="225"/>
        <v>480.2263445440642</v>
      </c>
      <c r="Q450" s="95">
        <f t="shared" si="225"/>
        <v>476.30000773256631</v>
      </c>
      <c r="R450" s="95">
        <f t="shared" si="225"/>
        <v>471.92394212553302</v>
      </c>
      <c r="S450" s="95">
        <f t="shared" si="225"/>
        <v>467.07917911885301</v>
      </c>
      <c r="T450" s="97">
        <f t="shared" si="225"/>
        <v>461.7461069544986</v>
      </c>
    </row>
    <row r="451" spans="4:20" ht="12.75" x14ac:dyDescent="0.2">
      <c r="D451" s="75" t="str">
        <f t="shared" si="207"/>
        <v>Secondary Systems (2014-18)</v>
      </c>
      <c r="E451" s="93" t="s">
        <v>92</v>
      </c>
      <c r="F451" s="93" t="str">
        <f t="shared" si="208"/>
        <v>Dollars</v>
      </c>
      <c r="G451" s="93" t="str">
        <f t="shared" si="209"/>
        <v>Nominal</v>
      </c>
      <c r="H451" s="50" t="str">
        <f t="shared" si="210"/>
        <v>End year</v>
      </c>
      <c r="J451" s="96">
        <f t="shared" ref="J451:T451" si="226">J332+J391</f>
        <v>117.37963227814103</v>
      </c>
      <c r="K451" s="95">
        <f t="shared" si="226"/>
        <v>110.70153280664763</v>
      </c>
      <c r="L451" s="95">
        <f t="shared" si="226"/>
        <v>103.81018143735214</v>
      </c>
      <c r="M451" s="95">
        <f t="shared" si="226"/>
        <v>95.610419803823774</v>
      </c>
      <c r="N451" s="95">
        <f t="shared" si="226"/>
        <v>89.546367570147922</v>
      </c>
      <c r="O451" s="97">
        <f t="shared" si="226"/>
        <v>54.758701203300184</v>
      </c>
      <c r="P451" s="96">
        <f t="shared" si="226"/>
        <v>49.111564411830955</v>
      </c>
      <c r="Q451" s="95">
        <f t="shared" si="226"/>
        <v>43.16877809532771</v>
      </c>
      <c r="R451" s="95">
        <f t="shared" si="226"/>
        <v>36.919565507729772</v>
      </c>
      <c r="S451" s="95">
        <f t="shared" si="226"/>
        <v>30.352806671894299</v>
      </c>
      <c r="T451" s="97">
        <f t="shared" si="226"/>
        <v>23.457028199276429</v>
      </c>
    </row>
    <row r="452" spans="4:20" ht="12.75" x14ac:dyDescent="0.2">
      <c r="D452" s="75" t="str">
        <f t="shared" ref="D452:D485" si="227">D34</f>
        <v>Communications (short life) (2014-18)</v>
      </c>
      <c r="E452" s="93" t="s">
        <v>92</v>
      </c>
      <c r="F452" s="93" t="str">
        <f t="shared" si="208"/>
        <v>Dollars</v>
      </c>
      <c r="G452" s="93" t="str">
        <f t="shared" si="209"/>
        <v>Nominal</v>
      </c>
      <c r="H452" s="50" t="str">
        <f t="shared" si="210"/>
        <v>End year</v>
      </c>
      <c r="J452" s="96">
        <f t="shared" ref="J452:T452" si="228">J333+J392</f>
        <v>48.311848994007228</v>
      </c>
      <c r="K452" s="95">
        <f t="shared" si="228"/>
        <v>43.759248693037939</v>
      </c>
      <c r="L452" s="95">
        <f t="shared" si="228"/>
        <v>39.053489335678528</v>
      </c>
      <c r="M452" s="95">
        <f t="shared" si="228"/>
        <v>33.777001477818899</v>
      </c>
      <c r="N452" s="95">
        <f t="shared" si="228"/>
        <v>29.213876617712675</v>
      </c>
      <c r="O452" s="97">
        <f t="shared" si="228"/>
        <v>-10.155717755369515</v>
      </c>
      <c r="P452" s="96">
        <f t="shared" si="228"/>
        <v>-9.3897678406271616</v>
      </c>
      <c r="Q452" s="95">
        <f t="shared" si="228"/>
        <v>-8.5822107115595756</v>
      </c>
      <c r="R452" s="95">
        <f t="shared" si="228"/>
        <v>-7.73151384671299</v>
      </c>
      <c r="S452" s="95">
        <f t="shared" si="228"/>
        <v>-6.8360956742212267</v>
      </c>
      <c r="T452" s="97">
        <f t="shared" si="228"/>
        <v>-8.8817841970012523E-16</v>
      </c>
    </row>
    <row r="453" spans="4:20" ht="12.75" x14ac:dyDescent="0.2">
      <c r="D453" s="75" t="str">
        <f t="shared" si="227"/>
        <v>Business IT (2014-18)</v>
      </c>
      <c r="E453" s="93" t="s">
        <v>92</v>
      </c>
      <c r="F453" s="93" t="str">
        <f t="shared" si="208"/>
        <v>Dollars</v>
      </c>
      <c r="G453" s="93" t="str">
        <f t="shared" si="209"/>
        <v>Nominal</v>
      </c>
      <c r="H453" s="50" t="str">
        <f t="shared" si="210"/>
        <v>End year</v>
      </c>
      <c r="J453" s="96">
        <f t="shared" ref="J453:T453" si="229">J334+J393</f>
        <v>32.1927238916428</v>
      </c>
      <c r="K453" s="95">
        <f t="shared" si="229"/>
        <v>22.320524816341294</v>
      </c>
      <c r="L453" s="95">
        <f t="shared" si="229"/>
        <v>12.098396457087697</v>
      </c>
      <c r="M453" s="95">
        <f t="shared" si="229"/>
        <v>1.3738797011495727</v>
      </c>
      <c r="N453" s="95">
        <f t="shared" si="229"/>
        <v>-0.11588305640992824</v>
      </c>
      <c r="O453" s="97">
        <f t="shared" si="229"/>
        <v>-8.7516621111744026</v>
      </c>
      <c r="P453" s="96">
        <f t="shared" si="229"/>
        <v>0</v>
      </c>
      <c r="Q453" s="95">
        <f t="shared" si="229"/>
        <v>0</v>
      </c>
      <c r="R453" s="95">
        <f t="shared" si="229"/>
        <v>0</v>
      </c>
      <c r="S453" s="95">
        <f t="shared" si="229"/>
        <v>0</v>
      </c>
      <c r="T453" s="97">
        <f t="shared" si="229"/>
        <v>0</v>
      </c>
    </row>
    <row r="454" spans="4:20" ht="12.75" x14ac:dyDescent="0.2">
      <c r="D454" s="75" t="str">
        <f t="shared" si="227"/>
        <v>Minor Plant, Motor Vehicles &amp; Mobile Plant (2014-18)</v>
      </c>
      <c r="E454" s="93" t="s">
        <v>92</v>
      </c>
      <c r="F454" s="93" t="str">
        <f t="shared" si="208"/>
        <v>Dollars</v>
      </c>
      <c r="G454" s="93" t="str">
        <f t="shared" si="209"/>
        <v>Nominal</v>
      </c>
      <c r="H454" s="50" t="str">
        <f t="shared" si="210"/>
        <v>End year</v>
      </c>
      <c r="J454" s="96">
        <f t="shared" ref="J454:T454" si="230">J335+J394</f>
        <v>24.077143855692729</v>
      </c>
      <c r="K454" s="95">
        <f t="shared" si="230"/>
        <v>20.867512388520197</v>
      </c>
      <c r="L454" s="95">
        <f t="shared" si="230"/>
        <v>17.547452421491403</v>
      </c>
      <c r="M454" s="95">
        <f t="shared" si="230"/>
        <v>13.926164514811614</v>
      </c>
      <c r="N454" s="95">
        <f t="shared" si="230"/>
        <v>10.574002332605671</v>
      </c>
      <c r="O454" s="97">
        <f t="shared" si="230"/>
        <v>4.6402161056489009</v>
      </c>
      <c r="P454" s="96">
        <f t="shared" si="230"/>
        <v>1.4664386168135719</v>
      </c>
      <c r="Q454" s="95">
        <f t="shared" si="230"/>
        <v>-0.78991630221078202</v>
      </c>
      <c r="R454" s="95">
        <f t="shared" si="230"/>
        <v>8.8817841970012523E-16</v>
      </c>
      <c r="S454" s="95">
        <f t="shared" si="230"/>
        <v>9.0905020286949773E-16</v>
      </c>
      <c r="T454" s="97">
        <f t="shared" si="230"/>
        <v>9.3041246331574037E-16</v>
      </c>
    </row>
    <row r="455" spans="4:20" ht="12.75" x14ac:dyDescent="0.2">
      <c r="D455" s="75" t="str">
        <f t="shared" si="227"/>
        <v>Transmission Line Life Extension (2014-18)</v>
      </c>
      <c r="E455" s="93" t="s">
        <v>92</v>
      </c>
      <c r="F455" s="93" t="str">
        <f t="shared" si="208"/>
        <v>Dollars</v>
      </c>
      <c r="G455" s="93" t="str">
        <f t="shared" si="209"/>
        <v>Nominal</v>
      </c>
      <c r="H455" s="50" t="str">
        <f t="shared" si="210"/>
        <v>End year</v>
      </c>
      <c r="J455" s="96">
        <f t="shared" ref="J455:T455" si="231">J336+J395</f>
        <v>4.7846517164107718</v>
      </c>
      <c r="K455" s="95">
        <f t="shared" si="231"/>
        <v>4.6664254297941081</v>
      </c>
      <c r="L455" s="95">
        <f t="shared" si="231"/>
        <v>4.5450879848594159</v>
      </c>
      <c r="M455" s="95">
        <f t="shared" si="231"/>
        <v>4.3731658513124865</v>
      </c>
      <c r="N455" s="95">
        <f t="shared" si="231"/>
        <v>4.3024411047246316</v>
      </c>
      <c r="O455" s="97">
        <f t="shared" si="231"/>
        <v>3.4562489985410068</v>
      </c>
      <c r="P455" s="96">
        <f t="shared" si="231"/>
        <v>3.3487363013799092</v>
      </c>
      <c r="Q455" s="95">
        <f t="shared" si="231"/>
        <v>3.2342619680587243</v>
      </c>
      <c r="R455" s="95">
        <f t="shared" si="231"/>
        <v>3.1125581796565425</v>
      </c>
      <c r="S455" s="95">
        <f t="shared" si="231"/>
        <v>2.9833483744228864</v>
      </c>
      <c r="T455" s="97">
        <f t="shared" si="231"/>
        <v>2.8463469847699856</v>
      </c>
    </row>
    <row r="456" spans="4:20" ht="12.75" x14ac:dyDescent="0.2">
      <c r="D456" s="75" t="str">
        <f t="shared" si="227"/>
        <v>Residual - other</v>
      </c>
      <c r="E456" s="93" t="s">
        <v>92</v>
      </c>
      <c r="F456" s="93" t="str">
        <f t="shared" si="208"/>
        <v>Dollars</v>
      </c>
      <c r="G456" s="93" t="str">
        <f t="shared" si="209"/>
        <v>Nominal</v>
      </c>
      <c r="H456" s="50" t="str">
        <f t="shared" si="210"/>
        <v>End year</v>
      </c>
      <c r="J456" s="96">
        <f t="shared" ref="J456:T456" si="232">J337+J396</f>
        <v>-1.5957119620075271</v>
      </c>
      <c r="K456" s="95">
        <f t="shared" si="232"/>
        <v>1.9941546780093411E-3</v>
      </c>
      <c r="L456" s="95">
        <f t="shared" si="232"/>
        <v>2.0308569113469364E-3</v>
      </c>
      <c r="M456" s="95">
        <f t="shared" si="232"/>
        <v>2.0483341653172197E-3</v>
      </c>
      <c r="N456" s="95">
        <f t="shared" si="232"/>
        <v>2.1149050256900294E-3</v>
      </c>
      <c r="O456" s="97">
        <f t="shared" si="232"/>
        <v>2.1624903887680551E-3</v>
      </c>
      <c r="P456" s="96">
        <f t="shared" si="232"/>
        <v>0</v>
      </c>
      <c r="Q456" s="95">
        <f t="shared" si="232"/>
        <v>0</v>
      </c>
      <c r="R456" s="95">
        <f t="shared" si="232"/>
        <v>0</v>
      </c>
      <c r="S456" s="95">
        <f t="shared" si="232"/>
        <v>0</v>
      </c>
      <c r="T456" s="97">
        <f t="shared" si="232"/>
        <v>0</v>
      </c>
    </row>
    <row r="457" spans="4:20" ht="12.75" x14ac:dyDescent="0.2">
      <c r="D457" s="75" t="str">
        <f t="shared" si="227"/>
        <v>Transmission Lines (2018 onwards)</v>
      </c>
      <c r="E457" s="93" t="s">
        <v>92</v>
      </c>
      <c r="F457" s="93" t="str">
        <f t="shared" si="208"/>
        <v>Dollars</v>
      </c>
      <c r="G457" s="93" t="str">
        <f t="shared" si="209"/>
        <v>Nominal</v>
      </c>
      <c r="H457" s="50" t="str">
        <f t="shared" si="210"/>
        <v>End year</v>
      </c>
      <c r="J457" s="96">
        <f t="shared" ref="J457:T457" si="233">J338+J397</f>
        <v>0</v>
      </c>
      <c r="K457" s="95">
        <f t="shared" si="233"/>
        <v>89.522769181231055</v>
      </c>
      <c r="L457" s="95">
        <f t="shared" si="233"/>
        <v>118.69328557528878</v>
      </c>
      <c r="M457" s="95">
        <f t="shared" si="233"/>
        <v>137.18233828898605</v>
      </c>
      <c r="N457" s="95">
        <f t="shared" si="233"/>
        <v>178.92146918720906</v>
      </c>
      <c r="O457" s="97">
        <f t="shared" si="233"/>
        <v>485.36134700833031</v>
      </c>
      <c r="P457" s="96">
        <f t="shared" si="233"/>
        <v>939.62962703559731</v>
      </c>
      <c r="Q457" s="95">
        <f t="shared" si="233"/>
        <v>1879.76306987818</v>
      </c>
      <c r="R457" s="95">
        <f t="shared" si="233"/>
        <v>1961.2955991716321</v>
      </c>
      <c r="S457" s="95">
        <f t="shared" si="233"/>
        <v>2022.2351617005611</v>
      </c>
      <c r="T457" s="97">
        <f t="shared" si="233"/>
        <v>2128.8835764442865</v>
      </c>
    </row>
    <row r="458" spans="4:20" ht="12.75" x14ac:dyDescent="0.2">
      <c r="D458" s="75" t="str">
        <f t="shared" si="227"/>
        <v>Underground Cables (2018 onwards)</v>
      </c>
      <c r="E458" s="93" t="s">
        <v>92</v>
      </c>
      <c r="F458" s="93" t="str">
        <f t="shared" si="208"/>
        <v>Dollars</v>
      </c>
      <c r="G458" s="93" t="str">
        <f t="shared" si="209"/>
        <v>Nominal</v>
      </c>
      <c r="H458" s="50" t="str">
        <f t="shared" si="210"/>
        <v>End year</v>
      </c>
      <c r="J458" s="96">
        <f t="shared" ref="J458:T458" si="234">J339+J398</f>
        <v>0</v>
      </c>
      <c r="K458" s="95">
        <f t="shared" si="234"/>
        <v>0</v>
      </c>
      <c r="L458" s="95">
        <f t="shared" si="234"/>
        <v>-3.8371541040607905E-6</v>
      </c>
      <c r="M458" s="95">
        <f t="shared" si="234"/>
        <v>-1.0211023907446657E-4</v>
      </c>
      <c r="N458" s="95">
        <f t="shared" si="234"/>
        <v>0.95486442366920588</v>
      </c>
      <c r="O458" s="97">
        <f t="shared" si="234"/>
        <v>6.5081404837769137</v>
      </c>
      <c r="P458" s="96">
        <f t="shared" si="234"/>
        <v>6.5125559840101106</v>
      </c>
      <c r="Q458" s="95">
        <f t="shared" si="234"/>
        <v>6.5135850291928872</v>
      </c>
      <c r="R458" s="95">
        <f t="shared" si="234"/>
        <v>10.812965432219709</v>
      </c>
      <c r="S458" s="95">
        <f t="shared" si="234"/>
        <v>10.809979430271563</v>
      </c>
      <c r="T458" s="97">
        <f t="shared" si="234"/>
        <v>14.571419520855613</v>
      </c>
    </row>
    <row r="459" spans="4:20" ht="12.75" x14ac:dyDescent="0.2">
      <c r="D459" s="75" t="str">
        <f t="shared" si="227"/>
        <v>Substations (2018 onwards)</v>
      </c>
      <c r="E459" s="93" t="s">
        <v>92</v>
      </c>
      <c r="F459" s="93" t="str">
        <f t="shared" si="208"/>
        <v>Dollars</v>
      </c>
      <c r="G459" s="93" t="str">
        <f t="shared" si="209"/>
        <v>Nominal</v>
      </c>
      <c r="H459" s="50" t="str">
        <f t="shared" si="210"/>
        <v>End year</v>
      </c>
      <c r="J459" s="96">
        <f t="shared" ref="J459:T459" si="235">J340+J399</f>
        <v>0</v>
      </c>
      <c r="K459" s="95">
        <f t="shared" si="235"/>
        <v>106.24219579112815</v>
      </c>
      <c r="L459" s="95">
        <f t="shared" si="235"/>
        <v>185.24087361944527</v>
      </c>
      <c r="M459" s="95">
        <f t="shared" si="235"/>
        <v>278.60040619850929</v>
      </c>
      <c r="N459" s="95">
        <f t="shared" si="235"/>
        <v>572.34545027969955</v>
      </c>
      <c r="O459" s="97">
        <f t="shared" si="235"/>
        <v>768.07755856340646</v>
      </c>
      <c r="P459" s="96">
        <f t="shared" si="235"/>
        <v>1005.8807020086358</v>
      </c>
      <c r="Q459" s="95">
        <f t="shared" si="235"/>
        <v>1221.5144193624758</v>
      </c>
      <c r="R459" s="95">
        <f t="shared" si="235"/>
        <v>1368.5011299396872</v>
      </c>
      <c r="S459" s="95">
        <f t="shared" si="235"/>
        <v>1445.6119500268649</v>
      </c>
      <c r="T459" s="97">
        <f t="shared" si="235"/>
        <v>1578.094669270462</v>
      </c>
    </row>
    <row r="460" spans="4:20" ht="12.75" x14ac:dyDescent="0.2">
      <c r="D460" s="75" t="str">
        <f t="shared" si="227"/>
        <v>Secondary Systems (2018 onwards)</v>
      </c>
      <c r="E460" s="93" t="s">
        <v>92</v>
      </c>
      <c r="F460" s="93" t="str">
        <f t="shared" si="208"/>
        <v>Dollars</v>
      </c>
      <c r="G460" s="93" t="str">
        <f t="shared" si="209"/>
        <v>Nominal</v>
      </c>
      <c r="H460" s="50" t="str">
        <f t="shared" si="210"/>
        <v>End year</v>
      </c>
      <c r="J460" s="96">
        <f t="shared" ref="J460:T460" si="236">J341+J400</f>
        <v>0</v>
      </c>
      <c r="K460" s="95">
        <f t="shared" si="236"/>
        <v>17.004726036685238</v>
      </c>
      <c r="L460" s="95">
        <f t="shared" si="236"/>
        <v>46.98877565627447</v>
      </c>
      <c r="M460" s="95">
        <f t="shared" si="236"/>
        <v>62.944810120070102</v>
      </c>
      <c r="N460" s="95">
        <f t="shared" si="236"/>
        <v>143.75808788763197</v>
      </c>
      <c r="O460" s="97">
        <f t="shared" si="236"/>
        <v>142.90780020339722</v>
      </c>
      <c r="P460" s="96">
        <f t="shared" si="236"/>
        <v>168.26537190245261</v>
      </c>
      <c r="Q460" s="95">
        <f t="shared" si="236"/>
        <v>182.41068269374458</v>
      </c>
      <c r="R460" s="95">
        <f t="shared" si="236"/>
        <v>222.27508417167448</v>
      </c>
      <c r="S460" s="95">
        <f t="shared" si="236"/>
        <v>261.32106920926378</v>
      </c>
      <c r="T460" s="97">
        <f t="shared" si="236"/>
        <v>362.08980866568936</v>
      </c>
    </row>
    <row r="461" spans="4:20" ht="12.75" x14ac:dyDescent="0.2">
      <c r="D461" s="75" t="str">
        <f t="shared" si="227"/>
        <v>Communications (short life) (2018 onwards)</v>
      </c>
      <c r="E461" s="93" t="s">
        <v>92</v>
      </c>
      <c r="F461" s="93" t="str">
        <f t="shared" si="208"/>
        <v>Dollars</v>
      </c>
      <c r="G461" s="93" t="str">
        <f t="shared" si="209"/>
        <v>Nominal</v>
      </c>
      <c r="H461" s="50" t="str">
        <f t="shared" si="210"/>
        <v>End year</v>
      </c>
      <c r="J461" s="96">
        <f t="shared" ref="J461:T461" si="237">J342+J401</f>
        <v>0</v>
      </c>
      <c r="K461" s="95">
        <f t="shared" si="237"/>
        <v>12.488018260180995</v>
      </c>
      <c r="L461" s="95">
        <f t="shared" si="237"/>
        <v>17.687299866989981</v>
      </c>
      <c r="M461" s="95">
        <f t="shared" si="237"/>
        <v>26.732628057171471</v>
      </c>
      <c r="N461" s="95">
        <f t="shared" si="237"/>
        <v>40.183971175162149</v>
      </c>
      <c r="O461" s="97">
        <f t="shared" si="237"/>
        <v>58.082825727279584</v>
      </c>
      <c r="P461" s="96">
        <f t="shared" si="237"/>
        <v>55.482279414753037</v>
      </c>
      <c r="Q461" s="95">
        <f t="shared" si="237"/>
        <v>64.82527595089995</v>
      </c>
      <c r="R461" s="95">
        <f t="shared" si="237"/>
        <v>65.474222489989501</v>
      </c>
      <c r="S461" s="95">
        <f t="shared" si="237"/>
        <v>65.238990322196457</v>
      </c>
      <c r="T461" s="97">
        <f t="shared" si="237"/>
        <v>65.446398828068681</v>
      </c>
    </row>
    <row r="462" spans="4:20" ht="12.75" x14ac:dyDescent="0.2">
      <c r="D462" s="75" t="str">
        <f t="shared" si="227"/>
        <v>Business IT (2018 onwards)</v>
      </c>
      <c r="E462" s="93" t="s">
        <v>92</v>
      </c>
      <c r="F462" s="93" t="str">
        <f t="shared" si="208"/>
        <v>Dollars</v>
      </c>
      <c r="G462" s="93" t="str">
        <f t="shared" si="209"/>
        <v>Nominal</v>
      </c>
      <c r="H462" s="50" t="str">
        <f t="shared" si="210"/>
        <v>End year</v>
      </c>
      <c r="J462" s="96">
        <f t="shared" ref="J462:T462" si="238">J343+J402</f>
        <v>0</v>
      </c>
      <c r="K462" s="95">
        <f t="shared" si="238"/>
        <v>19.201237065593318</v>
      </c>
      <c r="L462" s="95">
        <f t="shared" si="238"/>
        <v>30.237406216385935</v>
      </c>
      <c r="M462" s="95">
        <f t="shared" si="238"/>
        <v>35.741716508917939</v>
      </c>
      <c r="N462" s="95">
        <f t="shared" si="238"/>
        <v>60.32769990802435</v>
      </c>
      <c r="O462" s="97">
        <f t="shared" si="238"/>
        <v>42.756875322328568</v>
      </c>
      <c r="P462" s="96">
        <f t="shared" si="238"/>
        <v>46.981306605539416</v>
      </c>
      <c r="Q462" s="95">
        <f t="shared" si="238"/>
        <v>65.226912774136551</v>
      </c>
      <c r="R462" s="95">
        <f t="shared" si="238"/>
        <v>56.938773223176526</v>
      </c>
      <c r="S462" s="95">
        <f t="shared" si="238"/>
        <v>57.916004780783993</v>
      </c>
      <c r="T462" s="97">
        <f t="shared" si="238"/>
        <v>55.87038623939204</v>
      </c>
    </row>
    <row r="463" spans="4:20" ht="12.75" x14ac:dyDescent="0.2">
      <c r="D463" s="75" t="str">
        <f t="shared" si="227"/>
        <v>Minor Plant, Motor Vehicles &amp; Mobile Plant (2018 onwards)</v>
      </c>
      <c r="E463" s="93" t="s">
        <v>92</v>
      </c>
      <c r="F463" s="93" t="str">
        <f t="shared" si="208"/>
        <v>Dollars</v>
      </c>
      <c r="G463" s="93" t="str">
        <f t="shared" si="209"/>
        <v>Nominal</v>
      </c>
      <c r="H463" s="50" t="str">
        <f t="shared" si="210"/>
        <v>End year</v>
      </c>
      <c r="J463" s="96">
        <f t="shared" ref="J463:T463" si="239">J344+J403</f>
        <v>0</v>
      </c>
      <c r="K463" s="95">
        <f t="shared" si="239"/>
        <v>6.8152442976994507</v>
      </c>
      <c r="L463" s="95">
        <f t="shared" si="239"/>
        <v>13.544784409975112</v>
      </c>
      <c r="M463" s="95">
        <f t="shared" si="239"/>
        <v>16.629921957707772</v>
      </c>
      <c r="N463" s="95">
        <f t="shared" si="239"/>
        <v>17.419341862877616</v>
      </c>
      <c r="O463" s="97">
        <f t="shared" si="239"/>
        <v>13.019842204943384</v>
      </c>
      <c r="P463" s="96">
        <f t="shared" si="239"/>
        <v>16.884491160520916</v>
      </c>
      <c r="Q463" s="95">
        <f t="shared" si="239"/>
        <v>20.152784461984748</v>
      </c>
      <c r="R463" s="95">
        <f t="shared" si="239"/>
        <v>22.77644631510049</v>
      </c>
      <c r="S463" s="95">
        <f t="shared" si="239"/>
        <v>24.704835674366578</v>
      </c>
      <c r="T463" s="97">
        <f t="shared" si="239"/>
        <v>26.602262831183896</v>
      </c>
    </row>
    <row r="464" spans="4:20" ht="12.75" x14ac:dyDescent="0.2">
      <c r="D464" s="75" t="str">
        <f t="shared" si="227"/>
        <v>Transmission Line Life Extension (2018 onwards)</v>
      </c>
      <c r="E464" s="93" t="s">
        <v>92</v>
      </c>
      <c r="F464" s="93" t="str">
        <f t="shared" si="208"/>
        <v>Dollars</v>
      </c>
      <c r="G464" s="93" t="str">
        <f t="shared" si="209"/>
        <v>Nominal</v>
      </c>
      <c r="H464" s="50" t="str">
        <f t="shared" si="210"/>
        <v>End year</v>
      </c>
      <c r="J464" s="96">
        <f t="shared" ref="J464:T464" si="240">J345+J404</f>
        <v>0</v>
      </c>
      <c r="K464" s="95">
        <f t="shared" si="240"/>
        <v>9.0346610521890156</v>
      </c>
      <c r="L464" s="95">
        <f t="shared" si="240"/>
        <v>51.606711692885682</v>
      </c>
      <c r="M464" s="95">
        <f t="shared" si="240"/>
        <v>87.258760765985642</v>
      </c>
      <c r="N464" s="95">
        <f t="shared" si="240"/>
        <v>192.396962227703</v>
      </c>
      <c r="O464" s="97">
        <f t="shared" si="240"/>
        <v>209.6509770333374</v>
      </c>
      <c r="P464" s="96">
        <f t="shared" si="240"/>
        <v>214.3030125804984</v>
      </c>
      <c r="Q464" s="95">
        <f t="shared" si="240"/>
        <v>218.25190093435754</v>
      </c>
      <c r="R464" s="95">
        <f t="shared" si="240"/>
        <v>216.74941051020116</v>
      </c>
      <c r="S464" s="95">
        <f t="shared" si="240"/>
        <v>214.56740803806656</v>
      </c>
      <c r="T464" s="97">
        <f t="shared" si="240"/>
        <v>213.015725011623</v>
      </c>
    </row>
    <row r="465" spans="4:20" ht="12.75" x14ac:dyDescent="0.2">
      <c r="D465" s="75" t="str">
        <f t="shared" si="227"/>
        <v xml:space="preserve">Land and Easements </v>
      </c>
      <c r="E465" s="93" t="s">
        <v>92</v>
      </c>
      <c r="F465" s="93" t="str">
        <f t="shared" si="208"/>
        <v>Dollars</v>
      </c>
      <c r="G465" s="93" t="str">
        <f t="shared" si="209"/>
        <v>Nominal</v>
      </c>
      <c r="H465" s="50" t="str">
        <f t="shared" si="210"/>
        <v>End year</v>
      </c>
      <c r="J465" s="96">
        <f t="shared" ref="J465:T465" si="241">J346+J405</f>
        <v>887.17675670501319</v>
      </c>
      <c r="K465" s="95">
        <f t="shared" si="241"/>
        <v>904.14875359410485</v>
      </c>
      <c r="L465" s="95">
        <f t="shared" si="241"/>
        <v>924.27658604316616</v>
      </c>
      <c r="M465" s="95">
        <f t="shared" si="241"/>
        <v>932.55410670332913</v>
      </c>
      <c r="N465" s="95">
        <f t="shared" si="241"/>
        <v>962.59786258268377</v>
      </c>
      <c r="O465" s="97">
        <f t="shared" si="241"/>
        <v>979.98601768690287</v>
      </c>
      <c r="P465" s="96">
        <f t="shared" si="241"/>
        <v>1078.6981536843543</v>
      </c>
      <c r="Q465" s="95">
        <f t="shared" si="241"/>
        <v>1292.0405812731565</v>
      </c>
      <c r="R465" s="95">
        <f t="shared" si="241"/>
        <v>1322.0633832010146</v>
      </c>
      <c r="S465" s="95">
        <f t="shared" si="241"/>
        <v>1352.7837277220056</v>
      </c>
      <c r="T465" s="97">
        <f t="shared" si="241"/>
        <v>1402.9209607127179</v>
      </c>
    </row>
    <row r="466" spans="4:20" ht="12.75" x14ac:dyDescent="0.2">
      <c r="D466" s="75" t="str">
        <f t="shared" si="227"/>
        <v>Synchronous Condensers</v>
      </c>
      <c r="E466" s="93" t="s">
        <v>92</v>
      </c>
      <c r="F466" s="93" t="str">
        <f t="shared" si="208"/>
        <v>Dollars</v>
      </c>
      <c r="G466" s="93" t="str">
        <f t="shared" si="209"/>
        <v>Nominal</v>
      </c>
      <c r="H466" s="50" t="str">
        <f t="shared" si="210"/>
        <v>End year</v>
      </c>
      <c r="J466" s="96">
        <f t="shared" ref="J466:T466" si="242">J347+J406</f>
        <v>0</v>
      </c>
      <c r="K466" s="95">
        <f t="shared" si="242"/>
        <v>0</v>
      </c>
      <c r="L466" s="95">
        <f t="shared" si="242"/>
        <v>0</v>
      </c>
      <c r="M466" s="95">
        <f t="shared" si="242"/>
        <v>0</v>
      </c>
      <c r="N466" s="95">
        <f t="shared" si="242"/>
        <v>0</v>
      </c>
      <c r="O466" s="97">
        <f t="shared" si="242"/>
        <v>0</v>
      </c>
      <c r="P466" s="96">
        <f t="shared" si="242"/>
        <v>58.786130283239231</v>
      </c>
      <c r="Q466" s="95">
        <f t="shared" si="242"/>
        <v>162.46663766074289</v>
      </c>
      <c r="R466" s="95">
        <f t="shared" si="242"/>
        <v>162.08892705682467</v>
      </c>
      <c r="S466" s="95">
        <f t="shared" si="242"/>
        <v>161.60374572455231</v>
      </c>
      <c r="T466" s="97">
        <f t="shared" si="242"/>
        <v>161.00625122133243</v>
      </c>
    </row>
    <row r="467" spans="4:20" ht="12.75" x14ac:dyDescent="0.2">
      <c r="D467" s="75" t="str">
        <f t="shared" si="227"/>
        <v>Leasehold Land and Property</v>
      </c>
      <c r="E467" s="93" t="s">
        <v>92</v>
      </c>
      <c r="F467" s="93" t="str">
        <f t="shared" si="208"/>
        <v>Dollars</v>
      </c>
      <c r="G467" s="93" t="str">
        <f t="shared" si="209"/>
        <v>Nominal</v>
      </c>
      <c r="H467" s="50" t="str">
        <f t="shared" si="210"/>
        <v>End year</v>
      </c>
      <c r="J467" s="96">
        <f t="shared" ref="J467:T467" si="243">J348+J407</f>
        <v>0</v>
      </c>
      <c r="K467" s="95">
        <f t="shared" si="243"/>
        <v>0</v>
      </c>
      <c r="L467" s="95">
        <f t="shared" si="243"/>
        <v>0</v>
      </c>
      <c r="M467" s="95">
        <f t="shared" si="243"/>
        <v>0</v>
      </c>
      <c r="N467" s="95">
        <f t="shared" si="243"/>
        <v>1.4554351238945398</v>
      </c>
      <c r="O467" s="97">
        <f t="shared" si="243"/>
        <v>2.5101442101454241</v>
      </c>
      <c r="P467" s="96">
        <f t="shared" si="243"/>
        <v>2.2959586617789967</v>
      </c>
      <c r="Q467" s="95">
        <f t="shared" si="243"/>
        <v>2.0703204175148096</v>
      </c>
      <c r="R467" s="95">
        <f t="shared" si="243"/>
        <v>1.8328094905369436</v>
      </c>
      <c r="S467" s="95">
        <f t="shared" si="243"/>
        <v>1.5829924795396093</v>
      </c>
      <c r="T467" s="97">
        <f t="shared" si="243"/>
        <v>1.3204221701871104</v>
      </c>
    </row>
    <row r="468" spans="4:20" ht="12.75" hidden="1" outlineLevel="1" x14ac:dyDescent="0.2">
      <c r="D468" s="75">
        <f t="shared" si="227"/>
        <v>0</v>
      </c>
      <c r="E468" s="93" t="s">
        <v>92</v>
      </c>
      <c r="F468" s="93" t="str">
        <f t="shared" si="208"/>
        <v>Dollars</v>
      </c>
      <c r="G468" s="93" t="str">
        <f t="shared" si="209"/>
        <v>Nominal</v>
      </c>
      <c r="H468" s="50" t="str">
        <f t="shared" si="210"/>
        <v>End year</v>
      </c>
      <c r="J468" s="96">
        <f t="shared" ref="J468:T468" si="244">J349+J408</f>
        <v>0</v>
      </c>
      <c r="K468" s="95">
        <f t="shared" si="244"/>
        <v>0</v>
      </c>
      <c r="L468" s="95">
        <f t="shared" si="244"/>
        <v>0</v>
      </c>
      <c r="M468" s="95">
        <f t="shared" si="244"/>
        <v>0</v>
      </c>
      <c r="N468" s="95">
        <f t="shared" si="244"/>
        <v>0</v>
      </c>
      <c r="O468" s="97">
        <f t="shared" si="244"/>
        <v>0</v>
      </c>
      <c r="P468" s="96">
        <f t="shared" si="244"/>
        <v>0</v>
      </c>
      <c r="Q468" s="95">
        <f t="shared" si="244"/>
        <v>0</v>
      </c>
      <c r="R468" s="95">
        <f t="shared" si="244"/>
        <v>0</v>
      </c>
      <c r="S468" s="95">
        <f t="shared" si="244"/>
        <v>0</v>
      </c>
      <c r="T468" s="97">
        <f t="shared" si="244"/>
        <v>0</v>
      </c>
    </row>
    <row r="469" spans="4:20" ht="12.75" hidden="1" outlineLevel="1" x14ac:dyDescent="0.2">
      <c r="D469" s="75">
        <f t="shared" si="227"/>
        <v>0</v>
      </c>
      <c r="E469" s="93" t="s">
        <v>92</v>
      </c>
      <c r="F469" s="93" t="str">
        <f t="shared" si="208"/>
        <v>Dollars</v>
      </c>
      <c r="G469" s="93" t="str">
        <f t="shared" si="209"/>
        <v>Nominal</v>
      </c>
      <c r="H469" s="50" t="str">
        <f t="shared" si="210"/>
        <v>End year</v>
      </c>
      <c r="J469" s="96">
        <f t="shared" ref="J469:T469" si="245">J350+J409</f>
        <v>0</v>
      </c>
      <c r="K469" s="95">
        <f t="shared" si="245"/>
        <v>0</v>
      </c>
      <c r="L469" s="95">
        <f t="shared" si="245"/>
        <v>0</v>
      </c>
      <c r="M469" s="95">
        <f t="shared" si="245"/>
        <v>0</v>
      </c>
      <c r="N469" s="95">
        <f t="shared" si="245"/>
        <v>0</v>
      </c>
      <c r="O469" s="97">
        <f t="shared" si="245"/>
        <v>0</v>
      </c>
      <c r="P469" s="96">
        <f t="shared" si="245"/>
        <v>0</v>
      </c>
      <c r="Q469" s="95">
        <f t="shared" si="245"/>
        <v>0</v>
      </c>
      <c r="R469" s="95">
        <f t="shared" si="245"/>
        <v>0</v>
      </c>
      <c r="S469" s="95">
        <f t="shared" si="245"/>
        <v>0</v>
      </c>
      <c r="T469" s="97">
        <f t="shared" si="245"/>
        <v>0</v>
      </c>
    </row>
    <row r="470" spans="4:20" ht="12.75" hidden="1" outlineLevel="1" x14ac:dyDescent="0.2">
      <c r="D470" s="75">
        <f t="shared" si="227"/>
        <v>0</v>
      </c>
      <c r="E470" s="93" t="s">
        <v>92</v>
      </c>
      <c r="F470" s="93" t="str">
        <f t="shared" si="208"/>
        <v>Dollars</v>
      </c>
      <c r="G470" s="93" t="str">
        <f t="shared" si="209"/>
        <v>Nominal</v>
      </c>
      <c r="H470" s="50" t="str">
        <f t="shared" si="210"/>
        <v>End year</v>
      </c>
      <c r="J470" s="96">
        <f t="shared" ref="J470:T470" si="246">J351+J410</f>
        <v>0</v>
      </c>
      <c r="K470" s="95">
        <f t="shared" si="246"/>
        <v>0</v>
      </c>
      <c r="L470" s="95">
        <f t="shared" si="246"/>
        <v>0</v>
      </c>
      <c r="M470" s="95">
        <f t="shared" si="246"/>
        <v>0</v>
      </c>
      <c r="N470" s="95">
        <f t="shared" si="246"/>
        <v>0</v>
      </c>
      <c r="O470" s="97">
        <f t="shared" si="246"/>
        <v>0</v>
      </c>
      <c r="P470" s="96">
        <f t="shared" si="246"/>
        <v>0</v>
      </c>
      <c r="Q470" s="95">
        <f t="shared" si="246"/>
        <v>0</v>
      </c>
      <c r="R470" s="95">
        <f t="shared" si="246"/>
        <v>0</v>
      </c>
      <c r="S470" s="95">
        <f t="shared" si="246"/>
        <v>0</v>
      </c>
      <c r="T470" s="97">
        <f t="shared" si="246"/>
        <v>0</v>
      </c>
    </row>
    <row r="471" spans="4:20" ht="12.75" hidden="1" outlineLevel="1" x14ac:dyDescent="0.2">
      <c r="D471" s="75">
        <f t="shared" si="227"/>
        <v>0</v>
      </c>
      <c r="E471" s="93" t="s">
        <v>92</v>
      </c>
      <c r="F471" s="93" t="str">
        <f t="shared" si="208"/>
        <v>Dollars</v>
      </c>
      <c r="G471" s="93" t="str">
        <f t="shared" si="209"/>
        <v>Nominal</v>
      </c>
      <c r="H471" s="50" t="str">
        <f t="shared" si="210"/>
        <v>End year</v>
      </c>
      <c r="J471" s="96">
        <f t="shared" ref="J471:T471" si="247">J352+J411</f>
        <v>0</v>
      </c>
      <c r="K471" s="95">
        <f t="shared" si="247"/>
        <v>0</v>
      </c>
      <c r="L471" s="95">
        <f t="shared" si="247"/>
        <v>0</v>
      </c>
      <c r="M471" s="95">
        <f t="shared" si="247"/>
        <v>0</v>
      </c>
      <c r="N471" s="95">
        <f t="shared" si="247"/>
        <v>0</v>
      </c>
      <c r="O471" s="97">
        <f t="shared" si="247"/>
        <v>0</v>
      </c>
      <c r="P471" s="96">
        <f t="shared" si="247"/>
        <v>0</v>
      </c>
      <c r="Q471" s="95">
        <f t="shared" si="247"/>
        <v>0</v>
      </c>
      <c r="R471" s="95">
        <f t="shared" si="247"/>
        <v>0</v>
      </c>
      <c r="S471" s="95">
        <f t="shared" si="247"/>
        <v>0</v>
      </c>
      <c r="T471" s="97">
        <f t="shared" si="247"/>
        <v>0</v>
      </c>
    </row>
    <row r="472" spans="4:20" ht="12.75" hidden="1" outlineLevel="1" x14ac:dyDescent="0.2">
      <c r="D472" s="75">
        <f t="shared" si="227"/>
        <v>0</v>
      </c>
      <c r="E472" s="93" t="s">
        <v>92</v>
      </c>
      <c r="F472" s="93" t="str">
        <f t="shared" si="208"/>
        <v>Dollars</v>
      </c>
      <c r="G472" s="93" t="str">
        <f t="shared" si="209"/>
        <v>Nominal</v>
      </c>
      <c r="H472" s="50" t="str">
        <f t="shared" si="210"/>
        <v>End year</v>
      </c>
      <c r="J472" s="96">
        <f t="shared" ref="J472:T472" si="248">J353+J412</f>
        <v>0</v>
      </c>
      <c r="K472" s="95">
        <f t="shared" si="248"/>
        <v>0</v>
      </c>
      <c r="L472" s="95">
        <f t="shared" si="248"/>
        <v>0</v>
      </c>
      <c r="M472" s="95">
        <f t="shared" si="248"/>
        <v>0</v>
      </c>
      <c r="N472" s="95">
        <f t="shared" si="248"/>
        <v>0</v>
      </c>
      <c r="O472" s="97">
        <f t="shared" si="248"/>
        <v>0</v>
      </c>
      <c r="P472" s="96">
        <f t="shared" si="248"/>
        <v>0</v>
      </c>
      <c r="Q472" s="95">
        <f t="shared" si="248"/>
        <v>0</v>
      </c>
      <c r="R472" s="95">
        <f t="shared" si="248"/>
        <v>0</v>
      </c>
      <c r="S472" s="95">
        <f t="shared" si="248"/>
        <v>0</v>
      </c>
      <c r="T472" s="97">
        <f t="shared" si="248"/>
        <v>0</v>
      </c>
    </row>
    <row r="473" spans="4:20" ht="12.75" hidden="1" outlineLevel="1" x14ac:dyDescent="0.2">
      <c r="D473" s="75">
        <f t="shared" si="227"/>
        <v>0</v>
      </c>
      <c r="E473" s="93" t="s">
        <v>92</v>
      </c>
      <c r="F473" s="93" t="str">
        <f t="shared" si="208"/>
        <v>Dollars</v>
      </c>
      <c r="G473" s="93" t="str">
        <f t="shared" si="209"/>
        <v>Nominal</v>
      </c>
      <c r="H473" s="50" t="str">
        <f t="shared" si="210"/>
        <v>End year</v>
      </c>
      <c r="J473" s="96">
        <f t="shared" ref="J473:T473" si="249">J354+J413</f>
        <v>0</v>
      </c>
      <c r="K473" s="95">
        <f t="shared" si="249"/>
        <v>0</v>
      </c>
      <c r="L473" s="95">
        <f t="shared" si="249"/>
        <v>0</v>
      </c>
      <c r="M473" s="95">
        <f t="shared" si="249"/>
        <v>0</v>
      </c>
      <c r="N473" s="95">
        <f t="shared" si="249"/>
        <v>0</v>
      </c>
      <c r="O473" s="97">
        <f t="shared" si="249"/>
        <v>0</v>
      </c>
      <c r="P473" s="96">
        <f t="shared" si="249"/>
        <v>0</v>
      </c>
      <c r="Q473" s="95">
        <f t="shared" si="249"/>
        <v>0</v>
      </c>
      <c r="R473" s="95">
        <f t="shared" si="249"/>
        <v>0</v>
      </c>
      <c r="S473" s="95">
        <f t="shared" si="249"/>
        <v>0</v>
      </c>
      <c r="T473" s="97">
        <f t="shared" si="249"/>
        <v>0</v>
      </c>
    </row>
    <row r="474" spans="4:20" ht="12.75" hidden="1" outlineLevel="1" x14ac:dyDescent="0.2">
      <c r="D474" s="75">
        <f t="shared" si="227"/>
        <v>0</v>
      </c>
      <c r="E474" s="93" t="s">
        <v>92</v>
      </c>
      <c r="F474" s="93" t="str">
        <f t="shared" si="208"/>
        <v>Dollars</v>
      </c>
      <c r="G474" s="93" t="str">
        <f t="shared" si="209"/>
        <v>Nominal</v>
      </c>
      <c r="H474" s="50" t="str">
        <f t="shared" si="210"/>
        <v>End year</v>
      </c>
      <c r="J474" s="96">
        <f t="shared" ref="J474:T474" si="250">J355+J414</f>
        <v>0</v>
      </c>
      <c r="K474" s="95">
        <f t="shared" si="250"/>
        <v>0</v>
      </c>
      <c r="L474" s="95">
        <f t="shared" si="250"/>
        <v>0</v>
      </c>
      <c r="M474" s="95">
        <f t="shared" si="250"/>
        <v>0</v>
      </c>
      <c r="N474" s="95">
        <f t="shared" si="250"/>
        <v>0</v>
      </c>
      <c r="O474" s="97">
        <f t="shared" si="250"/>
        <v>0</v>
      </c>
      <c r="P474" s="96">
        <f t="shared" si="250"/>
        <v>0</v>
      </c>
      <c r="Q474" s="95">
        <f t="shared" si="250"/>
        <v>0</v>
      </c>
      <c r="R474" s="95">
        <f t="shared" si="250"/>
        <v>0</v>
      </c>
      <c r="S474" s="95">
        <f t="shared" si="250"/>
        <v>0</v>
      </c>
      <c r="T474" s="97">
        <f t="shared" si="250"/>
        <v>0</v>
      </c>
    </row>
    <row r="475" spans="4:20" ht="12.75" hidden="1" outlineLevel="1" x14ac:dyDescent="0.2">
      <c r="D475" s="75">
        <f t="shared" si="227"/>
        <v>0</v>
      </c>
      <c r="E475" s="93" t="s">
        <v>92</v>
      </c>
      <c r="F475" s="93" t="str">
        <f t="shared" si="208"/>
        <v>Dollars</v>
      </c>
      <c r="G475" s="93" t="str">
        <f t="shared" si="209"/>
        <v>Nominal</v>
      </c>
      <c r="H475" s="50" t="str">
        <f t="shared" si="210"/>
        <v>End year</v>
      </c>
      <c r="J475" s="96">
        <f t="shared" ref="J475:T475" si="251">J356+J415</f>
        <v>0</v>
      </c>
      <c r="K475" s="95">
        <f t="shared" si="251"/>
        <v>0</v>
      </c>
      <c r="L475" s="95">
        <f t="shared" si="251"/>
        <v>0</v>
      </c>
      <c r="M475" s="95">
        <f t="shared" si="251"/>
        <v>0</v>
      </c>
      <c r="N475" s="95">
        <f t="shared" si="251"/>
        <v>0</v>
      </c>
      <c r="O475" s="97">
        <f t="shared" si="251"/>
        <v>0</v>
      </c>
      <c r="P475" s="96">
        <f t="shared" si="251"/>
        <v>0</v>
      </c>
      <c r="Q475" s="95">
        <f t="shared" si="251"/>
        <v>0</v>
      </c>
      <c r="R475" s="95">
        <f t="shared" si="251"/>
        <v>0</v>
      </c>
      <c r="S475" s="95">
        <f t="shared" si="251"/>
        <v>0</v>
      </c>
      <c r="T475" s="97">
        <f t="shared" si="251"/>
        <v>0</v>
      </c>
    </row>
    <row r="476" spans="4:20" ht="12.75" hidden="1" outlineLevel="1" x14ac:dyDescent="0.2">
      <c r="D476" s="75">
        <f t="shared" si="227"/>
        <v>0</v>
      </c>
      <c r="E476" s="93" t="s">
        <v>92</v>
      </c>
      <c r="F476" s="93" t="str">
        <f t="shared" si="208"/>
        <v>Dollars</v>
      </c>
      <c r="G476" s="93" t="str">
        <f t="shared" si="209"/>
        <v>Nominal</v>
      </c>
      <c r="H476" s="50" t="str">
        <f t="shared" si="210"/>
        <v>End year</v>
      </c>
      <c r="J476" s="96">
        <f t="shared" ref="J476:T476" si="252">J357+J416</f>
        <v>0</v>
      </c>
      <c r="K476" s="95">
        <f t="shared" si="252"/>
        <v>0</v>
      </c>
      <c r="L476" s="95">
        <f t="shared" si="252"/>
        <v>0</v>
      </c>
      <c r="M476" s="95">
        <f t="shared" si="252"/>
        <v>0</v>
      </c>
      <c r="N476" s="95">
        <f t="shared" si="252"/>
        <v>0</v>
      </c>
      <c r="O476" s="97">
        <f t="shared" si="252"/>
        <v>0</v>
      </c>
      <c r="P476" s="96">
        <f t="shared" si="252"/>
        <v>0</v>
      </c>
      <c r="Q476" s="95">
        <f t="shared" si="252"/>
        <v>0</v>
      </c>
      <c r="R476" s="95">
        <f t="shared" si="252"/>
        <v>0</v>
      </c>
      <c r="S476" s="95">
        <f t="shared" si="252"/>
        <v>0</v>
      </c>
      <c r="T476" s="97">
        <f t="shared" si="252"/>
        <v>0</v>
      </c>
    </row>
    <row r="477" spans="4:20" ht="12.75" hidden="1" outlineLevel="1" x14ac:dyDescent="0.2">
      <c r="D477" s="75">
        <f t="shared" si="227"/>
        <v>0</v>
      </c>
      <c r="E477" s="93" t="s">
        <v>92</v>
      </c>
      <c r="F477" s="93" t="str">
        <f t="shared" si="208"/>
        <v>Dollars</v>
      </c>
      <c r="G477" s="93" t="str">
        <f t="shared" si="209"/>
        <v>Nominal</v>
      </c>
      <c r="H477" s="50" t="str">
        <f t="shared" si="210"/>
        <v>End year</v>
      </c>
      <c r="J477" s="96">
        <f t="shared" ref="J477:T477" si="253">J358+J417</f>
        <v>0</v>
      </c>
      <c r="K477" s="95">
        <f t="shared" si="253"/>
        <v>0</v>
      </c>
      <c r="L477" s="95">
        <f t="shared" si="253"/>
        <v>0</v>
      </c>
      <c r="M477" s="95">
        <f t="shared" si="253"/>
        <v>0</v>
      </c>
      <c r="N477" s="95">
        <f t="shared" si="253"/>
        <v>0</v>
      </c>
      <c r="O477" s="97">
        <f t="shared" si="253"/>
        <v>0</v>
      </c>
      <c r="P477" s="96">
        <f t="shared" si="253"/>
        <v>0</v>
      </c>
      <c r="Q477" s="95">
        <f t="shared" si="253"/>
        <v>0</v>
      </c>
      <c r="R477" s="95">
        <f t="shared" si="253"/>
        <v>0</v>
      </c>
      <c r="S477" s="95">
        <f t="shared" si="253"/>
        <v>0</v>
      </c>
      <c r="T477" s="97">
        <f t="shared" si="253"/>
        <v>0</v>
      </c>
    </row>
    <row r="478" spans="4:20" ht="12.75" hidden="1" outlineLevel="1" x14ac:dyDescent="0.2">
      <c r="D478" s="75">
        <f t="shared" si="227"/>
        <v>0</v>
      </c>
      <c r="E478" s="93" t="s">
        <v>92</v>
      </c>
      <c r="F478" s="93" t="str">
        <f t="shared" si="208"/>
        <v>Dollars</v>
      </c>
      <c r="G478" s="93" t="str">
        <f t="shared" si="209"/>
        <v>Nominal</v>
      </c>
      <c r="H478" s="50" t="str">
        <f t="shared" si="210"/>
        <v>End year</v>
      </c>
      <c r="J478" s="96">
        <f t="shared" ref="J478:T478" si="254">J359+J418</f>
        <v>0</v>
      </c>
      <c r="K478" s="95">
        <f t="shared" si="254"/>
        <v>0</v>
      </c>
      <c r="L478" s="95">
        <f t="shared" si="254"/>
        <v>0</v>
      </c>
      <c r="M478" s="95">
        <f t="shared" si="254"/>
        <v>0</v>
      </c>
      <c r="N478" s="95">
        <f t="shared" si="254"/>
        <v>0</v>
      </c>
      <c r="O478" s="97">
        <f t="shared" si="254"/>
        <v>0</v>
      </c>
      <c r="P478" s="96">
        <f t="shared" si="254"/>
        <v>0</v>
      </c>
      <c r="Q478" s="95">
        <f t="shared" si="254"/>
        <v>0</v>
      </c>
      <c r="R478" s="95">
        <f t="shared" si="254"/>
        <v>0</v>
      </c>
      <c r="S478" s="95">
        <f t="shared" si="254"/>
        <v>0</v>
      </c>
      <c r="T478" s="97">
        <f t="shared" si="254"/>
        <v>0</v>
      </c>
    </row>
    <row r="479" spans="4:20" ht="12.75" hidden="1" outlineLevel="1" x14ac:dyDescent="0.2">
      <c r="D479" s="75">
        <f t="shared" si="227"/>
        <v>0</v>
      </c>
      <c r="E479" s="93" t="s">
        <v>92</v>
      </c>
      <c r="F479" s="93" t="str">
        <f t="shared" si="208"/>
        <v>Dollars</v>
      </c>
      <c r="G479" s="93" t="str">
        <f t="shared" si="209"/>
        <v>Nominal</v>
      </c>
      <c r="H479" s="50" t="str">
        <f t="shared" si="210"/>
        <v>End year</v>
      </c>
      <c r="J479" s="96">
        <f t="shared" ref="J479:T479" si="255">J360+J419</f>
        <v>0</v>
      </c>
      <c r="K479" s="95">
        <f t="shared" si="255"/>
        <v>0</v>
      </c>
      <c r="L479" s="95">
        <f t="shared" si="255"/>
        <v>0</v>
      </c>
      <c r="M479" s="95">
        <f t="shared" si="255"/>
        <v>0</v>
      </c>
      <c r="N479" s="95">
        <f t="shared" si="255"/>
        <v>0</v>
      </c>
      <c r="O479" s="97">
        <f t="shared" si="255"/>
        <v>0</v>
      </c>
      <c r="P479" s="96">
        <f t="shared" si="255"/>
        <v>0</v>
      </c>
      <c r="Q479" s="95">
        <f t="shared" si="255"/>
        <v>0</v>
      </c>
      <c r="R479" s="95">
        <f t="shared" si="255"/>
        <v>0</v>
      </c>
      <c r="S479" s="95">
        <f t="shared" si="255"/>
        <v>0</v>
      </c>
      <c r="T479" s="97">
        <f t="shared" si="255"/>
        <v>0</v>
      </c>
    </row>
    <row r="480" spans="4:20" ht="12.75" hidden="1" outlineLevel="1" x14ac:dyDescent="0.2">
      <c r="D480" s="75">
        <f t="shared" si="227"/>
        <v>0</v>
      </c>
      <c r="E480" s="93" t="s">
        <v>92</v>
      </c>
      <c r="F480" s="93" t="str">
        <f t="shared" si="208"/>
        <v>Dollars</v>
      </c>
      <c r="G480" s="93" t="str">
        <f t="shared" si="209"/>
        <v>Nominal</v>
      </c>
      <c r="H480" s="50" t="str">
        <f t="shared" si="210"/>
        <v>End year</v>
      </c>
      <c r="J480" s="96">
        <f t="shared" ref="J480:T480" si="256">J361+J420</f>
        <v>0</v>
      </c>
      <c r="K480" s="95">
        <f t="shared" si="256"/>
        <v>0</v>
      </c>
      <c r="L480" s="95">
        <f t="shared" si="256"/>
        <v>0</v>
      </c>
      <c r="M480" s="95">
        <f t="shared" si="256"/>
        <v>0</v>
      </c>
      <c r="N480" s="95">
        <f t="shared" si="256"/>
        <v>0</v>
      </c>
      <c r="O480" s="97">
        <f t="shared" si="256"/>
        <v>0</v>
      </c>
      <c r="P480" s="96">
        <f t="shared" si="256"/>
        <v>0</v>
      </c>
      <c r="Q480" s="95">
        <f t="shared" si="256"/>
        <v>0</v>
      </c>
      <c r="R480" s="95">
        <f t="shared" si="256"/>
        <v>0</v>
      </c>
      <c r="S480" s="95">
        <f t="shared" si="256"/>
        <v>0</v>
      </c>
      <c r="T480" s="97">
        <f t="shared" si="256"/>
        <v>0</v>
      </c>
    </row>
    <row r="481" spans="1:20" ht="12.75" hidden="1" outlineLevel="1" x14ac:dyDescent="0.2">
      <c r="D481" s="75">
        <f t="shared" si="227"/>
        <v>0</v>
      </c>
      <c r="E481" s="93" t="s">
        <v>92</v>
      </c>
      <c r="F481" s="93" t="str">
        <f t="shared" si="208"/>
        <v>Dollars</v>
      </c>
      <c r="G481" s="93" t="str">
        <f t="shared" si="209"/>
        <v>Nominal</v>
      </c>
      <c r="H481" s="50" t="str">
        <f t="shared" si="210"/>
        <v>End year</v>
      </c>
      <c r="J481" s="96">
        <f t="shared" ref="J481:T481" si="257">J362+J421</f>
        <v>0</v>
      </c>
      <c r="K481" s="95">
        <f t="shared" si="257"/>
        <v>0</v>
      </c>
      <c r="L481" s="95">
        <f t="shared" si="257"/>
        <v>0</v>
      </c>
      <c r="M481" s="95">
        <f t="shared" si="257"/>
        <v>0</v>
      </c>
      <c r="N481" s="95">
        <f t="shared" si="257"/>
        <v>0</v>
      </c>
      <c r="O481" s="97">
        <f t="shared" si="257"/>
        <v>0</v>
      </c>
      <c r="P481" s="96">
        <f t="shared" si="257"/>
        <v>0</v>
      </c>
      <c r="Q481" s="95">
        <f t="shared" si="257"/>
        <v>0</v>
      </c>
      <c r="R481" s="95">
        <f t="shared" si="257"/>
        <v>0</v>
      </c>
      <c r="S481" s="95">
        <f t="shared" si="257"/>
        <v>0</v>
      </c>
      <c r="T481" s="97">
        <f t="shared" si="257"/>
        <v>0</v>
      </c>
    </row>
    <row r="482" spans="1:20" ht="12.75" hidden="1" outlineLevel="1" x14ac:dyDescent="0.2">
      <c r="D482" s="75">
        <f t="shared" si="227"/>
        <v>0</v>
      </c>
      <c r="E482" s="93" t="s">
        <v>92</v>
      </c>
      <c r="F482" s="93" t="str">
        <f t="shared" si="208"/>
        <v>Dollars</v>
      </c>
      <c r="G482" s="93" t="str">
        <f t="shared" si="209"/>
        <v>Nominal</v>
      </c>
      <c r="H482" s="50" t="str">
        <f t="shared" si="210"/>
        <v>End year</v>
      </c>
      <c r="J482" s="96">
        <f t="shared" ref="J482:T482" si="258">J363+J422</f>
        <v>0</v>
      </c>
      <c r="K482" s="95">
        <f t="shared" si="258"/>
        <v>0</v>
      </c>
      <c r="L482" s="95">
        <f t="shared" si="258"/>
        <v>0</v>
      </c>
      <c r="M482" s="95">
        <f t="shared" si="258"/>
        <v>0</v>
      </c>
      <c r="N482" s="95">
        <f t="shared" si="258"/>
        <v>0</v>
      </c>
      <c r="O482" s="97">
        <f t="shared" si="258"/>
        <v>0</v>
      </c>
      <c r="P482" s="96">
        <f t="shared" si="258"/>
        <v>0</v>
      </c>
      <c r="Q482" s="95">
        <f t="shared" si="258"/>
        <v>0</v>
      </c>
      <c r="R482" s="95">
        <f t="shared" si="258"/>
        <v>0</v>
      </c>
      <c r="S482" s="95">
        <f t="shared" si="258"/>
        <v>0</v>
      </c>
      <c r="T482" s="97">
        <f t="shared" si="258"/>
        <v>0</v>
      </c>
    </row>
    <row r="483" spans="1:20" ht="12.75" collapsed="1" x14ac:dyDescent="0.2">
      <c r="D483" s="75" t="str">
        <f t="shared" si="227"/>
        <v>Buildings - capital works</v>
      </c>
      <c r="E483" s="93" t="s">
        <v>92</v>
      </c>
      <c r="F483" s="93" t="str">
        <f t="shared" si="208"/>
        <v>Dollars</v>
      </c>
      <c r="G483" s="93" t="str">
        <f t="shared" si="209"/>
        <v>Nominal</v>
      </c>
      <c r="H483" s="50" t="str">
        <f t="shared" si="210"/>
        <v>End year</v>
      </c>
      <c r="J483" s="96">
        <f t="shared" ref="J483:T483" si="259">J364+J423</f>
        <v>0</v>
      </c>
      <c r="K483" s="95">
        <f t="shared" si="259"/>
        <v>0</v>
      </c>
      <c r="L483" s="95">
        <f t="shared" si="259"/>
        <v>0</v>
      </c>
      <c r="M483" s="95">
        <f t="shared" si="259"/>
        <v>0</v>
      </c>
      <c r="N483" s="95">
        <f t="shared" si="259"/>
        <v>0</v>
      </c>
      <c r="O483" s="97">
        <f t="shared" si="259"/>
        <v>0</v>
      </c>
      <c r="P483" s="96">
        <f t="shared" si="259"/>
        <v>4.8076329474530874</v>
      </c>
      <c r="Q483" s="95">
        <f t="shared" si="259"/>
        <v>9.718204955562598</v>
      </c>
      <c r="R483" s="95">
        <f t="shared" si="259"/>
        <v>14.731008352453383</v>
      </c>
      <c r="S483" s="95">
        <f t="shared" si="259"/>
        <v>19.845177427954145</v>
      </c>
      <c r="T483" s="97">
        <f t="shared" si="259"/>
        <v>25.059679800357191</v>
      </c>
    </row>
    <row r="484" spans="1:20" ht="12.75" x14ac:dyDescent="0.2">
      <c r="D484" s="75" t="str">
        <f t="shared" si="227"/>
        <v>In-house software</v>
      </c>
      <c r="E484" s="93" t="s">
        <v>92</v>
      </c>
      <c r="F484" s="93" t="str">
        <f t="shared" si="208"/>
        <v>Dollars</v>
      </c>
      <c r="G484" s="93" t="str">
        <f t="shared" si="209"/>
        <v>Nominal</v>
      </c>
      <c r="H484" s="50" t="str">
        <f t="shared" si="210"/>
        <v>End year</v>
      </c>
      <c r="J484" s="96">
        <f t="shared" ref="J484:T484" si="260">J365+J424</f>
        <v>0</v>
      </c>
      <c r="K484" s="95">
        <f t="shared" si="260"/>
        <v>0</v>
      </c>
      <c r="L484" s="95">
        <f t="shared" si="260"/>
        <v>0</v>
      </c>
      <c r="M484" s="95">
        <f t="shared" si="260"/>
        <v>0</v>
      </c>
      <c r="N484" s="95">
        <f t="shared" si="260"/>
        <v>0</v>
      </c>
      <c r="O484" s="97">
        <f t="shared" si="260"/>
        <v>0</v>
      </c>
      <c r="P484" s="96">
        <f t="shared" si="260"/>
        <v>18.301377398626123</v>
      </c>
      <c r="Q484" s="95">
        <f t="shared" si="260"/>
        <v>28.874695298506055</v>
      </c>
      <c r="R484" s="95">
        <f t="shared" si="260"/>
        <v>39.568070667685625</v>
      </c>
      <c r="S484" s="95">
        <f t="shared" si="260"/>
        <v>49.189113796928602</v>
      </c>
      <c r="T484" s="97">
        <f t="shared" si="260"/>
        <v>50.972835837085285</v>
      </c>
    </row>
    <row r="485" spans="1:20" ht="12.75" x14ac:dyDescent="0.2">
      <c r="D485" s="75" t="str">
        <f t="shared" si="227"/>
        <v>Equity raising costs</v>
      </c>
      <c r="E485" s="93" t="s">
        <v>92</v>
      </c>
      <c r="F485" s="93" t="str">
        <f t="shared" si="208"/>
        <v>Dollars</v>
      </c>
      <c r="G485" s="93" t="str">
        <f t="shared" si="209"/>
        <v>Nominal</v>
      </c>
      <c r="H485" s="50" t="str">
        <f t="shared" si="210"/>
        <v>End year</v>
      </c>
      <c r="J485" s="96">
        <f t="shared" ref="J485:T485" si="261">J366+J425</f>
        <v>1.2926939950129772</v>
      </c>
      <c r="K485" s="95">
        <f t="shared" si="261"/>
        <v>17.774802147370572</v>
      </c>
      <c r="L485" s="95">
        <f t="shared" si="261"/>
        <v>17.643780681991487</v>
      </c>
      <c r="M485" s="95">
        <f t="shared" si="261"/>
        <v>17.329022897887832</v>
      </c>
      <c r="N485" s="95">
        <f t="shared" si="261"/>
        <v>17.421603123619573</v>
      </c>
      <c r="O485" s="97">
        <f t="shared" si="261"/>
        <v>17.327681252351788</v>
      </c>
      <c r="P485" s="96">
        <f t="shared" si="261"/>
        <v>17.235799146806794</v>
      </c>
      <c r="Q485" s="95">
        <f t="shared" si="261"/>
        <v>17.130029830753521</v>
      </c>
      <c r="R485" s="95">
        <f t="shared" si="261"/>
        <v>17.009771358010511</v>
      </c>
      <c r="S485" s="95">
        <f t="shared" si="261"/>
        <v>16.874401160392033</v>
      </c>
      <c r="T485" s="97">
        <f t="shared" si="261"/>
        <v>16.723275410904641</v>
      </c>
    </row>
    <row r="486" spans="1:20" x14ac:dyDescent="0.2">
      <c r="J486" s="88"/>
      <c r="K486" s="89"/>
      <c r="L486" s="89"/>
      <c r="M486" s="89"/>
      <c r="N486" s="89"/>
      <c r="O486" s="91"/>
      <c r="P486" s="88"/>
      <c r="Q486" s="89"/>
      <c r="R486" s="89"/>
      <c r="S486" s="89"/>
      <c r="T486" s="91"/>
    </row>
    <row r="487" spans="1:20" ht="12.75" x14ac:dyDescent="0.2">
      <c r="D487" s="98" t="str">
        <f>"Total "&amp;C432</f>
        <v>Total Closing Balance - as commissioned</v>
      </c>
      <c r="E487" s="99" t="s">
        <v>92</v>
      </c>
      <c r="F487" s="99" t="str">
        <f>F436</f>
        <v>Dollars</v>
      </c>
      <c r="G487" s="99" t="str">
        <f>G436</f>
        <v>Nominal</v>
      </c>
      <c r="H487" s="45" t="str">
        <f>H436</f>
        <v>End year</v>
      </c>
      <c r="J487" s="100">
        <f t="shared" ref="J487:T487" si="262">SUM(J436:J485)</f>
        <v>6200.897927119825</v>
      </c>
      <c r="K487" s="101">
        <f t="shared" si="262"/>
        <v>6333.5136445472499</v>
      </c>
      <c r="L487" s="101">
        <f t="shared" si="262"/>
        <v>6389.8609418458291</v>
      </c>
      <c r="M487" s="101">
        <f t="shared" si="262"/>
        <v>6359.4509872994504</v>
      </c>
      <c r="N487" s="101">
        <f t="shared" si="262"/>
        <v>6852.8357294458592</v>
      </c>
      <c r="O487" s="102">
        <f t="shared" si="262"/>
        <v>7084.3150487312814</v>
      </c>
      <c r="P487" s="100">
        <f t="shared" si="262"/>
        <v>7856.2658182975874</v>
      </c>
      <c r="Q487" s="101">
        <f t="shared" si="262"/>
        <v>9240.3507715855958</v>
      </c>
      <c r="R487" s="101">
        <f t="shared" si="262"/>
        <v>9392.3391152560453</v>
      </c>
      <c r="S487" s="101">
        <f t="shared" si="262"/>
        <v>9444.7803524541414</v>
      </c>
      <c r="T487" s="102">
        <f t="shared" si="262"/>
        <v>9669.1057848542132</v>
      </c>
    </row>
    <row r="488" spans="1:20" s="82" customFormat="1" ht="11.25" customHeight="1" x14ac:dyDescent="0.2">
      <c r="H488" s="6"/>
      <c r="J488" s="240"/>
    </row>
    <row r="489" spans="1:20" s="82" customFormat="1" ht="11.25" customHeight="1" x14ac:dyDescent="0.2">
      <c r="A489" s="69">
        <f>IF(SUM($J489:$T489)&lt;&gt;0,1,0)</f>
        <v>0</v>
      </c>
      <c r="D489" s="75" t="s">
        <v>121</v>
      </c>
      <c r="H489" s="6"/>
      <c r="J489" s="109">
        <f t="shared" ref="J489:T489" si="263">IF(ROUND(SUM(J69,J128,J188,J248,J308,J427)-J487,5)&lt;&gt;0,1,0)</f>
        <v>0</v>
      </c>
      <c r="K489" s="103">
        <f t="shared" si="263"/>
        <v>0</v>
      </c>
      <c r="L489" s="103">
        <f t="shared" si="263"/>
        <v>0</v>
      </c>
      <c r="M489" s="103">
        <f t="shared" si="263"/>
        <v>0</v>
      </c>
      <c r="N489" s="103">
        <f t="shared" si="263"/>
        <v>0</v>
      </c>
      <c r="O489" s="110">
        <f t="shared" si="263"/>
        <v>0</v>
      </c>
      <c r="P489" s="109">
        <f t="shared" si="263"/>
        <v>0</v>
      </c>
      <c r="Q489" s="103">
        <f t="shared" si="263"/>
        <v>0</v>
      </c>
      <c r="R489" s="103">
        <f t="shared" si="263"/>
        <v>0</v>
      </c>
      <c r="S489" s="103">
        <f t="shared" si="263"/>
        <v>0</v>
      </c>
      <c r="T489" s="110">
        <f t="shared" si="263"/>
        <v>0</v>
      </c>
    </row>
    <row r="490" spans="1:20" s="82" customFormat="1" ht="11.25" customHeight="1" x14ac:dyDescent="0.2">
      <c r="A490" s="69">
        <f>IF(SUM($J490:$T490)&lt;&gt;0,1,0)</f>
        <v>0</v>
      </c>
      <c r="D490" s="75" t="s">
        <v>122</v>
      </c>
      <c r="H490" s="7"/>
      <c r="J490" s="109">
        <v>0</v>
      </c>
      <c r="K490" s="103">
        <v>0</v>
      </c>
      <c r="L490" s="103">
        <v>0</v>
      </c>
      <c r="M490" s="103">
        <v>0</v>
      </c>
      <c r="N490" s="103">
        <v>0</v>
      </c>
      <c r="O490" s="110">
        <v>0</v>
      </c>
      <c r="P490" s="109">
        <f>IF(ROUND(O487-P69,5)&lt;&gt;0,1,0)</f>
        <v>0</v>
      </c>
      <c r="Q490" s="103" t="str">
        <f>NA</f>
        <v>N/A</v>
      </c>
      <c r="R490" s="103" t="str">
        <f>NA</f>
        <v>N/A</v>
      </c>
      <c r="S490" s="103" t="str">
        <f>NA</f>
        <v>N/A</v>
      </c>
      <c r="T490" s="110" t="str">
        <f>NA</f>
        <v>N/A</v>
      </c>
    </row>
    <row r="491" spans="1:20" s="82" customFormat="1" ht="11.25" customHeight="1" x14ac:dyDescent="0.2">
      <c r="A491" s="69"/>
      <c r="D491" s="75" t="s">
        <v>257</v>
      </c>
      <c r="H491" s="7"/>
      <c r="J491" s="109">
        <f t="shared" ref="J491:T491" si="264">IF(COUNTIF(J436:J485,"&lt;"&amp;0)&gt;0,1,0)</f>
        <v>1</v>
      </c>
      <c r="K491" s="103">
        <f t="shared" si="264"/>
        <v>0</v>
      </c>
      <c r="L491" s="103">
        <f t="shared" si="264"/>
        <v>1</v>
      </c>
      <c r="M491" s="103">
        <f t="shared" si="264"/>
        <v>1</v>
      </c>
      <c r="N491" s="103">
        <f t="shared" si="264"/>
        <v>1</v>
      </c>
      <c r="O491" s="110">
        <f t="shared" si="264"/>
        <v>1</v>
      </c>
      <c r="P491" s="109">
        <f t="shared" si="264"/>
        <v>1</v>
      </c>
      <c r="Q491" s="103">
        <f t="shared" si="264"/>
        <v>1</v>
      </c>
      <c r="R491" s="103">
        <f t="shared" si="264"/>
        <v>1</v>
      </c>
      <c r="S491" s="103">
        <f t="shared" si="264"/>
        <v>1</v>
      </c>
      <c r="T491" s="110">
        <f t="shared" si="264"/>
        <v>1</v>
      </c>
    </row>
    <row r="493" spans="1:20" s="81" customFormat="1" ht="15.75" x14ac:dyDescent="0.2">
      <c r="B493" s="81" t="s">
        <v>203</v>
      </c>
      <c r="H493" s="4"/>
    </row>
    <row r="495" spans="1:20" ht="12.75" x14ac:dyDescent="0.2">
      <c r="D495" s="84" t="s">
        <v>204</v>
      </c>
      <c r="E495" s="85" t="str">
        <f>Lookup!E$20</f>
        <v>Source</v>
      </c>
      <c r="F495" s="85" t="str">
        <f>Lookup!F$20</f>
        <v>Unit</v>
      </c>
      <c r="G495" s="85" t="str">
        <f>Lookup!G$20</f>
        <v>Basis</v>
      </c>
      <c r="H495" s="43" t="str">
        <f>Lookup!H$20</f>
        <v>Timing</v>
      </c>
      <c r="J495" s="86" t="str">
        <f t="shared" ref="J495:T495" si="265">J$10</f>
        <v>RY18</v>
      </c>
      <c r="K495" s="85" t="str">
        <f t="shared" si="265"/>
        <v>RY19</v>
      </c>
      <c r="L495" s="85" t="str">
        <f>L$10</f>
        <v>RY20</v>
      </c>
      <c r="M495" s="85" t="str">
        <f t="shared" si="265"/>
        <v>RY21</v>
      </c>
      <c r="N495" s="85" t="str">
        <f t="shared" si="265"/>
        <v>RY22</v>
      </c>
      <c r="O495" s="87" t="str">
        <f t="shared" si="265"/>
        <v>RY23</v>
      </c>
      <c r="P495" s="86" t="str">
        <f t="shared" si="265"/>
        <v>RY24</v>
      </c>
      <c r="Q495" s="85" t="str">
        <f>Q$10</f>
        <v>RY25</v>
      </c>
      <c r="R495" s="85" t="str">
        <f t="shared" si="265"/>
        <v>RY26</v>
      </c>
      <c r="S495" s="85" t="str">
        <f t="shared" si="265"/>
        <v>RY27</v>
      </c>
      <c r="T495" s="87" t="str">
        <f t="shared" si="265"/>
        <v>RY28</v>
      </c>
    </row>
    <row r="496" spans="1:20" x14ac:dyDescent="0.2">
      <c r="J496" s="88"/>
      <c r="K496" s="89"/>
      <c r="L496" s="89"/>
      <c r="M496" s="89"/>
      <c r="N496" s="89"/>
      <c r="O496" s="91"/>
      <c r="P496" s="88"/>
      <c r="Q496" s="89"/>
      <c r="R496" s="89"/>
      <c r="S496" s="89"/>
      <c r="T496" s="91"/>
    </row>
    <row r="497" spans="2:20" ht="12.75" x14ac:dyDescent="0.2">
      <c r="D497" s="75" t="str">
        <f>Input_Inflation!D$18</f>
        <v>CPI Input</v>
      </c>
      <c r="E497" s="93" t="str">
        <f>Input_Inflation!E$18</f>
        <v>ABS/RBA</v>
      </c>
      <c r="F497" s="93" t="str">
        <f>Input_Inflation!F$18</f>
        <v>Percent</v>
      </c>
      <c r="G497" s="93" t="str">
        <f>Input_Inflation!G$18</f>
        <v>N/A</v>
      </c>
      <c r="H497" s="50" t="str">
        <f>Input_Inflation!H$18</f>
        <v>N/A</v>
      </c>
      <c r="J497" s="221">
        <f>Input_Inflation!J$18</f>
        <v>1.9090909090909047E-2</v>
      </c>
      <c r="K497" s="222">
        <f>Input_Inflation!K$18</f>
        <v>1.7841213202497874E-2</v>
      </c>
      <c r="L497" s="222">
        <f>Input_Inflation!L$18</f>
        <v>1.8404907975460238E-2</v>
      </c>
      <c r="M497" s="222">
        <f>Input_Inflation!M$18</f>
        <v>8.6058519793459354E-3</v>
      </c>
      <c r="N497" s="222">
        <f>Input_Inflation!N$18</f>
        <v>3.2500000000000001E-2</v>
      </c>
      <c r="O497" s="223">
        <f>Input_Inflation!O$18</f>
        <v>2.2499999999999999E-2</v>
      </c>
      <c r="P497" s="221">
        <f>Input_Inflation!P$18</f>
        <v>2.349953872603594E-2</v>
      </c>
      <c r="Q497" s="222">
        <f>Input_Inflation!Q$18</f>
        <v>2.349953872603594E-2</v>
      </c>
      <c r="R497" s="222">
        <f>Input_Inflation!R$18</f>
        <v>2.349953872603594E-2</v>
      </c>
      <c r="S497" s="222">
        <f>Input_Inflation!S$18</f>
        <v>2.349953872603594E-2</v>
      </c>
      <c r="T497" s="223">
        <f>Input_Inflation!T$18</f>
        <v>2.349953872603594E-2</v>
      </c>
    </row>
    <row r="498" spans="2:20" x14ac:dyDescent="0.2">
      <c r="J498" s="89"/>
    </row>
    <row r="499" spans="2:20" s="81" customFormat="1" ht="15.75" x14ac:dyDescent="0.2">
      <c r="B499" s="81" t="s">
        <v>33</v>
      </c>
      <c r="H499" s="4"/>
    </row>
  </sheetData>
  <conditionalFormatting sqref="B2">
    <cfRule type="cellIs" dxfId="9" priority="1" operator="notEqual">
      <formula>"No Errors Found"</formula>
    </cfRule>
  </conditionalFormatting>
  <hyperlinks>
    <hyperlink ref="B3:E3" location="TOC!A1" display="TOC!A1"/>
  </hyperlinks>
  <pageMargins left="0.7" right="0.7" top="0.75" bottom="0.75" header="0.3" footer="0.3"/>
  <pageSetup paperSize="9" scale="3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4"/>
  <sheetViews>
    <sheetView showGridLines="0" zoomScaleNormal="100" workbookViewId="0">
      <pane xSplit="1" ySplit="5" topLeftCell="B6" activePane="bottomRight" state="frozen"/>
      <selection activeCell="C33" sqref="C33:X33"/>
      <selection pane="topRight" activeCell="C33" sqref="C33:X33"/>
      <selection pane="bottomLeft" activeCell="C33" sqref="C33:X33"/>
      <selection pane="bottomRight" activeCell="B6" sqref="B6"/>
    </sheetView>
  </sheetViews>
  <sheetFormatPr defaultColWidth="9.33203125" defaultRowHeight="11.25" x14ac:dyDescent="0.2"/>
  <cols>
    <col min="1" max="1" width="3.33203125" style="7" customWidth="1"/>
    <col min="2" max="3" width="2.83203125" style="7" customWidth="1"/>
    <col min="4" max="4" width="48.5" style="7" customWidth="1"/>
    <col min="5" max="5" width="18" style="7" customWidth="1"/>
    <col min="6" max="6" width="9.1640625" style="7" customWidth="1"/>
    <col min="7" max="7" width="12" style="7" customWidth="1"/>
    <col min="8" max="8" width="10" style="7" customWidth="1"/>
    <col min="9" max="9" width="4.1640625" style="7" customWidth="1"/>
    <col min="10" max="22" width="13.1640625" style="7" customWidth="1"/>
    <col min="23" max="23" width="4" style="7" customWidth="1"/>
    <col min="24" max="26" width="13.1640625" style="7" customWidth="1"/>
    <col min="27" max="16384" width="9.33203125" style="7"/>
  </cols>
  <sheetData>
    <row r="1" spans="1:15" ht="19.5" x14ac:dyDescent="0.2">
      <c r="A1" s="47">
        <f>IF(SUM($A6:$A24)&gt;0,1,0)</f>
        <v>0</v>
      </c>
      <c r="B1" s="5" t="s">
        <v>267</v>
      </c>
    </row>
    <row r="2" spans="1:15" x14ac:dyDescent="0.2">
      <c r="B2" s="18" t="str">
        <f>Title_Msg</f>
        <v>No Errors Found</v>
      </c>
    </row>
    <row r="3" spans="1:15" x14ac:dyDescent="0.2">
      <c r="B3" s="35" t="str">
        <f>TOC!B1</f>
        <v>Table of Contents</v>
      </c>
      <c r="C3" s="34"/>
      <c r="D3" s="34"/>
      <c r="E3" s="34"/>
    </row>
    <row r="4" spans="1:15" ht="12.75" x14ac:dyDescent="0.2">
      <c r="B4" s="33" t="str">
        <f>Model_Name</f>
        <v>TransGrid - EB RIN RAB Allocation</v>
      </c>
    </row>
    <row r="5" spans="1:15" ht="12.75" x14ac:dyDescent="0.2">
      <c r="B5" s="10" t="str">
        <f>Lookup!B20</f>
        <v>Regulatory Year</v>
      </c>
      <c r="E5" s="39" t="str">
        <f>Lookup!E20</f>
        <v>Source</v>
      </c>
      <c r="F5" s="39" t="str">
        <f>Lookup!F20</f>
        <v>Unit</v>
      </c>
      <c r="G5" s="39" t="str">
        <f>Lookup!G20</f>
        <v>Basis</v>
      </c>
      <c r="H5" s="39" t="str">
        <f>Lookup!H20</f>
        <v>Timing</v>
      </c>
      <c r="I5" s="39"/>
    </row>
    <row r="7" spans="1:15" s="4" customFormat="1" ht="15.75" x14ac:dyDescent="0.2">
      <c r="B7" s="4" t="s">
        <v>198</v>
      </c>
    </row>
    <row r="8" spans="1:15" s="6" customFormat="1" ht="4.5" customHeight="1" x14ac:dyDescent="0.2"/>
    <row r="9" spans="1:15" s="13" customFormat="1" ht="15" x14ac:dyDescent="0.2">
      <c r="C9" s="13" t="s">
        <v>283</v>
      </c>
    </row>
    <row r="10" spans="1:15" s="6" customFormat="1" ht="11.25" customHeight="1" x14ac:dyDescent="0.2"/>
    <row r="11" spans="1:15" s="6" customFormat="1" ht="11.25" customHeight="1" x14ac:dyDescent="0.2">
      <c r="D11" s="179" t="s">
        <v>90</v>
      </c>
      <c r="E11" s="180" t="str">
        <f>Lookup!E$20</f>
        <v>Source</v>
      </c>
      <c r="F11" s="180" t="str">
        <f>Lookup!F$20</f>
        <v>Unit</v>
      </c>
      <c r="G11" s="180" t="str">
        <f>Lookup!G$20</f>
        <v>Basis</v>
      </c>
      <c r="H11" s="180" t="str">
        <f>Lookup!H$20</f>
        <v>Timing</v>
      </c>
      <c r="J11" s="246" t="str">
        <f>Lookup!R20</f>
        <v>RY18</v>
      </c>
      <c r="K11" s="246" t="str">
        <f>Lookup!S20</f>
        <v>RY19</v>
      </c>
      <c r="L11" s="246" t="str">
        <f>Lookup!T20</f>
        <v>RY20</v>
      </c>
      <c r="M11" s="246" t="str">
        <f>Lookup!U20</f>
        <v>RY21</v>
      </c>
      <c r="O11" s="180" t="s">
        <v>65</v>
      </c>
    </row>
    <row r="12" spans="1:15" s="6" customFormat="1" ht="11.25" customHeight="1" x14ac:dyDescent="0.2">
      <c r="D12" s="176"/>
      <c r="E12" s="176"/>
      <c r="F12" s="176"/>
      <c r="G12" s="176"/>
      <c r="H12" s="176"/>
      <c r="O12" s="181"/>
    </row>
    <row r="13" spans="1:15" s="6" customFormat="1" ht="12.75" x14ac:dyDescent="0.2">
      <c r="D13" s="177" t="str">
        <f>Lookup!$D$126</f>
        <v>Overhead assets</v>
      </c>
      <c r="E13" s="182" t="s">
        <v>286</v>
      </c>
      <c r="F13" s="182" t="s">
        <v>123</v>
      </c>
      <c r="G13" s="182" t="str">
        <f t="shared" ref="G13:H18" si="0">NA</f>
        <v>N/A</v>
      </c>
      <c r="H13" s="182" t="str">
        <f t="shared" si="0"/>
        <v>N/A</v>
      </c>
      <c r="J13" s="187">
        <v>48.953680344918695</v>
      </c>
      <c r="K13" s="187">
        <v>47.708275005042331</v>
      </c>
      <c r="L13" s="187">
        <v>34.9</v>
      </c>
      <c r="M13" s="187">
        <v>40.1</v>
      </c>
      <c r="O13" s="256">
        <f>M13</f>
        <v>40.1</v>
      </c>
    </row>
    <row r="14" spans="1:15" s="6" customFormat="1" ht="12.75" x14ac:dyDescent="0.2">
      <c r="D14" s="177" t="str">
        <f>Lookup!$D$127</f>
        <v>Underground assets</v>
      </c>
      <c r="E14" s="182" t="s">
        <v>286</v>
      </c>
      <c r="F14" s="182" t="s">
        <v>123</v>
      </c>
      <c r="G14" s="182" t="str">
        <f t="shared" si="0"/>
        <v>N/A</v>
      </c>
      <c r="H14" s="182" t="str">
        <f t="shared" si="0"/>
        <v>N/A</v>
      </c>
      <c r="J14" s="187">
        <v>45</v>
      </c>
      <c r="K14" s="187">
        <v>0</v>
      </c>
      <c r="L14" s="187">
        <v>0</v>
      </c>
      <c r="M14" s="187">
        <v>0</v>
      </c>
      <c r="O14" s="269">
        <f>J14</f>
        <v>45</v>
      </c>
    </row>
    <row r="15" spans="1:15" s="6" customFormat="1" ht="12.75" x14ac:dyDescent="0.2">
      <c r="D15" s="177" t="str">
        <f>Lookup!$D$128</f>
        <v>Switchyards, substations</v>
      </c>
      <c r="E15" s="182" t="s">
        <v>286</v>
      </c>
      <c r="F15" s="182" t="s">
        <v>123</v>
      </c>
      <c r="G15" s="182" t="str">
        <f t="shared" si="0"/>
        <v>N/A</v>
      </c>
      <c r="H15" s="182" t="str">
        <f t="shared" si="0"/>
        <v>N/A</v>
      </c>
      <c r="J15" s="187">
        <v>40</v>
      </c>
      <c r="K15" s="187">
        <v>39.999999999999993</v>
      </c>
      <c r="L15" s="187">
        <v>40</v>
      </c>
      <c r="M15" s="187">
        <v>40</v>
      </c>
      <c r="O15" s="256">
        <f t="shared" ref="O15:O18" si="1">M15</f>
        <v>40</v>
      </c>
    </row>
    <row r="16" spans="1:15" s="6" customFormat="1" ht="12.75" x14ac:dyDescent="0.2">
      <c r="D16" s="177" t="str">
        <f>Lookup!$D$129</f>
        <v>Easements</v>
      </c>
      <c r="E16" s="182" t="s">
        <v>286</v>
      </c>
      <c r="F16" s="182" t="s">
        <v>123</v>
      </c>
      <c r="G16" s="182" t="str">
        <f t="shared" si="0"/>
        <v>N/A</v>
      </c>
      <c r="H16" s="182" t="str">
        <f t="shared" si="0"/>
        <v>N/A</v>
      </c>
      <c r="J16" s="247"/>
      <c r="K16" s="247"/>
      <c r="L16" s="247"/>
      <c r="M16" s="247"/>
      <c r="O16" s="247"/>
    </row>
    <row r="17" spans="1:15" s="6" customFormat="1" ht="12.75" x14ac:dyDescent="0.2">
      <c r="D17" s="177" t="str">
        <f>Lookup!$D$130</f>
        <v>“Other” asset items with long lives</v>
      </c>
      <c r="E17" s="182" t="s">
        <v>286</v>
      </c>
      <c r="F17" s="182" t="s">
        <v>123</v>
      </c>
      <c r="G17" s="182" t="str">
        <f t="shared" si="0"/>
        <v>N/A</v>
      </c>
      <c r="H17" s="182" t="str">
        <f t="shared" si="0"/>
        <v>N/A</v>
      </c>
      <c r="J17" s="187">
        <v>13.960867582397464</v>
      </c>
      <c r="K17" s="187">
        <v>12.882866013674436</v>
      </c>
      <c r="L17" s="187">
        <v>14.2</v>
      </c>
      <c r="M17" s="187">
        <v>13.3</v>
      </c>
      <c r="O17" s="256">
        <f t="shared" si="1"/>
        <v>13.3</v>
      </c>
    </row>
    <row r="18" spans="1:15" s="6" customFormat="1" ht="12.75" x14ac:dyDescent="0.2">
      <c r="D18" s="177" t="str">
        <f>Lookup!$D$131</f>
        <v>“Other” asset items with short lives</v>
      </c>
      <c r="E18" s="182" t="s">
        <v>286</v>
      </c>
      <c r="F18" s="182" t="s">
        <v>123</v>
      </c>
      <c r="G18" s="182" t="str">
        <f t="shared" si="0"/>
        <v>N/A</v>
      </c>
      <c r="H18" s="182" t="str">
        <f t="shared" si="0"/>
        <v>N/A</v>
      </c>
      <c r="J18" s="187">
        <v>4.9830252785820894</v>
      </c>
      <c r="K18" s="187">
        <v>5.0478349016581818</v>
      </c>
      <c r="L18" s="187">
        <v>5.3</v>
      </c>
      <c r="M18" s="187">
        <v>5</v>
      </c>
      <c r="O18" s="256">
        <f t="shared" si="1"/>
        <v>5</v>
      </c>
    </row>
    <row r="19" spans="1:15" s="6" customFormat="1" ht="11.25" customHeight="1" x14ac:dyDescent="0.2">
      <c r="D19" s="176"/>
      <c r="E19" s="176"/>
      <c r="F19" s="176"/>
      <c r="G19" s="176"/>
      <c r="H19" s="176"/>
      <c r="O19" s="181"/>
    </row>
    <row r="20" spans="1:15" s="6" customFormat="1" ht="11.25" customHeight="1" x14ac:dyDescent="0.2">
      <c r="D20" s="183" t="s">
        <v>91</v>
      </c>
      <c r="E20" s="184" t="s">
        <v>35</v>
      </c>
      <c r="F20" s="184" t="str">
        <f>F13</f>
        <v>Years</v>
      </c>
      <c r="G20" s="184" t="str">
        <f>G13</f>
        <v>N/A</v>
      </c>
      <c r="H20" s="184" t="str">
        <f>H13</f>
        <v>N/A</v>
      </c>
      <c r="O20" s="185" t="s">
        <v>35</v>
      </c>
    </row>
    <row r="21" spans="1:15" s="6" customFormat="1" ht="4.5" customHeight="1" x14ac:dyDescent="0.2"/>
    <row r="22" spans="1:15" s="6" customFormat="1" ht="11.25" customHeight="1" x14ac:dyDescent="0.2">
      <c r="A22" s="175">
        <f>IF(SUM($J22:$T22)&lt;&gt;0,1,0)</f>
        <v>0</v>
      </c>
      <c r="D22" s="177" t="s">
        <v>95</v>
      </c>
      <c r="E22" s="178"/>
      <c r="F22" s="178"/>
      <c r="G22" s="178"/>
      <c r="H22" s="178"/>
      <c r="O22" s="186">
        <f>IF(ISERROR(SUM(O13:O18)),1,0)</f>
        <v>0</v>
      </c>
    </row>
    <row r="23" spans="1:15" s="6" customFormat="1" ht="4.5" customHeight="1" x14ac:dyDescent="0.2"/>
    <row r="24" spans="1:15" s="4" customFormat="1" ht="15.75" x14ac:dyDescent="0.2">
      <c r="B24" s="4" t="s">
        <v>33</v>
      </c>
    </row>
  </sheetData>
  <conditionalFormatting sqref="B2">
    <cfRule type="cellIs" dxfId="8" priority="1" operator="notEqual">
      <formula>"No Errors Found"</formula>
    </cfRule>
  </conditionalFormatting>
  <hyperlinks>
    <hyperlink ref="B3:E3" location="TOC!A1" display="TOC!A1"/>
  </hyperlinks>
  <pageMargins left="0.7" right="0.7" top="0.75" bottom="0.75" header="0.3" footer="0.3"/>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62"/>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B11" sqref="B11"/>
    </sheetView>
  </sheetViews>
  <sheetFormatPr defaultColWidth="9.33203125" defaultRowHeight="11.25" outlineLevelRow="1" x14ac:dyDescent="0.2"/>
  <cols>
    <col min="1" max="1" width="3.6640625" style="7" customWidth="1"/>
    <col min="2" max="2" width="2.83203125" style="7" customWidth="1"/>
    <col min="3" max="3" width="5.5" style="7" customWidth="1"/>
    <col min="4" max="4" width="57" style="7" customWidth="1"/>
    <col min="5" max="10" width="25.6640625" style="7" customWidth="1"/>
    <col min="11" max="20" width="10.83203125" style="7" customWidth="1"/>
    <col min="21" max="16384" width="9.33203125" style="7"/>
  </cols>
  <sheetData>
    <row r="1" spans="1:10" ht="19.5" x14ac:dyDescent="0.2">
      <c r="A1" s="47">
        <f>IF(SUM($A6:$A62)&lt;&gt;0,1,0)</f>
        <v>0</v>
      </c>
      <c r="B1" s="243" t="s">
        <v>287</v>
      </c>
    </row>
    <row r="2" spans="1:10" x14ac:dyDescent="0.2">
      <c r="B2" s="18" t="str">
        <f>Title_Msg</f>
        <v>No Errors Found</v>
      </c>
    </row>
    <row r="3" spans="1:10" x14ac:dyDescent="0.2">
      <c r="B3" s="35" t="str">
        <f>TOC!B1</f>
        <v>Table of Contents</v>
      </c>
      <c r="C3" s="34"/>
      <c r="D3" s="34"/>
      <c r="E3" s="34"/>
    </row>
    <row r="4" spans="1:10" ht="12.75" x14ac:dyDescent="0.2">
      <c r="B4" s="33" t="str">
        <f>Model_Name</f>
        <v>TransGrid - EB RIN RAB Allocation</v>
      </c>
    </row>
    <row r="6" spans="1:10" s="4" customFormat="1" ht="15.75" x14ac:dyDescent="0.2">
      <c r="B6" s="4" t="s">
        <v>100</v>
      </c>
    </row>
    <row r="7" spans="1:10" s="6" customFormat="1" ht="4.5" customHeight="1" x14ac:dyDescent="0.2"/>
    <row r="8" spans="1:10" s="13" customFormat="1" ht="15" x14ac:dyDescent="0.2">
      <c r="C8" s="13" t="s">
        <v>209</v>
      </c>
    </row>
    <row r="9" spans="1:10" s="6" customFormat="1" ht="4.5" customHeight="1" x14ac:dyDescent="0.2"/>
    <row r="10" spans="1:10" s="6" customFormat="1" ht="25.5" x14ac:dyDescent="0.2">
      <c r="D10" s="65" t="s">
        <v>119</v>
      </c>
      <c r="E10" s="62" t="str">
        <f t="array" ref="E10:J10">TRANSPOSE(LU_EB_RIN_Assets)</f>
        <v>Overhead assets</v>
      </c>
      <c r="F10" s="62" t="str">
        <v>Underground assets</v>
      </c>
      <c r="G10" s="62" t="str">
        <v>Switchyards, substations</v>
      </c>
      <c r="H10" s="62" t="str">
        <v>Easements</v>
      </c>
      <c r="I10" s="62" t="str">
        <v>“Other” asset items with long lives</v>
      </c>
      <c r="J10" s="62" t="str">
        <v>“Other” asset items with short lives</v>
      </c>
    </row>
    <row r="11" spans="1:10" s="6" customFormat="1" ht="12.4" customHeight="1" x14ac:dyDescent="0.2">
      <c r="A11" s="51">
        <f t="shared" ref="A11:A42" si="0">IF(SUM(E11:J11)&lt;&gt;1,1,0)</f>
        <v>0</v>
      </c>
      <c r="D11" s="15" t="str">
        <f>Lookup!D71</f>
        <v>Transmission Lines (pre 2004-05)</v>
      </c>
      <c r="E11" s="64">
        <v>1</v>
      </c>
      <c r="F11" s="64">
        <v>0</v>
      </c>
      <c r="G11" s="64">
        <v>0</v>
      </c>
      <c r="H11" s="64">
        <v>0</v>
      </c>
      <c r="I11" s="64">
        <v>0</v>
      </c>
      <c r="J11" s="64">
        <f>1-SUM(E11:I11)</f>
        <v>0</v>
      </c>
    </row>
    <row r="12" spans="1:10" s="6" customFormat="1" ht="12.75" x14ac:dyDescent="0.2">
      <c r="A12" s="51">
        <f t="shared" si="0"/>
        <v>0</v>
      </c>
      <c r="D12" s="15" t="str">
        <f>Lookup!D72</f>
        <v>Underground Cables (pre 2004-05)</v>
      </c>
      <c r="E12" s="64">
        <v>0</v>
      </c>
      <c r="F12" s="64">
        <v>1</v>
      </c>
      <c r="G12" s="64">
        <v>0</v>
      </c>
      <c r="H12" s="64">
        <v>0</v>
      </c>
      <c r="I12" s="64">
        <v>0</v>
      </c>
      <c r="J12" s="64">
        <f t="shared" ref="J12:J60" si="1">1-SUM(E12:I12)</f>
        <v>0</v>
      </c>
    </row>
    <row r="13" spans="1:10" s="6" customFormat="1" ht="12.75" x14ac:dyDescent="0.2">
      <c r="A13" s="51">
        <f t="shared" si="0"/>
        <v>0</v>
      </c>
      <c r="D13" s="15" t="str">
        <f>Lookup!D73</f>
        <v>Substations including Buildings (pre 2004-05)</v>
      </c>
      <c r="E13" s="64">
        <v>0</v>
      </c>
      <c r="F13" s="64">
        <v>0</v>
      </c>
      <c r="G13" s="64">
        <v>1</v>
      </c>
      <c r="H13" s="64">
        <v>0</v>
      </c>
      <c r="I13" s="64">
        <v>0</v>
      </c>
      <c r="J13" s="64">
        <f t="shared" si="1"/>
        <v>0</v>
      </c>
    </row>
    <row r="14" spans="1:10" s="6" customFormat="1" ht="12.75" x14ac:dyDescent="0.2">
      <c r="A14" s="51">
        <f t="shared" si="0"/>
        <v>0</v>
      </c>
      <c r="D14" s="15" t="str">
        <f>Lookup!D74</f>
        <v>Transmission Lines (2004-09)</v>
      </c>
      <c r="E14" s="64">
        <v>1</v>
      </c>
      <c r="F14" s="64">
        <v>0</v>
      </c>
      <c r="G14" s="64">
        <v>0</v>
      </c>
      <c r="H14" s="64">
        <v>0</v>
      </c>
      <c r="I14" s="64">
        <v>0</v>
      </c>
      <c r="J14" s="64">
        <f t="shared" si="1"/>
        <v>0</v>
      </c>
    </row>
    <row r="15" spans="1:10" s="6" customFormat="1" ht="12.75" x14ac:dyDescent="0.2">
      <c r="A15" s="51">
        <f t="shared" si="0"/>
        <v>0</v>
      </c>
      <c r="D15" s="15" t="str">
        <f>Lookup!D75</f>
        <v>Underground Cables (2004-09)</v>
      </c>
      <c r="E15" s="64">
        <v>0</v>
      </c>
      <c r="F15" s="64">
        <v>1</v>
      </c>
      <c r="G15" s="64">
        <v>0</v>
      </c>
      <c r="H15" s="64">
        <v>0</v>
      </c>
      <c r="I15" s="64">
        <v>0</v>
      </c>
      <c r="J15" s="64">
        <f t="shared" si="1"/>
        <v>0</v>
      </c>
    </row>
    <row r="16" spans="1:10" s="6" customFormat="1" ht="12.75" x14ac:dyDescent="0.2">
      <c r="A16" s="51">
        <f t="shared" si="0"/>
        <v>0</v>
      </c>
      <c r="D16" s="15" t="str">
        <f>Lookup!D76</f>
        <v>Substations including Buildings (2004-09)</v>
      </c>
      <c r="E16" s="64">
        <v>0</v>
      </c>
      <c r="F16" s="64">
        <v>0</v>
      </c>
      <c r="G16" s="64">
        <v>1</v>
      </c>
      <c r="H16" s="64">
        <v>0</v>
      </c>
      <c r="I16" s="64">
        <v>0</v>
      </c>
      <c r="J16" s="64">
        <f t="shared" si="1"/>
        <v>0</v>
      </c>
    </row>
    <row r="17" spans="1:10" s="6" customFormat="1" ht="12.75" x14ac:dyDescent="0.2">
      <c r="A17" s="51">
        <f t="shared" si="0"/>
        <v>0</v>
      </c>
      <c r="D17" s="15" t="str">
        <f>Lookup!D77</f>
        <v>SCADA and Communications (2004-09)</v>
      </c>
      <c r="E17" s="64">
        <v>0</v>
      </c>
      <c r="F17" s="64">
        <v>0</v>
      </c>
      <c r="G17" s="64">
        <v>0</v>
      </c>
      <c r="H17" s="64">
        <v>0</v>
      </c>
      <c r="I17" s="64">
        <v>1</v>
      </c>
      <c r="J17" s="64">
        <f t="shared" si="1"/>
        <v>0</v>
      </c>
    </row>
    <row r="18" spans="1:10" s="6" customFormat="1" ht="12.75" x14ac:dyDescent="0.2">
      <c r="A18" s="51">
        <f t="shared" si="0"/>
        <v>0</v>
      </c>
      <c r="D18" s="15" t="str">
        <f>Lookup!D78</f>
        <v>Transmission Lines &amp; Cables (09-14)</v>
      </c>
      <c r="E18" s="64">
        <v>1</v>
      </c>
      <c r="F18" s="64">
        <v>0</v>
      </c>
      <c r="G18" s="64">
        <v>0</v>
      </c>
      <c r="H18" s="64">
        <v>0</v>
      </c>
      <c r="I18" s="64">
        <v>0</v>
      </c>
      <c r="J18" s="64">
        <f t="shared" si="1"/>
        <v>0</v>
      </c>
    </row>
    <row r="19" spans="1:10" s="6" customFormat="1" ht="12.75" x14ac:dyDescent="0.2">
      <c r="A19" s="51">
        <f t="shared" si="0"/>
        <v>0</v>
      </c>
      <c r="D19" s="15" t="str">
        <f>Lookup!D79</f>
        <v>Substations (09-14)</v>
      </c>
      <c r="E19" s="64">
        <v>0</v>
      </c>
      <c r="F19" s="64">
        <v>0</v>
      </c>
      <c r="G19" s="64">
        <v>1</v>
      </c>
      <c r="H19" s="64">
        <v>0</v>
      </c>
      <c r="I19" s="64">
        <v>0</v>
      </c>
      <c r="J19" s="64">
        <f t="shared" si="1"/>
        <v>0</v>
      </c>
    </row>
    <row r="20" spans="1:10" s="6" customFormat="1" ht="12.75" x14ac:dyDescent="0.2">
      <c r="A20" s="51">
        <f t="shared" si="0"/>
        <v>0</v>
      </c>
      <c r="D20" s="15" t="str">
        <f>Lookup!D80</f>
        <v>Secondary Systems (09-14)</v>
      </c>
      <c r="E20" s="64">
        <v>0</v>
      </c>
      <c r="F20" s="64">
        <v>0</v>
      </c>
      <c r="G20" s="64">
        <v>0</v>
      </c>
      <c r="H20" s="64">
        <v>0</v>
      </c>
      <c r="I20" s="64">
        <v>1</v>
      </c>
      <c r="J20" s="64">
        <f t="shared" si="1"/>
        <v>0</v>
      </c>
    </row>
    <row r="21" spans="1:10" s="6" customFormat="1" ht="12.4" customHeight="1" x14ac:dyDescent="0.2">
      <c r="A21" s="51">
        <f t="shared" si="0"/>
        <v>0</v>
      </c>
      <c r="D21" s="15" t="str">
        <f>Lookup!D81</f>
        <v>Communications (09-14)</v>
      </c>
      <c r="E21" s="64">
        <v>0</v>
      </c>
      <c r="F21" s="64">
        <v>0</v>
      </c>
      <c r="G21" s="64">
        <v>0</v>
      </c>
      <c r="H21" s="64">
        <v>0</v>
      </c>
      <c r="I21" s="64">
        <v>1</v>
      </c>
      <c r="J21" s="64">
        <f t="shared" si="1"/>
        <v>0</v>
      </c>
    </row>
    <row r="22" spans="1:10" s="6" customFormat="1" ht="12.75" x14ac:dyDescent="0.2">
      <c r="A22" s="51">
        <f t="shared" si="0"/>
        <v>0</v>
      </c>
      <c r="D22" s="15" t="str">
        <f>Lookup!D82</f>
        <v>Minor Plant, Motor Vehicles &amp; Mobile Plant (2009-14)</v>
      </c>
      <c r="E22" s="64">
        <v>0</v>
      </c>
      <c r="F22" s="64">
        <v>0</v>
      </c>
      <c r="G22" s="64">
        <v>0</v>
      </c>
      <c r="H22" s="64">
        <v>0</v>
      </c>
      <c r="I22" s="64">
        <v>0</v>
      </c>
      <c r="J22" s="64">
        <v>1</v>
      </c>
    </row>
    <row r="23" spans="1:10" s="6" customFormat="1" ht="12.75" x14ac:dyDescent="0.2">
      <c r="A23" s="51">
        <f t="shared" si="0"/>
        <v>0</v>
      </c>
      <c r="D23" s="15" t="str">
        <f>Lookup!D83</f>
        <v>Transmission Lines (2014-18)</v>
      </c>
      <c r="E23" s="64">
        <v>1</v>
      </c>
      <c r="F23" s="64">
        <v>0</v>
      </c>
      <c r="G23" s="64">
        <v>0</v>
      </c>
      <c r="H23" s="64">
        <v>0</v>
      </c>
      <c r="I23" s="64">
        <v>0</v>
      </c>
      <c r="J23" s="64">
        <f t="shared" si="1"/>
        <v>0</v>
      </c>
    </row>
    <row r="24" spans="1:10" s="6" customFormat="1" ht="12.75" x14ac:dyDescent="0.2">
      <c r="A24" s="51">
        <f t="shared" si="0"/>
        <v>0</v>
      </c>
      <c r="D24" s="15" t="str">
        <f>Lookup!D84</f>
        <v>Underground Cables (2014-18)</v>
      </c>
      <c r="E24" s="64">
        <v>0</v>
      </c>
      <c r="F24" s="64">
        <v>1</v>
      </c>
      <c r="G24" s="64">
        <v>0</v>
      </c>
      <c r="H24" s="64">
        <v>0</v>
      </c>
      <c r="I24" s="64">
        <v>0</v>
      </c>
      <c r="J24" s="64">
        <f t="shared" si="1"/>
        <v>0</v>
      </c>
    </row>
    <row r="25" spans="1:10" s="6" customFormat="1" ht="12.75" x14ac:dyDescent="0.2">
      <c r="A25" s="51">
        <f t="shared" si="0"/>
        <v>0</v>
      </c>
      <c r="D25" s="15" t="str">
        <f>Lookup!D85</f>
        <v>Substations (2014-18)</v>
      </c>
      <c r="E25" s="64">
        <v>0</v>
      </c>
      <c r="F25" s="64">
        <v>0</v>
      </c>
      <c r="G25" s="64">
        <v>1</v>
      </c>
      <c r="H25" s="64">
        <v>0</v>
      </c>
      <c r="I25" s="64">
        <v>0</v>
      </c>
      <c r="J25" s="64">
        <f t="shared" si="1"/>
        <v>0</v>
      </c>
    </row>
    <row r="26" spans="1:10" s="6" customFormat="1" ht="12.75" x14ac:dyDescent="0.2">
      <c r="A26" s="51">
        <f t="shared" si="0"/>
        <v>0</v>
      </c>
      <c r="D26" s="15" t="str">
        <f>Lookup!D86</f>
        <v>Secondary Systems (2014-18)</v>
      </c>
      <c r="E26" s="64">
        <v>0</v>
      </c>
      <c r="F26" s="64">
        <v>0</v>
      </c>
      <c r="G26" s="64">
        <v>0</v>
      </c>
      <c r="H26" s="64">
        <v>0</v>
      </c>
      <c r="I26" s="64">
        <v>1</v>
      </c>
      <c r="J26" s="64">
        <f t="shared" si="1"/>
        <v>0</v>
      </c>
    </row>
    <row r="27" spans="1:10" s="6" customFormat="1" ht="12.75" x14ac:dyDescent="0.2">
      <c r="A27" s="51">
        <f t="shared" si="0"/>
        <v>0</v>
      </c>
      <c r="D27" s="15" t="str">
        <f>Lookup!D87</f>
        <v>Communications (short life) (2014-18)</v>
      </c>
      <c r="E27" s="64">
        <v>0</v>
      </c>
      <c r="F27" s="64">
        <v>0</v>
      </c>
      <c r="G27" s="64">
        <v>0</v>
      </c>
      <c r="H27" s="64">
        <v>0</v>
      </c>
      <c r="I27" s="64">
        <v>1</v>
      </c>
      <c r="J27" s="64">
        <f t="shared" si="1"/>
        <v>0</v>
      </c>
    </row>
    <row r="28" spans="1:10" s="6" customFormat="1" ht="12.75" x14ac:dyDescent="0.2">
      <c r="A28" s="51">
        <f t="shared" si="0"/>
        <v>0</v>
      </c>
      <c r="D28" s="15" t="str">
        <f>Lookup!D88</f>
        <v>Business IT (2014-18)</v>
      </c>
      <c r="E28" s="64">
        <v>0</v>
      </c>
      <c r="F28" s="64">
        <v>0</v>
      </c>
      <c r="G28" s="64">
        <v>0</v>
      </c>
      <c r="H28" s="64">
        <v>0</v>
      </c>
      <c r="I28" s="64">
        <v>0</v>
      </c>
      <c r="J28" s="64">
        <f t="shared" si="1"/>
        <v>1</v>
      </c>
    </row>
    <row r="29" spans="1:10" s="6" customFormat="1" ht="12.75" x14ac:dyDescent="0.2">
      <c r="A29" s="51">
        <f t="shared" si="0"/>
        <v>0</v>
      </c>
      <c r="D29" s="15" t="str">
        <f>Lookup!D89</f>
        <v>Minor Plant, Motor Vehicles &amp; Mobile Plant (2014-18)</v>
      </c>
      <c r="E29" s="64">
        <v>0</v>
      </c>
      <c r="F29" s="64">
        <v>0</v>
      </c>
      <c r="G29" s="64">
        <v>0</v>
      </c>
      <c r="H29" s="64">
        <v>0</v>
      </c>
      <c r="I29" s="64">
        <v>0</v>
      </c>
      <c r="J29" s="64">
        <f t="shared" si="1"/>
        <v>1</v>
      </c>
    </row>
    <row r="30" spans="1:10" s="6" customFormat="1" ht="12.75" x14ac:dyDescent="0.2">
      <c r="A30" s="51">
        <f t="shared" si="0"/>
        <v>0</v>
      </c>
      <c r="D30" s="15" t="str">
        <f>Lookup!D90</f>
        <v>Transmission Line Life Extension (2014-18)</v>
      </c>
      <c r="E30" s="64">
        <v>1</v>
      </c>
      <c r="F30" s="64">
        <v>0</v>
      </c>
      <c r="G30" s="64">
        <v>0</v>
      </c>
      <c r="H30" s="64">
        <v>0</v>
      </c>
      <c r="I30" s="64">
        <v>0</v>
      </c>
      <c r="J30" s="64">
        <f t="shared" si="1"/>
        <v>0</v>
      </c>
    </row>
    <row r="31" spans="1:10" s="6" customFormat="1" ht="12.75" x14ac:dyDescent="0.2">
      <c r="A31" s="51">
        <f t="shared" si="0"/>
        <v>0</v>
      </c>
      <c r="D31" s="15" t="str">
        <f>Lookup!D91</f>
        <v>Residual - other</v>
      </c>
      <c r="E31" s="64">
        <v>0</v>
      </c>
      <c r="F31" s="64">
        <v>0</v>
      </c>
      <c r="G31" s="64">
        <v>0</v>
      </c>
      <c r="H31" s="64">
        <v>0</v>
      </c>
      <c r="I31" s="64">
        <v>0</v>
      </c>
      <c r="J31" s="64">
        <f t="shared" si="1"/>
        <v>1</v>
      </c>
    </row>
    <row r="32" spans="1:10" s="6" customFormat="1" ht="12.75" x14ac:dyDescent="0.2">
      <c r="A32" s="51">
        <f t="shared" si="0"/>
        <v>0</v>
      </c>
      <c r="D32" s="15" t="str">
        <f>Lookup!D92</f>
        <v>Transmission Lines (2018 onwards)</v>
      </c>
      <c r="E32" s="64">
        <v>1</v>
      </c>
      <c r="F32" s="64">
        <v>0</v>
      </c>
      <c r="G32" s="64">
        <v>0</v>
      </c>
      <c r="H32" s="64">
        <v>0</v>
      </c>
      <c r="I32" s="64">
        <v>0</v>
      </c>
      <c r="J32" s="64">
        <f t="shared" si="1"/>
        <v>0</v>
      </c>
    </row>
    <row r="33" spans="1:10" s="6" customFormat="1" ht="12.75" x14ac:dyDescent="0.2">
      <c r="A33" s="51">
        <f t="shared" si="0"/>
        <v>0</v>
      </c>
      <c r="D33" s="15" t="str">
        <f>Lookup!D93</f>
        <v>Underground Cables (2018 onwards)</v>
      </c>
      <c r="E33" s="64">
        <v>0</v>
      </c>
      <c r="F33" s="64">
        <v>1</v>
      </c>
      <c r="G33" s="64">
        <v>0</v>
      </c>
      <c r="H33" s="64">
        <v>0</v>
      </c>
      <c r="I33" s="64">
        <v>0</v>
      </c>
      <c r="J33" s="64">
        <f t="shared" si="1"/>
        <v>0</v>
      </c>
    </row>
    <row r="34" spans="1:10" s="6" customFormat="1" ht="12.75" x14ac:dyDescent="0.2">
      <c r="A34" s="51">
        <f t="shared" si="0"/>
        <v>0</v>
      </c>
      <c r="D34" s="15" t="str">
        <f>Lookup!D94</f>
        <v>Substations (2018 onwards)</v>
      </c>
      <c r="E34" s="64">
        <v>0</v>
      </c>
      <c r="F34" s="64">
        <v>0</v>
      </c>
      <c r="G34" s="64">
        <v>1</v>
      </c>
      <c r="H34" s="64">
        <v>0</v>
      </c>
      <c r="I34" s="64">
        <v>0</v>
      </c>
      <c r="J34" s="64">
        <f t="shared" si="1"/>
        <v>0</v>
      </c>
    </row>
    <row r="35" spans="1:10" s="6" customFormat="1" ht="12.75" x14ac:dyDescent="0.2">
      <c r="A35" s="51">
        <f t="shared" si="0"/>
        <v>0</v>
      </c>
      <c r="D35" s="15" t="str">
        <f>Lookup!D95</f>
        <v>Secondary Systems (2018 onwards)</v>
      </c>
      <c r="E35" s="64">
        <v>0</v>
      </c>
      <c r="F35" s="64">
        <v>0</v>
      </c>
      <c r="G35" s="64">
        <v>0</v>
      </c>
      <c r="H35" s="64">
        <v>0</v>
      </c>
      <c r="I35" s="64">
        <v>1</v>
      </c>
      <c r="J35" s="64">
        <f t="shared" si="1"/>
        <v>0</v>
      </c>
    </row>
    <row r="36" spans="1:10" s="6" customFormat="1" ht="12.75" x14ac:dyDescent="0.2">
      <c r="A36" s="51">
        <f t="shared" si="0"/>
        <v>0</v>
      </c>
      <c r="D36" s="15" t="str">
        <f>Lookup!D96</f>
        <v>Communications (short life) (2018 onwards)</v>
      </c>
      <c r="E36" s="64">
        <v>0</v>
      </c>
      <c r="F36" s="64">
        <v>0</v>
      </c>
      <c r="G36" s="64">
        <v>0</v>
      </c>
      <c r="H36" s="64">
        <v>0</v>
      </c>
      <c r="I36" s="64">
        <v>1</v>
      </c>
      <c r="J36" s="64">
        <f t="shared" si="1"/>
        <v>0</v>
      </c>
    </row>
    <row r="37" spans="1:10" s="6" customFormat="1" ht="12.75" x14ac:dyDescent="0.2">
      <c r="A37" s="51">
        <f t="shared" si="0"/>
        <v>0</v>
      </c>
      <c r="D37" s="15" t="str">
        <f>Lookup!D97</f>
        <v>Business IT (2018 onwards)</v>
      </c>
      <c r="E37" s="64">
        <v>0</v>
      </c>
      <c r="F37" s="64">
        <v>0</v>
      </c>
      <c r="G37" s="64">
        <v>0</v>
      </c>
      <c r="H37" s="64">
        <v>0</v>
      </c>
      <c r="I37" s="64">
        <v>0</v>
      </c>
      <c r="J37" s="64">
        <f t="shared" si="1"/>
        <v>1</v>
      </c>
    </row>
    <row r="38" spans="1:10" s="6" customFormat="1" ht="12.75" x14ac:dyDescent="0.2">
      <c r="A38" s="51">
        <f t="shared" si="0"/>
        <v>0</v>
      </c>
      <c r="D38" s="15" t="str">
        <f>Lookup!D98</f>
        <v>Minor Plant, Motor Vehicles &amp; Mobile Plant (2018 onwards)</v>
      </c>
      <c r="E38" s="64">
        <v>0</v>
      </c>
      <c r="F38" s="64">
        <v>0</v>
      </c>
      <c r="G38" s="64">
        <v>0</v>
      </c>
      <c r="H38" s="64">
        <v>0</v>
      </c>
      <c r="I38" s="64">
        <v>0</v>
      </c>
      <c r="J38" s="64">
        <f t="shared" si="1"/>
        <v>1</v>
      </c>
    </row>
    <row r="39" spans="1:10" s="6" customFormat="1" ht="12.75" x14ac:dyDescent="0.2">
      <c r="A39" s="51">
        <f t="shared" si="0"/>
        <v>0</v>
      </c>
      <c r="D39" s="15" t="str">
        <f>Lookup!D99</f>
        <v>Transmission Line Life Extension (2018 onwards)</v>
      </c>
      <c r="E39" s="64">
        <v>1</v>
      </c>
      <c r="F39" s="64">
        <v>0</v>
      </c>
      <c r="G39" s="64">
        <v>0</v>
      </c>
      <c r="H39" s="64">
        <v>0</v>
      </c>
      <c r="I39" s="64">
        <v>0</v>
      </c>
      <c r="J39" s="64">
        <f t="shared" si="1"/>
        <v>0</v>
      </c>
    </row>
    <row r="40" spans="1:10" s="6" customFormat="1" ht="12.75" x14ac:dyDescent="0.2">
      <c r="A40" s="51">
        <f t="shared" si="0"/>
        <v>0</v>
      </c>
      <c r="D40" s="15" t="str">
        <f>Lookup!D100</f>
        <v xml:space="preserve">Land and Easements </v>
      </c>
      <c r="E40" s="64">
        <v>0</v>
      </c>
      <c r="F40" s="64">
        <v>0</v>
      </c>
      <c r="G40" s="64">
        <v>0</v>
      </c>
      <c r="H40" s="64">
        <v>1</v>
      </c>
      <c r="I40" s="64">
        <v>0</v>
      </c>
      <c r="J40" s="64">
        <f t="shared" si="1"/>
        <v>0</v>
      </c>
    </row>
    <row r="41" spans="1:10" s="6" customFormat="1" ht="12.75" x14ac:dyDescent="0.2">
      <c r="A41" s="51">
        <f t="shared" si="0"/>
        <v>0</v>
      </c>
      <c r="D41" s="15" t="str">
        <f>Lookup!D101</f>
        <v>Synchronous Condensers</v>
      </c>
      <c r="E41" s="64">
        <v>0</v>
      </c>
      <c r="F41" s="64">
        <v>0</v>
      </c>
      <c r="G41" s="64">
        <v>0</v>
      </c>
      <c r="H41" s="64">
        <v>0</v>
      </c>
      <c r="I41" s="64">
        <v>1</v>
      </c>
      <c r="J41" s="64">
        <f t="shared" si="1"/>
        <v>0</v>
      </c>
    </row>
    <row r="42" spans="1:10" s="6" customFormat="1" ht="12.75" x14ac:dyDescent="0.2">
      <c r="A42" s="51">
        <f t="shared" si="0"/>
        <v>0</v>
      </c>
      <c r="D42" s="15" t="str">
        <f>Lookup!D102</f>
        <v>Leasehold Land and Property</v>
      </c>
      <c r="E42" s="64">
        <v>0</v>
      </c>
      <c r="F42" s="64">
        <v>0</v>
      </c>
      <c r="G42" s="64">
        <v>0</v>
      </c>
      <c r="H42" s="64">
        <v>0</v>
      </c>
      <c r="I42" s="64">
        <v>0</v>
      </c>
      <c r="J42" s="64">
        <f t="shared" si="1"/>
        <v>1</v>
      </c>
    </row>
    <row r="43" spans="1:10" s="6" customFormat="1" ht="12.75" hidden="1" outlineLevel="1" x14ac:dyDescent="0.2">
      <c r="A43" s="51">
        <f t="shared" ref="A43:A60" si="2">IF(SUM(E43:J43)&lt;&gt;1,1,0)</f>
        <v>0</v>
      </c>
      <c r="D43" s="15">
        <f>Lookup!D103</f>
        <v>0</v>
      </c>
      <c r="E43" s="64">
        <v>0</v>
      </c>
      <c r="F43" s="64">
        <v>0</v>
      </c>
      <c r="G43" s="64">
        <v>0</v>
      </c>
      <c r="H43" s="64">
        <v>0</v>
      </c>
      <c r="I43" s="64">
        <v>0</v>
      </c>
      <c r="J43" s="64">
        <f t="shared" si="1"/>
        <v>1</v>
      </c>
    </row>
    <row r="44" spans="1:10" s="6" customFormat="1" ht="12.75" hidden="1" outlineLevel="1" x14ac:dyDescent="0.2">
      <c r="A44" s="51">
        <f t="shared" si="2"/>
        <v>0</v>
      </c>
      <c r="D44" s="15">
        <f>Lookup!D104</f>
        <v>0</v>
      </c>
      <c r="E44" s="64">
        <v>0</v>
      </c>
      <c r="F44" s="64">
        <v>0</v>
      </c>
      <c r="G44" s="64">
        <v>0</v>
      </c>
      <c r="H44" s="64">
        <v>0</v>
      </c>
      <c r="I44" s="64">
        <v>0</v>
      </c>
      <c r="J44" s="64">
        <f t="shared" si="1"/>
        <v>1</v>
      </c>
    </row>
    <row r="45" spans="1:10" s="6" customFormat="1" ht="12.75" hidden="1" outlineLevel="1" x14ac:dyDescent="0.2">
      <c r="A45" s="51">
        <f t="shared" si="2"/>
        <v>0</v>
      </c>
      <c r="D45" s="15">
        <f>Lookup!D105</f>
        <v>0</v>
      </c>
      <c r="E45" s="64">
        <v>0</v>
      </c>
      <c r="F45" s="64">
        <v>0</v>
      </c>
      <c r="G45" s="64">
        <v>0</v>
      </c>
      <c r="H45" s="64">
        <v>0</v>
      </c>
      <c r="I45" s="64">
        <v>0</v>
      </c>
      <c r="J45" s="64">
        <f t="shared" si="1"/>
        <v>1</v>
      </c>
    </row>
    <row r="46" spans="1:10" s="6" customFormat="1" ht="12.75" hidden="1" outlineLevel="1" x14ac:dyDescent="0.2">
      <c r="A46" s="51">
        <f t="shared" si="2"/>
        <v>0</v>
      </c>
      <c r="D46" s="15">
        <f>Lookup!D106</f>
        <v>0</v>
      </c>
      <c r="E46" s="64">
        <v>0</v>
      </c>
      <c r="F46" s="64">
        <v>0</v>
      </c>
      <c r="G46" s="64">
        <v>0</v>
      </c>
      <c r="H46" s="64">
        <v>0</v>
      </c>
      <c r="I46" s="64">
        <v>0</v>
      </c>
      <c r="J46" s="64">
        <f t="shared" si="1"/>
        <v>1</v>
      </c>
    </row>
    <row r="47" spans="1:10" s="6" customFormat="1" ht="12.75" hidden="1" outlineLevel="1" x14ac:dyDescent="0.2">
      <c r="A47" s="51">
        <f t="shared" si="2"/>
        <v>0</v>
      </c>
      <c r="D47" s="15">
        <f>Lookup!D107</f>
        <v>0</v>
      </c>
      <c r="E47" s="64">
        <v>0</v>
      </c>
      <c r="F47" s="64">
        <v>0</v>
      </c>
      <c r="G47" s="64">
        <v>0</v>
      </c>
      <c r="H47" s="64">
        <v>0</v>
      </c>
      <c r="I47" s="64">
        <v>0</v>
      </c>
      <c r="J47" s="64">
        <f t="shared" si="1"/>
        <v>1</v>
      </c>
    </row>
    <row r="48" spans="1:10" s="6" customFormat="1" ht="12.75" hidden="1" outlineLevel="1" x14ac:dyDescent="0.2">
      <c r="A48" s="51">
        <f t="shared" si="2"/>
        <v>0</v>
      </c>
      <c r="D48" s="15">
        <f>Lookup!D108</f>
        <v>0</v>
      </c>
      <c r="E48" s="64">
        <v>0</v>
      </c>
      <c r="F48" s="64">
        <v>0</v>
      </c>
      <c r="G48" s="64">
        <v>0</v>
      </c>
      <c r="H48" s="64">
        <v>0</v>
      </c>
      <c r="I48" s="64">
        <v>0</v>
      </c>
      <c r="J48" s="64">
        <f t="shared" si="1"/>
        <v>1</v>
      </c>
    </row>
    <row r="49" spans="1:10" s="6" customFormat="1" ht="12.75" hidden="1" outlineLevel="1" x14ac:dyDescent="0.2">
      <c r="A49" s="51">
        <f t="shared" si="2"/>
        <v>0</v>
      </c>
      <c r="D49" s="15">
        <f>Lookup!D109</f>
        <v>0</v>
      </c>
      <c r="E49" s="64">
        <v>0</v>
      </c>
      <c r="F49" s="64">
        <v>0</v>
      </c>
      <c r="G49" s="64">
        <v>0</v>
      </c>
      <c r="H49" s="64">
        <v>0</v>
      </c>
      <c r="I49" s="64">
        <v>0</v>
      </c>
      <c r="J49" s="64">
        <f t="shared" si="1"/>
        <v>1</v>
      </c>
    </row>
    <row r="50" spans="1:10" s="6" customFormat="1" ht="12.75" hidden="1" outlineLevel="1" x14ac:dyDescent="0.2">
      <c r="A50" s="51">
        <f t="shared" si="2"/>
        <v>0</v>
      </c>
      <c r="D50" s="15">
        <f>Lookup!D110</f>
        <v>0</v>
      </c>
      <c r="E50" s="64">
        <v>0</v>
      </c>
      <c r="F50" s="64">
        <v>0</v>
      </c>
      <c r="G50" s="64">
        <v>0</v>
      </c>
      <c r="H50" s="64">
        <v>0</v>
      </c>
      <c r="I50" s="64">
        <v>0</v>
      </c>
      <c r="J50" s="64">
        <f t="shared" si="1"/>
        <v>1</v>
      </c>
    </row>
    <row r="51" spans="1:10" s="6" customFormat="1" ht="12.75" hidden="1" outlineLevel="1" x14ac:dyDescent="0.2">
      <c r="A51" s="51">
        <f t="shared" si="2"/>
        <v>0</v>
      </c>
      <c r="D51" s="15">
        <f>Lookup!D111</f>
        <v>0</v>
      </c>
      <c r="E51" s="64">
        <v>0</v>
      </c>
      <c r="F51" s="64">
        <v>0</v>
      </c>
      <c r="G51" s="64">
        <v>0</v>
      </c>
      <c r="H51" s="64">
        <v>0</v>
      </c>
      <c r="I51" s="64">
        <v>0</v>
      </c>
      <c r="J51" s="64">
        <f t="shared" si="1"/>
        <v>1</v>
      </c>
    </row>
    <row r="52" spans="1:10" s="6" customFormat="1" ht="12.75" hidden="1" outlineLevel="1" x14ac:dyDescent="0.2">
      <c r="A52" s="51">
        <f t="shared" si="2"/>
        <v>0</v>
      </c>
      <c r="D52" s="15">
        <f>Lookup!D112</f>
        <v>0</v>
      </c>
      <c r="E52" s="64">
        <v>0</v>
      </c>
      <c r="F52" s="64">
        <v>0</v>
      </c>
      <c r="G52" s="64">
        <v>0</v>
      </c>
      <c r="H52" s="64">
        <v>0</v>
      </c>
      <c r="I52" s="64">
        <v>0</v>
      </c>
      <c r="J52" s="64">
        <f t="shared" si="1"/>
        <v>1</v>
      </c>
    </row>
    <row r="53" spans="1:10" s="6" customFormat="1" ht="12.75" hidden="1" outlineLevel="1" x14ac:dyDescent="0.2">
      <c r="A53" s="51">
        <f t="shared" si="2"/>
        <v>0</v>
      </c>
      <c r="D53" s="15">
        <f>Lookup!D113</f>
        <v>0</v>
      </c>
      <c r="E53" s="64">
        <v>0</v>
      </c>
      <c r="F53" s="64">
        <v>0</v>
      </c>
      <c r="G53" s="64">
        <v>0</v>
      </c>
      <c r="H53" s="64">
        <v>0</v>
      </c>
      <c r="I53" s="64">
        <v>0</v>
      </c>
      <c r="J53" s="64">
        <f t="shared" si="1"/>
        <v>1</v>
      </c>
    </row>
    <row r="54" spans="1:10" s="6" customFormat="1" ht="12.75" hidden="1" outlineLevel="1" x14ac:dyDescent="0.2">
      <c r="A54" s="51">
        <f t="shared" si="2"/>
        <v>0</v>
      </c>
      <c r="D54" s="15">
        <f>Lookup!D114</f>
        <v>0</v>
      </c>
      <c r="E54" s="64">
        <v>0</v>
      </c>
      <c r="F54" s="64">
        <v>0</v>
      </c>
      <c r="G54" s="64">
        <v>0</v>
      </c>
      <c r="H54" s="64">
        <v>0</v>
      </c>
      <c r="I54" s="64">
        <v>0</v>
      </c>
      <c r="J54" s="64">
        <f t="shared" si="1"/>
        <v>1</v>
      </c>
    </row>
    <row r="55" spans="1:10" s="6" customFormat="1" ht="12.75" hidden="1" outlineLevel="1" x14ac:dyDescent="0.2">
      <c r="A55" s="51">
        <f t="shared" si="2"/>
        <v>0</v>
      </c>
      <c r="D55" s="15">
        <f>Lookup!D115</f>
        <v>0</v>
      </c>
      <c r="E55" s="64">
        <v>0</v>
      </c>
      <c r="F55" s="64">
        <v>0</v>
      </c>
      <c r="G55" s="64">
        <v>0</v>
      </c>
      <c r="H55" s="64">
        <v>0</v>
      </c>
      <c r="I55" s="64">
        <v>0</v>
      </c>
      <c r="J55" s="64">
        <f t="shared" si="1"/>
        <v>1</v>
      </c>
    </row>
    <row r="56" spans="1:10" s="6" customFormat="1" ht="12.75" hidden="1" outlineLevel="1" x14ac:dyDescent="0.2">
      <c r="A56" s="51">
        <f t="shared" si="2"/>
        <v>0</v>
      </c>
      <c r="D56" s="15">
        <f>Lookup!D116</f>
        <v>0</v>
      </c>
      <c r="E56" s="64">
        <v>0</v>
      </c>
      <c r="F56" s="64">
        <v>0</v>
      </c>
      <c r="G56" s="64">
        <v>0</v>
      </c>
      <c r="H56" s="64">
        <v>0</v>
      </c>
      <c r="I56" s="64">
        <v>0</v>
      </c>
      <c r="J56" s="64">
        <f t="shared" si="1"/>
        <v>1</v>
      </c>
    </row>
    <row r="57" spans="1:10" s="6" customFormat="1" ht="12.75" hidden="1" outlineLevel="1" x14ac:dyDescent="0.2">
      <c r="A57" s="51">
        <f t="shared" si="2"/>
        <v>0</v>
      </c>
      <c r="D57" s="15">
        <f>Lookup!D117</f>
        <v>0</v>
      </c>
      <c r="E57" s="64">
        <v>0</v>
      </c>
      <c r="F57" s="64">
        <v>0</v>
      </c>
      <c r="G57" s="64">
        <v>0</v>
      </c>
      <c r="H57" s="64">
        <v>0</v>
      </c>
      <c r="I57" s="64">
        <v>0</v>
      </c>
      <c r="J57" s="64">
        <f t="shared" si="1"/>
        <v>1</v>
      </c>
    </row>
    <row r="58" spans="1:10" s="6" customFormat="1" ht="12.75" collapsed="1" x14ac:dyDescent="0.2">
      <c r="A58" s="51">
        <f t="shared" si="2"/>
        <v>0</v>
      </c>
      <c r="D58" s="15" t="str">
        <f>Lookup!D118</f>
        <v>Buildings - capital works</v>
      </c>
      <c r="E58" s="64">
        <v>0</v>
      </c>
      <c r="F58" s="64">
        <v>0</v>
      </c>
      <c r="G58" s="64">
        <v>0</v>
      </c>
      <c r="H58" s="64">
        <v>0</v>
      </c>
      <c r="I58" s="64">
        <v>1</v>
      </c>
      <c r="J58" s="64">
        <f t="shared" si="1"/>
        <v>0</v>
      </c>
    </row>
    <row r="59" spans="1:10" s="6" customFormat="1" ht="12.75" x14ac:dyDescent="0.2">
      <c r="A59" s="51">
        <f t="shared" si="2"/>
        <v>0</v>
      </c>
      <c r="D59" s="15" t="str">
        <f>Lookup!D119</f>
        <v>In-house software</v>
      </c>
      <c r="E59" s="64">
        <v>0</v>
      </c>
      <c r="F59" s="64">
        <v>0</v>
      </c>
      <c r="G59" s="64">
        <v>0</v>
      </c>
      <c r="H59" s="64">
        <v>0</v>
      </c>
      <c r="I59" s="64">
        <v>0</v>
      </c>
      <c r="J59" s="64">
        <f t="shared" si="1"/>
        <v>1</v>
      </c>
    </row>
    <row r="60" spans="1:10" s="6" customFormat="1" ht="12.75" x14ac:dyDescent="0.2">
      <c r="A60" s="51">
        <f t="shared" si="2"/>
        <v>0</v>
      </c>
      <c r="D60" s="15" t="str">
        <f>Lookup!D120</f>
        <v>Equity raising costs</v>
      </c>
      <c r="E60" s="64">
        <v>0</v>
      </c>
      <c r="F60" s="64">
        <v>0</v>
      </c>
      <c r="G60" s="64">
        <v>0</v>
      </c>
      <c r="H60" s="64">
        <v>0</v>
      </c>
      <c r="I60" s="64">
        <v>1</v>
      </c>
      <c r="J60" s="64">
        <f t="shared" si="1"/>
        <v>0</v>
      </c>
    </row>
    <row r="61" spans="1:10" s="6" customFormat="1" ht="11.1" customHeight="1" x14ac:dyDescent="0.2"/>
    <row r="62" spans="1:10" s="4" customFormat="1" ht="15.75" x14ac:dyDescent="0.2">
      <c r="B62" s="4" t="s">
        <v>33</v>
      </c>
    </row>
  </sheetData>
  <conditionalFormatting sqref="B2">
    <cfRule type="cellIs" dxfId="7" priority="2" operator="notEqual">
      <formula>"No Errors Found"</formula>
    </cfRule>
  </conditionalFormatting>
  <hyperlinks>
    <hyperlink ref="B3:E3" location="TOC!A1" display="TOC!A1"/>
  </hyperlinks>
  <pageMargins left="0.7" right="0.7" top="0.75" bottom="0.75" header="0.3" footer="0.3"/>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134"/>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B11" sqref="B11"/>
    </sheetView>
  </sheetViews>
  <sheetFormatPr defaultColWidth="9.33203125" defaultRowHeight="11.25" outlineLevelRow="1" x14ac:dyDescent="0.2"/>
  <cols>
    <col min="1" max="1" width="3.33203125" style="7" customWidth="1"/>
    <col min="2" max="3" width="2.83203125" style="7" customWidth="1"/>
    <col min="4" max="4" width="47.5" style="7" customWidth="1"/>
    <col min="5" max="5" width="11.83203125" style="7" customWidth="1"/>
    <col min="6" max="6" width="9.1640625" style="7" customWidth="1"/>
    <col min="7" max="7" width="12" style="7" customWidth="1"/>
    <col min="8" max="8" width="10" style="7" customWidth="1"/>
    <col min="9" max="9" width="4.5" style="7" customWidth="1"/>
    <col min="10" max="20" width="12.83203125" style="7" customWidth="1"/>
    <col min="21" max="21" width="4.33203125" style="7" customWidth="1"/>
    <col min="22" max="23" width="10.83203125" style="7" customWidth="1"/>
    <col min="24" max="16384" width="9.33203125" style="7"/>
  </cols>
  <sheetData>
    <row r="1" spans="1:20" ht="19.5" x14ac:dyDescent="0.2">
      <c r="A1" s="47">
        <f>IF(SUM($A11:$A134)&gt;0,1,0)</f>
        <v>0</v>
      </c>
      <c r="B1" s="5" t="s">
        <v>260</v>
      </c>
    </row>
    <row r="2" spans="1:20" x14ac:dyDescent="0.2">
      <c r="B2" s="18" t="str">
        <f>Title_Msg</f>
        <v>No Errors Found</v>
      </c>
    </row>
    <row r="3" spans="1:20" x14ac:dyDescent="0.2">
      <c r="B3" s="35" t="str">
        <f>TOC!B1</f>
        <v>Table of Contents</v>
      </c>
      <c r="C3" s="34"/>
      <c r="D3" s="34"/>
      <c r="E3" s="34"/>
    </row>
    <row r="4" spans="1:20" ht="12.75" x14ac:dyDescent="0.2">
      <c r="B4" s="33" t="str">
        <f>Model_Name</f>
        <v>TransGrid - EB RIN RAB Allocation</v>
      </c>
    </row>
    <row r="5" spans="1:20" ht="12.75" hidden="1" outlineLevel="1" x14ac:dyDescent="0.2">
      <c r="B5" s="15" t="str">
        <f>Lookup!B15</f>
        <v>Period Start Date</v>
      </c>
      <c r="J5" s="40">
        <f>Lookup!R15</f>
        <v>42917</v>
      </c>
      <c r="K5" s="40">
        <f>Lookup!S15</f>
        <v>43282</v>
      </c>
      <c r="L5" s="40">
        <f>Lookup!T15</f>
        <v>43647</v>
      </c>
      <c r="M5" s="40">
        <f>Lookup!U15</f>
        <v>44013</v>
      </c>
      <c r="N5" s="40">
        <f>Lookup!V15</f>
        <v>44378</v>
      </c>
      <c r="O5" s="40">
        <f>Lookup!W15</f>
        <v>44743</v>
      </c>
      <c r="P5" s="40">
        <f>Lookup!X15</f>
        <v>45108</v>
      </c>
      <c r="Q5" s="40">
        <f>Lookup!Y15</f>
        <v>45474</v>
      </c>
      <c r="R5" s="40">
        <f>Lookup!Z15</f>
        <v>45839</v>
      </c>
      <c r="S5" s="40">
        <f>Lookup!AA15</f>
        <v>46204</v>
      </c>
      <c r="T5" s="40">
        <f>Lookup!AB15</f>
        <v>46569</v>
      </c>
    </row>
    <row r="6" spans="1:20" ht="12.75" hidden="1" outlineLevel="1" x14ac:dyDescent="0.2">
      <c r="B6" s="15" t="str">
        <f>Lookup!B16</f>
        <v>Period End Date</v>
      </c>
      <c r="J6" s="40">
        <f>Lookup!R16</f>
        <v>43281</v>
      </c>
      <c r="K6" s="40">
        <f>Lookup!S16</f>
        <v>43646</v>
      </c>
      <c r="L6" s="40">
        <f>Lookup!T16</f>
        <v>44012</v>
      </c>
      <c r="M6" s="40">
        <f>Lookup!U16</f>
        <v>44377</v>
      </c>
      <c r="N6" s="40">
        <f>Lookup!V16</f>
        <v>44742</v>
      </c>
      <c r="O6" s="40">
        <f>Lookup!W16</f>
        <v>45107</v>
      </c>
      <c r="P6" s="40">
        <f>Lookup!X16</f>
        <v>45473</v>
      </c>
      <c r="Q6" s="40">
        <f>Lookup!Y16</f>
        <v>45838</v>
      </c>
      <c r="R6" s="40">
        <f>Lookup!Z16</f>
        <v>46203</v>
      </c>
      <c r="S6" s="40">
        <f>Lookup!AA16</f>
        <v>46568</v>
      </c>
      <c r="T6" s="40">
        <f>Lookup!AB16</f>
        <v>46934</v>
      </c>
    </row>
    <row r="7" spans="1:20" ht="12.75" hidden="1" outlineLevel="1" x14ac:dyDescent="0.2">
      <c r="B7" s="15" t="str">
        <f>Lookup!B17</f>
        <v>Period Counter</v>
      </c>
      <c r="J7" s="41">
        <f>Lookup!R17</f>
        <v>9</v>
      </c>
      <c r="K7" s="41">
        <f>Lookup!S17</f>
        <v>10</v>
      </c>
      <c r="L7" s="41">
        <f>Lookup!T17</f>
        <v>11</v>
      </c>
      <c r="M7" s="41">
        <f>Lookup!U17</f>
        <v>12</v>
      </c>
      <c r="N7" s="41">
        <f>Lookup!V17</f>
        <v>13</v>
      </c>
      <c r="O7" s="41">
        <f>Lookup!W17</f>
        <v>14</v>
      </c>
      <c r="P7" s="41">
        <f>Lookup!X17</f>
        <v>15</v>
      </c>
      <c r="Q7" s="41">
        <f>Lookup!Y17</f>
        <v>16</v>
      </c>
      <c r="R7" s="41">
        <f>Lookup!Z17</f>
        <v>17</v>
      </c>
      <c r="S7" s="41">
        <f>Lookup!AA17</f>
        <v>18</v>
      </c>
      <c r="T7" s="41">
        <f>Lookup!AB17</f>
        <v>19</v>
      </c>
    </row>
    <row r="8" spans="1:20" ht="12.75" hidden="1" outlineLevel="1" x14ac:dyDescent="0.2">
      <c r="B8" s="15" t="str">
        <f>Lookup!B18</f>
        <v>Year</v>
      </c>
      <c r="J8" s="42">
        <f>Lookup!R18</f>
        <v>2018</v>
      </c>
      <c r="K8" s="42">
        <f>Lookup!S18</f>
        <v>2019</v>
      </c>
      <c r="L8" s="42">
        <f>Lookup!T18</f>
        <v>2020</v>
      </c>
      <c r="M8" s="42">
        <f>Lookup!U18</f>
        <v>2021</v>
      </c>
      <c r="N8" s="42">
        <f>Lookup!V18</f>
        <v>2022</v>
      </c>
      <c r="O8" s="42">
        <f>Lookup!W18</f>
        <v>2023</v>
      </c>
      <c r="P8" s="42">
        <f>Lookup!X18</f>
        <v>2024</v>
      </c>
      <c r="Q8" s="42">
        <f>Lookup!Y18</f>
        <v>2025</v>
      </c>
      <c r="R8" s="42">
        <f>Lookup!Z18</f>
        <v>2026</v>
      </c>
      <c r="S8" s="42">
        <f>Lookup!AA18</f>
        <v>2027</v>
      </c>
      <c r="T8" s="42">
        <f>Lookup!AB18</f>
        <v>2028</v>
      </c>
    </row>
    <row r="9" spans="1:20" ht="12.75" hidden="1" outlineLevel="1" x14ac:dyDescent="0.2">
      <c r="B9" s="15" t="str">
        <f>Lookup!B19</f>
        <v>Period Type</v>
      </c>
      <c r="J9" s="42" t="str">
        <f>Lookup!R19</f>
        <v>Actual</v>
      </c>
      <c r="K9" s="42" t="str">
        <f>Lookup!S19</f>
        <v>Actual</v>
      </c>
      <c r="L9" s="42" t="str">
        <f>Lookup!T19</f>
        <v>Actual</v>
      </c>
      <c r="M9" s="42" t="str">
        <f>Lookup!U19</f>
        <v>Actual</v>
      </c>
      <c r="N9" s="42" t="str">
        <f>Lookup!V19</f>
        <v>Base Year</v>
      </c>
      <c r="O9" s="42" t="str">
        <f>Lookup!W19</f>
        <v>Estimate</v>
      </c>
      <c r="P9" s="42" t="str">
        <f>Lookup!X19</f>
        <v>Forecast</v>
      </c>
      <c r="Q9" s="42" t="str">
        <f>Lookup!Y19</f>
        <v>Forecast</v>
      </c>
      <c r="R9" s="42" t="str">
        <f>Lookup!Z19</f>
        <v>Forecast</v>
      </c>
      <c r="S9" s="42" t="str">
        <f>Lookup!AA19</f>
        <v>Forecast</v>
      </c>
      <c r="T9" s="42" t="str">
        <f>Lookup!AB19</f>
        <v>Forecast</v>
      </c>
    </row>
    <row r="10" spans="1:20" ht="12.75" collapsed="1" x14ac:dyDescent="0.2">
      <c r="B10" s="10" t="str">
        <f>Lookup!B20</f>
        <v>Regulatory Year</v>
      </c>
      <c r="E10" s="39" t="str">
        <f>Lookup!E20</f>
        <v>Source</v>
      </c>
      <c r="F10" s="39" t="str">
        <f>Lookup!F20</f>
        <v>Unit</v>
      </c>
      <c r="G10" s="39" t="str">
        <f>Lookup!G20</f>
        <v>Basis</v>
      </c>
      <c r="H10" s="39" t="str">
        <f>Lookup!H20</f>
        <v>Timing</v>
      </c>
      <c r="I10" s="39"/>
      <c r="J10" s="39" t="str">
        <f>Lookup!R20</f>
        <v>RY18</v>
      </c>
      <c r="K10" s="39" t="str">
        <f>Lookup!S20</f>
        <v>RY19</v>
      </c>
      <c r="L10" s="39" t="str">
        <f>Lookup!T20</f>
        <v>RY20</v>
      </c>
      <c r="M10" s="39" t="str">
        <f>Lookup!U20</f>
        <v>RY21</v>
      </c>
      <c r="N10" s="39" t="str">
        <f>Lookup!V20</f>
        <v>RY22</v>
      </c>
      <c r="O10" s="39" t="str">
        <f>Lookup!W20</f>
        <v>RY23</v>
      </c>
      <c r="P10" s="39" t="str">
        <f>Lookup!X20</f>
        <v>RY24</v>
      </c>
      <c r="Q10" s="39" t="str">
        <f>Lookup!Y20</f>
        <v>RY25</v>
      </c>
      <c r="R10" s="39" t="str">
        <f>Lookup!Z20</f>
        <v>RY26</v>
      </c>
      <c r="S10" s="39" t="str">
        <f>Lookup!AA20</f>
        <v>RY27</v>
      </c>
      <c r="T10" s="39" t="str">
        <f>Lookup!AB20</f>
        <v>RY28</v>
      </c>
    </row>
    <row r="12" spans="1:20" s="4" customFormat="1" ht="15.75" x14ac:dyDescent="0.2">
      <c r="B12" s="4" t="s">
        <v>113</v>
      </c>
    </row>
    <row r="13" spans="1:20" s="6" customFormat="1" ht="4.5" customHeight="1" x14ac:dyDescent="0.2"/>
    <row r="14" spans="1:20" s="13" customFormat="1" ht="15" x14ac:dyDescent="0.2">
      <c r="C14" s="13" t="s">
        <v>105</v>
      </c>
    </row>
    <row r="15" spans="1:20" s="6" customFormat="1" ht="4.5" customHeight="1" x14ac:dyDescent="0.2"/>
    <row r="16" spans="1:20" ht="12.75" x14ac:dyDescent="0.2">
      <c r="D16" s="48" t="s">
        <v>120</v>
      </c>
      <c r="E16" s="43" t="str">
        <f>Lookup!E$20</f>
        <v>Source</v>
      </c>
      <c r="F16" s="43" t="str">
        <f>Lookup!F$20</f>
        <v>Unit</v>
      </c>
      <c r="G16" s="43" t="str">
        <f>Lookup!G$20</f>
        <v>Basis</v>
      </c>
      <c r="H16" s="43" t="str">
        <f>Lookup!H$20</f>
        <v>Timing</v>
      </c>
      <c r="J16" s="53" t="str">
        <f t="shared" ref="J16:T16" si="0">J$10</f>
        <v>RY18</v>
      </c>
      <c r="K16" s="52" t="str">
        <f t="shared" si="0"/>
        <v>RY19</v>
      </c>
      <c r="L16" s="43" t="str">
        <f t="shared" si="0"/>
        <v>RY20</v>
      </c>
      <c r="M16" s="43" t="str">
        <f t="shared" si="0"/>
        <v>RY21</v>
      </c>
      <c r="N16" s="43" t="str">
        <f t="shared" si="0"/>
        <v>RY22</v>
      </c>
      <c r="O16" s="53" t="str">
        <f t="shared" si="0"/>
        <v>RY23</v>
      </c>
      <c r="P16" s="52" t="str">
        <f t="shared" si="0"/>
        <v>RY24</v>
      </c>
      <c r="Q16" s="43" t="str">
        <f t="shared" si="0"/>
        <v>RY25</v>
      </c>
      <c r="R16" s="43" t="str">
        <f t="shared" si="0"/>
        <v>RY26</v>
      </c>
      <c r="S16" s="43" t="str">
        <f t="shared" si="0"/>
        <v>RY27</v>
      </c>
      <c r="T16" s="53" t="str">
        <f t="shared" si="0"/>
        <v>RY28</v>
      </c>
    </row>
    <row r="17" spans="1:20" x14ac:dyDescent="0.2">
      <c r="J17" s="56"/>
      <c r="K17" s="54"/>
      <c r="L17" s="55"/>
      <c r="M17" s="55"/>
      <c r="N17" s="55"/>
      <c r="O17" s="56"/>
      <c r="P17" s="54"/>
      <c r="Q17" s="55"/>
      <c r="R17" s="55"/>
      <c r="S17" s="55"/>
      <c r="T17" s="56"/>
    </row>
    <row r="18" spans="1:20" ht="12.75" x14ac:dyDescent="0.2">
      <c r="D18" s="15" t="str">
        <f>Lookup!D126</f>
        <v>Overhead assets</v>
      </c>
      <c r="E18" s="50" t="s">
        <v>92</v>
      </c>
      <c r="F18" s="50" t="str">
        <f t="shared" ref="F18:F23" si="1">Dollars</f>
        <v>Dollars</v>
      </c>
      <c r="G18" s="50" t="str">
        <f t="shared" ref="G18:G23" si="2">Nominal</f>
        <v>Nominal</v>
      </c>
      <c r="H18" s="50" t="str">
        <f t="shared" ref="H18:H23" si="3">Start_year</f>
        <v>Start year</v>
      </c>
      <c r="J18" s="61" cm="1">
        <f t="array" ref="J18">SUMPRODUCT((Input_EB_Alloc!$E$11:$E$60)*(Input_RAB!J$18:J$67))</f>
        <v>1652.192225695756</v>
      </c>
      <c r="K18" s="59">
        <f t="shared" ref="K18:T18" si="4">J123</f>
        <v>1739.6411920154253</v>
      </c>
      <c r="L18" s="60">
        <f t="shared" si="4"/>
        <v>1785.3894656396385</v>
      </c>
      <c r="M18" s="60">
        <f t="shared" si="4"/>
        <v>1802.8356323679084</v>
      </c>
      <c r="N18" s="60">
        <f t="shared" si="4"/>
        <v>1784.1129866829754</v>
      </c>
      <c r="O18" s="61">
        <f t="shared" si="4"/>
        <v>1894.0185865542235</v>
      </c>
      <c r="P18" s="59">
        <f t="shared" si="4"/>
        <v>2067.047361866079</v>
      </c>
      <c r="Q18" s="60">
        <f t="shared" si="4"/>
        <v>2467.3971803600843</v>
      </c>
      <c r="R18" s="60">
        <f t="shared" si="4"/>
        <v>3349.3985785430341</v>
      </c>
      <c r="S18" s="60">
        <f t="shared" si="4"/>
        <v>3363.7046055026831</v>
      </c>
      <c r="T18" s="61">
        <f t="shared" si="4"/>
        <v>3352.9581362558347</v>
      </c>
    </row>
    <row r="19" spans="1:20" ht="12.75" x14ac:dyDescent="0.2">
      <c r="D19" s="15" t="str">
        <f>Lookup!D127</f>
        <v>Underground assets</v>
      </c>
      <c r="E19" s="50" t="s">
        <v>92</v>
      </c>
      <c r="F19" s="50" t="str">
        <f t="shared" si="1"/>
        <v>Dollars</v>
      </c>
      <c r="G19" s="50" t="str">
        <f t="shared" si="2"/>
        <v>Nominal</v>
      </c>
      <c r="H19" s="50" t="str">
        <f t="shared" si="3"/>
        <v>Start year</v>
      </c>
      <c r="J19" s="61" cm="1">
        <f t="array" ref="J19">SUMPRODUCT((Input_EB_Alloc!$F$11:$F$60)*(Input_RAB!J$18:J$67))</f>
        <v>204.66126455323328</v>
      </c>
      <c r="K19" s="59">
        <f t="shared" ref="K19:T19" si="5">J124</f>
        <v>200.87244463236121</v>
      </c>
      <c r="L19" s="60">
        <f t="shared" si="5"/>
        <v>196.7840781880985</v>
      </c>
      <c r="M19" s="60">
        <f t="shared" si="5"/>
        <v>192.59681174360585</v>
      </c>
      <c r="N19" s="60">
        <f t="shared" si="5"/>
        <v>186.30139275260683</v>
      </c>
      <c r="O19" s="61">
        <f t="shared" si="5"/>
        <v>185.28993701407683</v>
      </c>
      <c r="P19" s="59">
        <f t="shared" si="5"/>
        <v>186.72361179289112</v>
      </c>
      <c r="Q19" s="60">
        <f t="shared" si="5"/>
        <v>182.45615525011667</v>
      </c>
      <c r="R19" s="60">
        <f t="shared" si="5"/>
        <v>177.88501812025746</v>
      </c>
      <c r="S19" s="60">
        <f t="shared" si="5"/>
        <v>177.30018371776109</v>
      </c>
      <c r="T19" s="61">
        <f t="shared" si="5"/>
        <v>172.08879316170285</v>
      </c>
    </row>
    <row r="20" spans="1:20" ht="12.75" x14ac:dyDescent="0.2">
      <c r="D20" s="15" t="str">
        <f>Lookup!D128</f>
        <v>Switchyards, substations</v>
      </c>
      <c r="E20" s="50" t="s">
        <v>92</v>
      </c>
      <c r="F20" s="50" t="str">
        <f t="shared" si="1"/>
        <v>Dollars</v>
      </c>
      <c r="G20" s="50" t="str">
        <f t="shared" si="2"/>
        <v>Nominal</v>
      </c>
      <c r="H20" s="50" t="str">
        <f t="shared" si="3"/>
        <v>Start year</v>
      </c>
      <c r="J20" s="61" cm="1">
        <f t="array" ref="J20">SUMPRODUCT((Input_EB_Alloc!$G$11:$G$60)*(Input_RAB!J$18:J$67))</f>
        <v>2918.9952045704863</v>
      </c>
      <c r="K20" s="59">
        <f t="shared" ref="K20:T20" si="6">J125</f>
        <v>2938.4753803232793</v>
      </c>
      <c r="L20" s="60">
        <f t="shared" si="6"/>
        <v>2978.1247754774736</v>
      </c>
      <c r="M20" s="60">
        <f t="shared" si="6"/>
        <v>2988.8379823274531</v>
      </c>
      <c r="N20" s="60">
        <f t="shared" si="6"/>
        <v>2982.9530399144592</v>
      </c>
      <c r="O20" s="61">
        <f t="shared" si="6"/>
        <v>3240.1560082789865</v>
      </c>
      <c r="P20" s="59">
        <f t="shared" si="6"/>
        <v>3381.463091524919</v>
      </c>
      <c r="Q20" s="60">
        <f t="shared" si="6"/>
        <v>3548.2937663505359</v>
      </c>
      <c r="R20" s="60">
        <f t="shared" si="6"/>
        <v>3688.1761890318867</v>
      </c>
      <c r="S20" s="60">
        <f t="shared" si="6"/>
        <v>3754.4473714750779</v>
      </c>
      <c r="T20" s="61">
        <f t="shared" si="6"/>
        <v>3745.6869475839776</v>
      </c>
    </row>
    <row r="21" spans="1:20" ht="12.75" x14ac:dyDescent="0.2">
      <c r="D21" s="15" t="str">
        <f>Lookup!D129</f>
        <v>Easements</v>
      </c>
      <c r="E21" s="50" t="s">
        <v>92</v>
      </c>
      <c r="F21" s="50" t="str">
        <f t="shared" si="1"/>
        <v>Dollars</v>
      </c>
      <c r="G21" s="50" t="str">
        <f t="shared" si="2"/>
        <v>Nominal</v>
      </c>
      <c r="H21" s="50" t="str">
        <f t="shared" si="3"/>
        <v>Start year</v>
      </c>
      <c r="J21" s="61" cm="1">
        <f t="array" ref="J21">SUMPRODUCT((Input_EB_Alloc!$H$11:$H$60)*(Input_RAB!J$18:J$67))</f>
        <v>855.89231883681293</v>
      </c>
      <c r="K21" s="59">
        <f t="shared" ref="K21:T21" si="7">J126</f>
        <v>887.17675670501319</v>
      </c>
      <c r="L21" s="60">
        <f t="shared" si="7"/>
        <v>904.14875359410485</v>
      </c>
      <c r="M21" s="60">
        <f t="shared" si="7"/>
        <v>924.27658604316616</v>
      </c>
      <c r="N21" s="60">
        <f t="shared" si="7"/>
        <v>932.55410670332913</v>
      </c>
      <c r="O21" s="61">
        <f t="shared" si="7"/>
        <v>962.59786258268377</v>
      </c>
      <c r="P21" s="59">
        <f t="shared" si="7"/>
        <v>979.98601768690287</v>
      </c>
      <c r="Q21" s="60">
        <f t="shared" si="7"/>
        <v>1078.6981536843543</v>
      </c>
      <c r="R21" s="60">
        <f t="shared" si="7"/>
        <v>1292.0405812731565</v>
      </c>
      <c r="S21" s="60">
        <f t="shared" si="7"/>
        <v>1322.0633832010146</v>
      </c>
      <c r="T21" s="61">
        <f t="shared" si="7"/>
        <v>1352.7837277220056</v>
      </c>
    </row>
    <row r="22" spans="1:20" ht="12.75" x14ac:dyDescent="0.2">
      <c r="D22" s="15" t="str">
        <f>Lookup!D130</f>
        <v>“Other” asset items with long lives</v>
      </c>
      <c r="E22" s="50" t="s">
        <v>92</v>
      </c>
      <c r="F22" s="50" t="str">
        <f t="shared" si="1"/>
        <v>Dollars</v>
      </c>
      <c r="G22" s="50" t="str">
        <f t="shared" si="2"/>
        <v>Nominal</v>
      </c>
      <c r="H22" s="50" t="str">
        <f t="shared" si="3"/>
        <v>Start year</v>
      </c>
      <c r="J22" s="61" cm="1">
        <f t="array" ref="J22">SUMPRODUCT((Input_EB_Alloc!$I$11:$I$60)*(Input_RAB!J$18:J$67))</f>
        <v>333.94235983500505</v>
      </c>
      <c r="K22" s="59">
        <f t="shared" ref="K22:T22" si="8">J127</f>
        <v>368.62346883130499</v>
      </c>
      <c r="L22" s="60">
        <f t="shared" si="8"/>
        <v>393.59093037796259</v>
      </c>
      <c r="M22" s="60">
        <f t="shared" si="8"/>
        <v>406.96455058718811</v>
      </c>
      <c r="N22" s="60">
        <f t="shared" si="8"/>
        <v>405.87595198983507</v>
      </c>
      <c r="O22" s="61">
        <f t="shared" si="8"/>
        <v>481.13150290759756</v>
      </c>
      <c r="P22" s="59">
        <f t="shared" si="8"/>
        <v>414.93873638270719</v>
      </c>
      <c r="Q22" s="60">
        <f t="shared" si="8"/>
        <v>493.4909902092179</v>
      </c>
      <c r="R22" s="60">
        <f t="shared" si="8"/>
        <v>617.31560796732742</v>
      </c>
      <c r="S22" s="60">
        <f t="shared" si="8"/>
        <v>653.70747166300907</v>
      </c>
      <c r="T22" s="61">
        <f t="shared" si="8"/>
        <v>687.86980099900211</v>
      </c>
    </row>
    <row r="23" spans="1:20" ht="12.75" x14ac:dyDescent="0.2">
      <c r="D23" s="15" t="str">
        <f>Lookup!D131</f>
        <v>“Other” asset items with short lives</v>
      </c>
      <c r="E23" s="50" t="s">
        <v>92</v>
      </c>
      <c r="F23" s="50" t="str">
        <f t="shared" si="1"/>
        <v>Dollars</v>
      </c>
      <c r="G23" s="50" t="str">
        <f t="shared" si="2"/>
        <v>Nominal</v>
      </c>
      <c r="H23" s="50" t="str">
        <f t="shared" si="3"/>
        <v>Start year</v>
      </c>
      <c r="J23" s="61" cm="1">
        <f t="array" ref="J23">SUMPRODUCT((Input_EB_Alloc!$J$11:$J$60)*(Input_RAB!J$18:J$67))</f>
        <v>64.327288254435743</v>
      </c>
      <c r="K23" s="59">
        <f t="shared" ref="K23:T23" si="9">J128</f>
        <v>66.108684612442204</v>
      </c>
      <c r="L23" s="60">
        <f t="shared" si="9"/>
        <v>75.475641269972755</v>
      </c>
      <c r="M23" s="60">
        <f t="shared" si="9"/>
        <v>74.349378776506896</v>
      </c>
      <c r="N23" s="60">
        <f t="shared" si="9"/>
        <v>67.653509256245016</v>
      </c>
      <c r="O23" s="61">
        <f t="shared" si="9"/>
        <v>89.641832108294253</v>
      </c>
      <c r="P23" s="59">
        <f t="shared" si="9"/>
        <v>54.156229477783185</v>
      </c>
      <c r="Q23" s="60">
        <f t="shared" si="9"/>
        <v>85.929572443279014</v>
      </c>
      <c r="R23" s="60">
        <f t="shared" si="9"/>
        <v>115.53479664993138</v>
      </c>
      <c r="S23" s="60">
        <f t="shared" si="9"/>
        <v>121.1160996964996</v>
      </c>
      <c r="T23" s="61">
        <f t="shared" si="9"/>
        <v>133.39294673161879</v>
      </c>
    </row>
    <row r="24" spans="1:20" x14ac:dyDescent="0.2">
      <c r="J24" s="56"/>
      <c r="K24" s="54"/>
      <c r="L24" s="55"/>
      <c r="M24" s="55"/>
      <c r="N24" s="55"/>
      <c r="O24" s="56"/>
      <c r="P24" s="54"/>
      <c r="Q24" s="55"/>
      <c r="R24" s="55"/>
      <c r="S24" s="55"/>
      <c r="T24" s="56"/>
    </row>
    <row r="25" spans="1:20" ht="12.75" x14ac:dyDescent="0.2">
      <c r="D25" s="49" t="str">
        <f>"Total "&amp;D16</f>
        <v>Total EB RIN Categories</v>
      </c>
      <c r="E25" s="45" t="s">
        <v>92</v>
      </c>
      <c r="F25" s="45" t="str">
        <f>F18</f>
        <v>Dollars</v>
      </c>
      <c r="G25" s="45" t="str">
        <f>G18</f>
        <v>Nominal</v>
      </c>
      <c r="H25" s="45" t="str">
        <f>H18</f>
        <v>Start year</v>
      </c>
      <c r="J25" s="58">
        <f t="shared" ref="J25:T25" si="10">SUM(J18:J23)</f>
        <v>6030.0106617457286</v>
      </c>
      <c r="K25" s="57">
        <f t="shared" si="10"/>
        <v>6200.8979271198268</v>
      </c>
      <c r="L25" s="44">
        <f t="shared" si="10"/>
        <v>6333.5136445472508</v>
      </c>
      <c r="M25" s="44">
        <f t="shared" si="10"/>
        <v>6389.8609418458282</v>
      </c>
      <c r="N25" s="44">
        <f t="shared" si="10"/>
        <v>6359.4509872994504</v>
      </c>
      <c r="O25" s="58">
        <f t="shared" si="10"/>
        <v>6852.8357294458629</v>
      </c>
      <c r="P25" s="57">
        <f t="shared" si="10"/>
        <v>7084.3150487312823</v>
      </c>
      <c r="Q25" s="44">
        <f t="shared" si="10"/>
        <v>7856.2658182975874</v>
      </c>
      <c r="R25" s="44">
        <f t="shared" si="10"/>
        <v>9240.3507715855958</v>
      </c>
      <c r="S25" s="44">
        <f t="shared" si="10"/>
        <v>9392.3391152560453</v>
      </c>
      <c r="T25" s="58">
        <f t="shared" si="10"/>
        <v>9444.7803524541432</v>
      </c>
    </row>
    <row r="26" spans="1:20" s="6" customFormat="1" ht="4.5" customHeight="1" x14ac:dyDescent="0.2"/>
    <row r="27" spans="1:20" s="6" customFormat="1" ht="11.25" customHeight="1" x14ac:dyDescent="0.2">
      <c r="A27" s="47">
        <f>IF(SUM($J27:$T27)&lt;&gt;0,1,0)</f>
        <v>0</v>
      </c>
      <c r="D27" s="15" t="s">
        <v>95</v>
      </c>
      <c r="J27" s="63">
        <f>IF(ROUND(J25-Input_RAB!J$69,3)=0,0,1)</f>
        <v>0</v>
      </c>
      <c r="K27" s="63">
        <f>IF(ROUND(K25-Input_RAB!K$69,3)=0,0,1)</f>
        <v>0</v>
      </c>
      <c r="L27" s="63">
        <f>IF(ROUND(L25-Input_RAB!L$69,3)=0,0,1)</f>
        <v>0</v>
      </c>
      <c r="M27" s="63">
        <f>IF(ROUND(M25-Input_RAB!M$69,3)=0,0,1)</f>
        <v>0</v>
      </c>
      <c r="N27" s="63">
        <f>IF(ROUND(N25-Input_RAB!N$69,3)=0,0,1)</f>
        <v>0</v>
      </c>
      <c r="O27" s="63">
        <f>IF(ROUND(O25-Input_RAB!O$69,3)=0,0,1)</f>
        <v>0</v>
      </c>
      <c r="P27" s="63">
        <f>IF(ROUND(P25-Input_RAB!P$69,3)=0,0,1)</f>
        <v>0</v>
      </c>
      <c r="Q27" s="63">
        <f>IF(ROUND(Q25-Input_RAB!Q$69,3)=0,0,1)</f>
        <v>0</v>
      </c>
      <c r="R27" s="63">
        <f>IF(ROUND(R25-Input_RAB!R$69,3)=0,0,1)</f>
        <v>0</v>
      </c>
      <c r="S27" s="63">
        <f>IF(ROUND(S25-Input_RAB!S$69,3)=0,0,1)</f>
        <v>0</v>
      </c>
      <c r="T27" s="63">
        <f>IF(ROUND(T25-Input_RAB!T$69,3)=0,0,1)</f>
        <v>0</v>
      </c>
    </row>
    <row r="28" spans="1:20" s="6" customFormat="1" ht="4.5" customHeight="1" x14ac:dyDescent="0.2"/>
    <row r="29" spans="1:20" s="13" customFormat="1" ht="15" x14ac:dyDescent="0.2">
      <c r="C29" s="13" t="s">
        <v>106</v>
      </c>
    </row>
    <row r="30" spans="1:20" s="6" customFormat="1" ht="4.5" customHeight="1" x14ac:dyDescent="0.2"/>
    <row r="31" spans="1:20" ht="12.75" x14ac:dyDescent="0.2">
      <c r="D31" s="48" t="str">
        <f>D$16</f>
        <v>EB RIN Categories</v>
      </c>
      <c r="E31" s="43" t="str">
        <f>Lookup!E$20</f>
        <v>Source</v>
      </c>
      <c r="F31" s="43" t="str">
        <f>Lookup!F$20</f>
        <v>Unit</v>
      </c>
      <c r="G31" s="43" t="str">
        <f>Lookup!G$20</f>
        <v>Basis</v>
      </c>
      <c r="H31" s="43" t="str">
        <f>Lookup!H$20</f>
        <v>Timing</v>
      </c>
      <c r="J31" s="53" t="str">
        <f t="shared" ref="J31:T31" si="11">J$10</f>
        <v>RY18</v>
      </c>
      <c r="K31" s="52" t="str">
        <f t="shared" si="11"/>
        <v>RY19</v>
      </c>
      <c r="L31" s="43" t="str">
        <f t="shared" si="11"/>
        <v>RY20</v>
      </c>
      <c r="M31" s="43" t="str">
        <f t="shared" si="11"/>
        <v>RY21</v>
      </c>
      <c r="N31" s="43" t="str">
        <f t="shared" si="11"/>
        <v>RY22</v>
      </c>
      <c r="O31" s="53" t="str">
        <f t="shared" si="11"/>
        <v>RY23</v>
      </c>
      <c r="P31" s="52" t="str">
        <f t="shared" si="11"/>
        <v>RY24</v>
      </c>
      <c r="Q31" s="43" t="str">
        <f t="shared" si="11"/>
        <v>RY25</v>
      </c>
      <c r="R31" s="43" t="str">
        <f t="shared" si="11"/>
        <v>RY26</v>
      </c>
      <c r="S31" s="43" t="str">
        <f t="shared" si="11"/>
        <v>RY27</v>
      </c>
      <c r="T31" s="53" t="str">
        <f t="shared" si="11"/>
        <v>RY28</v>
      </c>
    </row>
    <row r="32" spans="1:20" x14ac:dyDescent="0.2">
      <c r="J32" s="56"/>
      <c r="K32" s="54"/>
      <c r="L32" s="55"/>
      <c r="M32" s="55"/>
      <c r="N32" s="55"/>
      <c r="O32" s="56"/>
      <c r="P32" s="54"/>
      <c r="Q32" s="55"/>
      <c r="R32" s="55"/>
      <c r="S32" s="55"/>
      <c r="T32" s="56"/>
    </row>
    <row r="33" spans="1:20" ht="12.75" x14ac:dyDescent="0.2">
      <c r="D33" s="15" t="str">
        <f t="shared" ref="D33:D38" si="12">D18</f>
        <v>Overhead assets</v>
      </c>
      <c r="E33" s="50" t="s">
        <v>92</v>
      </c>
      <c r="F33" s="50" t="str">
        <f t="shared" ref="F33:F38" si="13">Dollars</f>
        <v>Dollars</v>
      </c>
      <c r="G33" s="50" t="str">
        <f t="shared" ref="G33:G38" si="14">Nominal</f>
        <v>Nominal</v>
      </c>
      <c r="H33" s="50" t="str">
        <f t="shared" ref="H33:H38" si="15">End_year</f>
        <v>End year</v>
      </c>
      <c r="J33" s="61">
        <f>SUMPRODUCT((Input_EB_Alloc!$E$11:$E$60)*(Input_RAB!J$77:J$126))</f>
        <v>31.541851581464357</v>
      </c>
      <c r="K33" s="59">
        <f>SUMPRODUCT((Input_EB_Alloc!$E$11:$E$60)*(Input_RAB!K$77:K$126))</f>
        <v>31.037309402594744</v>
      </c>
      <c r="L33" s="60">
        <f>SUMPRODUCT((Input_EB_Alloc!$E$11:$E$60)*(Input_RAB!L$77:L$126))</f>
        <v>32.859928815453678</v>
      </c>
      <c r="M33" s="60">
        <f>SUMPRODUCT((Input_EB_Alloc!$E$11:$E$60)*(Input_RAB!M$77:M$126))</f>
        <v>15.514936595248749</v>
      </c>
      <c r="N33" s="60">
        <f>SUMPRODUCT((Input_EB_Alloc!$E$11:$E$60)*(Input_RAB!N$77:N$126))</f>
        <v>57.983672067196707</v>
      </c>
      <c r="O33" s="61">
        <f>SUMPRODUCT((Input_EB_Alloc!$E$11:$E$60)*(Input_RAB!O$77:O$126))</f>
        <v>42.615418197470028</v>
      </c>
      <c r="P33" s="59">
        <f>SUMPRODUCT((Input_EB_Alloc!$E$11:$E$60)*(Input_RAB!P$77:P$126))</f>
        <v>48.574659528722343</v>
      </c>
      <c r="Q33" s="60">
        <f>SUMPRODUCT((Input_EB_Alloc!$E$11:$E$60)*(Input_RAB!Q$77:Q$126))</f>
        <v>57.982695592383692</v>
      </c>
      <c r="R33" s="60">
        <f>SUMPRODUCT((Input_EB_Alloc!$E$11:$E$60)*(Input_RAB!R$77:R$126))</f>
        <v>78.709321605401755</v>
      </c>
      <c r="S33" s="60">
        <f>SUMPRODUCT((Input_EB_Alloc!$E$11:$E$60)*(Input_RAB!S$77:S$126))</f>
        <v>79.045506639955732</v>
      </c>
      <c r="T33" s="61">
        <f>SUMPRODUCT((Input_EB_Alloc!$E$11:$E$60)*(Input_RAB!T$77:T$126))</f>
        <v>78.792969569721265</v>
      </c>
    </row>
    <row r="34" spans="1:20" ht="12.75" x14ac:dyDescent="0.2">
      <c r="D34" s="15" t="str">
        <f t="shared" si="12"/>
        <v>Underground assets</v>
      </c>
      <c r="E34" s="50" t="s">
        <v>92</v>
      </c>
      <c r="F34" s="50" t="str">
        <f t="shared" si="13"/>
        <v>Dollars</v>
      </c>
      <c r="G34" s="50" t="str">
        <f t="shared" si="14"/>
        <v>Nominal</v>
      </c>
      <c r="H34" s="50" t="str">
        <f t="shared" si="15"/>
        <v>End year</v>
      </c>
      <c r="J34" s="61">
        <f>SUMPRODUCT((Input_EB_Alloc!$F$11:$F$60)*(Input_RAB!J$77:J$126))</f>
        <v>3.9071695960162627</v>
      </c>
      <c r="K34" s="59">
        <f>SUMPRODUCT((Input_EB_Alloc!$F$11:$F$60)*(Input_RAB!K$77:K$126))</f>
        <v>3.5838081111929063</v>
      </c>
      <c r="L34" s="60">
        <f>SUMPRODUCT((Input_EB_Alloc!$F$11:$F$60)*(Input_RAB!L$77:L$126))</f>
        <v>3.6217928500877257</v>
      </c>
      <c r="M34" s="60">
        <f>SUMPRODUCT((Input_EB_Alloc!$F$11:$F$60)*(Input_RAB!M$77:M$126))</f>
        <v>1.657459653559427</v>
      </c>
      <c r="N34" s="60">
        <f>SUMPRODUCT((Input_EB_Alloc!$F$11:$F$60)*(Input_RAB!N$77:N$126))</f>
        <v>6.054795264459722</v>
      </c>
      <c r="O34" s="61">
        <f>SUMPRODUCT((Input_EB_Alloc!$F$11:$F$60)*(Input_RAB!O$77:O$126))</f>
        <v>4.1690235828167284</v>
      </c>
      <c r="P34" s="59">
        <f>SUMPRODUCT((Input_EB_Alloc!$F$11:$F$60)*(Input_RAB!P$77:P$126))</f>
        <v>4.3879187463923479</v>
      </c>
      <c r="Q34" s="60">
        <f>SUMPRODUCT((Input_EB_Alloc!$F$11:$F$60)*(Input_RAB!Q$77:Q$126))</f>
        <v>4.2876354861037447</v>
      </c>
      <c r="R34" s="60">
        <f>SUMPRODUCT((Input_EB_Alloc!$F$11:$F$60)*(Input_RAB!R$77:R$126))</f>
        <v>4.1802158720985965</v>
      </c>
      <c r="S34" s="60">
        <f>SUMPRODUCT((Input_EB_Alloc!$F$11:$F$60)*(Input_RAB!S$77:S$126))</f>
        <v>4.1664725334088155</v>
      </c>
      <c r="T34" s="61">
        <f>SUMPRODUCT((Input_EB_Alloc!$F$11:$F$60)*(Input_RAB!T$77:T$126))</f>
        <v>4.0440072592202281</v>
      </c>
    </row>
    <row r="35" spans="1:20" ht="12.75" x14ac:dyDescent="0.2">
      <c r="D35" s="15" t="str">
        <f t="shared" si="12"/>
        <v>Switchyards, substations</v>
      </c>
      <c r="E35" s="50" t="s">
        <v>92</v>
      </c>
      <c r="F35" s="50" t="str">
        <f t="shared" si="13"/>
        <v>Dollars</v>
      </c>
      <c r="G35" s="50" t="str">
        <f t="shared" si="14"/>
        <v>Nominal</v>
      </c>
      <c r="H35" s="50" t="str">
        <f t="shared" si="15"/>
        <v>End year</v>
      </c>
      <c r="J35" s="61">
        <f>SUMPRODUCT((Input_EB_Alloc!$G$11:$G$60)*(Input_RAB!J$77:J$126))</f>
        <v>55.726272087254614</v>
      </c>
      <c r="K35" s="59">
        <f>SUMPRODUCT((Input_EB_Alloc!$G$11:$G$60)*(Input_RAB!K$77:K$126))</f>
        <v>52.425965750638653</v>
      </c>
      <c r="L35" s="60">
        <f>SUMPRODUCT((Input_EB_Alloc!$G$11:$G$60)*(Input_RAB!L$77:L$126))</f>
        <v>54.812112432101081</v>
      </c>
      <c r="M35" s="60">
        <f>SUMPRODUCT((Input_EB_Alloc!$G$11:$G$60)*(Input_RAB!M$77:M$126))</f>
        <v>25.72149726615703</v>
      </c>
      <c r="N35" s="60">
        <f>SUMPRODUCT((Input_EB_Alloc!$G$11:$G$60)*(Input_RAB!N$77:N$126))</f>
        <v>96.945973797219921</v>
      </c>
      <c r="O35" s="61">
        <f>SUMPRODUCT((Input_EB_Alloc!$G$11:$G$60)*(Input_RAB!O$77:O$126))</f>
        <v>72.903510186277202</v>
      </c>
      <c r="P35" s="59">
        <f>SUMPRODUCT((Input_EB_Alloc!$G$11:$G$60)*(Input_RAB!P$77:P$126))</f>
        <v>79.462822869951054</v>
      </c>
      <c r="Q35" s="60">
        <f>SUMPRODUCT((Input_EB_Alloc!$G$11:$G$60)*(Input_RAB!Q$77:Q$126))</f>
        <v>83.383266773706339</v>
      </c>
      <c r="R35" s="60">
        <f>SUMPRODUCT((Input_EB_Alloc!$G$11:$G$60)*(Input_RAB!R$77:R$126))</f>
        <v>86.670439182598471</v>
      </c>
      <c r="S35" s="60">
        <f>SUMPRODUCT((Input_EB_Alloc!$G$11:$G$60)*(Input_RAB!S$77:S$126))</f>
        <v>88.227781400842446</v>
      </c>
      <c r="T35" s="61">
        <f>SUMPRODUCT((Input_EB_Alloc!$G$11:$G$60)*(Input_RAB!T$77:T$126))</f>
        <v>88.021915480357038</v>
      </c>
    </row>
    <row r="36" spans="1:20" ht="12.75" x14ac:dyDescent="0.2">
      <c r="D36" s="15" t="str">
        <f t="shared" si="12"/>
        <v>Easements</v>
      </c>
      <c r="E36" s="50" t="s">
        <v>92</v>
      </c>
      <c r="F36" s="50" t="str">
        <f t="shared" si="13"/>
        <v>Dollars</v>
      </c>
      <c r="G36" s="50" t="str">
        <f t="shared" si="14"/>
        <v>Nominal</v>
      </c>
      <c r="H36" s="50" t="str">
        <f t="shared" si="15"/>
        <v>End year</v>
      </c>
      <c r="J36" s="61">
        <f>SUMPRODUCT((Input_EB_Alloc!$H$11:$H$60)*(Input_RAB!J$77:J$126))</f>
        <v>16.339762450520936</v>
      </c>
      <c r="K36" s="59">
        <f>SUMPRODUCT((Input_EB_Alloc!$H$11:$H$60)*(Input_RAB!K$77:K$126))</f>
        <v>15.828309664674725</v>
      </c>
      <c r="L36" s="60">
        <f>SUMPRODUCT((Input_EB_Alloc!$H$11:$H$60)*(Input_RAB!L$77:L$126))</f>
        <v>16.640774606026575</v>
      </c>
      <c r="M36" s="60">
        <f>SUMPRODUCT((Input_EB_Alloc!$H$11:$H$60)*(Input_RAB!M$77:M$126))</f>
        <v>7.9541874874626854</v>
      </c>
      <c r="N36" s="60">
        <f>SUMPRODUCT((Input_EB_Alloc!$H$11:$H$60)*(Input_RAB!N$77:N$126))</f>
        <v>30.308008467858198</v>
      </c>
      <c r="O36" s="61">
        <f>SUMPRODUCT((Input_EB_Alloc!$H$11:$H$60)*(Input_RAB!O$77:O$126))</f>
        <v>21.658451908110383</v>
      </c>
      <c r="P36" s="59">
        <f>SUMPRODUCT((Input_EB_Alloc!$H$11:$H$60)*(Input_RAB!P$77:P$126))</f>
        <v>23.029219373607116</v>
      </c>
      <c r="Q36" s="60">
        <f>SUMPRODUCT((Input_EB_Alloc!$H$11:$H$60)*(Input_RAB!Q$77:Q$126))</f>
        <v>25.348909036208951</v>
      </c>
      <c r="R36" s="60">
        <f>SUMPRODUCT((Input_EB_Alloc!$H$11:$H$60)*(Input_RAB!R$77:R$126))</f>
        <v>30.362357675238528</v>
      </c>
      <c r="S36" s="60">
        <f>SUMPRODUCT((Input_EB_Alloc!$H$11:$H$60)*(Input_RAB!S$77:S$126))</f>
        <v>31.067879671806335</v>
      </c>
      <c r="T36" s="61">
        <f>SUMPRODUCT((Input_EB_Alloc!$H$11:$H$60)*(Input_RAB!T$77:T$126))</f>
        <v>31.789793597554528</v>
      </c>
    </row>
    <row r="37" spans="1:20" ht="12.75" x14ac:dyDescent="0.2">
      <c r="D37" s="15" t="str">
        <f t="shared" si="12"/>
        <v>“Other” asset items with long lives</v>
      </c>
      <c r="E37" s="50" t="s">
        <v>92</v>
      </c>
      <c r="F37" s="50" t="str">
        <f t="shared" si="13"/>
        <v>Dollars</v>
      </c>
      <c r="G37" s="50" t="str">
        <f t="shared" si="14"/>
        <v>Nominal</v>
      </c>
      <c r="H37" s="50" t="str">
        <f t="shared" si="15"/>
        <v>End year</v>
      </c>
      <c r="J37" s="61" cm="1">
        <f t="array" ref="J37">SUMPRODUCT((Input_EB_Alloc!$I$11:$I$60)*(Input_RAB!J$77:J$126))</f>
        <v>6.3752632332137198</v>
      </c>
      <c r="K37" s="59" cm="1">
        <f t="array" ref="K37">SUMPRODUCT((Input_EB_Alloc!$I$11:$I$60)*(Input_RAB!K$77:K$126))</f>
        <v>6.5766898988636422</v>
      </c>
      <c r="L37" s="60" cm="1">
        <f t="array" ref="L37">SUMPRODUCT((Input_EB_Alloc!$I$11:$I$60)*(Input_RAB!L$77:L$126))</f>
        <v>7.2440048535821777</v>
      </c>
      <c r="M37" s="60" cm="1">
        <f t="array" ref="M37">SUMPRODUCT((Input_EB_Alloc!$I$11:$I$60)*(Input_RAB!M$77:M$126))</f>
        <v>3.5022766831943826</v>
      </c>
      <c r="N37" s="60" cm="1">
        <f t="array" ref="N37">SUMPRODUCT((Input_EB_Alloc!$I$11:$I$60)*(Input_RAB!N$77:N$126))</f>
        <v>13.190968439669641</v>
      </c>
      <c r="O37" s="61" cm="1">
        <f t="array" ref="O37">SUMPRODUCT((Input_EB_Alloc!$I$11:$I$60)*(Input_RAB!O$77:O$126))</f>
        <v>10.825458815420944</v>
      </c>
      <c r="P37" s="59" cm="1">
        <f t="array" ref="P37">SUMPRODUCT((Input_EB_Alloc!$I$11:$I$60)*(Input_RAB!P$77:P$126))</f>
        <v>9.7508689045578478</v>
      </c>
      <c r="Q37" s="60" cm="1">
        <f t="array" ref="Q37">SUMPRODUCT((Input_EB_Alloc!$I$11:$I$60)*(Input_RAB!Q$77:Q$126))</f>
        <v>11.596810635371339</v>
      </c>
      <c r="R37" s="60" cm="1">
        <f t="array" ref="R37">SUMPRODUCT((Input_EB_Alloc!$I$11:$I$60)*(Input_RAB!R$77:R$126))</f>
        <v>14.506632035614631</v>
      </c>
      <c r="S37" s="60" cm="1">
        <f t="array" ref="S37">SUMPRODUCT((Input_EB_Alloc!$I$11:$I$60)*(Input_RAB!S$77:S$126))</f>
        <v>15.361824045843923</v>
      </c>
      <c r="T37" s="61" cm="1">
        <f t="array" ref="T37">SUMPRODUCT((Input_EB_Alloc!$I$11:$I$60)*(Input_RAB!T$77:T$126))</f>
        <v>16.164623027046684</v>
      </c>
    </row>
    <row r="38" spans="1:20" ht="12.75" x14ac:dyDescent="0.2">
      <c r="D38" s="15" t="str">
        <f t="shared" si="12"/>
        <v>“Other” asset items with short lives</v>
      </c>
      <c r="E38" s="50" t="s">
        <v>92</v>
      </c>
      <c r="F38" s="50" t="str">
        <f t="shared" si="13"/>
        <v>Dollars</v>
      </c>
      <c r="G38" s="50" t="str">
        <f t="shared" si="14"/>
        <v>Nominal</v>
      </c>
      <c r="H38" s="50" t="str">
        <f t="shared" si="15"/>
        <v>End year</v>
      </c>
      <c r="J38" s="61" cm="1">
        <f t="array" ref="J38">SUMPRODUCT((Input_EB_Alloc!$J$11:$J$60)*(Input_RAB!J$77:J$126))</f>
        <v>1.2280664121301341</v>
      </c>
      <c r="K38" s="59" cm="1">
        <f t="array" ref="K38">SUMPRODUCT((Input_EB_Alloc!$J$11:$J$60)*(Input_RAB!K$77:K$126))</f>
        <v>1.179459136707272</v>
      </c>
      <c r="L38" s="60" cm="1">
        <f t="array" ref="L38">SUMPRODUCT((Input_EB_Alloc!$J$11:$J$60)*(Input_RAB!L$77:L$126))</f>
        <v>1.3891222319626975</v>
      </c>
      <c r="M38" s="60" cm="1">
        <f t="array" ref="M38">SUMPRODUCT((Input_EB_Alloc!$J$11:$J$60)*(Input_RAB!M$77:M$126))</f>
        <v>0.63983974850694258</v>
      </c>
      <c r="N38" s="60" cm="1">
        <f t="array" ref="N38">SUMPRODUCT((Input_EB_Alloc!$J$11:$J$60)*(Input_RAB!N$77:N$126))</f>
        <v>2.1987390508279629</v>
      </c>
      <c r="O38" s="61" cm="1">
        <f t="array" ref="O38">SUMPRODUCT((Input_EB_Alloc!$J$11:$J$60)*(Input_RAB!O$77:O$126))</f>
        <v>2.0169412224366208</v>
      </c>
      <c r="P38" s="59" cm="1">
        <f t="array" ref="P38">SUMPRODUCT((Input_EB_Alloc!$J$11:$J$60)*(Input_RAB!P$77:P$126))</f>
        <v>1.2726464118692551</v>
      </c>
      <c r="Q38" s="60" cm="1">
        <f t="array" ref="Q38">SUMPRODUCT((Input_EB_Alloc!$J$11:$J$60)*(Input_RAB!Q$77:Q$126))</f>
        <v>2.0193053153425464</v>
      </c>
      <c r="R38" s="60" cm="1">
        <f t="array" ref="R38">SUMPRODUCT((Input_EB_Alloc!$J$11:$J$60)*(Input_RAB!R$77:R$126))</f>
        <v>2.7150144280797499</v>
      </c>
      <c r="S38" s="60" cm="1">
        <f t="array" ref="S38">SUMPRODUCT((Input_EB_Alloc!$J$11:$J$60)*(Input_RAB!S$77:S$126))</f>
        <v>2.8461724751643218</v>
      </c>
      <c r="T38" s="61" cm="1">
        <f t="array" ref="T38">SUMPRODUCT((Input_EB_Alloc!$J$11:$J$60)*(Input_RAB!T$77:T$126))</f>
        <v>3.1346727174997246</v>
      </c>
    </row>
    <row r="39" spans="1:20" x14ac:dyDescent="0.2">
      <c r="J39" s="56"/>
      <c r="K39" s="54"/>
      <c r="L39" s="55"/>
      <c r="M39" s="55"/>
      <c r="N39" s="55"/>
      <c r="O39" s="56"/>
      <c r="P39" s="54"/>
      <c r="Q39" s="55"/>
      <c r="R39" s="55"/>
      <c r="S39" s="55"/>
      <c r="T39" s="56"/>
    </row>
    <row r="40" spans="1:20" ht="12.75" x14ac:dyDescent="0.2">
      <c r="D40" s="49" t="str">
        <f>"Total "&amp;D31</f>
        <v>Total EB RIN Categories</v>
      </c>
      <c r="E40" s="45" t="s">
        <v>92</v>
      </c>
      <c r="F40" s="45" t="str">
        <f>F33</f>
        <v>Dollars</v>
      </c>
      <c r="G40" s="45" t="str">
        <f>G33</f>
        <v>Nominal</v>
      </c>
      <c r="H40" s="45" t="str">
        <f>H33</f>
        <v>End year</v>
      </c>
      <c r="J40" s="58">
        <f t="shared" ref="J40:T40" si="16">SUM(J33:J38)</f>
        <v>115.11838536060002</v>
      </c>
      <c r="K40" s="57">
        <f t="shared" si="16"/>
        <v>110.63154196467194</v>
      </c>
      <c r="L40" s="44">
        <f t="shared" si="16"/>
        <v>116.56773578921394</v>
      </c>
      <c r="M40" s="44">
        <f t="shared" si="16"/>
        <v>54.990197434129215</v>
      </c>
      <c r="N40" s="44">
        <f t="shared" si="16"/>
        <v>206.68215708723216</v>
      </c>
      <c r="O40" s="58">
        <f t="shared" si="16"/>
        <v>154.18880391253191</v>
      </c>
      <c r="P40" s="57">
        <f t="shared" si="16"/>
        <v>166.47813583509995</v>
      </c>
      <c r="Q40" s="44">
        <f t="shared" si="16"/>
        <v>184.61862283911657</v>
      </c>
      <c r="R40" s="44">
        <f t="shared" si="16"/>
        <v>217.14398079903171</v>
      </c>
      <c r="S40" s="44">
        <f t="shared" si="16"/>
        <v>220.71563676702158</v>
      </c>
      <c r="T40" s="58">
        <f t="shared" si="16"/>
        <v>221.94798165139946</v>
      </c>
    </row>
    <row r="41" spans="1:20" s="6" customFormat="1" ht="4.5" customHeight="1" x14ac:dyDescent="0.2"/>
    <row r="42" spans="1:20" s="6" customFormat="1" ht="11.25" customHeight="1" x14ac:dyDescent="0.2">
      <c r="A42" s="47">
        <f>IF(SUM($J42:$T42)&lt;&gt;0,1,0)</f>
        <v>0</v>
      </c>
      <c r="D42" s="15" t="s">
        <v>95</v>
      </c>
      <c r="J42" s="63">
        <f>IF(ROUND(J40-Input_RAB!J$128,5)&lt;&gt;0,1,0)</f>
        <v>0</v>
      </c>
      <c r="K42" s="63">
        <f>IF(ROUND(K40-Input_RAB!K$128,5)&lt;&gt;0,1,0)</f>
        <v>0</v>
      </c>
      <c r="L42" s="63">
        <f>IF(ROUND(L40-Input_RAB!L$128,5)&lt;&gt;0,1,0)</f>
        <v>0</v>
      </c>
      <c r="M42" s="63">
        <f>IF(ROUND(M40-Input_RAB!M$128,5)&lt;&gt;0,1,0)</f>
        <v>0</v>
      </c>
      <c r="N42" s="63">
        <f>IF(ROUND(N40-Input_RAB!N$128,5)&lt;&gt;0,1,0)</f>
        <v>0</v>
      </c>
      <c r="O42" s="63">
        <f>IF(ROUND(O40-Input_RAB!O$128,5)&lt;&gt;0,1,0)</f>
        <v>0</v>
      </c>
      <c r="P42" s="63">
        <f>IF(ROUND(P40-Input_RAB!P$128,5)&lt;&gt;0,1,0)</f>
        <v>0</v>
      </c>
      <c r="Q42" s="63">
        <f>IF(ROUND(Q40-Input_RAB!Q$128,5)&lt;&gt;0,1,0)</f>
        <v>0</v>
      </c>
      <c r="R42" s="63">
        <f>IF(ROUND(R40-Input_RAB!R$128,5)&lt;&gt;0,1,0)</f>
        <v>0</v>
      </c>
      <c r="S42" s="63">
        <f>IF(ROUND(S40-Input_RAB!S$128,5)&lt;&gt;0,1,0)</f>
        <v>0</v>
      </c>
      <c r="T42" s="63">
        <f>IF(ROUND(T40-Input_RAB!T$128,5)&lt;&gt;0,1,0)</f>
        <v>0</v>
      </c>
    </row>
    <row r="43" spans="1:20" s="6" customFormat="1" ht="4.5" customHeight="1" x14ac:dyDescent="0.2"/>
    <row r="44" spans="1:20" s="13" customFormat="1" ht="15" x14ac:dyDescent="0.2">
      <c r="C44" s="13" t="s">
        <v>107</v>
      </c>
    </row>
    <row r="45" spans="1:20" s="6" customFormat="1" ht="4.5" customHeight="1" x14ac:dyDescent="0.2"/>
    <row r="46" spans="1:20" ht="12.75" x14ac:dyDescent="0.2">
      <c r="D46" s="48" t="str">
        <f>D$16</f>
        <v>EB RIN Categories</v>
      </c>
      <c r="E46" s="43" t="str">
        <f>Lookup!E$20</f>
        <v>Source</v>
      </c>
      <c r="F46" s="43" t="str">
        <f>Lookup!F$20</f>
        <v>Unit</v>
      </c>
      <c r="G46" s="43" t="str">
        <f>Lookup!G$20</f>
        <v>Basis</v>
      </c>
      <c r="H46" s="43" t="str">
        <f>Lookup!H$20</f>
        <v>Timing</v>
      </c>
      <c r="J46" s="53" t="str">
        <f t="shared" ref="J46:T46" si="17">J$10</f>
        <v>RY18</v>
      </c>
      <c r="K46" s="52" t="str">
        <f t="shared" si="17"/>
        <v>RY19</v>
      </c>
      <c r="L46" s="43" t="str">
        <f t="shared" si="17"/>
        <v>RY20</v>
      </c>
      <c r="M46" s="43" t="str">
        <f t="shared" si="17"/>
        <v>RY21</v>
      </c>
      <c r="N46" s="43" t="str">
        <f t="shared" si="17"/>
        <v>RY22</v>
      </c>
      <c r="O46" s="53" t="str">
        <f t="shared" si="17"/>
        <v>RY23</v>
      </c>
      <c r="P46" s="52" t="str">
        <f t="shared" si="17"/>
        <v>RY24</v>
      </c>
      <c r="Q46" s="43" t="str">
        <f t="shared" si="17"/>
        <v>RY25</v>
      </c>
      <c r="R46" s="43" t="str">
        <f t="shared" si="17"/>
        <v>RY26</v>
      </c>
      <c r="S46" s="43" t="str">
        <f t="shared" si="17"/>
        <v>RY27</v>
      </c>
      <c r="T46" s="53" t="str">
        <f t="shared" si="17"/>
        <v>RY28</v>
      </c>
    </row>
    <row r="47" spans="1:20" x14ac:dyDescent="0.2">
      <c r="J47" s="56"/>
      <c r="K47" s="54"/>
      <c r="L47" s="55"/>
      <c r="M47" s="55"/>
      <c r="N47" s="55"/>
      <c r="O47" s="56"/>
      <c r="P47" s="54"/>
      <c r="Q47" s="55"/>
      <c r="R47" s="55"/>
      <c r="S47" s="55"/>
      <c r="T47" s="56"/>
    </row>
    <row r="48" spans="1:20" ht="12.75" x14ac:dyDescent="0.2">
      <c r="D48" s="15" t="str">
        <f t="shared" ref="D48:D53" si="18">D18</f>
        <v>Overhead assets</v>
      </c>
      <c r="E48" s="50" t="s">
        <v>92</v>
      </c>
      <c r="F48" s="50" t="str">
        <f t="shared" ref="F48:F53" si="19">Dollars</f>
        <v>Dollars</v>
      </c>
      <c r="G48" s="50" t="str">
        <f t="shared" ref="G48:G53" si="20">Nominal</f>
        <v>Nominal</v>
      </c>
      <c r="H48" s="50" t="str">
        <f t="shared" ref="H48:H53" si="21">End_year</f>
        <v>End year</v>
      </c>
      <c r="J48" s="61">
        <f>SUMPRODUCT((Input_EB_Alloc!$E$11:$E$60)*(Input_RAB!J$137:J$186))</f>
        <v>-82.153309909747151</v>
      </c>
      <c r="K48" s="59">
        <f>SUMPRODUCT((Input_EB_Alloc!$E$11:$E$60)*(Input_RAB!K$137:K$186))</f>
        <v>-83.846466011801553</v>
      </c>
      <c r="L48" s="60">
        <f>SUMPRODUCT((Input_EB_Alloc!$E$11:$E$60)*(Input_RAB!L$137:L$186))</f>
        <v>-86.166071742956447</v>
      </c>
      <c r="M48" s="60">
        <f>SUMPRODUCT((Input_EB_Alloc!$E$11:$E$60)*(Input_RAB!M$137:M$186))</f>
        <v>-88.174483840980471</v>
      </c>
      <c r="N48" s="60">
        <f>SUMPRODUCT((Input_EB_Alloc!$E$11:$E$60)*(Input_RAB!N$137:N$186))</f>
        <v>-89.294240828863238</v>
      </c>
      <c r="O48" s="61">
        <f>SUMPRODUCT((Input_EB_Alloc!$E$11:$E$60)*(Input_RAB!O$137:O$186))</f>
        <v>-94.617054432450203</v>
      </c>
      <c r="P48" s="59">
        <f>SUMPRODUCT((Input_EB_Alloc!$E$11:$E$60)*(Input_RAB!P$137:P$186))</f>
        <v>-107.41588004678655</v>
      </c>
      <c r="Q48" s="60">
        <f>SUMPRODUCT((Input_EB_Alloc!$E$11:$E$60)*(Input_RAB!Q$137:Q$186))</f>
        <v>-119.39381352309293</v>
      </c>
      <c r="R48" s="60">
        <f>SUMPRODUCT((Input_EB_Alloc!$E$11:$E$60)*(Input_RAB!R$137:R$186))</f>
        <v>-141.56101300896745</v>
      </c>
      <c r="S48" s="60">
        <f>SUMPRODUCT((Input_EB_Alloc!$E$11:$E$60)*(Input_RAB!S$137:S$186))</f>
        <v>-146.47111906187578</v>
      </c>
      <c r="T48" s="61">
        <f>SUMPRODUCT((Input_EB_Alloc!$E$11:$E$60)*(Input_RAB!T$137:T$186))</f>
        <v>-151.07334433441758</v>
      </c>
    </row>
    <row r="49" spans="1:20" ht="12.75" x14ac:dyDescent="0.2">
      <c r="D49" s="15" t="str">
        <f t="shared" si="18"/>
        <v>Underground assets</v>
      </c>
      <c r="E49" s="50" t="s">
        <v>92</v>
      </c>
      <c r="F49" s="50" t="str">
        <f t="shared" si="19"/>
        <v>Dollars</v>
      </c>
      <c r="G49" s="50" t="str">
        <f t="shared" si="20"/>
        <v>Nominal</v>
      </c>
      <c r="H49" s="50" t="str">
        <f t="shared" si="21"/>
        <v>End year</v>
      </c>
      <c r="J49" s="61">
        <f>SUMPRODUCT((Input_EB_Alloc!$F$11:$F$60)*(Input_RAB!J$137:J$186))</f>
        <v>-7.6959895168883357</v>
      </c>
      <c r="K49" s="59">
        <f>SUMPRODUCT((Input_EB_Alloc!$F$11:$F$60)*(Input_RAB!K$137:K$186))</f>
        <v>-7.6721745554556025</v>
      </c>
      <c r="L49" s="60">
        <f>SUMPRODUCT((Input_EB_Alloc!$F$11:$F$60)*(Input_RAB!L$137:L$186))</f>
        <v>-7.8090592945803694</v>
      </c>
      <c r="M49" s="60">
        <f>SUMPRODUCT((Input_EB_Alloc!$F$11:$F$60)*(Input_RAB!M$137:M$186))</f>
        <v>-7.9527882178533442</v>
      </c>
      <c r="N49" s="60">
        <f>SUMPRODUCT((Input_EB_Alloc!$F$11:$F$60)*(Input_RAB!N$137:N$186))</f>
        <v>-8.0212326713029292</v>
      </c>
      <c r="O49" s="61">
        <f>SUMPRODUCT((Input_EB_Alloc!$F$11:$F$60)*(Input_RAB!O$137:O$186))</f>
        <v>-8.2869866675790593</v>
      </c>
      <c r="P49" s="59">
        <f>SUMPRODUCT((Input_EB_Alloc!$F$11:$F$60)*(Input_RAB!P$137:P$186))</f>
        <v>-8.6553752891668001</v>
      </c>
      <c r="Q49" s="60">
        <f>SUMPRODUCT((Input_EB_Alloc!$F$11:$F$60)*(Input_RAB!Q$137:Q$186))</f>
        <v>-8.8587726159629483</v>
      </c>
      <c r="R49" s="60">
        <f>SUMPRODUCT((Input_EB_Alloc!$F$11:$F$60)*(Input_RAB!R$137:R$186))</f>
        <v>-9.0669496861169154</v>
      </c>
      <c r="S49" s="60">
        <f>SUMPRODUCT((Input_EB_Alloc!$F$11:$F$60)*(Input_RAB!S$137:S$186))</f>
        <v>-9.3778630894670307</v>
      </c>
      <c r="T49" s="61">
        <f>SUMPRODUCT((Input_EB_Alloc!$F$11:$F$60)*(Input_RAB!T$137:T$186))</f>
        <v>-9.5982385463054243</v>
      </c>
    </row>
    <row r="50" spans="1:20" ht="12.75" x14ac:dyDescent="0.2">
      <c r="D50" s="15" t="str">
        <f t="shared" si="18"/>
        <v>Switchyards, substations</v>
      </c>
      <c r="E50" s="50" t="s">
        <v>92</v>
      </c>
      <c r="F50" s="50" t="str">
        <f t="shared" si="19"/>
        <v>Dollars</v>
      </c>
      <c r="G50" s="50" t="str">
        <f t="shared" si="20"/>
        <v>Nominal</v>
      </c>
      <c r="H50" s="50" t="str">
        <f t="shared" si="21"/>
        <v>End year</v>
      </c>
      <c r="J50" s="61">
        <f>SUMPRODUCT((Input_EB_Alloc!$G$11:$G$60)*(Input_RAB!J$137:J$186))</f>
        <v>-116.80509375379945</v>
      </c>
      <c r="K50" s="59">
        <f>SUMPRODUCT((Input_EB_Alloc!$G$11:$G$60)*(Input_RAB!K$137:K$186))</f>
        <v>-119.01876638757282</v>
      </c>
      <c r="L50" s="60">
        <f>SUMPRODUCT((Input_EB_Alloc!$G$11:$G$60)*(Input_RAB!L$137:L$186))</f>
        <v>-123.53692199715711</v>
      </c>
      <c r="M50" s="60">
        <f>SUMPRODUCT((Input_EB_Alloc!$G$11:$G$60)*(Input_RAB!M$137:M$186))</f>
        <v>-128.3532080519189</v>
      </c>
      <c r="N50" s="60">
        <f>SUMPRODUCT((Input_EB_Alloc!$G$11:$G$60)*(Input_RAB!N$137:N$186))</f>
        <v>-131.1750017953951</v>
      </c>
      <c r="O50" s="61">
        <f>SUMPRODUCT((Input_EB_Alloc!$G$11:$G$60)*(Input_RAB!O$137:O$186))</f>
        <v>-142.77942011023075</v>
      </c>
      <c r="P50" s="59">
        <f>SUMPRODUCT((Input_EB_Alloc!$G$11:$G$60)*(Input_RAB!P$137:P$186))</f>
        <v>-152.81619879853511</v>
      </c>
      <c r="Q50" s="60">
        <f>SUMPRODUCT((Input_EB_Alloc!$G$11:$G$60)*(Input_RAB!Q$137:Q$186))</f>
        <v>-162.55301560907378</v>
      </c>
      <c r="R50" s="60">
        <f>SUMPRODUCT((Input_EB_Alloc!$G$11:$G$60)*(Input_RAB!R$137:R$186))</f>
        <v>-171.97793140702061</v>
      </c>
      <c r="S50" s="60">
        <f>SUMPRODUCT((Input_EB_Alloc!$G$11:$G$60)*(Input_RAB!S$137:S$186))</f>
        <v>-179.8978510562186</v>
      </c>
      <c r="T50" s="61">
        <f>SUMPRODUCT((Input_EB_Alloc!$G$11:$G$60)*(Input_RAB!T$137:T$186))</f>
        <v>-186.24681717873673</v>
      </c>
    </row>
    <row r="51" spans="1:20" ht="12.75" x14ac:dyDescent="0.2">
      <c r="D51" s="15" t="str">
        <f t="shared" si="18"/>
        <v>Easements</v>
      </c>
      <c r="E51" s="50" t="s">
        <v>92</v>
      </c>
      <c r="F51" s="50" t="str">
        <f t="shared" si="19"/>
        <v>Dollars</v>
      </c>
      <c r="G51" s="50" t="str">
        <f t="shared" si="20"/>
        <v>Nominal</v>
      </c>
      <c r="H51" s="50" t="str">
        <f t="shared" si="21"/>
        <v>End year</v>
      </c>
      <c r="J51" s="61">
        <f>SUMPRODUCT((Input_EB_Alloc!$H$11:$H$60)*(Input_RAB!J$137:J$186))</f>
        <v>0</v>
      </c>
      <c r="K51" s="59">
        <f>SUMPRODUCT((Input_EB_Alloc!$H$11:$H$60)*(Input_RAB!K$137:K$186))</f>
        <v>0</v>
      </c>
      <c r="L51" s="60">
        <f>SUMPRODUCT((Input_EB_Alloc!$H$11:$H$60)*(Input_RAB!L$137:L$186))</f>
        <v>0</v>
      </c>
      <c r="M51" s="60">
        <f>SUMPRODUCT((Input_EB_Alloc!$H$11:$H$60)*(Input_RAB!M$137:M$186))</f>
        <v>0</v>
      </c>
      <c r="N51" s="60">
        <f>SUMPRODUCT((Input_EB_Alloc!$H$11:$H$60)*(Input_RAB!N$137:N$186))</f>
        <v>0</v>
      </c>
      <c r="O51" s="61">
        <f>SUMPRODUCT((Input_EB_Alloc!$H$11:$H$60)*(Input_RAB!O$137:O$186))</f>
        <v>0</v>
      </c>
      <c r="P51" s="59">
        <f>SUMPRODUCT((Input_EB_Alloc!$H$11:$H$60)*(Input_RAB!P$137:P$186))</f>
        <v>0</v>
      </c>
      <c r="Q51" s="60">
        <f>SUMPRODUCT((Input_EB_Alloc!$H$11:$H$60)*(Input_RAB!Q$137:Q$186))</f>
        <v>0</v>
      </c>
      <c r="R51" s="60">
        <f>SUMPRODUCT((Input_EB_Alloc!$H$11:$H$60)*(Input_RAB!R$137:R$186))</f>
        <v>0</v>
      </c>
      <c r="S51" s="60">
        <f>SUMPRODUCT((Input_EB_Alloc!$H$11:$H$60)*(Input_RAB!S$137:S$186))</f>
        <v>0</v>
      </c>
      <c r="T51" s="61">
        <f>SUMPRODUCT((Input_EB_Alloc!$H$11:$H$60)*(Input_RAB!T$137:T$186))</f>
        <v>0</v>
      </c>
    </row>
    <row r="52" spans="1:20" ht="12.75" x14ac:dyDescent="0.2">
      <c r="D52" s="15" t="str">
        <f t="shared" si="18"/>
        <v>“Other” asset items with long lives</v>
      </c>
      <c r="E52" s="50" t="s">
        <v>92</v>
      </c>
      <c r="F52" s="50" t="str">
        <f t="shared" si="19"/>
        <v>Dollars</v>
      </c>
      <c r="G52" s="50" t="str">
        <f t="shared" si="20"/>
        <v>Nominal</v>
      </c>
      <c r="H52" s="50" t="str">
        <f t="shared" si="21"/>
        <v>End year</v>
      </c>
      <c r="J52" s="61" cm="1">
        <f t="array" ref="J52">SUMPRODUCT((Input_EB_Alloc!$I$11:$I$60)*(Input_RAB!J$137:J$186))</f>
        <v>-27.936442934036737</v>
      </c>
      <c r="K52" s="59" cm="1">
        <f t="array" ref="K52">SUMPRODUCT((Input_EB_Alloc!$I$11:$I$60)*(Input_RAB!K$137:K$186))</f>
        <v>-27.601372351908488</v>
      </c>
      <c r="L52" s="60" cm="1">
        <f t="array" ref="L52">SUMPRODUCT((Input_EB_Alloc!$I$11:$I$60)*(Input_RAB!L$137:L$186))</f>
        <v>-30.189167464710621</v>
      </c>
      <c r="M52" s="60" cm="1">
        <f t="array" ref="M52">SUMPRODUCT((Input_EB_Alloc!$I$11:$I$60)*(Input_RAB!M$137:M$186))</f>
        <v>-34.265451785898911</v>
      </c>
      <c r="N52" s="60" cm="1">
        <f t="array" ref="N52">SUMPRODUCT((Input_EB_Alloc!$I$11:$I$60)*(Input_RAB!N$137:N$186))</f>
        <v>-38.741675990971025</v>
      </c>
      <c r="O52" s="61" cm="1">
        <f t="array" ref="O52">SUMPRODUCT((Input_EB_Alloc!$I$11:$I$60)*(Input_RAB!O$137:O$186))</f>
        <v>-41.02756978467913</v>
      </c>
      <c r="P52" s="59" cm="1">
        <f t="array" ref="P52">SUMPRODUCT((Input_EB_Alloc!$I$11:$I$60)*(Input_RAB!P$137:P$186))</f>
        <v>-31.05332202638596</v>
      </c>
      <c r="Q52" s="60" cm="1">
        <f t="array" ref="Q52">SUMPRODUCT((Input_EB_Alloc!$I$11:$I$60)*(Input_RAB!Q$137:Q$186))</f>
        <v>-35.964303019938995</v>
      </c>
      <c r="R52" s="60" cm="1">
        <f t="array" ref="R52">SUMPRODUCT((Input_EB_Alloc!$I$11:$I$60)*(Input_RAB!R$137:R$186))</f>
        <v>-42.819102478329917</v>
      </c>
      <c r="S52" s="60" cm="1">
        <f t="array" ref="S52">SUMPRODUCT((Input_EB_Alloc!$I$11:$I$60)*(Input_RAB!S$137:S$186))</f>
        <v>-48.316918728594359</v>
      </c>
      <c r="T52" s="61" cm="1">
        <f t="array" ref="T52">SUMPRODUCT((Input_EB_Alloc!$I$11:$I$60)*(Input_RAB!T$137:T$186))</f>
        <v>-48.215897482215063</v>
      </c>
    </row>
    <row r="53" spans="1:20" ht="12.75" x14ac:dyDescent="0.2">
      <c r="D53" s="15" t="str">
        <f t="shared" si="18"/>
        <v>“Other” asset items with short lives</v>
      </c>
      <c r="E53" s="50" t="s">
        <v>92</v>
      </c>
      <c r="F53" s="50" t="str">
        <f t="shared" si="19"/>
        <v>Dollars</v>
      </c>
      <c r="G53" s="50" t="str">
        <f t="shared" si="20"/>
        <v>Nominal</v>
      </c>
      <c r="H53" s="50" t="str">
        <f t="shared" si="21"/>
        <v>End year</v>
      </c>
      <c r="J53" s="61" cm="1">
        <f t="array" ref="J53">SUMPRODUCT((Input_EB_Alloc!$J$11:$J$60)*(Input_RAB!J$137:J$186))</f>
        <v>-30.448130825626844</v>
      </c>
      <c r="K53" s="59" cm="1">
        <f t="array" ref="K53">SUMPRODUCT((Input_EB_Alloc!$J$11:$J$60)*(Input_RAB!K$137:K$186))</f>
        <v>-17.828983842469501</v>
      </c>
      <c r="L53" s="60" cm="1">
        <f t="array" ref="L53">SUMPRODUCT((Input_EB_Alloc!$J$11:$J$60)*(Input_RAB!L$137:L$186))</f>
        <v>-27.407936864881176</v>
      </c>
      <c r="M53" s="60" cm="1">
        <f t="array" ref="M53">SUMPRODUCT((Input_EB_Alloc!$J$11:$J$60)*(Input_RAB!M$137:M$186))</f>
        <v>-31.235583780324767</v>
      </c>
      <c r="N53" s="60" cm="1">
        <f t="array" ref="N53">SUMPRODUCT((Input_EB_Alloc!$J$11:$J$60)*(Input_RAB!N$137:N$186))</f>
        <v>-24.240711099947774</v>
      </c>
      <c r="O53" s="61" cm="1">
        <f t="array" ref="O53">SUMPRODUCT((Input_EB_Alloc!$J$11:$J$60)*(Input_RAB!O$137:O$186))</f>
        <v>-29.194631227866147</v>
      </c>
      <c r="P53" s="59" cm="1">
        <f t="array" ref="P53">SUMPRODUCT((Input_EB_Alloc!$J$11:$J$60)*(Input_RAB!P$137:P$186))</f>
        <v>-16.118424038686825</v>
      </c>
      <c r="Q53" s="60" cm="1">
        <f t="array" ref="Q53">SUMPRODUCT((Input_EB_Alloc!$J$11:$J$60)*(Input_RAB!Q$137:Q$186))</f>
        <v>-27.75431994648898</v>
      </c>
      <c r="R53" s="60" cm="1">
        <f t="array" ref="R53">SUMPRODUCT((Input_EB_Alloc!$J$11:$J$60)*(Input_RAB!R$137:R$186))</f>
        <v>-31.607333927969197</v>
      </c>
      <c r="S53" s="60" cm="1">
        <f t="array" ref="S53">SUMPRODUCT((Input_EB_Alloc!$J$11:$J$60)*(Input_RAB!S$137:S$186))</f>
        <v>-28.446188532521099</v>
      </c>
      <c r="T53" s="61" cm="1">
        <f t="array" ref="T53">SUMPRODUCT((Input_EB_Alloc!$J$11:$J$60)*(Input_RAB!T$137:T$186))</f>
        <v>-34.906482211743203</v>
      </c>
    </row>
    <row r="54" spans="1:20" x14ac:dyDescent="0.2">
      <c r="J54" s="56"/>
      <c r="K54" s="54"/>
      <c r="L54" s="55"/>
      <c r="M54" s="55"/>
      <c r="N54" s="55"/>
      <c r="O54" s="56"/>
      <c r="P54" s="54"/>
      <c r="Q54" s="55"/>
      <c r="R54" s="55"/>
      <c r="S54" s="55"/>
      <c r="T54" s="56"/>
    </row>
    <row r="55" spans="1:20" ht="12.75" x14ac:dyDescent="0.2">
      <c r="D55" s="49" t="str">
        <f>"Total "&amp;D46</f>
        <v>Total EB RIN Categories</v>
      </c>
      <c r="E55" s="45" t="s">
        <v>92</v>
      </c>
      <c r="F55" s="45" t="str">
        <f>F48</f>
        <v>Dollars</v>
      </c>
      <c r="G55" s="45" t="str">
        <f>G48</f>
        <v>Nominal</v>
      </c>
      <c r="H55" s="45" t="str">
        <f>H48</f>
        <v>End year</v>
      </c>
      <c r="J55" s="58">
        <f t="shared" ref="J55:T55" si="22">SUM(J48:J53)</f>
        <v>-265.03896694009853</v>
      </c>
      <c r="K55" s="57">
        <f t="shared" si="22"/>
        <v>-255.96776314920797</v>
      </c>
      <c r="L55" s="44">
        <f t="shared" si="22"/>
        <v>-275.10915736428569</v>
      </c>
      <c r="M55" s="44">
        <f t="shared" si="22"/>
        <v>-289.98151567697636</v>
      </c>
      <c r="N55" s="44">
        <f t="shared" si="22"/>
        <v>-291.47286238648007</v>
      </c>
      <c r="O55" s="58">
        <f t="shared" si="22"/>
        <v>-315.90566222280529</v>
      </c>
      <c r="P55" s="57">
        <f t="shared" si="22"/>
        <v>-316.05920019956125</v>
      </c>
      <c r="Q55" s="44">
        <f t="shared" si="22"/>
        <v>-354.52422471455765</v>
      </c>
      <c r="R55" s="44">
        <f t="shared" si="22"/>
        <v>-397.03233050840407</v>
      </c>
      <c r="S55" s="44">
        <f t="shared" si="22"/>
        <v>-412.50994046867686</v>
      </c>
      <c r="T55" s="58">
        <f t="shared" si="22"/>
        <v>-430.04077975341795</v>
      </c>
    </row>
    <row r="56" spans="1:20" s="6" customFormat="1" ht="4.5" customHeight="1" x14ac:dyDescent="0.2"/>
    <row r="57" spans="1:20" s="6" customFormat="1" ht="11.25" customHeight="1" x14ac:dyDescent="0.2">
      <c r="A57" s="47">
        <f>IF(SUM($J57:$T57)&lt;&gt;0,1,0)</f>
        <v>0</v>
      </c>
      <c r="D57" s="15" t="s">
        <v>95</v>
      </c>
      <c r="J57" s="63">
        <f>IF(ROUND(J55-Input_RAB!J$188,5)&lt;&gt;0,1,0)</f>
        <v>0</v>
      </c>
      <c r="K57" s="63">
        <f>IF(ROUND(K55-Input_RAB!K$188,5)&lt;&gt;0,1,0)</f>
        <v>0</v>
      </c>
      <c r="L57" s="63">
        <f>IF(ROUND(L55-Input_RAB!L$188,5)&lt;&gt;0,1,0)</f>
        <v>0</v>
      </c>
      <c r="M57" s="63">
        <f>IF(ROUND(M55-Input_RAB!M$188,5)&lt;&gt;0,1,0)</f>
        <v>0</v>
      </c>
      <c r="N57" s="63">
        <f>IF(ROUND(N55-Input_RAB!N$188,5)&lt;&gt;0,1,0)</f>
        <v>0</v>
      </c>
      <c r="O57" s="63">
        <f>IF(ROUND(O55-Input_RAB!O$188,5)&lt;&gt;0,1,0)</f>
        <v>0</v>
      </c>
      <c r="P57" s="63">
        <f>IF(ROUND(P55-Input_RAB!P$188,5)&lt;&gt;0,1,0)</f>
        <v>0</v>
      </c>
      <c r="Q57" s="63">
        <f>IF(ROUND(Q55-Input_RAB!Q$188,5)&lt;&gt;0,1,0)</f>
        <v>0</v>
      </c>
      <c r="R57" s="63">
        <f>IF(ROUND(R55-Input_RAB!R$188,5)&lt;&gt;0,1,0)</f>
        <v>0</v>
      </c>
      <c r="S57" s="63">
        <f>IF(ROUND(S55-Input_RAB!S$188,5)&lt;&gt;0,1,0)</f>
        <v>0</v>
      </c>
      <c r="T57" s="63">
        <f>IF(ROUND(T55-Input_RAB!T$188,5)&lt;&gt;0,1,0)</f>
        <v>0</v>
      </c>
    </row>
    <row r="58" spans="1:20" s="6" customFormat="1" ht="4.5" customHeight="1" x14ac:dyDescent="0.2"/>
    <row r="59" spans="1:20" s="13" customFormat="1" ht="15" x14ac:dyDescent="0.2">
      <c r="C59" s="13" t="s">
        <v>108</v>
      </c>
    </row>
    <row r="60" spans="1:20" s="6" customFormat="1" ht="4.5" customHeight="1" x14ac:dyDescent="0.2"/>
    <row r="61" spans="1:20" ht="12.75" x14ac:dyDescent="0.2">
      <c r="D61" s="48" t="str">
        <f>D$16</f>
        <v>EB RIN Categories</v>
      </c>
      <c r="E61" s="43" t="str">
        <f>Lookup!E$20</f>
        <v>Source</v>
      </c>
      <c r="F61" s="43" t="str">
        <f>Lookup!F$20</f>
        <v>Unit</v>
      </c>
      <c r="G61" s="43" t="str">
        <f>Lookup!G$20</f>
        <v>Basis</v>
      </c>
      <c r="H61" s="43" t="str">
        <f>Lookup!H$20</f>
        <v>Timing</v>
      </c>
      <c r="J61" s="53" t="str">
        <f t="shared" ref="J61:T61" si="23">J$10</f>
        <v>RY18</v>
      </c>
      <c r="K61" s="52" t="str">
        <f t="shared" si="23"/>
        <v>RY19</v>
      </c>
      <c r="L61" s="43" t="str">
        <f t="shared" si="23"/>
        <v>RY20</v>
      </c>
      <c r="M61" s="43" t="str">
        <f t="shared" si="23"/>
        <v>RY21</v>
      </c>
      <c r="N61" s="43" t="str">
        <f t="shared" si="23"/>
        <v>RY22</v>
      </c>
      <c r="O61" s="53" t="str">
        <f t="shared" si="23"/>
        <v>RY23</v>
      </c>
      <c r="P61" s="52" t="str">
        <f t="shared" si="23"/>
        <v>RY24</v>
      </c>
      <c r="Q61" s="43" t="str">
        <f t="shared" si="23"/>
        <v>RY25</v>
      </c>
      <c r="R61" s="43" t="str">
        <f t="shared" si="23"/>
        <v>RY26</v>
      </c>
      <c r="S61" s="43" t="str">
        <f t="shared" si="23"/>
        <v>RY27</v>
      </c>
      <c r="T61" s="53" t="str">
        <f t="shared" si="23"/>
        <v>RY28</v>
      </c>
    </row>
    <row r="62" spans="1:20" x14ac:dyDescent="0.2">
      <c r="J62" s="56"/>
      <c r="K62" s="54"/>
      <c r="L62" s="55"/>
      <c r="M62" s="55"/>
      <c r="N62" s="55"/>
      <c r="O62" s="56"/>
      <c r="P62" s="54"/>
      <c r="Q62" s="55"/>
      <c r="R62" s="55"/>
      <c r="S62" s="55"/>
      <c r="T62" s="56"/>
    </row>
    <row r="63" spans="1:20" ht="12.75" x14ac:dyDescent="0.2">
      <c r="D63" s="15" t="str">
        <f t="shared" ref="D63:D68" si="24">D18</f>
        <v>Overhead assets</v>
      </c>
      <c r="E63" s="50" t="s">
        <v>92</v>
      </c>
      <c r="F63" s="50" t="str">
        <f t="shared" ref="F63:F68" si="25">Dollars</f>
        <v>Dollars</v>
      </c>
      <c r="G63" s="50" t="str">
        <f t="shared" ref="G63:G68" si="26">Nominal</f>
        <v>Nominal</v>
      </c>
      <c r="H63" s="50" t="str">
        <f t="shared" ref="H63:H68" si="27">End_year</f>
        <v>End year</v>
      </c>
      <c r="J63" s="61">
        <f>SUMPRODUCT((Input_EB_Alloc!$E$11:$E$60)*(Input_RAB!J$197:J$246))</f>
        <v>144.43229620292894</v>
      </c>
      <c r="K63" s="59">
        <f>SUMPRODUCT((Input_EB_Alloc!$E$11:$E$60)*(Input_RAB!K$197:K$246))</f>
        <v>98.557430233420064</v>
      </c>
      <c r="L63" s="60">
        <f>SUMPRODUCT((Input_EB_Alloc!$E$11:$E$60)*(Input_RAB!L$197:L$246))</f>
        <v>70.752309655772791</v>
      </c>
      <c r="M63" s="60">
        <f>SUMPRODUCT((Input_EB_Alloc!$E$11:$E$60)*(Input_RAB!M$197:M$246))</f>
        <v>53.936901560798532</v>
      </c>
      <c r="N63" s="60">
        <f>SUMPRODUCT((Input_EB_Alloc!$E$11:$E$60)*(Input_RAB!N$197:N$246))</f>
        <v>141.21616863291447</v>
      </c>
      <c r="O63" s="61">
        <f>SUMPRODUCT((Input_EB_Alloc!$E$11:$E$60)*(Input_RAB!O$197:O$246))</f>
        <v>319.44622877857825</v>
      </c>
      <c r="P63" s="59">
        <f>SUMPRODUCT((Input_EB_Alloc!$E$11:$E$60)*(Input_RAB!P$197:P$246))</f>
        <v>459.19103901206972</v>
      </c>
      <c r="Q63" s="60">
        <f>SUMPRODUCT((Input_EB_Alloc!$E$11:$E$60)*(Input_RAB!Q$197:Q$246))</f>
        <v>943.41251611365885</v>
      </c>
      <c r="R63" s="60">
        <f>SUMPRODUCT((Input_EB_Alloc!$E$11:$E$60)*(Input_RAB!R$197:R$246))</f>
        <v>77.15771836321494</v>
      </c>
      <c r="S63" s="60">
        <f>SUMPRODUCT((Input_EB_Alloc!$E$11:$E$60)*(Input_RAB!S$197:S$246))</f>
        <v>56.679143175071438</v>
      </c>
      <c r="T63" s="61">
        <f>SUMPRODUCT((Input_EB_Alloc!$E$11:$E$60)*(Input_RAB!T$197:T$246))</f>
        <v>103.95169711477152</v>
      </c>
    </row>
    <row r="64" spans="1:20" ht="12.75" x14ac:dyDescent="0.2">
      <c r="D64" s="15" t="str">
        <f t="shared" si="24"/>
        <v>Underground assets</v>
      </c>
      <c r="E64" s="50" t="s">
        <v>92</v>
      </c>
      <c r="F64" s="50" t="str">
        <f t="shared" si="25"/>
        <v>Dollars</v>
      </c>
      <c r="G64" s="50" t="str">
        <f t="shared" si="26"/>
        <v>Nominal</v>
      </c>
      <c r="H64" s="50" t="str">
        <f t="shared" si="27"/>
        <v>End year</v>
      </c>
      <c r="J64" s="61">
        <f>SUMPRODUCT((Input_EB_Alloc!$F$11:$F$60)*(Input_RAB!J$197:J$246))</f>
        <v>0</v>
      </c>
      <c r="K64" s="59">
        <f>SUMPRODUCT((Input_EB_Alloc!$F$11:$F$60)*(Input_RAB!K$197:K$246))</f>
        <v>0</v>
      </c>
      <c r="L64" s="60">
        <f>SUMPRODUCT((Input_EB_Alloc!$F$11:$F$60)*(Input_RAB!L$197:L$246))</f>
        <v>0</v>
      </c>
      <c r="M64" s="60">
        <f>SUMPRODUCT((Input_EB_Alloc!$F$11:$F$60)*(Input_RAB!M$197:M$246))</f>
        <v>-9.0426705108243919E-5</v>
      </c>
      <c r="N64" s="60">
        <f>SUMPRODUCT((Input_EB_Alloc!$F$11:$F$60)*(Input_RAB!N$197:N$246))</f>
        <v>0.95498166831318676</v>
      </c>
      <c r="O64" s="61">
        <f>SUMPRODUCT((Input_EB_Alloc!$F$11:$F$60)*(Input_RAB!O$197:O$246))</f>
        <v>5.5368677448702917</v>
      </c>
      <c r="P64" s="59">
        <f>SUMPRODUCT((Input_EB_Alloc!$F$11:$F$60)*(Input_RAB!P$197:P$246))</f>
        <v>0</v>
      </c>
      <c r="Q64" s="60">
        <f>SUMPRODUCT((Input_EB_Alloc!$F$11:$F$60)*(Input_RAB!Q$197:Q$246))</f>
        <v>0</v>
      </c>
      <c r="R64" s="60">
        <f>SUMPRODUCT((Input_EB_Alloc!$F$11:$F$60)*(Input_RAB!R$197:R$246))</f>
        <v>4.301899411521946</v>
      </c>
      <c r="S64" s="60">
        <f>SUMPRODUCT((Input_EB_Alloc!$F$11:$F$60)*(Input_RAB!S$197:S$246))</f>
        <v>0</v>
      </c>
      <c r="T64" s="61">
        <f>SUMPRODUCT((Input_EB_Alloc!$F$11:$F$60)*(Input_RAB!T$197:T$246))</f>
        <v>3.7705376576075218</v>
      </c>
    </row>
    <row r="65" spans="1:20" ht="12.75" x14ac:dyDescent="0.2">
      <c r="D65" s="15" t="str">
        <f t="shared" si="24"/>
        <v>Switchyards, substations</v>
      </c>
      <c r="E65" s="50" t="s">
        <v>92</v>
      </c>
      <c r="F65" s="50" t="str">
        <f t="shared" si="25"/>
        <v>Dollars</v>
      </c>
      <c r="G65" s="50" t="str">
        <f t="shared" si="26"/>
        <v>Nominal</v>
      </c>
      <c r="H65" s="50" t="str">
        <f t="shared" si="27"/>
        <v>End year</v>
      </c>
      <c r="J65" s="61">
        <f>SUMPRODUCT((Input_EB_Alloc!$G$11:$G$60)*(Input_RAB!J$197:J$246))</f>
        <v>123.01959698851442</v>
      </c>
      <c r="K65" s="59">
        <f>SUMPRODUCT((Input_EB_Alloc!$G$11:$G$60)*(Input_RAB!K$197:K$246))</f>
        <v>106.24219579112815</v>
      </c>
      <c r="L65" s="60">
        <f>SUMPRODUCT((Input_EB_Alloc!$G$11:$G$60)*(Input_RAB!L$197:L$246))</f>
        <v>79.438016415035889</v>
      </c>
      <c r="M65" s="60">
        <f>SUMPRODUCT((Input_EB_Alloc!$G$11:$G$60)*(Input_RAB!M$197:M$246))</f>
        <v>96.746768372767548</v>
      </c>
      <c r="N65" s="60">
        <f>SUMPRODUCT((Input_EB_Alloc!$G$11:$G$60)*(Input_RAB!N$197:N$246))</f>
        <v>291.43199636270259</v>
      </c>
      <c r="O65" s="61">
        <f>SUMPRODUCT((Input_EB_Alloc!$G$11:$G$60)*(Input_RAB!O$197:O$246))</f>
        <v>197.1561295200591</v>
      </c>
      <c r="P65" s="59">
        <f>SUMPRODUCT((Input_EB_Alloc!$G$11:$G$60)*(Input_RAB!P$197:P$246))</f>
        <v>240.1840507542008</v>
      </c>
      <c r="Q65" s="60">
        <f>SUMPRODUCT((Input_EB_Alloc!$G$11:$G$60)*(Input_RAB!Q$197:Q$246))</f>
        <v>219.05217151671792</v>
      </c>
      <c r="R65" s="60">
        <f>SUMPRODUCT((Input_EB_Alloc!$G$11:$G$60)*(Input_RAB!R$197:R$246))</f>
        <v>151.57867466761371</v>
      </c>
      <c r="S65" s="60">
        <f>SUMPRODUCT((Input_EB_Alloc!$G$11:$G$60)*(Input_RAB!S$197:S$246))</f>
        <v>82.909645764275865</v>
      </c>
      <c r="T65" s="61">
        <f>SUMPRODUCT((Input_EB_Alloc!$G$11:$G$60)*(Input_RAB!T$197:T$246))</f>
        <v>139.48292063168171</v>
      </c>
    </row>
    <row r="66" spans="1:20" ht="12.75" x14ac:dyDescent="0.2">
      <c r="D66" s="15" t="str">
        <f t="shared" si="24"/>
        <v>Easements</v>
      </c>
      <c r="E66" s="50" t="s">
        <v>92</v>
      </c>
      <c r="F66" s="50" t="str">
        <f t="shared" si="25"/>
        <v>Dollars</v>
      </c>
      <c r="G66" s="50" t="str">
        <f t="shared" si="26"/>
        <v>Nominal</v>
      </c>
      <c r="H66" s="50" t="str">
        <f t="shared" si="27"/>
        <v>End year</v>
      </c>
      <c r="J66" s="61">
        <f>SUMPRODUCT((Input_EB_Alloc!$H$11:$H$60)*(Input_RAB!J$197:J$246))</f>
        <v>7.6004188195757312</v>
      </c>
      <c r="K66" s="59">
        <f>SUMPRODUCT((Input_EB_Alloc!$H$11:$H$60)*(Input_RAB!K$197:K$246))</f>
        <v>2.02080170570621</v>
      </c>
      <c r="L66" s="60">
        <f>SUMPRODUCT((Input_EB_Alloc!$H$11:$H$60)*(Input_RAB!L$197:L$246))</f>
        <v>3.5152329962843329</v>
      </c>
      <c r="M66" s="60">
        <f>SUMPRODUCT((Input_EB_Alloc!$H$11:$H$60)*(Input_RAB!M$197:M$246))</f>
        <v>0.3233331727002936</v>
      </c>
      <c r="N66" s="60">
        <f>SUMPRODUCT((Input_EB_Alloc!$H$11:$H$60)*(Input_RAB!N$197:N$246))</f>
        <v>4.8663047000705013E-2</v>
      </c>
      <c r="O66" s="61">
        <f>SUMPRODUCT((Input_EB_Alloc!$H$11:$H$60)*(Input_RAB!O$197:O$246))</f>
        <v>5.9384398084695036</v>
      </c>
      <c r="P66" s="59">
        <f>SUMPRODUCT((Input_EB_Alloc!$H$11:$H$60)*(Input_RAB!P$197:P$246))</f>
        <v>76.007058978981732</v>
      </c>
      <c r="Q66" s="60">
        <f>SUMPRODUCT((Input_EB_Alloc!$H$11:$H$60)*(Input_RAB!Q$197:Q$246))</f>
        <v>188.32527810355811</v>
      </c>
      <c r="R66" s="60">
        <f>SUMPRODUCT((Input_EB_Alloc!$H$11:$H$60)*(Input_RAB!R$197:R$246))</f>
        <v>0</v>
      </c>
      <c r="S66" s="60">
        <f>SUMPRODUCT((Input_EB_Alloc!$H$11:$H$60)*(Input_RAB!S$197:S$246))</f>
        <v>0</v>
      </c>
      <c r="T66" s="61">
        <f>SUMPRODUCT((Input_EB_Alloc!$H$11:$H$60)*(Input_RAB!T$197:T$246))</f>
        <v>18.703141459708672</v>
      </c>
    </row>
    <row r="67" spans="1:20" ht="12.75" x14ac:dyDescent="0.2">
      <c r="D67" s="15" t="str">
        <f t="shared" si="24"/>
        <v>“Other” asset items with long lives</v>
      </c>
      <c r="E67" s="50" t="s">
        <v>92</v>
      </c>
      <c r="F67" s="50" t="str">
        <f t="shared" si="25"/>
        <v>Dollars</v>
      </c>
      <c r="G67" s="50" t="str">
        <f t="shared" si="26"/>
        <v>Nominal</v>
      </c>
      <c r="H67" s="50" t="str">
        <f t="shared" si="27"/>
        <v>End year</v>
      </c>
      <c r="J67" s="61" cm="1">
        <f t="array" ref="J67">SUMPRODUCT((Input_EB_Alloc!$I$11:$I$60)*(Input_RAB!J$197:J$246))</f>
        <v>68.655628868083653</v>
      </c>
      <c r="K67" s="59" cm="1">
        <f t="array" ref="K67">SUMPRODUCT((Input_EB_Alloc!$I$11:$I$60)*(Input_RAB!K$197:K$246))</f>
        <v>45.992143999702407</v>
      </c>
      <c r="L67" s="60" cm="1">
        <f t="array" ref="L67">SUMPRODUCT((Input_EB_Alloc!$I$11:$I$60)*(Input_RAB!L$197:L$246))</f>
        <v>36.318782820354009</v>
      </c>
      <c r="M67" s="60" cm="1">
        <f t="array" ref="M67">SUMPRODUCT((Input_EB_Alloc!$I$11:$I$60)*(Input_RAB!M$197:M$246))</f>
        <v>29.674576505351443</v>
      </c>
      <c r="N67" s="60" cm="1">
        <f t="array" ref="N67">SUMPRODUCT((Input_EB_Alloc!$I$11:$I$60)*(Input_RAB!N$197:N$246))</f>
        <v>100.80625846906389</v>
      </c>
      <c r="O67" s="61" cm="1">
        <f t="array" ref="O67">SUMPRODUCT((Input_EB_Alloc!$I$11:$I$60)*(Input_RAB!O$197:O$246))</f>
        <v>25.524393673812533</v>
      </c>
      <c r="P67" s="59" cm="1">
        <f t="array" ref="P67">SUMPRODUCT((Input_EB_Alloc!$I$11:$I$60)*(Input_RAB!P$197:P$246))</f>
        <v>99.854706948338801</v>
      </c>
      <c r="Q67" s="60" cm="1">
        <f t="array" ref="Q67">SUMPRODUCT((Input_EB_Alloc!$I$11:$I$60)*(Input_RAB!Q$197:Q$246))</f>
        <v>148.19211014267714</v>
      </c>
      <c r="R67" s="60" cm="1">
        <f t="array" ref="R67">SUMPRODUCT((Input_EB_Alloc!$I$11:$I$60)*(Input_RAB!R$197:R$246))</f>
        <v>64.704334138396916</v>
      </c>
      <c r="S67" s="60" cm="1">
        <f t="array" ref="S67">SUMPRODUCT((Input_EB_Alloc!$I$11:$I$60)*(Input_RAB!S$197:S$246))</f>
        <v>67.117424018743421</v>
      </c>
      <c r="T67" s="61" cm="1">
        <f t="array" ref="T67">SUMPRODUCT((Input_EB_Alloc!$I$11:$I$60)*(Input_RAB!T$197:T$246))</f>
        <v>133.72086586439806</v>
      </c>
    </row>
    <row r="68" spans="1:20" ht="12.75" x14ac:dyDescent="0.2">
      <c r="D68" s="15" t="str">
        <f t="shared" si="24"/>
        <v>“Other” asset items with short lives</v>
      </c>
      <c r="E68" s="50" t="s">
        <v>92</v>
      </c>
      <c r="F68" s="50" t="str">
        <f t="shared" si="25"/>
        <v>Dollars</v>
      </c>
      <c r="G68" s="50" t="str">
        <f t="shared" si="26"/>
        <v>Nominal</v>
      </c>
      <c r="H68" s="50" t="str">
        <f t="shared" si="27"/>
        <v>End year</v>
      </c>
      <c r="J68" s="61" cm="1">
        <f t="array" ref="J68">SUMPRODUCT((Input_EB_Alloc!$J$11:$J$60)*(Input_RAB!J$197:J$246))</f>
        <v>31.001460771503183</v>
      </c>
      <c r="K68" s="59" cm="1">
        <f t="array" ref="K68">SUMPRODUCT((Input_EB_Alloc!$J$11:$J$60)*(Input_RAB!K$197:K$246))</f>
        <v>29.441365266676151</v>
      </c>
      <c r="L68" s="60" cm="1">
        <f t="array" ref="L68">SUMPRODUCT((Input_EB_Alloc!$J$11:$J$60)*(Input_RAB!L$197:L$246))</f>
        <v>27.091230777888185</v>
      </c>
      <c r="M68" s="60" cm="1">
        <f t="array" ref="M68">SUMPRODUCT((Input_EB_Alloc!$J$11:$J$60)*(Input_RAB!M$197:M$246))</f>
        <v>27.810493291926598</v>
      </c>
      <c r="N68" s="60" cm="1">
        <f t="array" ref="N68">SUMPRODUCT((Input_EB_Alloc!$J$11:$J$60)*(Input_RAB!N$197:N$246))</f>
        <v>48.110327765975114</v>
      </c>
      <c r="O68" s="61" cm="1">
        <f t="array" ref="O68">SUMPRODUCT((Input_EB_Alloc!$J$11:$J$60)*(Input_RAB!O$197:O$246))</f>
        <v>6.7201248944538081</v>
      </c>
      <c r="P68" s="59" cm="1">
        <f t="array" ref="P68">SUMPRODUCT((Input_EB_Alloc!$J$11:$J$60)*(Input_RAB!P$197:P$246))</f>
        <v>50.84553599563943</v>
      </c>
      <c r="Q68" s="60" cm="1">
        <f t="array" ref="Q68">SUMPRODUCT((Input_EB_Alloc!$J$11:$J$60)*(Input_RAB!Q$197:Q$246))</f>
        <v>59.665973053567605</v>
      </c>
      <c r="R68" s="60" cm="1">
        <f t="array" ref="R68">SUMPRODUCT((Input_EB_Alloc!$J$11:$J$60)*(Input_RAB!R$197:R$246))</f>
        <v>38.901009520948456</v>
      </c>
      <c r="S68" s="60" cm="1">
        <f t="array" ref="S68">SUMPRODUCT((Input_EB_Alloc!$J$11:$J$60)*(Input_RAB!S$197:S$246))</f>
        <v>42.408291618628972</v>
      </c>
      <c r="T68" s="61" cm="1">
        <f t="array" ref="T68">SUMPRODUCT((Input_EB_Alloc!$J$11:$J$60)*(Input_RAB!T$197:T$246))</f>
        <v>37.782684846760617</v>
      </c>
    </row>
    <row r="69" spans="1:20" x14ac:dyDescent="0.2">
      <c r="J69" s="56"/>
      <c r="K69" s="54"/>
      <c r="L69" s="55"/>
      <c r="M69" s="55"/>
      <c r="N69" s="55"/>
      <c r="O69" s="56"/>
      <c r="P69" s="54"/>
      <c r="Q69" s="55"/>
      <c r="R69" s="55"/>
      <c r="S69" s="55"/>
      <c r="T69" s="56"/>
    </row>
    <row r="70" spans="1:20" ht="12.75" x14ac:dyDescent="0.2">
      <c r="D70" s="49" t="str">
        <f>"Total "&amp;D61</f>
        <v>Total EB RIN Categories</v>
      </c>
      <c r="E70" s="45" t="s">
        <v>92</v>
      </c>
      <c r="F70" s="45" t="str">
        <f>F63</f>
        <v>Dollars</v>
      </c>
      <c r="G70" s="45" t="str">
        <f>G63</f>
        <v>Nominal</v>
      </c>
      <c r="H70" s="45" t="str">
        <f>H63</f>
        <v>End year</v>
      </c>
      <c r="J70" s="58">
        <f t="shared" ref="J70:T70" si="28">SUM(J63:J68)</f>
        <v>374.70940165060586</v>
      </c>
      <c r="K70" s="57">
        <f t="shared" si="28"/>
        <v>282.253936996633</v>
      </c>
      <c r="L70" s="44">
        <f t="shared" si="28"/>
        <v>217.11557266533521</v>
      </c>
      <c r="M70" s="44">
        <f t="shared" si="28"/>
        <v>208.49198247683933</v>
      </c>
      <c r="N70" s="44">
        <f t="shared" si="28"/>
        <v>582.56839594597</v>
      </c>
      <c r="O70" s="58">
        <f t="shared" si="28"/>
        <v>560.32218442024339</v>
      </c>
      <c r="P70" s="57">
        <f t="shared" si="28"/>
        <v>926.08239168923058</v>
      </c>
      <c r="Q70" s="44">
        <f t="shared" si="28"/>
        <v>1558.6480489301796</v>
      </c>
      <c r="R70" s="44">
        <f t="shared" si="28"/>
        <v>336.64363610169596</v>
      </c>
      <c r="S70" s="44">
        <f t="shared" si="28"/>
        <v>249.11450457671967</v>
      </c>
      <c r="T70" s="58">
        <f t="shared" si="28"/>
        <v>437.41184757492806</v>
      </c>
    </row>
    <row r="71" spans="1:20" s="6" customFormat="1" ht="4.5" customHeight="1" x14ac:dyDescent="0.2"/>
    <row r="72" spans="1:20" s="6" customFormat="1" ht="11.25" customHeight="1" x14ac:dyDescent="0.2">
      <c r="A72" s="47">
        <f>IF(SUM($J72:$T72)&lt;&gt;0,1,0)</f>
        <v>0</v>
      </c>
      <c r="D72" s="15" t="s">
        <v>95</v>
      </c>
      <c r="J72" s="63">
        <f>IF(ROUND(J70-Input_RAB!J$248,5)&lt;&gt;0,1,0)</f>
        <v>0</v>
      </c>
      <c r="K72" s="63">
        <f>IF(ROUND(K70-Input_RAB!K$248,5)&lt;&gt;0,1,0)</f>
        <v>0</v>
      </c>
      <c r="L72" s="63">
        <f>IF(ROUND(L70-Input_RAB!L$248,5)&lt;&gt;0,1,0)</f>
        <v>0</v>
      </c>
      <c r="M72" s="63">
        <f>IF(ROUND(M70-Input_RAB!M$248,5)&lt;&gt;0,1,0)</f>
        <v>0</v>
      </c>
      <c r="N72" s="63">
        <f>IF(ROUND(N70-Input_RAB!N$248,5)&lt;&gt;0,1,0)</f>
        <v>0</v>
      </c>
      <c r="O72" s="63">
        <f>IF(ROUND(O70-Input_RAB!O$248,5)&lt;&gt;0,1,0)</f>
        <v>0</v>
      </c>
      <c r="P72" s="63">
        <f>IF(ROUND(P70-Input_RAB!P$248,5)&lt;&gt;0,1,0)</f>
        <v>0</v>
      </c>
      <c r="Q72" s="63">
        <f>IF(ROUND(Q70-Input_RAB!Q$248,5)&lt;&gt;0,1,0)</f>
        <v>0</v>
      </c>
      <c r="R72" s="63">
        <f>IF(ROUND(R70-Input_RAB!R$248,5)&lt;&gt;0,1,0)</f>
        <v>0</v>
      </c>
      <c r="S72" s="63">
        <f>IF(ROUND(S70-Input_RAB!S$248,5)&lt;&gt;0,1,0)</f>
        <v>0</v>
      </c>
      <c r="T72" s="63">
        <f>IF(ROUND(T70-Input_RAB!T$248,5)&lt;&gt;0,1,0)</f>
        <v>0</v>
      </c>
    </row>
    <row r="73" spans="1:20" s="6" customFormat="1" ht="4.5" customHeight="1" x14ac:dyDescent="0.2"/>
    <row r="74" spans="1:20" s="13" customFormat="1" ht="15" x14ac:dyDescent="0.2">
      <c r="C74" s="13" t="s">
        <v>109</v>
      </c>
    </row>
    <row r="75" spans="1:20" s="6" customFormat="1" ht="11.25" customHeight="1" x14ac:dyDescent="0.2"/>
    <row r="76" spans="1:20" ht="12.75" x14ac:dyDescent="0.2">
      <c r="D76" s="48" t="str">
        <f>D$16</f>
        <v>EB RIN Categories</v>
      </c>
      <c r="E76" s="43" t="str">
        <f>Lookup!E$20</f>
        <v>Source</v>
      </c>
      <c r="F76" s="43" t="str">
        <f>Lookup!F$20</f>
        <v>Unit</v>
      </c>
      <c r="G76" s="43" t="str">
        <f>Lookup!G$20</f>
        <v>Basis</v>
      </c>
      <c r="H76" s="43" t="str">
        <f>Lookup!H$20</f>
        <v>Timing</v>
      </c>
      <c r="J76" s="53" t="str">
        <f t="shared" ref="J76:T76" si="29">J$10</f>
        <v>RY18</v>
      </c>
      <c r="K76" s="52" t="str">
        <f t="shared" si="29"/>
        <v>RY19</v>
      </c>
      <c r="L76" s="43" t="str">
        <f t="shared" si="29"/>
        <v>RY20</v>
      </c>
      <c r="M76" s="43" t="str">
        <f t="shared" si="29"/>
        <v>RY21</v>
      </c>
      <c r="N76" s="43" t="str">
        <f t="shared" si="29"/>
        <v>RY22</v>
      </c>
      <c r="O76" s="53" t="str">
        <f t="shared" si="29"/>
        <v>RY23</v>
      </c>
      <c r="P76" s="52" t="str">
        <f t="shared" si="29"/>
        <v>RY24</v>
      </c>
      <c r="Q76" s="43" t="str">
        <f t="shared" si="29"/>
        <v>RY25</v>
      </c>
      <c r="R76" s="43" t="str">
        <f t="shared" si="29"/>
        <v>RY26</v>
      </c>
      <c r="S76" s="43" t="str">
        <f t="shared" si="29"/>
        <v>RY27</v>
      </c>
      <c r="T76" s="53" t="str">
        <f t="shared" si="29"/>
        <v>RY28</v>
      </c>
    </row>
    <row r="77" spans="1:20" x14ac:dyDescent="0.2">
      <c r="J77" s="56"/>
      <c r="K77" s="54"/>
      <c r="L77" s="55"/>
      <c r="M77" s="55"/>
      <c r="N77" s="55"/>
      <c r="O77" s="56"/>
      <c r="P77" s="54"/>
      <c r="Q77" s="55"/>
      <c r="R77" s="55"/>
      <c r="S77" s="55"/>
      <c r="T77" s="56"/>
    </row>
    <row r="78" spans="1:20" ht="12.75" x14ac:dyDescent="0.2">
      <c r="D78" s="15" t="str">
        <f t="shared" ref="D78:D83" si="30">D18</f>
        <v>Overhead assets</v>
      </c>
      <c r="E78" s="50" t="s">
        <v>92</v>
      </c>
      <c r="F78" s="50" t="str">
        <f t="shared" ref="F78:F83" si="31">Dollars</f>
        <v>Dollars</v>
      </c>
      <c r="G78" s="50" t="str">
        <f t="shared" ref="G78:G83" si="32">Nominal</f>
        <v>Nominal</v>
      </c>
      <c r="H78" s="50" t="str">
        <f t="shared" ref="H78:H83" si="33">End_year</f>
        <v>End year</v>
      </c>
      <c r="J78" s="61">
        <f>SUMPRODUCT((Input_EB_Alloc!$E$11:$E$60)*(Input_RAB!J$257:J$306))</f>
        <v>0</v>
      </c>
      <c r="K78" s="59">
        <f>SUMPRODUCT((Input_EB_Alloc!$E$11:$E$60)*(Input_RAB!K$257:K$306))</f>
        <v>0</v>
      </c>
      <c r="L78" s="60">
        <f>SUMPRODUCT((Input_EB_Alloc!$E$11:$E$60)*(Input_RAB!L$257:L$306))</f>
        <v>0</v>
      </c>
      <c r="M78" s="60">
        <f>SUMPRODUCT((Input_EB_Alloc!$E$11:$E$60)*(Input_RAB!M$257:M$306))</f>
        <v>0</v>
      </c>
      <c r="N78" s="60">
        <f>SUMPRODUCT((Input_EB_Alloc!$E$11:$E$60)*(Input_RAB!N$257:N$306))</f>
        <v>0</v>
      </c>
      <c r="O78" s="61">
        <f>SUMPRODUCT((Input_EB_Alloc!$E$11:$E$60)*(Input_RAB!O$257:O$306))</f>
        <v>0</v>
      </c>
      <c r="P78" s="59">
        <f>SUMPRODUCT((Input_EB_Alloc!$E$11:$E$60)*(Input_RAB!P$257:P$306))</f>
        <v>0</v>
      </c>
      <c r="Q78" s="60">
        <f>SUMPRODUCT((Input_EB_Alloc!$E$11:$E$60)*(Input_RAB!Q$257:Q$306))</f>
        <v>0</v>
      </c>
      <c r="R78" s="60">
        <f>SUMPRODUCT((Input_EB_Alloc!$E$11:$E$60)*(Input_RAB!R$257:R$306))</f>
        <v>0</v>
      </c>
      <c r="S78" s="60">
        <f>SUMPRODUCT((Input_EB_Alloc!$E$11:$E$60)*(Input_RAB!S$257:S$306))</f>
        <v>0</v>
      </c>
      <c r="T78" s="61">
        <f>SUMPRODUCT((Input_EB_Alloc!$E$11:$E$60)*(Input_RAB!T$257:T$306))</f>
        <v>0</v>
      </c>
    </row>
    <row r="79" spans="1:20" ht="12.75" x14ac:dyDescent="0.2">
      <c r="D79" s="15" t="str">
        <f t="shared" si="30"/>
        <v>Underground assets</v>
      </c>
      <c r="E79" s="50" t="s">
        <v>92</v>
      </c>
      <c r="F79" s="50" t="str">
        <f t="shared" si="31"/>
        <v>Dollars</v>
      </c>
      <c r="G79" s="50" t="str">
        <f t="shared" si="32"/>
        <v>Nominal</v>
      </c>
      <c r="H79" s="50" t="str">
        <f t="shared" si="33"/>
        <v>End year</v>
      </c>
      <c r="J79" s="61">
        <f>SUMPRODUCT((Input_EB_Alloc!$F$11:$F$60)*(Input_RAB!J$257:J$306))</f>
        <v>0</v>
      </c>
      <c r="K79" s="59">
        <f>SUMPRODUCT((Input_EB_Alloc!$F$11:$F$60)*(Input_RAB!K$257:K$306))</f>
        <v>0</v>
      </c>
      <c r="L79" s="60">
        <f>SUMPRODUCT((Input_EB_Alloc!$F$11:$F$60)*(Input_RAB!L$257:L$306))</f>
        <v>0</v>
      </c>
      <c r="M79" s="60">
        <f>SUMPRODUCT((Input_EB_Alloc!$F$11:$F$60)*(Input_RAB!M$257:M$306))</f>
        <v>0</v>
      </c>
      <c r="N79" s="60">
        <f>SUMPRODUCT((Input_EB_Alloc!$F$11:$F$60)*(Input_RAB!N$257:N$306))</f>
        <v>0</v>
      </c>
      <c r="O79" s="61">
        <f>SUMPRODUCT((Input_EB_Alloc!$F$11:$F$60)*(Input_RAB!O$257:O$306))</f>
        <v>0</v>
      </c>
      <c r="P79" s="59">
        <f>SUMPRODUCT((Input_EB_Alloc!$F$11:$F$60)*(Input_RAB!P$257:P$306))</f>
        <v>0</v>
      </c>
      <c r="Q79" s="60">
        <f>SUMPRODUCT((Input_EB_Alloc!$F$11:$F$60)*(Input_RAB!Q$257:Q$306))</f>
        <v>0</v>
      </c>
      <c r="R79" s="60">
        <f>SUMPRODUCT((Input_EB_Alloc!$F$11:$F$60)*(Input_RAB!R$257:R$306))</f>
        <v>0</v>
      </c>
      <c r="S79" s="60">
        <f>SUMPRODUCT((Input_EB_Alloc!$F$11:$F$60)*(Input_RAB!S$257:S$306))</f>
        <v>0</v>
      </c>
      <c r="T79" s="61">
        <f>SUMPRODUCT((Input_EB_Alloc!$F$11:$F$60)*(Input_RAB!T$257:T$306))</f>
        <v>0</v>
      </c>
    </row>
    <row r="80" spans="1:20" ht="12.75" x14ac:dyDescent="0.2">
      <c r="D80" s="15" t="str">
        <f t="shared" si="30"/>
        <v>Switchyards, substations</v>
      </c>
      <c r="E80" s="50" t="s">
        <v>92</v>
      </c>
      <c r="F80" s="50" t="str">
        <f t="shared" si="31"/>
        <v>Dollars</v>
      </c>
      <c r="G80" s="50" t="str">
        <f t="shared" si="32"/>
        <v>Nominal</v>
      </c>
      <c r="H80" s="50" t="str">
        <f t="shared" si="33"/>
        <v>End year</v>
      </c>
      <c r="J80" s="61">
        <f>SUMPRODUCT((Input_EB_Alloc!$G$11:$G$60)*(Input_RAB!J$257:J$306))</f>
        <v>0</v>
      </c>
      <c r="K80" s="59">
        <f>SUMPRODUCT((Input_EB_Alloc!$G$11:$G$60)*(Input_RAB!K$257:K$306))</f>
        <v>0</v>
      </c>
      <c r="L80" s="60">
        <f>SUMPRODUCT((Input_EB_Alloc!$G$11:$G$60)*(Input_RAB!L$257:L$306))</f>
        <v>0</v>
      </c>
      <c r="M80" s="60">
        <f>SUMPRODUCT((Input_EB_Alloc!$G$11:$G$60)*(Input_RAB!M$257:M$306))</f>
        <v>0</v>
      </c>
      <c r="N80" s="60">
        <f>SUMPRODUCT((Input_EB_Alloc!$G$11:$G$60)*(Input_RAB!N$257:N$306))</f>
        <v>0</v>
      </c>
      <c r="O80" s="61">
        <f>SUMPRODUCT((Input_EB_Alloc!$G$11:$G$60)*(Input_RAB!O$257:O$306))</f>
        <v>0</v>
      </c>
      <c r="P80" s="59">
        <f>SUMPRODUCT((Input_EB_Alloc!$G$11:$G$60)*(Input_RAB!P$257:P$306))</f>
        <v>0</v>
      </c>
      <c r="Q80" s="60">
        <f>SUMPRODUCT((Input_EB_Alloc!$G$11:$G$60)*(Input_RAB!Q$257:Q$306))</f>
        <v>0</v>
      </c>
      <c r="R80" s="60">
        <f>SUMPRODUCT((Input_EB_Alloc!$G$11:$G$60)*(Input_RAB!R$257:R$306))</f>
        <v>0</v>
      </c>
      <c r="S80" s="60">
        <f>SUMPRODUCT((Input_EB_Alloc!$G$11:$G$60)*(Input_RAB!S$257:S$306))</f>
        <v>0</v>
      </c>
      <c r="T80" s="61">
        <f>SUMPRODUCT((Input_EB_Alloc!$G$11:$G$60)*(Input_RAB!T$257:T$306))</f>
        <v>0</v>
      </c>
    </row>
    <row r="81" spans="1:20" ht="12.75" x14ac:dyDescent="0.2">
      <c r="D81" s="15" t="str">
        <f t="shared" si="30"/>
        <v>Easements</v>
      </c>
      <c r="E81" s="50" t="s">
        <v>92</v>
      </c>
      <c r="F81" s="50" t="str">
        <f t="shared" si="31"/>
        <v>Dollars</v>
      </c>
      <c r="G81" s="50" t="str">
        <f t="shared" si="32"/>
        <v>Nominal</v>
      </c>
      <c r="H81" s="50" t="str">
        <f t="shared" si="33"/>
        <v>End year</v>
      </c>
      <c r="J81" s="61">
        <f>SUMPRODUCT((Input_EB_Alloc!$H$11:$H$60)*(Input_RAB!J$257:J$306))</f>
        <v>0</v>
      </c>
      <c r="K81" s="59">
        <f>SUMPRODUCT((Input_EB_Alloc!$H$11:$H$60)*(Input_RAB!K$257:K$306))</f>
        <v>-0.87711448128930969</v>
      </c>
      <c r="L81" s="60">
        <f>SUMPRODUCT((Input_EB_Alloc!$H$11:$H$60)*(Input_RAB!L$257:L$306))</f>
        <v>-2.8175153249596799E-2</v>
      </c>
      <c r="M81" s="60">
        <f>SUMPRODUCT((Input_EB_Alloc!$H$11:$H$60)*(Input_RAB!M$257:M$306))</f>
        <v>0</v>
      </c>
      <c r="N81" s="60">
        <f>SUMPRODUCT((Input_EB_Alloc!$H$11:$H$60)*(Input_RAB!N$257:N$306))</f>
        <v>-0.31291563550417728</v>
      </c>
      <c r="O81" s="61">
        <f>SUMPRODUCT((Input_EB_Alloc!$H$11:$H$60)*(Input_RAB!O$257:O$306))</f>
        <v>-0.31840304251250867</v>
      </c>
      <c r="P81" s="59">
        <f>SUMPRODUCT((Input_EB_Alloc!$H$11:$H$60)*(Input_RAB!P$257:P$306))</f>
        <v>-0.32414235513744355</v>
      </c>
      <c r="Q81" s="60">
        <f>SUMPRODUCT((Input_EB_Alloc!$H$11:$H$60)*(Input_RAB!Q$257:Q$306))</f>
        <v>-0.33175955096474441</v>
      </c>
      <c r="R81" s="60">
        <f>SUMPRODUCT((Input_EB_Alloc!$H$11:$H$60)*(Input_RAB!R$257:R$306))</f>
        <v>-0.33955574738037275</v>
      </c>
      <c r="S81" s="60">
        <f>SUMPRODUCT((Input_EB_Alloc!$H$11:$H$60)*(Input_RAB!S$257:S$306))</f>
        <v>-0.34753515081558595</v>
      </c>
      <c r="T81" s="61">
        <f>SUMPRODUCT((Input_EB_Alloc!$H$11:$H$60)*(Input_RAB!T$257:T$306))</f>
        <v>-0.35570206655083553</v>
      </c>
    </row>
    <row r="82" spans="1:20" ht="12.75" x14ac:dyDescent="0.2">
      <c r="D82" s="15" t="str">
        <f t="shared" si="30"/>
        <v>“Other” asset items with long lives</v>
      </c>
      <c r="E82" s="50" t="s">
        <v>92</v>
      </c>
      <c r="F82" s="50" t="str">
        <f t="shared" si="31"/>
        <v>Dollars</v>
      </c>
      <c r="G82" s="50" t="str">
        <f t="shared" si="32"/>
        <v>Nominal</v>
      </c>
      <c r="H82" s="50" t="str">
        <f t="shared" si="33"/>
        <v>End year</v>
      </c>
      <c r="J82" s="61" cm="1">
        <f t="array" ref="J82">SUMPRODUCT((Input_EB_Alloc!$I$11:$I$60)*(Input_RAB!J$257:J$306))</f>
        <v>0</v>
      </c>
      <c r="K82" s="59" cm="1">
        <f t="array" ref="K82">SUMPRODUCT((Input_EB_Alloc!$I$11:$I$60)*(Input_RAB!K$257:K$306))</f>
        <v>0</v>
      </c>
      <c r="L82" s="60" cm="1">
        <f t="array" ref="L82">SUMPRODUCT((Input_EB_Alloc!$I$11:$I$60)*(Input_RAB!L$257:L$306))</f>
        <v>0</v>
      </c>
      <c r="M82" s="60" cm="1">
        <f t="array" ref="M82">SUMPRODUCT((Input_EB_Alloc!$I$11:$I$60)*(Input_RAB!M$257:M$306))</f>
        <v>0</v>
      </c>
      <c r="N82" s="60" cm="1">
        <f t="array" ref="N82">SUMPRODUCT((Input_EB_Alloc!$I$11:$I$60)*(Input_RAB!N$257:N$306))</f>
        <v>0</v>
      </c>
      <c r="O82" s="61" cm="1">
        <f t="array" ref="O82">SUMPRODUCT((Input_EB_Alloc!$I$11:$I$60)*(Input_RAB!O$257:O$306))</f>
        <v>0</v>
      </c>
      <c r="P82" s="59" cm="1">
        <f t="array" ref="P82">SUMPRODUCT((Input_EB_Alloc!$I$11:$I$60)*(Input_RAB!P$257:P$306))</f>
        <v>0</v>
      </c>
      <c r="Q82" s="60" cm="1">
        <f t="array" ref="Q82">SUMPRODUCT((Input_EB_Alloc!$I$11:$I$60)*(Input_RAB!Q$257:Q$306))</f>
        <v>0</v>
      </c>
      <c r="R82" s="60" cm="1">
        <f t="array" ref="R82">SUMPRODUCT((Input_EB_Alloc!$I$11:$I$60)*(Input_RAB!R$257:R$306))</f>
        <v>0</v>
      </c>
      <c r="S82" s="60" cm="1">
        <f t="array" ref="S82">SUMPRODUCT((Input_EB_Alloc!$I$11:$I$60)*(Input_RAB!S$257:S$306))</f>
        <v>0</v>
      </c>
      <c r="T82" s="61" cm="1">
        <f t="array" ref="T82">SUMPRODUCT((Input_EB_Alloc!$I$11:$I$60)*(Input_RAB!T$257:T$306))</f>
        <v>0</v>
      </c>
    </row>
    <row r="83" spans="1:20" ht="12.75" x14ac:dyDescent="0.2">
      <c r="D83" s="15" t="str">
        <f t="shared" si="30"/>
        <v>“Other” asset items with short lives</v>
      </c>
      <c r="E83" s="50" t="s">
        <v>92</v>
      </c>
      <c r="F83" s="50" t="str">
        <f t="shared" si="31"/>
        <v>Dollars</v>
      </c>
      <c r="G83" s="50" t="str">
        <f t="shared" si="32"/>
        <v>Nominal</v>
      </c>
      <c r="H83" s="50" t="str">
        <f t="shared" si="33"/>
        <v>End year</v>
      </c>
      <c r="J83" s="61" cm="1">
        <f t="array" ref="J83">SUMPRODUCT((Input_EB_Alloc!$J$11:$J$60)*(Input_RAB!J$257:J$306))</f>
        <v>0</v>
      </c>
      <c r="K83" s="59" cm="1">
        <f t="array" ref="K83">SUMPRODUCT((Input_EB_Alloc!$J$11:$J$60)*(Input_RAB!K$257:K$306))</f>
        <v>-3.4248839033833796</v>
      </c>
      <c r="L83" s="60" cm="1">
        <f t="array" ref="L83">SUMPRODUCT((Input_EB_Alloc!$J$11:$J$60)*(Input_RAB!L$257:L$306))</f>
        <v>-2.1986786384355659</v>
      </c>
      <c r="M83" s="60" cm="1">
        <f t="array" ref="M83">SUMPRODUCT((Input_EB_Alloc!$J$11:$J$60)*(Input_RAB!M$257:M$306))</f>
        <v>-3.9106187803706614</v>
      </c>
      <c r="N83" s="60" cm="1">
        <f t="array" ref="N83">SUMPRODUCT((Input_EB_Alloc!$J$11:$J$60)*(Input_RAB!N$257:N$306))</f>
        <v>-4.0800328648060651</v>
      </c>
      <c r="O83" s="61" cm="1">
        <f t="array" ref="O83">SUMPRODUCT((Input_EB_Alloc!$J$11:$J$60)*(Input_RAB!O$257:O$306))</f>
        <v>-4.1515818652274916</v>
      </c>
      <c r="P83" s="59" cm="1">
        <f t="array" ref="P83">SUMPRODUCT((Input_EB_Alloc!$J$11:$J$60)*(Input_RAB!P$257:P$306))</f>
        <v>-4.2264154033260315</v>
      </c>
      <c r="Q83" s="60" cm="1">
        <f t="array" ref="Q83">SUMPRODUCT((Input_EB_Alloc!$J$11:$J$60)*(Input_RAB!Q$257:Q$306))</f>
        <v>-4.325734215768807</v>
      </c>
      <c r="R83" s="60" cm="1">
        <f t="array" ref="R83">SUMPRODUCT((Input_EB_Alloc!$J$11:$J$60)*(Input_RAB!R$257:R$306))</f>
        <v>-4.4273869744908048</v>
      </c>
      <c r="S83" s="60" cm="1">
        <f t="array" ref="S83">SUMPRODUCT((Input_EB_Alloc!$J$11:$J$60)*(Input_RAB!S$257:S$306))</f>
        <v>-4.5314285261529994</v>
      </c>
      <c r="T83" s="61" cm="1">
        <f t="array" ref="T83">SUMPRODUCT((Input_EB_Alloc!$J$11:$J$60)*(Input_RAB!T$257:T$306))</f>
        <v>-4.6379150062875949</v>
      </c>
    </row>
    <row r="84" spans="1:20" x14ac:dyDescent="0.2">
      <c r="J84" s="56"/>
      <c r="K84" s="54"/>
      <c r="L84" s="55"/>
      <c r="M84" s="55"/>
      <c r="N84" s="55"/>
      <c r="O84" s="56"/>
      <c r="P84" s="54"/>
      <c r="Q84" s="55"/>
      <c r="R84" s="55"/>
      <c r="S84" s="55"/>
      <c r="T84" s="56"/>
    </row>
    <row r="85" spans="1:20" ht="12.75" x14ac:dyDescent="0.2">
      <c r="D85" s="49" t="str">
        <f>"Total "&amp;D76</f>
        <v>Total EB RIN Categories</v>
      </c>
      <c r="E85" s="45" t="s">
        <v>92</v>
      </c>
      <c r="F85" s="45" t="str">
        <f>F78</f>
        <v>Dollars</v>
      </c>
      <c r="G85" s="45" t="str">
        <f>G78</f>
        <v>Nominal</v>
      </c>
      <c r="H85" s="45" t="str">
        <f>H78</f>
        <v>End year</v>
      </c>
      <c r="J85" s="58">
        <f t="shared" ref="J85:T85" si="34">SUM(J78:J83)</f>
        <v>0</v>
      </c>
      <c r="K85" s="57">
        <f t="shared" si="34"/>
        <v>-4.3019983846726895</v>
      </c>
      <c r="L85" s="44">
        <f t="shared" si="34"/>
        <v>-2.2268537916851625</v>
      </c>
      <c r="M85" s="44">
        <f t="shared" si="34"/>
        <v>-3.9106187803706614</v>
      </c>
      <c r="N85" s="44">
        <f t="shared" si="34"/>
        <v>-4.3929485003102426</v>
      </c>
      <c r="O85" s="58">
        <f t="shared" si="34"/>
        <v>-4.4699849077400007</v>
      </c>
      <c r="P85" s="57">
        <f t="shared" si="34"/>
        <v>-4.5505577584634747</v>
      </c>
      <c r="Q85" s="44">
        <f t="shared" si="34"/>
        <v>-4.6574937667335519</v>
      </c>
      <c r="R85" s="44">
        <f t="shared" si="34"/>
        <v>-4.7669427218711773</v>
      </c>
      <c r="S85" s="44">
        <f t="shared" si="34"/>
        <v>-4.8789636769685849</v>
      </c>
      <c r="T85" s="58">
        <f t="shared" si="34"/>
        <v>-4.9936170728384308</v>
      </c>
    </row>
    <row r="86" spans="1:20" s="6" customFormat="1" ht="4.5" customHeight="1" x14ac:dyDescent="0.2"/>
    <row r="87" spans="1:20" s="6" customFormat="1" ht="11.25" customHeight="1" x14ac:dyDescent="0.2">
      <c r="A87" s="47">
        <f>IF(SUM($J87:$T87)&lt;&gt;0,1,0)</f>
        <v>0</v>
      </c>
      <c r="D87" s="15" t="s">
        <v>95</v>
      </c>
      <c r="J87" s="63">
        <f>IF(ROUND(J85-Input_RAB!J$308,5)&lt;&gt;0,1,0)</f>
        <v>0</v>
      </c>
      <c r="K87" s="63">
        <f>IF(ROUND(K85-Input_RAB!K$308,5)&lt;&gt;0,1,0)</f>
        <v>0</v>
      </c>
      <c r="L87" s="63">
        <f>IF(ROUND(L85-Input_RAB!L$308,5)&lt;&gt;0,1,0)</f>
        <v>0</v>
      </c>
      <c r="M87" s="63">
        <f>IF(ROUND(M85-Input_RAB!M$308,5)&lt;&gt;0,1,0)</f>
        <v>0</v>
      </c>
      <c r="N87" s="63">
        <f>IF(ROUND(N85-Input_RAB!N$308,5)&lt;&gt;0,1,0)</f>
        <v>0</v>
      </c>
      <c r="O87" s="63">
        <f>IF(ROUND(O85-Input_RAB!O$308,5)&lt;&gt;0,1,0)</f>
        <v>0</v>
      </c>
      <c r="P87" s="63">
        <f>IF(ROUND(P85-Input_RAB!P$308,5)&lt;&gt;0,1,0)</f>
        <v>0</v>
      </c>
      <c r="Q87" s="63">
        <f>IF(ROUND(Q85-Input_RAB!Q$308,5)&lt;&gt;0,1,0)</f>
        <v>0</v>
      </c>
      <c r="R87" s="63">
        <f>IF(ROUND(R85-Input_RAB!R$308,5)&lt;&gt;0,1,0)</f>
        <v>0</v>
      </c>
      <c r="S87" s="63">
        <f>IF(ROUND(S85-Input_RAB!S$308,5)&lt;&gt;0,1,0)</f>
        <v>0</v>
      </c>
      <c r="T87" s="63">
        <f>IF(ROUND(T85-Input_RAB!T$308,5)&lt;&gt;0,1,0)</f>
        <v>0</v>
      </c>
    </row>
    <row r="88" spans="1:20" s="6" customFormat="1" ht="4.5" customHeight="1" x14ac:dyDescent="0.2"/>
    <row r="89" spans="1:20" s="13" customFormat="1" ht="15" x14ac:dyDescent="0.2">
      <c r="C89" s="13" t="s">
        <v>116</v>
      </c>
    </row>
    <row r="90" spans="1:20" s="6" customFormat="1" ht="4.5" customHeight="1" x14ac:dyDescent="0.2"/>
    <row r="91" spans="1:20" ht="12.75" x14ac:dyDescent="0.2">
      <c r="D91" s="48" t="str">
        <f>D$16</f>
        <v>EB RIN Categories</v>
      </c>
      <c r="E91" s="43" t="str">
        <f>Lookup!E$20</f>
        <v>Source</v>
      </c>
      <c r="F91" s="43" t="str">
        <f>Lookup!F$20</f>
        <v>Unit</v>
      </c>
      <c r="G91" s="43" t="str">
        <f>Lookup!G$20</f>
        <v>Basis</v>
      </c>
      <c r="H91" s="43" t="str">
        <f>Lookup!H$20</f>
        <v>Timing</v>
      </c>
      <c r="J91" s="53" t="str">
        <f t="shared" ref="J91:T91" si="35">J$10</f>
        <v>RY18</v>
      </c>
      <c r="K91" s="52" t="str">
        <f t="shared" si="35"/>
        <v>RY19</v>
      </c>
      <c r="L91" s="43" t="str">
        <f t="shared" si="35"/>
        <v>RY20</v>
      </c>
      <c r="M91" s="43" t="str">
        <f t="shared" si="35"/>
        <v>RY21</v>
      </c>
      <c r="N91" s="43" t="str">
        <f t="shared" si="35"/>
        <v>RY22</v>
      </c>
      <c r="O91" s="53" t="str">
        <f t="shared" si="35"/>
        <v>RY23</v>
      </c>
      <c r="P91" s="52" t="str">
        <f t="shared" si="35"/>
        <v>RY24</v>
      </c>
      <c r="Q91" s="43" t="str">
        <f t="shared" si="35"/>
        <v>RY25</v>
      </c>
      <c r="R91" s="43" t="str">
        <f t="shared" si="35"/>
        <v>RY26</v>
      </c>
      <c r="S91" s="43" t="str">
        <f t="shared" si="35"/>
        <v>RY27</v>
      </c>
      <c r="T91" s="53" t="str">
        <f t="shared" si="35"/>
        <v>RY28</v>
      </c>
    </row>
    <row r="92" spans="1:20" x14ac:dyDescent="0.2">
      <c r="J92" s="56"/>
      <c r="K92" s="54"/>
      <c r="L92" s="55"/>
      <c r="M92" s="55"/>
      <c r="N92" s="55"/>
      <c r="O92" s="56"/>
      <c r="P92" s="54"/>
      <c r="Q92" s="55"/>
      <c r="R92" s="55"/>
      <c r="S92" s="55"/>
      <c r="T92" s="56"/>
    </row>
    <row r="93" spans="1:20" ht="12.75" x14ac:dyDescent="0.2">
      <c r="D93" s="15" t="str">
        <f t="shared" ref="D93:D98" si="36">D18</f>
        <v>Overhead assets</v>
      </c>
      <c r="E93" s="50" t="s">
        <v>92</v>
      </c>
      <c r="F93" s="50" t="str">
        <f t="shared" ref="F93:F98" si="37">Dollars</f>
        <v>Dollars</v>
      </c>
      <c r="G93" s="50" t="str">
        <f t="shared" ref="G93:G98" si="38">Nominal</f>
        <v>Nominal</v>
      </c>
      <c r="H93" s="50" t="str">
        <f t="shared" ref="H93:H98" si="39">End_year</f>
        <v>End year</v>
      </c>
      <c r="J93" s="61">
        <f t="shared" ref="J93:T93" si="40">J18+J33+J48+J63+J78</f>
        <v>1746.0130635704022</v>
      </c>
      <c r="K93" s="59">
        <f t="shared" si="40"/>
        <v>1785.3894656396385</v>
      </c>
      <c r="L93" s="60">
        <f t="shared" si="40"/>
        <v>1802.8356323679084</v>
      </c>
      <c r="M93" s="60">
        <f t="shared" si="40"/>
        <v>1784.1129866829754</v>
      </c>
      <c r="N93" s="60">
        <f t="shared" si="40"/>
        <v>1894.0185865542235</v>
      </c>
      <c r="O93" s="61">
        <f t="shared" si="40"/>
        <v>2161.4631790978215</v>
      </c>
      <c r="P93" s="59">
        <f t="shared" si="40"/>
        <v>2467.3971803600843</v>
      </c>
      <c r="Q93" s="60">
        <f t="shared" si="40"/>
        <v>3349.3985785430341</v>
      </c>
      <c r="R93" s="60">
        <f t="shared" si="40"/>
        <v>3363.7046055026831</v>
      </c>
      <c r="S93" s="60">
        <f t="shared" si="40"/>
        <v>3352.9581362558347</v>
      </c>
      <c r="T93" s="61">
        <f t="shared" si="40"/>
        <v>3384.6294586059098</v>
      </c>
    </row>
    <row r="94" spans="1:20" ht="12.75" x14ac:dyDescent="0.2">
      <c r="D94" s="15" t="str">
        <f t="shared" si="36"/>
        <v>Underground assets</v>
      </c>
      <c r="E94" s="50" t="s">
        <v>92</v>
      </c>
      <c r="F94" s="50" t="str">
        <f t="shared" si="37"/>
        <v>Dollars</v>
      </c>
      <c r="G94" s="50" t="str">
        <f t="shared" si="38"/>
        <v>Nominal</v>
      </c>
      <c r="H94" s="50" t="str">
        <f t="shared" si="39"/>
        <v>End year</v>
      </c>
      <c r="J94" s="61">
        <f t="shared" ref="J94:T94" si="41">J19+J34+J49+J64+J79</f>
        <v>200.87244463236121</v>
      </c>
      <c r="K94" s="59">
        <f t="shared" si="41"/>
        <v>196.7840781880985</v>
      </c>
      <c r="L94" s="60">
        <f t="shared" si="41"/>
        <v>192.59681174360585</v>
      </c>
      <c r="M94" s="60">
        <f t="shared" si="41"/>
        <v>186.30139275260683</v>
      </c>
      <c r="N94" s="60">
        <f t="shared" si="41"/>
        <v>185.28993701407683</v>
      </c>
      <c r="O94" s="61">
        <f t="shared" si="41"/>
        <v>186.70884167418475</v>
      </c>
      <c r="P94" s="59">
        <f t="shared" si="41"/>
        <v>182.45615525011667</v>
      </c>
      <c r="Q94" s="60">
        <f t="shared" si="41"/>
        <v>177.88501812025746</v>
      </c>
      <c r="R94" s="60">
        <f t="shared" si="41"/>
        <v>177.30018371776109</v>
      </c>
      <c r="S94" s="60">
        <f t="shared" si="41"/>
        <v>172.08879316170285</v>
      </c>
      <c r="T94" s="61">
        <f t="shared" si="41"/>
        <v>170.30509953222517</v>
      </c>
    </row>
    <row r="95" spans="1:20" ht="12.75" x14ac:dyDescent="0.2">
      <c r="D95" s="15" t="str">
        <f t="shared" si="36"/>
        <v>Switchyards, substations</v>
      </c>
      <c r="E95" s="50" t="s">
        <v>92</v>
      </c>
      <c r="F95" s="50" t="str">
        <f t="shared" si="37"/>
        <v>Dollars</v>
      </c>
      <c r="G95" s="50" t="str">
        <f t="shared" si="38"/>
        <v>Nominal</v>
      </c>
      <c r="H95" s="50" t="str">
        <f t="shared" si="39"/>
        <v>End year</v>
      </c>
      <c r="J95" s="61">
        <f t="shared" ref="J95:T95" si="42">J20+J35+J50+J65+J80</f>
        <v>2980.9359798924556</v>
      </c>
      <c r="K95" s="59">
        <f t="shared" si="42"/>
        <v>2978.1247754774736</v>
      </c>
      <c r="L95" s="60">
        <f t="shared" si="42"/>
        <v>2988.8379823274531</v>
      </c>
      <c r="M95" s="60">
        <f t="shared" si="42"/>
        <v>2982.9530399144592</v>
      </c>
      <c r="N95" s="60">
        <f t="shared" si="42"/>
        <v>3240.1560082789865</v>
      </c>
      <c r="O95" s="61">
        <f t="shared" si="42"/>
        <v>3367.4362278750923</v>
      </c>
      <c r="P95" s="59">
        <f t="shared" si="42"/>
        <v>3548.2937663505359</v>
      </c>
      <c r="Q95" s="60">
        <f t="shared" si="42"/>
        <v>3688.1761890318867</v>
      </c>
      <c r="R95" s="60">
        <f t="shared" si="42"/>
        <v>3754.4473714750779</v>
      </c>
      <c r="S95" s="60">
        <f t="shared" si="42"/>
        <v>3745.6869475839776</v>
      </c>
      <c r="T95" s="61">
        <f t="shared" si="42"/>
        <v>3786.9449665172797</v>
      </c>
    </row>
    <row r="96" spans="1:20" ht="12.75" x14ac:dyDescent="0.2">
      <c r="D96" s="15" t="str">
        <f t="shared" si="36"/>
        <v>Easements</v>
      </c>
      <c r="E96" s="50" t="s">
        <v>92</v>
      </c>
      <c r="F96" s="50" t="str">
        <f t="shared" si="37"/>
        <v>Dollars</v>
      </c>
      <c r="G96" s="50" t="str">
        <f t="shared" si="38"/>
        <v>Nominal</v>
      </c>
      <c r="H96" s="50" t="str">
        <f t="shared" si="39"/>
        <v>End year</v>
      </c>
      <c r="J96" s="61">
        <f t="shared" ref="J96:T96" si="43">J21+J36+J51+J66+J81</f>
        <v>879.83250010690949</v>
      </c>
      <c r="K96" s="59">
        <f t="shared" si="43"/>
        <v>904.14875359410485</v>
      </c>
      <c r="L96" s="60">
        <f t="shared" si="43"/>
        <v>924.27658604316616</v>
      </c>
      <c r="M96" s="60">
        <f t="shared" si="43"/>
        <v>932.55410670332913</v>
      </c>
      <c r="N96" s="60">
        <f t="shared" si="43"/>
        <v>962.59786258268377</v>
      </c>
      <c r="O96" s="61">
        <f t="shared" si="43"/>
        <v>989.87635125675115</v>
      </c>
      <c r="P96" s="59">
        <f t="shared" si="43"/>
        <v>1078.6981536843543</v>
      </c>
      <c r="Q96" s="60">
        <f t="shared" si="43"/>
        <v>1292.0405812731565</v>
      </c>
      <c r="R96" s="60">
        <f t="shared" si="43"/>
        <v>1322.0633832010146</v>
      </c>
      <c r="S96" s="60">
        <f t="shared" si="43"/>
        <v>1352.7837277220056</v>
      </c>
      <c r="T96" s="61">
        <f t="shared" si="43"/>
        <v>1402.9209607127179</v>
      </c>
    </row>
    <row r="97" spans="1:20" ht="12.75" x14ac:dyDescent="0.2">
      <c r="D97" s="15" t="str">
        <f t="shared" si="36"/>
        <v>“Other” asset items with long lives</v>
      </c>
      <c r="E97" s="50" t="s">
        <v>92</v>
      </c>
      <c r="F97" s="50" t="str">
        <f t="shared" si="37"/>
        <v>Dollars</v>
      </c>
      <c r="G97" s="50" t="str">
        <f t="shared" si="38"/>
        <v>Nominal</v>
      </c>
      <c r="H97" s="50" t="str">
        <f t="shared" si="39"/>
        <v>End year</v>
      </c>
      <c r="J97" s="61">
        <f t="shared" ref="J97:T97" si="44">J22+J37+J52+J67+J82</f>
        <v>381.03680900226573</v>
      </c>
      <c r="K97" s="59">
        <f t="shared" si="44"/>
        <v>393.59093037796259</v>
      </c>
      <c r="L97" s="60">
        <f t="shared" si="44"/>
        <v>406.96455058718811</v>
      </c>
      <c r="M97" s="60">
        <f t="shared" si="44"/>
        <v>405.87595198983507</v>
      </c>
      <c r="N97" s="60">
        <f t="shared" si="44"/>
        <v>481.13150290759756</v>
      </c>
      <c r="O97" s="61">
        <f t="shared" si="44"/>
        <v>476.45378561215188</v>
      </c>
      <c r="P97" s="59">
        <f t="shared" si="44"/>
        <v>493.4909902092179</v>
      </c>
      <c r="Q97" s="60">
        <f t="shared" si="44"/>
        <v>617.31560796732742</v>
      </c>
      <c r="R97" s="60">
        <f t="shared" si="44"/>
        <v>653.70747166300907</v>
      </c>
      <c r="S97" s="60">
        <f t="shared" si="44"/>
        <v>687.86980099900211</v>
      </c>
      <c r="T97" s="61">
        <f t="shared" si="44"/>
        <v>789.53939240823183</v>
      </c>
    </row>
    <row r="98" spans="1:20" ht="12.75" x14ac:dyDescent="0.2">
      <c r="D98" s="15" t="str">
        <f t="shared" si="36"/>
        <v>“Other” asset items with short lives</v>
      </c>
      <c r="E98" s="50" t="s">
        <v>92</v>
      </c>
      <c r="F98" s="50" t="str">
        <f t="shared" si="37"/>
        <v>Dollars</v>
      </c>
      <c r="G98" s="50" t="str">
        <f t="shared" si="38"/>
        <v>Nominal</v>
      </c>
      <c r="H98" s="50" t="str">
        <f t="shared" si="39"/>
        <v>End year</v>
      </c>
      <c r="J98" s="61">
        <f t="shared" ref="J98:T98" si="45">J23+J38+J53+J68+J83</f>
        <v>66.108684612442204</v>
      </c>
      <c r="K98" s="59">
        <f t="shared" si="45"/>
        <v>75.475641269972755</v>
      </c>
      <c r="L98" s="60">
        <f t="shared" si="45"/>
        <v>74.349378776506896</v>
      </c>
      <c r="M98" s="60">
        <f t="shared" si="45"/>
        <v>67.653509256245016</v>
      </c>
      <c r="N98" s="60">
        <f t="shared" si="45"/>
        <v>89.641832108294253</v>
      </c>
      <c r="O98" s="61">
        <f t="shared" si="45"/>
        <v>65.032685132091046</v>
      </c>
      <c r="P98" s="59">
        <f t="shared" si="45"/>
        <v>85.929572443279014</v>
      </c>
      <c r="Q98" s="60">
        <f t="shared" si="45"/>
        <v>115.53479664993138</v>
      </c>
      <c r="R98" s="60">
        <f t="shared" si="45"/>
        <v>121.1160996964996</v>
      </c>
      <c r="S98" s="60">
        <f t="shared" si="45"/>
        <v>133.39294673161879</v>
      </c>
      <c r="T98" s="61">
        <f t="shared" si="45"/>
        <v>134.76590707784834</v>
      </c>
    </row>
    <row r="99" spans="1:20" x14ac:dyDescent="0.2">
      <c r="J99" s="56"/>
      <c r="K99" s="54"/>
      <c r="L99" s="55"/>
      <c r="M99" s="55"/>
      <c r="N99" s="55"/>
      <c r="O99" s="56"/>
      <c r="P99" s="54"/>
      <c r="Q99" s="55"/>
      <c r="R99" s="55"/>
      <c r="S99" s="55"/>
      <c r="T99" s="56"/>
    </row>
    <row r="100" spans="1:20" ht="12.75" x14ac:dyDescent="0.2">
      <c r="D100" s="49" t="str">
        <f>"Total "&amp;D91</f>
        <v>Total EB RIN Categories</v>
      </c>
      <c r="E100" s="45" t="s">
        <v>92</v>
      </c>
      <c r="F100" s="45" t="str">
        <f>F93</f>
        <v>Dollars</v>
      </c>
      <c r="G100" s="45" t="str">
        <f>G93</f>
        <v>Nominal</v>
      </c>
      <c r="H100" s="45" t="str">
        <f>H93</f>
        <v>End year</v>
      </c>
      <c r="J100" s="58">
        <f t="shared" ref="J100:T100" si="46">SUM(J93:J98)</f>
        <v>6254.7994818168372</v>
      </c>
      <c r="K100" s="57">
        <f t="shared" si="46"/>
        <v>6333.5136445472508</v>
      </c>
      <c r="L100" s="44">
        <f t="shared" si="46"/>
        <v>6389.8609418458282</v>
      </c>
      <c r="M100" s="44">
        <f t="shared" si="46"/>
        <v>6359.4509872994504</v>
      </c>
      <c r="N100" s="44">
        <f t="shared" si="46"/>
        <v>6852.8357294458629</v>
      </c>
      <c r="O100" s="58">
        <f t="shared" si="46"/>
        <v>7246.9710706480928</v>
      </c>
      <c r="P100" s="57">
        <f t="shared" si="46"/>
        <v>7856.2658182975874</v>
      </c>
      <c r="Q100" s="44">
        <f t="shared" si="46"/>
        <v>9240.3507715855958</v>
      </c>
      <c r="R100" s="44">
        <f t="shared" si="46"/>
        <v>9392.3391152560453</v>
      </c>
      <c r="S100" s="44">
        <f t="shared" si="46"/>
        <v>9444.7803524541432</v>
      </c>
      <c r="T100" s="58">
        <f t="shared" si="46"/>
        <v>9669.1057848542132</v>
      </c>
    </row>
    <row r="101" spans="1:20" s="6" customFormat="1" ht="4.5" customHeight="1" x14ac:dyDescent="0.2"/>
    <row r="102" spans="1:20" s="6" customFormat="1" ht="11.25" customHeight="1" x14ac:dyDescent="0.2">
      <c r="A102" s="47">
        <f>IF(SUM($J102:$T102)&lt;&gt;0,1,0)</f>
        <v>0</v>
      </c>
      <c r="D102" s="15" t="s">
        <v>95</v>
      </c>
      <c r="J102" s="63">
        <f>IF(ROUND(J100-Input_RAB!J$368,3)=0,0,1)</f>
        <v>0</v>
      </c>
      <c r="K102" s="63">
        <f>IF(ROUND(K100-Input_RAB!K$368,3)=0,0,1)</f>
        <v>0</v>
      </c>
      <c r="L102" s="63">
        <f>IF(ROUND(L100-Input_RAB!L$368,3)=0,0,1)</f>
        <v>0</v>
      </c>
      <c r="M102" s="63">
        <f>IF(ROUND(M100-Input_RAB!M$368,3)=0,0,1)</f>
        <v>0</v>
      </c>
      <c r="N102" s="63">
        <f>IF(ROUND(N100-Input_RAB!N$368,3)=0,0,1)</f>
        <v>0</v>
      </c>
      <c r="O102" s="63">
        <f>IF(ROUND(O100-Input_RAB!O$368,3)=0,0,1)</f>
        <v>0</v>
      </c>
      <c r="P102" s="63">
        <f>IF(ROUND(P100-Input_RAB!P$368,3)=0,0,1)</f>
        <v>0</v>
      </c>
      <c r="Q102" s="63">
        <f>IF(ROUND(Q100-Input_RAB!Q$368,3)=0,0,1)</f>
        <v>0</v>
      </c>
      <c r="R102" s="63">
        <f>IF(ROUND(R100-Input_RAB!R$368,3)=0,0,1)</f>
        <v>0</v>
      </c>
      <c r="S102" s="63">
        <f>IF(ROUND(S100-Input_RAB!S$368,3)=0,0,1)</f>
        <v>0</v>
      </c>
      <c r="T102" s="63">
        <f>IF(ROUND(T100-Input_RAB!T$368,3)=0,0,1)</f>
        <v>0</v>
      </c>
    </row>
    <row r="103" spans="1:20" s="6" customFormat="1" ht="4.5" customHeight="1" x14ac:dyDescent="0.2"/>
    <row r="104" spans="1:20" s="13" customFormat="1" ht="15" x14ac:dyDescent="0.2">
      <c r="C104" s="13" t="s">
        <v>117</v>
      </c>
    </row>
    <row r="105" spans="1:20" s="6" customFormat="1" ht="4.5" customHeight="1" x14ac:dyDescent="0.2"/>
    <row r="106" spans="1:20" ht="12.75" x14ac:dyDescent="0.2">
      <c r="D106" s="48" t="str">
        <f>D$16</f>
        <v>EB RIN Categories</v>
      </c>
      <c r="E106" s="43" t="str">
        <f>Lookup!E$20</f>
        <v>Source</v>
      </c>
      <c r="F106" s="43" t="str">
        <f>Lookup!F$20</f>
        <v>Unit</v>
      </c>
      <c r="G106" s="43" t="str">
        <f>Lookup!G$20</f>
        <v>Basis</v>
      </c>
      <c r="H106" s="43" t="str">
        <f>Lookup!H$20</f>
        <v>Timing</v>
      </c>
      <c r="J106" s="53" t="str">
        <f t="shared" ref="J106:T106" si="47">J$10</f>
        <v>RY18</v>
      </c>
      <c r="K106" s="52" t="str">
        <f t="shared" si="47"/>
        <v>RY19</v>
      </c>
      <c r="L106" s="43" t="str">
        <f t="shared" si="47"/>
        <v>RY20</v>
      </c>
      <c r="M106" s="43" t="str">
        <f t="shared" si="47"/>
        <v>RY21</v>
      </c>
      <c r="N106" s="43" t="str">
        <f t="shared" si="47"/>
        <v>RY22</v>
      </c>
      <c r="O106" s="53" t="str">
        <f t="shared" si="47"/>
        <v>RY23</v>
      </c>
      <c r="P106" s="52" t="str">
        <f t="shared" si="47"/>
        <v>RY24</v>
      </c>
      <c r="Q106" s="43" t="str">
        <f t="shared" si="47"/>
        <v>RY25</v>
      </c>
      <c r="R106" s="43" t="str">
        <f t="shared" si="47"/>
        <v>RY26</v>
      </c>
      <c r="S106" s="43" t="str">
        <f t="shared" si="47"/>
        <v>RY27</v>
      </c>
      <c r="T106" s="53" t="str">
        <f t="shared" si="47"/>
        <v>RY28</v>
      </c>
    </row>
    <row r="107" spans="1:20" x14ac:dyDescent="0.2">
      <c r="J107" s="56"/>
      <c r="K107" s="54"/>
      <c r="L107" s="55"/>
      <c r="M107" s="55"/>
      <c r="N107" s="55"/>
      <c r="O107" s="56"/>
      <c r="P107" s="54"/>
      <c r="Q107" s="55"/>
      <c r="R107" s="55"/>
      <c r="S107" s="55"/>
      <c r="T107" s="56"/>
    </row>
    <row r="108" spans="1:20" ht="12.75" x14ac:dyDescent="0.2">
      <c r="D108" s="15" t="str">
        <f t="shared" ref="D108:D113" si="48">D18</f>
        <v>Overhead assets</v>
      </c>
      <c r="E108" s="50" t="s">
        <v>92</v>
      </c>
      <c r="F108" s="50" t="str">
        <f t="shared" ref="F108:F113" si="49">Dollars</f>
        <v>Dollars</v>
      </c>
      <c r="G108" s="50" t="str">
        <f t="shared" ref="G108:G113" si="50">Nominal</f>
        <v>Nominal</v>
      </c>
      <c r="H108" s="50" t="str">
        <f t="shared" ref="H108:H113" si="51">End_year</f>
        <v>End year</v>
      </c>
      <c r="J108" s="61">
        <f>SUMPRODUCT((Input_EB_Alloc!$E$11:$E$60)*(Input_RAB!J$376:J$425))</f>
        <v>-6.3718715549768445</v>
      </c>
      <c r="K108" s="59">
        <f>SUMPRODUCT((Input_EB_Alloc!$E$11:$E$60)*(Input_RAB!K$376:K$425))</f>
        <v>0</v>
      </c>
      <c r="L108" s="60">
        <f>SUMPRODUCT((Input_EB_Alloc!$E$11:$E$60)*(Input_RAB!L$376:L$425))</f>
        <v>0</v>
      </c>
      <c r="M108" s="60">
        <f>SUMPRODUCT((Input_EB_Alloc!$E$11:$E$60)*(Input_RAB!M$376:M$425))</f>
        <v>0</v>
      </c>
      <c r="N108" s="60">
        <f>SUMPRODUCT((Input_EB_Alloc!$E$11:$E$60)*(Input_RAB!N$376:N$425))</f>
        <v>0</v>
      </c>
      <c r="O108" s="61">
        <f>SUMPRODUCT((Input_EB_Alloc!$E$11:$E$60)*(Input_RAB!O$376:O$425))</f>
        <v>-94.415817231742679</v>
      </c>
      <c r="P108" s="59">
        <f>SUMPRODUCT((Input_EB_Alloc!$E$11:$E$60)*(Input_RAB!P$376:P$425))</f>
        <v>0</v>
      </c>
      <c r="Q108" s="60">
        <f>SUMPRODUCT((Input_EB_Alloc!$E$11:$E$60)*(Input_RAB!Q$376:Q$425))</f>
        <v>0</v>
      </c>
      <c r="R108" s="60">
        <f>SUMPRODUCT((Input_EB_Alloc!$E$11:$E$60)*(Input_RAB!R$376:R$425))</f>
        <v>0</v>
      </c>
      <c r="S108" s="60">
        <f>SUMPRODUCT((Input_EB_Alloc!$E$11:$E$60)*(Input_RAB!S$376:S$425))</f>
        <v>0</v>
      </c>
      <c r="T108" s="61">
        <f>SUMPRODUCT((Input_EB_Alloc!$E$11:$E$60)*(Input_RAB!T$376:T$425))</f>
        <v>0</v>
      </c>
    </row>
    <row r="109" spans="1:20" ht="12.75" x14ac:dyDescent="0.2">
      <c r="D109" s="15" t="str">
        <f t="shared" si="48"/>
        <v>Underground assets</v>
      </c>
      <c r="E109" s="50" t="s">
        <v>92</v>
      </c>
      <c r="F109" s="50" t="str">
        <f t="shared" si="49"/>
        <v>Dollars</v>
      </c>
      <c r="G109" s="50" t="str">
        <f t="shared" si="50"/>
        <v>Nominal</v>
      </c>
      <c r="H109" s="50" t="str">
        <f t="shared" si="51"/>
        <v>End year</v>
      </c>
      <c r="J109" s="61">
        <f>SUMPRODUCT((Input_EB_Alloc!$F$11:$F$60)*(Input_RAB!J$376:J$425))</f>
        <v>0</v>
      </c>
      <c r="K109" s="59">
        <f>SUMPRODUCT((Input_EB_Alloc!$F$11:$F$60)*(Input_RAB!K$376:K$425))</f>
        <v>0</v>
      </c>
      <c r="L109" s="60">
        <f>SUMPRODUCT((Input_EB_Alloc!$F$11:$F$60)*(Input_RAB!L$376:L$425))</f>
        <v>0</v>
      </c>
      <c r="M109" s="60">
        <f>SUMPRODUCT((Input_EB_Alloc!$F$11:$F$60)*(Input_RAB!M$376:M$425))</f>
        <v>0</v>
      </c>
      <c r="N109" s="60">
        <f>SUMPRODUCT((Input_EB_Alloc!$F$11:$F$60)*(Input_RAB!N$376:N$425))</f>
        <v>0</v>
      </c>
      <c r="O109" s="61">
        <f>SUMPRODUCT((Input_EB_Alloc!$F$11:$F$60)*(Input_RAB!O$376:O$425))</f>
        <v>1.4770118706355397E-2</v>
      </c>
      <c r="P109" s="59">
        <f>SUMPRODUCT((Input_EB_Alloc!$F$11:$F$60)*(Input_RAB!P$376:P$425))</f>
        <v>0</v>
      </c>
      <c r="Q109" s="60">
        <f>SUMPRODUCT((Input_EB_Alloc!$F$11:$F$60)*(Input_RAB!Q$376:Q$425))</f>
        <v>0</v>
      </c>
      <c r="R109" s="60">
        <f>SUMPRODUCT((Input_EB_Alloc!$F$11:$F$60)*(Input_RAB!R$376:R$425))</f>
        <v>0</v>
      </c>
      <c r="S109" s="60">
        <f>SUMPRODUCT((Input_EB_Alloc!$F$11:$F$60)*(Input_RAB!S$376:S$425))</f>
        <v>0</v>
      </c>
      <c r="T109" s="61">
        <f>SUMPRODUCT((Input_EB_Alloc!$F$11:$F$60)*(Input_RAB!T$376:T$425))</f>
        <v>0</v>
      </c>
    </row>
    <row r="110" spans="1:20" ht="12.75" x14ac:dyDescent="0.2">
      <c r="D110" s="15" t="str">
        <f t="shared" si="48"/>
        <v>Switchyards, substations</v>
      </c>
      <c r="E110" s="50" t="s">
        <v>92</v>
      </c>
      <c r="F110" s="50" t="str">
        <f t="shared" si="49"/>
        <v>Dollars</v>
      </c>
      <c r="G110" s="50" t="str">
        <f t="shared" si="50"/>
        <v>Nominal</v>
      </c>
      <c r="H110" s="50" t="str">
        <f t="shared" si="51"/>
        <v>End year</v>
      </c>
      <c r="J110" s="61">
        <f>SUMPRODUCT((Input_EB_Alloc!$G$11:$G$60)*(Input_RAB!J$376:J$425))</f>
        <v>-42.460599569176267</v>
      </c>
      <c r="K110" s="59">
        <f>SUMPRODUCT((Input_EB_Alloc!$G$11:$G$60)*(Input_RAB!K$376:K$425))</f>
        <v>0</v>
      </c>
      <c r="L110" s="60">
        <f>SUMPRODUCT((Input_EB_Alloc!$G$11:$G$60)*(Input_RAB!L$376:L$425))</f>
        <v>0</v>
      </c>
      <c r="M110" s="60">
        <f>SUMPRODUCT((Input_EB_Alloc!$G$11:$G$60)*(Input_RAB!M$376:M$425))</f>
        <v>0</v>
      </c>
      <c r="N110" s="60">
        <f>SUMPRODUCT((Input_EB_Alloc!$G$11:$G$60)*(Input_RAB!N$376:N$425))</f>
        <v>0</v>
      </c>
      <c r="O110" s="61">
        <f>SUMPRODUCT((Input_EB_Alloc!$G$11:$G$60)*(Input_RAB!O$376:O$425))</f>
        <v>14.026863649826907</v>
      </c>
      <c r="P110" s="59">
        <f>SUMPRODUCT((Input_EB_Alloc!$G$11:$G$60)*(Input_RAB!P$376:P$425))</f>
        <v>0</v>
      </c>
      <c r="Q110" s="60">
        <f>SUMPRODUCT((Input_EB_Alloc!$G$11:$G$60)*(Input_RAB!Q$376:Q$425))</f>
        <v>0</v>
      </c>
      <c r="R110" s="60">
        <f>SUMPRODUCT((Input_EB_Alloc!$G$11:$G$60)*(Input_RAB!R$376:R$425))</f>
        <v>0</v>
      </c>
      <c r="S110" s="60">
        <f>SUMPRODUCT((Input_EB_Alloc!$G$11:$G$60)*(Input_RAB!S$376:S$425))</f>
        <v>0</v>
      </c>
      <c r="T110" s="61">
        <f>SUMPRODUCT((Input_EB_Alloc!$G$11:$G$60)*(Input_RAB!T$376:T$425))</f>
        <v>0</v>
      </c>
    </row>
    <row r="111" spans="1:20" ht="12.75" x14ac:dyDescent="0.2">
      <c r="D111" s="15" t="str">
        <f t="shared" si="48"/>
        <v>Easements</v>
      </c>
      <c r="E111" s="50" t="s">
        <v>92</v>
      </c>
      <c r="F111" s="50" t="str">
        <f t="shared" si="49"/>
        <v>Dollars</v>
      </c>
      <c r="G111" s="50" t="str">
        <f t="shared" si="50"/>
        <v>Nominal</v>
      </c>
      <c r="H111" s="50" t="str">
        <f t="shared" si="51"/>
        <v>End year</v>
      </c>
      <c r="J111" s="61">
        <f>SUMPRODUCT((Input_EB_Alloc!$H$11:$H$60)*(Input_RAB!J$376:J$425))</f>
        <v>7.3442565981036712</v>
      </c>
      <c r="K111" s="59">
        <f>SUMPRODUCT((Input_EB_Alloc!$H$11:$H$60)*(Input_RAB!K$376:K$425))</f>
        <v>0</v>
      </c>
      <c r="L111" s="60">
        <f>SUMPRODUCT((Input_EB_Alloc!$H$11:$H$60)*(Input_RAB!L$376:L$425))</f>
        <v>0</v>
      </c>
      <c r="M111" s="60">
        <f>SUMPRODUCT((Input_EB_Alloc!$H$11:$H$60)*(Input_RAB!M$376:M$425))</f>
        <v>0</v>
      </c>
      <c r="N111" s="60">
        <f>SUMPRODUCT((Input_EB_Alloc!$H$11:$H$60)*(Input_RAB!N$376:N$425))</f>
        <v>0</v>
      </c>
      <c r="O111" s="61">
        <f>SUMPRODUCT((Input_EB_Alloc!$H$11:$H$60)*(Input_RAB!O$376:O$425))</f>
        <v>-9.8903335698482859</v>
      </c>
      <c r="P111" s="59">
        <f>SUMPRODUCT((Input_EB_Alloc!$H$11:$H$60)*(Input_RAB!P$376:P$425))</f>
        <v>0</v>
      </c>
      <c r="Q111" s="60">
        <f>SUMPRODUCT((Input_EB_Alloc!$H$11:$H$60)*(Input_RAB!Q$376:Q$425))</f>
        <v>0</v>
      </c>
      <c r="R111" s="60">
        <f>SUMPRODUCT((Input_EB_Alloc!$H$11:$H$60)*(Input_RAB!R$376:R$425))</f>
        <v>0</v>
      </c>
      <c r="S111" s="60">
        <f>SUMPRODUCT((Input_EB_Alloc!$H$11:$H$60)*(Input_RAB!S$376:S$425))</f>
        <v>0</v>
      </c>
      <c r="T111" s="61">
        <f>SUMPRODUCT((Input_EB_Alloc!$H$11:$H$60)*(Input_RAB!T$376:T$425))</f>
        <v>0</v>
      </c>
    </row>
    <row r="112" spans="1:20" ht="12.75" x14ac:dyDescent="0.2">
      <c r="D112" s="15" t="str">
        <f t="shared" si="48"/>
        <v>“Other” asset items with long lives</v>
      </c>
      <c r="E112" s="50" t="s">
        <v>92</v>
      </c>
      <c r="F112" s="50" t="str">
        <f t="shared" si="49"/>
        <v>Dollars</v>
      </c>
      <c r="G112" s="50" t="str">
        <f t="shared" si="50"/>
        <v>Nominal</v>
      </c>
      <c r="H112" s="50" t="str">
        <f t="shared" si="51"/>
        <v>End year</v>
      </c>
      <c r="J112" s="61" cm="1">
        <f t="array" ref="J112">SUMPRODUCT((Input_EB_Alloc!$I$11:$I$60)*(Input_RAB!J$376:J$425))</f>
        <v>-12.413340170960712</v>
      </c>
      <c r="K112" s="59" cm="1">
        <f t="array" ref="K112">SUMPRODUCT((Input_EB_Alloc!$I$11:$I$60)*(Input_RAB!K$376:K$425))</f>
        <v>0</v>
      </c>
      <c r="L112" s="60" cm="1">
        <f t="array" ref="L112">SUMPRODUCT((Input_EB_Alloc!$I$11:$I$60)*(Input_RAB!L$376:L$425))</f>
        <v>0</v>
      </c>
      <c r="M112" s="60" cm="1">
        <f t="array" ref="M112">SUMPRODUCT((Input_EB_Alloc!$I$11:$I$60)*(Input_RAB!M$376:M$425))</f>
        <v>0</v>
      </c>
      <c r="N112" s="60" cm="1">
        <f t="array" ref="N112">SUMPRODUCT((Input_EB_Alloc!$I$11:$I$60)*(Input_RAB!N$376:N$425))</f>
        <v>0</v>
      </c>
      <c r="O112" s="61" cm="1">
        <f t="array" ref="O112">SUMPRODUCT((Input_EB_Alloc!$I$11:$I$60)*(Input_RAB!O$376:O$425))</f>
        <v>-61.515049229444671</v>
      </c>
      <c r="P112" s="59" cm="1">
        <f t="array" ref="P112">SUMPRODUCT((Input_EB_Alloc!$I$11:$I$60)*(Input_RAB!P$376:P$425))</f>
        <v>0</v>
      </c>
      <c r="Q112" s="60" cm="1">
        <f t="array" ref="Q112">SUMPRODUCT((Input_EB_Alloc!$I$11:$I$60)*(Input_RAB!Q$376:Q$425))</f>
        <v>0</v>
      </c>
      <c r="R112" s="60" cm="1">
        <f t="array" ref="R112">SUMPRODUCT((Input_EB_Alloc!$I$11:$I$60)*(Input_RAB!R$376:R$425))</f>
        <v>0</v>
      </c>
      <c r="S112" s="60" cm="1">
        <f t="array" ref="S112">SUMPRODUCT((Input_EB_Alloc!$I$11:$I$60)*(Input_RAB!S$376:S$425))</f>
        <v>0</v>
      </c>
      <c r="T112" s="61" cm="1">
        <f t="array" ref="T112">SUMPRODUCT((Input_EB_Alloc!$I$11:$I$60)*(Input_RAB!T$376:T$425))</f>
        <v>0</v>
      </c>
    </row>
    <row r="113" spans="1:20" ht="12.75" x14ac:dyDescent="0.2">
      <c r="D113" s="15" t="str">
        <f t="shared" si="48"/>
        <v>“Other” asset items with short lives</v>
      </c>
      <c r="E113" s="50" t="s">
        <v>92</v>
      </c>
      <c r="F113" s="50" t="str">
        <f t="shared" si="49"/>
        <v>Dollars</v>
      </c>
      <c r="G113" s="50" t="str">
        <f t="shared" si="50"/>
        <v>Nominal</v>
      </c>
      <c r="H113" s="50" t="str">
        <f t="shared" si="51"/>
        <v>End year</v>
      </c>
      <c r="J113" s="61" cm="1">
        <f t="array" ref="J113">SUMPRODUCT((Input_EB_Alloc!$J$11:$J$60)*(Input_RAB!J$376:J$425))</f>
        <v>0</v>
      </c>
      <c r="K113" s="59" cm="1">
        <f t="array" ref="K113">SUMPRODUCT((Input_EB_Alloc!$J$11:$J$60)*(Input_RAB!K$376:K$425))</f>
        <v>0</v>
      </c>
      <c r="L113" s="60" cm="1">
        <f t="array" ref="L113">SUMPRODUCT((Input_EB_Alloc!$J$11:$J$60)*(Input_RAB!L$376:L$425))</f>
        <v>0</v>
      </c>
      <c r="M113" s="60" cm="1">
        <f t="array" ref="M113">SUMPRODUCT((Input_EB_Alloc!$J$11:$J$60)*(Input_RAB!M$376:M$425))</f>
        <v>0</v>
      </c>
      <c r="N113" s="60" cm="1">
        <f t="array" ref="N113">SUMPRODUCT((Input_EB_Alloc!$J$11:$J$60)*(Input_RAB!N$376:N$425))</f>
        <v>0</v>
      </c>
      <c r="O113" s="61" cm="1">
        <f t="array" ref="O113">SUMPRODUCT((Input_EB_Alloc!$J$11:$J$60)*(Input_RAB!O$376:O$425))</f>
        <v>-10.876455654307865</v>
      </c>
      <c r="P113" s="59" cm="1">
        <f t="array" ref="P113">SUMPRODUCT((Input_EB_Alloc!$J$11:$J$60)*(Input_RAB!P$376:P$425))</f>
        <v>0</v>
      </c>
      <c r="Q113" s="60" cm="1">
        <f t="array" ref="Q113">SUMPRODUCT((Input_EB_Alloc!$J$11:$J$60)*(Input_RAB!Q$376:Q$425))</f>
        <v>0</v>
      </c>
      <c r="R113" s="60" cm="1">
        <f t="array" ref="R113">SUMPRODUCT((Input_EB_Alloc!$J$11:$J$60)*(Input_RAB!R$376:R$425))</f>
        <v>0</v>
      </c>
      <c r="S113" s="60" cm="1">
        <f t="array" ref="S113">SUMPRODUCT((Input_EB_Alloc!$J$11:$J$60)*(Input_RAB!S$376:S$425))</f>
        <v>0</v>
      </c>
      <c r="T113" s="61" cm="1">
        <f t="array" ref="T113">SUMPRODUCT((Input_EB_Alloc!$J$11:$J$60)*(Input_RAB!T$376:T$425))</f>
        <v>0</v>
      </c>
    </row>
    <row r="114" spans="1:20" x14ac:dyDescent="0.2">
      <c r="J114" s="56"/>
      <c r="K114" s="54"/>
      <c r="L114" s="55"/>
      <c r="M114" s="55"/>
      <c r="N114" s="55"/>
      <c r="O114" s="56"/>
      <c r="P114" s="54"/>
      <c r="Q114" s="55"/>
      <c r="R114" s="55"/>
      <c r="S114" s="55"/>
      <c r="T114" s="56"/>
    </row>
    <row r="115" spans="1:20" ht="12.75" x14ac:dyDescent="0.2">
      <c r="D115" s="49" t="str">
        <f>"Total "&amp;D106</f>
        <v>Total EB RIN Categories</v>
      </c>
      <c r="E115" s="45" t="s">
        <v>92</v>
      </c>
      <c r="F115" s="45" t="str">
        <f>F108</f>
        <v>Dollars</v>
      </c>
      <c r="G115" s="45" t="str">
        <f>G108</f>
        <v>Nominal</v>
      </c>
      <c r="H115" s="45" t="str">
        <f>H108</f>
        <v>End year</v>
      </c>
      <c r="J115" s="58">
        <f t="shared" ref="J115:T115" si="52">SUM(J108:J113)</f>
        <v>-53.901554697010155</v>
      </c>
      <c r="K115" s="57">
        <f t="shared" si="52"/>
        <v>0</v>
      </c>
      <c r="L115" s="44">
        <f t="shared" si="52"/>
        <v>0</v>
      </c>
      <c r="M115" s="44">
        <f t="shared" si="52"/>
        <v>0</v>
      </c>
      <c r="N115" s="44">
        <f t="shared" si="52"/>
        <v>0</v>
      </c>
      <c r="O115" s="58">
        <f t="shared" si="52"/>
        <v>-162.65602191681026</v>
      </c>
      <c r="P115" s="57">
        <f t="shared" si="52"/>
        <v>0</v>
      </c>
      <c r="Q115" s="44">
        <f t="shared" si="52"/>
        <v>0</v>
      </c>
      <c r="R115" s="44">
        <f t="shared" si="52"/>
        <v>0</v>
      </c>
      <c r="S115" s="44">
        <f t="shared" si="52"/>
        <v>0</v>
      </c>
      <c r="T115" s="58">
        <f t="shared" si="52"/>
        <v>0</v>
      </c>
    </row>
    <row r="116" spans="1:20" s="6" customFormat="1" ht="4.5" customHeight="1" x14ac:dyDescent="0.2"/>
    <row r="117" spans="1:20" s="6" customFormat="1" ht="11.25" customHeight="1" x14ac:dyDescent="0.2">
      <c r="A117" s="47">
        <f>IF(SUM($J117:$T117)&lt;&gt;0,1,0)</f>
        <v>0</v>
      </c>
      <c r="D117" s="15" t="s">
        <v>95</v>
      </c>
      <c r="J117" s="63">
        <f>IF(ROUND(J115-Input_RAB!J$427,3)=0,0,1)</f>
        <v>0</v>
      </c>
      <c r="K117" s="63">
        <f>IF(ROUND(K115-Input_RAB!K$427,3)=0,0,1)</f>
        <v>0</v>
      </c>
      <c r="L117" s="63">
        <f>IF(ROUND(L115-Input_RAB!L$427,3)=0,0,1)</f>
        <v>0</v>
      </c>
      <c r="M117" s="63">
        <f>IF(ROUND(M115-Input_RAB!M$427,3)=0,0,1)</f>
        <v>0</v>
      </c>
      <c r="N117" s="63">
        <f>IF(ROUND(N115-Input_RAB!N$427,3)=0,0,1)</f>
        <v>0</v>
      </c>
      <c r="O117" s="63">
        <f>IF(ROUND(O115-Input_RAB!O$427,3)=0,0,1)</f>
        <v>0</v>
      </c>
      <c r="P117" s="63">
        <f>IF(ROUND(P115-Input_RAB!P$427,3)=0,0,1)</f>
        <v>0</v>
      </c>
      <c r="Q117" s="63">
        <f>IF(ROUND(Q115-Input_RAB!Q$427,3)=0,0,1)</f>
        <v>0</v>
      </c>
      <c r="R117" s="63">
        <f>IF(ROUND(R115-Input_RAB!R$427,3)=0,0,1)</f>
        <v>0</v>
      </c>
      <c r="S117" s="63">
        <f>IF(ROUND(S115-Input_RAB!S$427,3)=0,0,1)</f>
        <v>0</v>
      </c>
      <c r="T117" s="63">
        <f>IF(ROUND(T115-Input_RAB!T$427,3)=0,0,1)</f>
        <v>0</v>
      </c>
    </row>
    <row r="118" spans="1:20" s="6" customFormat="1" ht="4.5" customHeight="1" x14ac:dyDescent="0.2"/>
    <row r="119" spans="1:20" s="13" customFormat="1" ht="15" x14ac:dyDescent="0.2">
      <c r="C119" s="13" t="s">
        <v>110</v>
      </c>
    </row>
    <row r="120" spans="1:20" s="6" customFormat="1" ht="4.5" customHeight="1" x14ac:dyDescent="0.2"/>
    <row r="121" spans="1:20" ht="12.75" x14ac:dyDescent="0.2">
      <c r="D121" s="48" t="str">
        <f>D$16</f>
        <v>EB RIN Categories</v>
      </c>
      <c r="E121" s="43" t="str">
        <f>Lookup!E$20</f>
        <v>Source</v>
      </c>
      <c r="F121" s="43" t="str">
        <f>Lookup!F$20</f>
        <v>Unit</v>
      </c>
      <c r="G121" s="43" t="str">
        <f>Lookup!G$20</f>
        <v>Basis</v>
      </c>
      <c r="H121" s="43" t="str">
        <f>Lookup!H$20</f>
        <v>Timing</v>
      </c>
      <c r="J121" s="53" t="str">
        <f t="shared" ref="J121:T121" si="53">J$10</f>
        <v>RY18</v>
      </c>
      <c r="K121" s="52" t="str">
        <f t="shared" si="53"/>
        <v>RY19</v>
      </c>
      <c r="L121" s="43" t="str">
        <f t="shared" si="53"/>
        <v>RY20</v>
      </c>
      <c r="M121" s="43" t="str">
        <f t="shared" si="53"/>
        <v>RY21</v>
      </c>
      <c r="N121" s="43" t="str">
        <f t="shared" si="53"/>
        <v>RY22</v>
      </c>
      <c r="O121" s="53" t="str">
        <f t="shared" si="53"/>
        <v>RY23</v>
      </c>
      <c r="P121" s="52" t="str">
        <f t="shared" si="53"/>
        <v>RY24</v>
      </c>
      <c r="Q121" s="43" t="str">
        <f t="shared" si="53"/>
        <v>RY25</v>
      </c>
      <c r="R121" s="43" t="str">
        <f t="shared" si="53"/>
        <v>RY26</v>
      </c>
      <c r="S121" s="43" t="str">
        <f t="shared" si="53"/>
        <v>RY27</v>
      </c>
      <c r="T121" s="53" t="str">
        <f t="shared" si="53"/>
        <v>RY28</v>
      </c>
    </row>
    <row r="122" spans="1:20" x14ac:dyDescent="0.2">
      <c r="J122" s="56"/>
      <c r="K122" s="54"/>
      <c r="L122" s="55"/>
      <c r="M122" s="55"/>
      <c r="N122" s="55"/>
      <c r="O122" s="56"/>
      <c r="P122" s="54"/>
      <c r="Q122" s="55"/>
      <c r="R122" s="55"/>
      <c r="S122" s="55"/>
      <c r="T122" s="56"/>
    </row>
    <row r="123" spans="1:20" ht="12.75" x14ac:dyDescent="0.2">
      <c r="D123" s="15" t="str">
        <f t="shared" ref="D123:D128" si="54">D18</f>
        <v>Overhead assets</v>
      </c>
      <c r="E123" s="50" t="s">
        <v>92</v>
      </c>
      <c r="F123" s="50" t="str">
        <f t="shared" ref="F123:F128" si="55">Dollars</f>
        <v>Dollars</v>
      </c>
      <c r="G123" s="50" t="str">
        <f t="shared" ref="G123:G128" si="56">Nominal</f>
        <v>Nominal</v>
      </c>
      <c r="H123" s="50" t="str">
        <f t="shared" ref="H123:H128" si="57">End_year</f>
        <v>End year</v>
      </c>
      <c r="J123" s="61">
        <f t="shared" ref="J123:T123" si="58">J93+J108</f>
        <v>1739.6411920154253</v>
      </c>
      <c r="K123" s="59">
        <f t="shared" si="58"/>
        <v>1785.3894656396385</v>
      </c>
      <c r="L123" s="60">
        <f t="shared" si="58"/>
        <v>1802.8356323679084</v>
      </c>
      <c r="M123" s="60">
        <f t="shared" si="58"/>
        <v>1784.1129866829754</v>
      </c>
      <c r="N123" s="60">
        <f t="shared" si="58"/>
        <v>1894.0185865542235</v>
      </c>
      <c r="O123" s="61">
        <f t="shared" si="58"/>
        <v>2067.047361866079</v>
      </c>
      <c r="P123" s="59">
        <f t="shared" si="58"/>
        <v>2467.3971803600843</v>
      </c>
      <c r="Q123" s="60">
        <f t="shared" si="58"/>
        <v>3349.3985785430341</v>
      </c>
      <c r="R123" s="60">
        <f t="shared" si="58"/>
        <v>3363.7046055026831</v>
      </c>
      <c r="S123" s="60">
        <f t="shared" si="58"/>
        <v>3352.9581362558347</v>
      </c>
      <c r="T123" s="61">
        <f t="shared" si="58"/>
        <v>3384.6294586059098</v>
      </c>
    </row>
    <row r="124" spans="1:20" ht="12.75" x14ac:dyDescent="0.2">
      <c r="D124" s="15" t="str">
        <f t="shared" si="54"/>
        <v>Underground assets</v>
      </c>
      <c r="E124" s="50" t="s">
        <v>92</v>
      </c>
      <c r="F124" s="50" t="str">
        <f t="shared" si="55"/>
        <v>Dollars</v>
      </c>
      <c r="G124" s="50" t="str">
        <f t="shared" si="56"/>
        <v>Nominal</v>
      </c>
      <c r="H124" s="50" t="str">
        <f t="shared" si="57"/>
        <v>End year</v>
      </c>
      <c r="J124" s="61">
        <f t="shared" ref="J124:T124" si="59">J94+J109</f>
        <v>200.87244463236121</v>
      </c>
      <c r="K124" s="59">
        <f t="shared" si="59"/>
        <v>196.7840781880985</v>
      </c>
      <c r="L124" s="60">
        <f t="shared" si="59"/>
        <v>192.59681174360585</v>
      </c>
      <c r="M124" s="60">
        <f t="shared" si="59"/>
        <v>186.30139275260683</v>
      </c>
      <c r="N124" s="60">
        <f t="shared" si="59"/>
        <v>185.28993701407683</v>
      </c>
      <c r="O124" s="61">
        <f t="shared" si="59"/>
        <v>186.72361179289112</v>
      </c>
      <c r="P124" s="59">
        <f t="shared" si="59"/>
        <v>182.45615525011667</v>
      </c>
      <c r="Q124" s="60">
        <f t="shared" si="59"/>
        <v>177.88501812025746</v>
      </c>
      <c r="R124" s="60">
        <f t="shared" si="59"/>
        <v>177.30018371776109</v>
      </c>
      <c r="S124" s="60">
        <f t="shared" si="59"/>
        <v>172.08879316170285</v>
      </c>
      <c r="T124" s="61">
        <f t="shared" si="59"/>
        <v>170.30509953222517</v>
      </c>
    </row>
    <row r="125" spans="1:20" ht="12.75" x14ac:dyDescent="0.2">
      <c r="D125" s="15" t="str">
        <f t="shared" si="54"/>
        <v>Switchyards, substations</v>
      </c>
      <c r="E125" s="50" t="s">
        <v>92</v>
      </c>
      <c r="F125" s="50" t="str">
        <f t="shared" si="55"/>
        <v>Dollars</v>
      </c>
      <c r="G125" s="50" t="str">
        <f t="shared" si="56"/>
        <v>Nominal</v>
      </c>
      <c r="H125" s="50" t="str">
        <f t="shared" si="57"/>
        <v>End year</v>
      </c>
      <c r="J125" s="61">
        <f t="shared" ref="J125:T125" si="60">J95+J110</f>
        <v>2938.4753803232793</v>
      </c>
      <c r="K125" s="59">
        <f t="shared" si="60"/>
        <v>2978.1247754774736</v>
      </c>
      <c r="L125" s="60">
        <f t="shared" si="60"/>
        <v>2988.8379823274531</v>
      </c>
      <c r="M125" s="60">
        <f t="shared" si="60"/>
        <v>2982.9530399144592</v>
      </c>
      <c r="N125" s="60">
        <f t="shared" si="60"/>
        <v>3240.1560082789865</v>
      </c>
      <c r="O125" s="61">
        <f t="shared" si="60"/>
        <v>3381.463091524919</v>
      </c>
      <c r="P125" s="59">
        <f t="shared" si="60"/>
        <v>3548.2937663505359</v>
      </c>
      <c r="Q125" s="60">
        <f t="shared" si="60"/>
        <v>3688.1761890318867</v>
      </c>
      <c r="R125" s="60">
        <f t="shared" si="60"/>
        <v>3754.4473714750779</v>
      </c>
      <c r="S125" s="60">
        <f t="shared" si="60"/>
        <v>3745.6869475839776</v>
      </c>
      <c r="T125" s="61">
        <f t="shared" si="60"/>
        <v>3786.9449665172797</v>
      </c>
    </row>
    <row r="126" spans="1:20" ht="12.75" x14ac:dyDescent="0.2">
      <c r="D126" s="15" t="str">
        <f t="shared" si="54"/>
        <v>Easements</v>
      </c>
      <c r="E126" s="50" t="s">
        <v>92</v>
      </c>
      <c r="F126" s="50" t="str">
        <f t="shared" si="55"/>
        <v>Dollars</v>
      </c>
      <c r="G126" s="50" t="str">
        <f t="shared" si="56"/>
        <v>Nominal</v>
      </c>
      <c r="H126" s="50" t="str">
        <f t="shared" si="57"/>
        <v>End year</v>
      </c>
      <c r="J126" s="61">
        <f t="shared" ref="J126:T126" si="61">J96+J111</f>
        <v>887.17675670501319</v>
      </c>
      <c r="K126" s="59">
        <f t="shared" si="61"/>
        <v>904.14875359410485</v>
      </c>
      <c r="L126" s="60">
        <f t="shared" si="61"/>
        <v>924.27658604316616</v>
      </c>
      <c r="M126" s="60">
        <f t="shared" si="61"/>
        <v>932.55410670332913</v>
      </c>
      <c r="N126" s="60">
        <f t="shared" si="61"/>
        <v>962.59786258268377</v>
      </c>
      <c r="O126" s="61">
        <f t="shared" si="61"/>
        <v>979.98601768690287</v>
      </c>
      <c r="P126" s="59">
        <f t="shared" si="61"/>
        <v>1078.6981536843543</v>
      </c>
      <c r="Q126" s="60">
        <f t="shared" si="61"/>
        <v>1292.0405812731565</v>
      </c>
      <c r="R126" s="60">
        <f t="shared" si="61"/>
        <v>1322.0633832010146</v>
      </c>
      <c r="S126" s="60">
        <f t="shared" si="61"/>
        <v>1352.7837277220056</v>
      </c>
      <c r="T126" s="61">
        <f t="shared" si="61"/>
        <v>1402.9209607127179</v>
      </c>
    </row>
    <row r="127" spans="1:20" ht="12.75" x14ac:dyDescent="0.2">
      <c r="D127" s="15" t="str">
        <f t="shared" si="54"/>
        <v>“Other” asset items with long lives</v>
      </c>
      <c r="E127" s="50" t="s">
        <v>92</v>
      </c>
      <c r="F127" s="50" t="str">
        <f t="shared" si="55"/>
        <v>Dollars</v>
      </c>
      <c r="G127" s="50" t="str">
        <f t="shared" si="56"/>
        <v>Nominal</v>
      </c>
      <c r="H127" s="50" t="str">
        <f t="shared" si="57"/>
        <v>End year</v>
      </c>
      <c r="J127" s="61">
        <f t="shared" ref="J127:T127" si="62">J97+J112</f>
        <v>368.62346883130499</v>
      </c>
      <c r="K127" s="59">
        <f t="shared" si="62"/>
        <v>393.59093037796259</v>
      </c>
      <c r="L127" s="60">
        <f t="shared" si="62"/>
        <v>406.96455058718811</v>
      </c>
      <c r="M127" s="60">
        <f t="shared" si="62"/>
        <v>405.87595198983507</v>
      </c>
      <c r="N127" s="60">
        <f t="shared" si="62"/>
        <v>481.13150290759756</v>
      </c>
      <c r="O127" s="61">
        <f t="shared" si="62"/>
        <v>414.93873638270719</v>
      </c>
      <c r="P127" s="59">
        <f t="shared" si="62"/>
        <v>493.4909902092179</v>
      </c>
      <c r="Q127" s="60">
        <f t="shared" si="62"/>
        <v>617.31560796732742</v>
      </c>
      <c r="R127" s="60">
        <f t="shared" si="62"/>
        <v>653.70747166300907</v>
      </c>
      <c r="S127" s="60">
        <f t="shared" si="62"/>
        <v>687.86980099900211</v>
      </c>
      <c r="T127" s="61">
        <f t="shared" si="62"/>
        <v>789.53939240823183</v>
      </c>
    </row>
    <row r="128" spans="1:20" ht="12.75" x14ac:dyDescent="0.2">
      <c r="D128" s="15" t="str">
        <f t="shared" si="54"/>
        <v>“Other” asset items with short lives</v>
      </c>
      <c r="E128" s="50" t="s">
        <v>92</v>
      </c>
      <c r="F128" s="50" t="str">
        <f t="shared" si="55"/>
        <v>Dollars</v>
      </c>
      <c r="G128" s="50" t="str">
        <f t="shared" si="56"/>
        <v>Nominal</v>
      </c>
      <c r="H128" s="50" t="str">
        <f t="shared" si="57"/>
        <v>End year</v>
      </c>
      <c r="J128" s="61">
        <f t="shared" ref="J128:T128" si="63">J98+J113</f>
        <v>66.108684612442204</v>
      </c>
      <c r="K128" s="59">
        <f t="shared" si="63"/>
        <v>75.475641269972755</v>
      </c>
      <c r="L128" s="60">
        <f t="shared" si="63"/>
        <v>74.349378776506896</v>
      </c>
      <c r="M128" s="60">
        <f t="shared" si="63"/>
        <v>67.653509256245016</v>
      </c>
      <c r="N128" s="60">
        <f t="shared" si="63"/>
        <v>89.641832108294253</v>
      </c>
      <c r="O128" s="61">
        <f t="shared" si="63"/>
        <v>54.156229477783185</v>
      </c>
      <c r="P128" s="59">
        <f t="shared" si="63"/>
        <v>85.929572443279014</v>
      </c>
      <c r="Q128" s="60">
        <f t="shared" si="63"/>
        <v>115.53479664993138</v>
      </c>
      <c r="R128" s="60">
        <f t="shared" si="63"/>
        <v>121.1160996964996</v>
      </c>
      <c r="S128" s="60">
        <f t="shared" si="63"/>
        <v>133.39294673161879</v>
      </c>
      <c r="T128" s="61">
        <f t="shared" si="63"/>
        <v>134.76590707784834</v>
      </c>
    </row>
    <row r="129" spans="1:20" x14ac:dyDescent="0.2">
      <c r="J129" s="56"/>
      <c r="K129" s="54"/>
      <c r="L129" s="55"/>
      <c r="M129" s="55"/>
      <c r="N129" s="55"/>
      <c r="O129" s="56"/>
      <c r="P129" s="54"/>
      <c r="Q129" s="55"/>
      <c r="R129" s="55"/>
      <c r="S129" s="55"/>
      <c r="T129" s="56"/>
    </row>
    <row r="130" spans="1:20" ht="12.75" x14ac:dyDescent="0.2">
      <c r="D130" s="49" t="str">
        <f>"Total "&amp;D121</f>
        <v>Total EB RIN Categories</v>
      </c>
      <c r="E130" s="45" t="s">
        <v>92</v>
      </c>
      <c r="F130" s="45" t="str">
        <f>F123</f>
        <v>Dollars</v>
      </c>
      <c r="G130" s="45" t="str">
        <f>G123</f>
        <v>Nominal</v>
      </c>
      <c r="H130" s="45" t="str">
        <f>H123</f>
        <v>End year</v>
      </c>
      <c r="J130" s="58">
        <f t="shared" ref="J130:T130" si="64">SUM(J123:J128)</f>
        <v>6200.8979271198268</v>
      </c>
      <c r="K130" s="57">
        <f t="shared" si="64"/>
        <v>6333.5136445472508</v>
      </c>
      <c r="L130" s="44">
        <f t="shared" si="64"/>
        <v>6389.8609418458282</v>
      </c>
      <c r="M130" s="44">
        <f t="shared" si="64"/>
        <v>6359.4509872994504</v>
      </c>
      <c r="N130" s="44">
        <f t="shared" si="64"/>
        <v>6852.8357294458629</v>
      </c>
      <c r="O130" s="58">
        <f t="shared" si="64"/>
        <v>7084.3150487312823</v>
      </c>
      <c r="P130" s="57">
        <f t="shared" si="64"/>
        <v>7856.2658182975874</v>
      </c>
      <c r="Q130" s="44">
        <f t="shared" si="64"/>
        <v>9240.3507715855958</v>
      </c>
      <c r="R130" s="44">
        <f t="shared" si="64"/>
        <v>9392.3391152560453</v>
      </c>
      <c r="S130" s="44">
        <f t="shared" si="64"/>
        <v>9444.7803524541432</v>
      </c>
      <c r="T130" s="58">
        <f t="shared" si="64"/>
        <v>9669.1057848542132</v>
      </c>
    </row>
    <row r="131" spans="1:20" s="6" customFormat="1" ht="4.5" customHeight="1" x14ac:dyDescent="0.2"/>
    <row r="132" spans="1:20" s="6" customFormat="1" ht="11.25" customHeight="1" x14ac:dyDescent="0.2">
      <c r="A132" s="47">
        <f>IF(SUM($J132:$T132)&lt;&gt;0,1,0)</f>
        <v>0</v>
      </c>
      <c r="D132" s="15" t="s">
        <v>95</v>
      </c>
      <c r="J132" s="63">
        <f>IF(ROUND(J130-Input_RAB!J$487,3)=0,0,1)</f>
        <v>0</v>
      </c>
      <c r="K132" s="63">
        <f>IF(ROUND(K130-Input_RAB!K$487,3)=0,0,1)</f>
        <v>0</v>
      </c>
      <c r="L132" s="63">
        <f>IF(ROUND(L130-Input_RAB!L$487,3)=0,0,1)</f>
        <v>0</v>
      </c>
      <c r="M132" s="63">
        <f>IF(ROUND(M130-Input_RAB!M$487,3)=0,0,1)</f>
        <v>0</v>
      </c>
      <c r="N132" s="63">
        <f>IF(ROUND(N130-Input_RAB!N$487,3)=0,0,1)</f>
        <v>0</v>
      </c>
      <c r="O132" s="63">
        <f>IF(ROUND(O130-Input_RAB!O$487,3)=0,0,1)</f>
        <v>0</v>
      </c>
      <c r="P132" s="63">
        <f>IF(ROUND(P130-Input_RAB!P$487,3)=0,0,1)</f>
        <v>0</v>
      </c>
      <c r="Q132" s="63">
        <f>IF(ROUND(Q130-Input_RAB!Q$487,3)=0,0,1)</f>
        <v>0</v>
      </c>
      <c r="R132" s="63">
        <f>IF(ROUND(R130-Input_RAB!R$487,3)=0,0,1)</f>
        <v>0</v>
      </c>
      <c r="S132" s="63">
        <f>IF(ROUND(S130-Input_RAB!S$487,3)=0,0,1)</f>
        <v>0</v>
      </c>
      <c r="T132" s="63">
        <f>IF(ROUND(T130-Input_RAB!T$487,3)=0,0,1)</f>
        <v>0</v>
      </c>
    </row>
    <row r="133" spans="1:20" s="6" customFormat="1" ht="4.5" customHeight="1" x14ac:dyDescent="0.2"/>
    <row r="134" spans="1:20" s="4" customFormat="1" ht="15.75" x14ac:dyDescent="0.2">
      <c r="B134" s="4" t="s">
        <v>33</v>
      </c>
    </row>
  </sheetData>
  <conditionalFormatting sqref="B2">
    <cfRule type="cellIs" dxfId="6" priority="1" operator="notEqual">
      <formula>"No Errors Found"</formula>
    </cfRule>
  </conditionalFormatting>
  <hyperlinks>
    <hyperlink ref="B3:E3" location="TOC!A1" display="TOC!A1"/>
  </hyperlinks>
  <pageMargins left="0.7" right="0.7" top="0.75" bottom="0.75" header="0.3" footer="0.3"/>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112"/>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B11" sqref="B11"/>
    </sheetView>
  </sheetViews>
  <sheetFormatPr defaultColWidth="9.33203125" defaultRowHeight="11.25" outlineLevelRow="1" x14ac:dyDescent="0.2"/>
  <cols>
    <col min="1" max="1" width="3.33203125" style="7" customWidth="1"/>
    <col min="2" max="3" width="2.83203125" style="7" customWidth="1"/>
    <col min="4" max="4" width="47.5" style="7" customWidth="1"/>
    <col min="5" max="5" width="14.33203125" style="7" bestFit="1" customWidth="1"/>
    <col min="6" max="6" width="9.1640625" style="7" customWidth="1"/>
    <col min="7" max="7" width="12" style="7" customWidth="1"/>
    <col min="8" max="8" width="10" style="7" customWidth="1"/>
    <col min="9" max="9" width="4.5" style="7" customWidth="1"/>
    <col min="10" max="20" width="12.83203125" style="7" customWidth="1"/>
    <col min="21" max="21" width="4.33203125" style="7" customWidth="1"/>
    <col min="22" max="23" width="10.83203125" style="7" customWidth="1"/>
    <col min="24" max="16384" width="9.33203125" style="7"/>
  </cols>
  <sheetData>
    <row r="1" spans="1:20" ht="19.5" x14ac:dyDescent="0.2">
      <c r="A1" s="47">
        <f>IF(SUM($A11:$A112)&gt;0,1,0)</f>
        <v>0</v>
      </c>
      <c r="B1" s="5" t="s">
        <v>261</v>
      </c>
    </row>
    <row r="2" spans="1:20" x14ac:dyDescent="0.2">
      <c r="B2" s="18" t="str">
        <f>Title_Msg</f>
        <v>No Errors Found</v>
      </c>
    </row>
    <row r="3" spans="1:20" x14ac:dyDescent="0.2">
      <c r="B3" s="35" t="str">
        <f>TOC!B1</f>
        <v>Table of Contents</v>
      </c>
      <c r="C3" s="34"/>
      <c r="D3" s="34"/>
      <c r="E3" s="34"/>
    </row>
    <row r="4" spans="1:20" ht="12.75" x14ac:dyDescent="0.2">
      <c r="B4" s="33" t="str">
        <f>Model_Name</f>
        <v>TransGrid - EB RIN RAB Allocation</v>
      </c>
    </row>
    <row r="5" spans="1:20" ht="12.75" hidden="1" outlineLevel="1" x14ac:dyDescent="0.2">
      <c r="B5" s="15" t="str">
        <f>Lookup!B15</f>
        <v>Period Start Date</v>
      </c>
      <c r="J5" s="40">
        <f>Lookup!R15</f>
        <v>42917</v>
      </c>
      <c r="K5" s="40">
        <f>Lookup!S15</f>
        <v>43282</v>
      </c>
      <c r="L5" s="40">
        <f>Lookup!T15</f>
        <v>43647</v>
      </c>
      <c r="M5" s="40">
        <f>Lookup!U15</f>
        <v>44013</v>
      </c>
      <c r="N5" s="40">
        <f>Lookup!V15</f>
        <v>44378</v>
      </c>
      <c r="O5" s="40">
        <f>Lookup!W15</f>
        <v>44743</v>
      </c>
      <c r="P5" s="40">
        <f>Lookup!X15</f>
        <v>45108</v>
      </c>
      <c r="Q5" s="40">
        <f>Lookup!Y15</f>
        <v>45474</v>
      </c>
      <c r="R5" s="40">
        <f>Lookup!Z15</f>
        <v>45839</v>
      </c>
      <c r="S5" s="40">
        <f>Lookup!AA15</f>
        <v>46204</v>
      </c>
      <c r="T5" s="40">
        <f>Lookup!AB15</f>
        <v>46569</v>
      </c>
    </row>
    <row r="6" spans="1:20" ht="12.75" hidden="1" outlineLevel="1" x14ac:dyDescent="0.2">
      <c r="B6" s="15" t="str">
        <f>Lookup!B16</f>
        <v>Period End Date</v>
      </c>
      <c r="J6" s="40">
        <f>Lookup!R16</f>
        <v>43281</v>
      </c>
      <c r="K6" s="40">
        <f>Lookup!S16</f>
        <v>43646</v>
      </c>
      <c r="L6" s="40">
        <f>Lookup!T16</f>
        <v>44012</v>
      </c>
      <c r="M6" s="40">
        <f>Lookup!U16</f>
        <v>44377</v>
      </c>
      <c r="N6" s="40">
        <f>Lookup!V16</f>
        <v>44742</v>
      </c>
      <c r="O6" s="40">
        <f>Lookup!W16</f>
        <v>45107</v>
      </c>
      <c r="P6" s="40">
        <f>Lookup!X16</f>
        <v>45473</v>
      </c>
      <c r="Q6" s="40">
        <f>Lookup!Y16</f>
        <v>45838</v>
      </c>
      <c r="R6" s="40">
        <f>Lookup!Z16</f>
        <v>46203</v>
      </c>
      <c r="S6" s="40">
        <f>Lookup!AA16</f>
        <v>46568</v>
      </c>
      <c r="T6" s="40">
        <f>Lookup!AB16</f>
        <v>46934</v>
      </c>
    </row>
    <row r="7" spans="1:20" ht="12.75" hidden="1" outlineLevel="1" x14ac:dyDescent="0.2">
      <c r="B7" s="15" t="str">
        <f>Lookup!B17</f>
        <v>Period Counter</v>
      </c>
      <c r="J7" s="41">
        <f>Lookup!R17</f>
        <v>9</v>
      </c>
      <c r="K7" s="41">
        <f>Lookup!S17</f>
        <v>10</v>
      </c>
      <c r="L7" s="41">
        <f>Lookup!T17</f>
        <v>11</v>
      </c>
      <c r="M7" s="41">
        <f>Lookup!U17</f>
        <v>12</v>
      </c>
      <c r="N7" s="41">
        <f>Lookup!V17</f>
        <v>13</v>
      </c>
      <c r="O7" s="41">
        <f>Lookup!W17</f>
        <v>14</v>
      </c>
      <c r="P7" s="41">
        <f>Lookup!X17</f>
        <v>15</v>
      </c>
      <c r="Q7" s="41">
        <f>Lookup!Y17</f>
        <v>16</v>
      </c>
      <c r="R7" s="41">
        <f>Lookup!Z17</f>
        <v>17</v>
      </c>
      <c r="S7" s="41">
        <f>Lookup!AA17</f>
        <v>18</v>
      </c>
      <c r="T7" s="41">
        <f>Lookup!AB17</f>
        <v>19</v>
      </c>
    </row>
    <row r="8" spans="1:20" ht="12.75" hidden="1" outlineLevel="1" x14ac:dyDescent="0.2">
      <c r="B8" s="15" t="str">
        <f>Lookup!B18</f>
        <v>Year</v>
      </c>
      <c r="J8" s="42">
        <f>Lookup!R18</f>
        <v>2018</v>
      </c>
      <c r="K8" s="42">
        <f>Lookup!S18</f>
        <v>2019</v>
      </c>
      <c r="L8" s="42">
        <f>Lookup!T18</f>
        <v>2020</v>
      </c>
      <c r="M8" s="42">
        <f>Lookup!U18</f>
        <v>2021</v>
      </c>
      <c r="N8" s="42">
        <f>Lookup!V18</f>
        <v>2022</v>
      </c>
      <c r="O8" s="42">
        <f>Lookup!W18</f>
        <v>2023</v>
      </c>
      <c r="P8" s="42">
        <f>Lookup!X18</f>
        <v>2024</v>
      </c>
      <c r="Q8" s="42">
        <f>Lookup!Y18</f>
        <v>2025</v>
      </c>
      <c r="R8" s="42">
        <f>Lookup!Z18</f>
        <v>2026</v>
      </c>
      <c r="S8" s="42">
        <f>Lookup!AA18</f>
        <v>2027</v>
      </c>
      <c r="T8" s="42">
        <f>Lookup!AB18</f>
        <v>2028</v>
      </c>
    </row>
    <row r="9" spans="1:20" ht="12.75" hidden="1" outlineLevel="1" x14ac:dyDescent="0.2">
      <c r="B9" s="15" t="str">
        <f>Lookup!B19</f>
        <v>Period Type</v>
      </c>
      <c r="J9" s="42" t="str">
        <f>Lookup!R19</f>
        <v>Actual</v>
      </c>
      <c r="K9" s="42" t="str">
        <f>Lookup!S19</f>
        <v>Actual</v>
      </c>
      <c r="L9" s="42" t="str">
        <f>Lookup!T19</f>
        <v>Actual</v>
      </c>
      <c r="M9" s="42" t="str">
        <f>Lookup!U19</f>
        <v>Actual</v>
      </c>
      <c r="N9" s="42" t="str">
        <f>Lookup!V19</f>
        <v>Base Year</v>
      </c>
      <c r="O9" s="42" t="str">
        <f>Lookup!W19</f>
        <v>Estimate</v>
      </c>
      <c r="P9" s="42" t="str">
        <f>Lookup!X19</f>
        <v>Forecast</v>
      </c>
      <c r="Q9" s="42" t="str">
        <f>Lookup!Y19</f>
        <v>Forecast</v>
      </c>
      <c r="R9" s="42" t="str">
        <f>Lookup!Z19</f>
        <v>Forecast</v>
      </c>
      <c r="S9" s="42" t="str">
        <f>Lookup!AA19</f>
        <v>Forecast</v>
      </c>
      <c r="T9" s="42" t="str">
        <f>Lookup!AB19</f>
        <v>Forecast</v>
      </c>
    </row>
    <row r="10" spans="1:20" ht="12.75" collapsed="1" x14ac:dyDescent="0.2">
      <c r="B10" s="10" t="str">
        <f>Lookup!B20</f>
        <v>Regulatory Year</v>
      </c>
      <c r="E10" s="39" t="str">
        <f>Lookup!E20</f>
        <v>Source</v>
      </c>
      <c r="F10" s="39" t="str">
        <f>Lookup!F20</f>
        <v>Unit</v>
      </c>
      <c r="G10" s="39" t="str">
        <f>Lookup!G20</f>
        <v>Basis</v>
      </c>
      <c r="H10" s="39" t="str">
        <f>Lookup!H20</f>
        <v>Timing</v>
      </c>
      <c r="I10" s="39"/>
      <c r="J10" s="39" t="str">
        <f>Lookup!R20</f>
        <v>RY18</v>
      </c>
      <c r="K10" s="39" t="str">
        <f>Lookup!S20</f>
        <v>RY19</v>
      </c>
      <c r="L10" s="39" t="str">
        <f>Lookup!T20</f>
        <v>RY20</v>
      </c>
      <c r="M10" s="39" t="str">
        <f>Lookup!U20</f>
        <v>RY21</v>
      </c>
      <c r="N10" s="39" t="str">
        <f>Lookup!V20</f>
        <v>RY22</v>
      </c>
      <c r="O10" s="39" t="str">
        <f>Lookup!W20</f>
        <v>RY23</v>
      </c>
      <c r="P10" s="39" t="str">
        <f>Lookup!X20</f>
        <v>RY24</v>
      </c>
      <c r="Q10" s="39" t="str">
        <f>Lookup!Y20</f>
        <v>RY25</v>
      </c>
      <c r="R10" s="39" t="str">
        <f>Lookup!Z20</f>
        <v>RY26</v>
      </c>
      <c r="S10" s="39" t="str">
        <f>Lookup!AA20</f>
        <v>RY27</v>
      </c>
      <c r="T10" s="39" t="str">
        <f>Lookup!AB20</f>
        <v>RY28</v>
      </c>
    </row>
    <row r="12" spans="1:20" s="4" customFormat="1" ht="15.75" x14ac:dyDescent="0.2">
      <c r="B12" s="4" t="s">
        <v>124</v>
      </c>
    </row>
    <row r="13" spans="1:20" s="6" customFormat="1" ht="4.5" customHeight="1" x14ac:dyDescent="0.2"/>
    <row r="14" spans="1:20" ht="12.75" x14ac:dyDescent="0.2">
      <c r="D14" s="48" t="s">
        <v>90</v>
      </c>
      <c r="E14" s="43" t="str">
        <f>Lookup!E$20</f>
        <v>Source</v>
      </c>
      <c r="F14" s="43" t="str">
        <f>Lookup!F$20</f>
        <v>Unit</v>
      </c>
      <c r="G14" s="43" t="str">
        <f>Lookup!G$20</f>
        <v>Basis</v>
      </c>
      <c r="H14" s="43" t="str">
        <f>Lookup!H$20</f>
        <v>Timing</v>
      </c>
      <c r="J14" s="53" t="str">
        <f t="shared" ref="J14:T14" si="0">J$10</f>
        <v>RY18</v>
      </c>
      <c r="K14" s="52" t="str">
        <f t="shared" si="0"/>
        <v>RY19</v>
      </c>
      <c r="L14" s="43" t="str">
        <f>L$10</f>
        <v>RY20</v>
      </c>
      <c r="M14" s="43" t="str">
        <f t="shared" si="0"/>
        <v>RY21</v>
      </c>
      <c r="N14" s="43" t="str">
        <f t="shared" si="0"/>
        <v>RY22</v>
      </c>
      <c r="O14" s="53" t="str">
        <f t="shared" si="0"/>
        <v>RY23</v>
      </c>
      <c r="P14" s="52" t="str">
        <f t="shared" si="0"/>
        <v>RY24</v>
      </c>
      <c r="Q14" s="43" t="str">
        <f>Q$10</f>
        <v>RY25</v>
      </c>
      <c r="R14" s="43" t="str">
        <f t="shared" si="0"/>
        <v>RY26</v>
      </c>
      <c r="S14" s="43" t="str">
        <f t="shared" si="0"/>
        <v>RY27</v>
      </c>
      <c r="T14" s="53" t="str">
        <f t="shared" si="0"/>
        <v>RY28</v>
      </c>
    </row>
    <row r="15" spans="1:20" x14ac:dyDescent="0.2">
      <c r="J15" s="56"/>
      <c r="K15" s="54"/>
      <c r="L15" s="55"/>
      <c r="M15" s="55"/>
      <c r="N15" s="55"/>
      <c r="O15" s="56"/>
      <c r="P15" s="54"/>
      <c r="Q15" s="55"/>
      <c r="R15" s="55"/>
      <c r="S15" s="55"/>
      <c r="T15" s="56"/>
    </row>
    <row r="16" spans="1:20" ht="12.75" x14ac:dyDescent="0.2">
      <c r="D16" s="15" t="str">
        <f>Calc_EB!$C$14</f>
        <v>Opening Balance</v>
      </c>
      <c r="E16" s="50" t="s">
        <v>92</v>
      </c>
      <c r="F16" s="50" t="str">
        <f>Dollars</f>
        <v>Dollars</v>
      </c>
      <c r="G16" s="50" t="str">
        <f>Nominal</f>
        <v>Nominal</v>
      </c>
      <c r="H16" s="50" t="str">
        <f>Start_year</f>
        <v>Start year</v>
      </c>
      <c r="J16" s="61">
        <f t="shared" ref="J16:T16" si="1">J32+J46+J60+J74+J88+J102</f>
        <v>6030.0106617457286</v>
      </c>
      <c r="K16" s="59">
        <f t="shared" si="1"/>
        <v>6200.8979271198268</v>
      </c>
      <c r="L16" s="60">
        <f t="shared" si="1"/>
        <v>6333.5136445472508</v>
      </c>
      <c r="M16" s="60">
        <f t="shared" si="1"/>
        <v>6389.8609418458282</v>
      </c>
      <c r="N16" s="60">
        <f t="shared" si="1"/>
        <v>6359.4509872994504</v>
      </c>
      <c r="O16" s="61">
        <f t="shared" si="1"/>
        <v>6852.8357294458629</v>
      </c>
      <c r="P16" s="59">
        <f t="shared" si="1"/>
        <v>7084.3150487312823</v>
      </c>
      <c r="Q16" s="60">
        <f t="shared" si="1"/>
        <v>7856.2658182975874</v>
      </c>
      <c r="R16" s="60">
        <f t="shared" si="1"/>
        <v>9240.3507715855958</v>
      </c>
      <c r="S16" s="60">
        <f t="shared" si="1"/>
        <v>9392.3391152560453</v>
      </c>
      <c r="T16" s="61">
        <f t="shared" si="1"/>
        <v>9444.7803524541432</v>
      </c>
    </row>
    <row r="17" spans="1:20" ht="12.75" x14ac:dyDescent="0.2">
      <c r="D17" s="15" t="str">
        <f>Calc_EB!$C$29</f>
        <v>Inflation</v>
      </c>
      <c r="E17" s="50" t="s">
        <v>92</v>
      </c>
      <c r="F17" s="50" t="str">
        <f>Dollars</f>
        <v>Dollars</v>
      </c>
      <c r="G17" s="50" t="str">
        <f>Nominal</f>
        <v>Nominal</v>
      </c>
      <c r="H17" s="50" t="str">
        <f>End_year</f>
        <v>End year</v>
      </c>
      <c r="J17" s="61">
        <f t="shared" ref="J17:T17" si="2">J33+J47+J61+J75+J89+J103</f>
        <v>115.11838536060002</v>
      </c>
      <c r="K17" s="59">
        <f t="shared" si="2"/>
        <v>110.63154196467194</v>
      </c>
      <c r="L17" s="60">
        <f t="shared" si="2"/>
        <v>116.56773578921394</v>
      </c>
      <c r="M17" s="60">
        <f t="shared" si="2"/>
        <v>54.990197434129215</v>
      </c>
      <c r="N17" s="60">
        <f t="shared" si="2"/>
        <v>206.68215708723216</v>
      </c>
      <c r="O17" s="61">
        <f t="shared" si="2"/>
        <v>154.18880391253191</v>
      </c>
      <c r="P17" s="59">
        <f t="shared" si="2"/>
        <v>166.47813583509995</v>
      </c>
      <c r="Q17" s="60">
        <f t="shared" si="2"/>
        <v>184.61862283911657</v>
      </c>
      <c r="R17" s="60">
        <f t="shared" si="2"/>
        <v>217.14398079903171</v>
      </c>
      <c r="S17" s="60">
        <f t="shared" si="2"/>
        <v>220.71563676702158</v>
      </c>
      <c r="T17" s="61">
        <f t="shared" si="2"/>
        <v>221.94798165139946</v>
      </c>
    </row>
    <row r="18" spans="1:20" ht="12.75" x14ac:dyDescent="0.2">
      <c r="D18" s="15" t="str">
        <f>Calc_EB!$C$44</f>
        <v>Straight Line Depreciation</v>
      </c>
      <c r="E18" s="50" t="s">
        <v>92</v>
      </c>
      <c r="F18" s="50" t="str">
        <f>Dollars</f>
        <v>Dollars</v>
      </c>
      <c r="G18" s="50" t="str">
        <f>Nominal</f>
        <v>Nominal</v>
      </c>
      <c r="H18" s="50" t="str">
        <f>End_year</f>
        <v>End year</v>
      </c>
      <c r="J18" s="61">
        <f t="shared" ref="J18:T18" si="3">J34+J48+J62+J76+J90+J104</f>
        <v>-265.03896694009853</v>
      </c>
      <c r="K18" s="59">
        <f t="shared" si="3"/>
        <v>-255.96776314920797</v>
      </c>
      <c r="L18" s="60">
        <f t="shared" si="3"/>
        <v>-275.10915736428569</v>
      </c>
      <c r="M18" s="60">
        <f t="shared" si="3"/>
        <v>-289.98151567697636</v>
      </c>
      <c r="N18" s="60">
        <f t="shared" si="3"/>
        <v>-291.47286238648007</v>
      </c>
      <c r="O18" s="61">
        <f t="shared" si="3"/>
        <v>-315.90566222280529</v>
      </c>
      <c r="P18" s="59">
        <f t="shared" si="3"/>
        <v>-316.05920019956125</v>
      </c>
      <c r="Q18" s="60">
        <f t="shared" si="3"/>
        <v>-354.52422471455765</v>
      </c>
      <c r="R18" s="60">
        <f t="shared" si="3"/>
        <v>-397.03233050840407</v>
      </c>
      <c r="S18" s="60">
        <f t="shared" si="3"/>
        <v>-412.50994046867686</v>
      </c>
      <c r="T18" s="61">
        <f t="shared" si="3"/>
        <v>-430.04077975341795</v>
      </c>
    </row>
    <row r="19" spans="1:20" ht="12.75" x14ac:dyDescent="0.2">
      <c r="D19" s="15" t="str">
        <f>Calc_EB!$C$59</f>
        <v>RAB Additions</v>
      </c>
      <c r="E19" s="50" t="s">
        <v>92</v>
      </c>
      <c r="F19" s="50" t="str">
        <f>Dollars</f>
        <v>Dollars</v>
      </c>
      <c r="G19" s="50" t="str">
        <f>Nominal</f>
        <v>Nominal</v>
      </c>
      <c r="H19" s="50" t="str">
        <f>End_year</f>
        <v>End year</v>
      </c>
      <c r="J19" s="61">
        <f t="shared" ref="J19:T19" si="4">J35+J49+J63+J77+J91+J105</f>
        <v>320.8078469535958</v>
      </c>
      <c r="K19" s="59">
        <f t="shared" si="4"/>
        <v>282.253936996633</v>
      </c>
      <c r="L19" s="60">
        <f t="shared" si="4"/>
        <v>217.11557266533521</v>
      </c>
      <c r="M19" s="60">
        <f t="shared" si="4"/>
        <v>208.49198247683933</v>
      </c>
      <c r="N19" s="60">
        <f t="shared" si="4"/>
        <v>582.56839594597</v>
      </c>
      <c r="O19" s="61">
        <f t="shared" si="4"/>
        <v>397.66616250343327</v>
      </c>
      <c r="P19" s="59">
        <f t="shared" si="4"/>
        <v>926.08239168923058</v>
      </c>
      <c r="Q19" s="60">
        <f t="shared" si="4"/>
        <v>1558.6480489301796</v>
      </c>
      <c r="R19" s="60">
        <f t="shared" si="4"/>
        <v>336.64363610169596</v>
      </c>
      <c r="S19" s="60">
        <f t="shared" si="4"/>
        <v>249.11450457671967</v>
      </c>
      <c r="T19" s="61">
        <f t="shared" si="4"/>
        <v>437.41184757492806</v>
      </c>
    </row>
    <row r="20" spans="1:20" ht="12.75" x14ac:dyDescent="0.2">
      <c r="D20" s="15" t="str">
        <f>Calc_EB!$C$74</f>
        <v>Disposals</v>
      </c>
      <c r="E20" s="50" t="s">
        <v>92</v>
      </c>
      <c r="F20" s="50" t="str">
        <f>Dollars</f>
        <v>Dollars</v>
      </c>
      <c r="G20" s="50" t="str">
        <f>Nominal</f>
        <v>Nominal</v>
      </c>
      <c r="H20" s="50" t="str">
        <f>End_year</f>
        <v>End year</v>
      </c>
      <c r="J20" s="61">
        <f t="shared" ref="J20:T22" si="5">J36+J50+J64+J78+J92+J106</f>
        <v>0</v>
      </c>
      <c r="K20" s="59">
        <f t="shared" si="5"/>
        <v>-4.3019983846726895</v>
      </c>
      <c r="L20" s="60">
        <f t="shared" si="5"/>
        <v>-2.2268537916851625</v>
      </c>
      <c r="M20" s="60">
        <f t="shared" si="5"/>
        <v>-3.9106187803706614</v>
      </c>
      <c r="N20" s="60">
        <f t="shared" si="5"/>
        <v>-4.3929485003102426</v>
      </c>
      <c r="O20" s="61">
        <f t="shared" si="5"/>
        <v>-4.4699849077400007</v>
      </c>
      <c r="P20" s="59">
        <f t="shared" si="5"/>
        <v>-4.5505577584634747</v>
      </c>
      <c r="Q20" s="60">
        <f t="shared" si="5"/>
        <v>-4.6574937667335519</v>
      </c>
      <c r="R20" s="60">
        <f t="shared" si="5"/>
        <v>-4.7669427218711773</v>
      </c>
      <c r="S20" s="60">
        <f t="shared" si="5"/>
        <v>-4.8789636769685849</v>
      </c>
      <c r="T20" s="61">
        <f t="shared" si="5"/>
        <v>-4.9936170728384308</v>
      </c>
    </row>
    <row r="21" spans="1:20" x14ac:dyDescent="0.2">
      <c r="J21" s="56"/>
      <c r="K21" s="54"/>
      <c r="L21" s="55"/>
      <c r="M21" s="55"/>
      <c r="N21" s="55"/>
      <c r="O21" s="56"/>
      <c r="P21" s="54"/>
      <c r="Q21" s="55"/>
      <c r="R21" s="55"/>
      <c r="S21" s="55"/>
      <c r="T21" s="56"/>
    </row>
    <row r="22" spans="1:20" ht="12.75" x14ac:dyDescent="0.2">
      <c r="D22" s="49" t="s">
        <v>110</v>
      </c>
      <c r="E22" s="45" t="s">
        <v>92</v>
      </c>
      <c r="F22" s="45" t="str">
        <f>F16</f>
        <v>Dollars</v>
      </c>
      <c r="G22" s="45" t="str">
        <f>G16</f>
        <v>Nominal</v>
      </c>
      <c r="H22" s="45" t="str">
        <f>End_year</f>
        <v>End year</v>
      </c>
      <c r="J22" s="58">
        <f t="shared" si="5"/>
        <v>6200.8979271198268</v>
      </c>
      <c r="K22" s="57">
        <f t="shared" si="5"/>
        <v>6333.5136445472508</v>
      </c>
      <c r="L22" s="44">
        <f t="shared" si="5"/>
        <v>6389.8609418458282</v>
      </c>
      <c r="M22" s="44">
        <f t="shared" si="5"/>
        <v>6359.4509872994504</v>
      </c>
      <c r="N22" s="44">
        <f t="shared" si="5"/>
        <v>6852.8357294458629</v>
      </c>
      <c r="O22" s="58">
        <f t="shared" si="5"/>
        <v>7084.3150487312823</v>
      </c>
      <c r="P22" s="57">
        <f t="shared" si="5"/>
        <v>7856.2658182975874</v>
      </c>
      <c r="Q22" s="44">
        <f t="shared" si="5"/>
        <v>9240.3507715855958</v>
      </c>
      <c r="R22" s="44">
        <f t="shared" si="5"/>
        <v>9392.3391152560453</v>
      </c>
      <c r="S22" s="44">
        <f t="shared" si="5"/>
        <v>9444.7803524541432</v>
      </c>
      <c r="T22" s="58">
        <f t="shared" si="5"/>
        <v>9669.1057848542132</v>
      </c>
    </row>
    <row r="23" spans="1:20" s="6" customFormat="1" ht="4.5" customHeight="1" x14ac:dyDescent="0.2"/>
    <row r="24" spans="1:20" s="6" customFormat="1" ht="11.25" customHeight="1" x14ac:dyDescent="0.2">
      <c r="A24" s="47">
        <f>IF(SUM($J24:$T24)&lt;&gt;0,1,0)</f>
        <v>0</v>
      </c>
      <c r="D24" s="15" t="s">
        <v>95</v>
      </c>
      <c r="J24" s="63">
        <f>IF(J22&lt;&gt;Calc_EB!J$130,1,0)</f>
        <v>0</v>
      </c>
      <c r="K24" s="63">
        <f>IF(K22&lt;&gt;Calc_EB!K$130,1,0)</f>
        <v>0</v>
      </c>
      <c r="L24" s="63">
        <f>IF(L22&lt;&gt;Calc_EB!L$130,1,0)</f>
        <v>0</v>
      </c>
      <c r="M24" s="63">
        <f>IF(M22&lt;&gt;Calc_EB!M$130,1,0)</f>
        <v>0</v>
      </c>
      <c r="N24" s="63">
        <f>IF(N22&lt;&gt;Calc_EB!N$130,1,0)</f>
        <v>0</v>
      </c>
      <c r="O24" s="63">
        <f>IF(O22&lt;&gt;Calc_EB!O$130,1,0)</f>
        <v>0</v>
      </c>
      <c r="P24" s="63">
        <f>IF(P22&lt;&gt;Calc_EB!P$130,1,0)</f>
        <v>0</v>
      </c>
      <c r="Q24" s="63">
        <f>IF(Q22&lt;&gt;Calc_EB!Q$130,1,0)</f>
        <v>0</v>
      </c>
      <c r="R24" s="63">
        <f>IF(R22&lt;&gt;Calc_EB!R$130,1,0)</f>
        <v>0</v>
      </c>
      <c r="S24" s="63">
        <f>IF(S22&lt;&gt;Calc_EB!S$130,1,0)</f>
        <v>0</v>
      </c>
      <c r="T24" s="63">
        <f>IF(T22&lt;&gt;Calc_EB!T$130,1,0)</f>
        <v>0</v>
      </c>
    </row>
    <row r="25" spans="1:20" s="6" customFormat="1" ht="4.5" customHeight="1" x14ac:dyDescent="0.2"/>
    <row r="26" spans="1:20" s="4" customFormat="1" ht="15.75" x14ac:dyDescent="0.2">
      <c r="B26" s="4" t="s">
        <v>113</v>
      </c>
    </row>
    <row r="27" spans="1:20" s="6" customFormat="1" ht="4.5" customHeight="1" x14ac:dyDescent="0.2"/>
    <row r="28" spans="1:20" s="13" customFormat="1" ht="15" x14ac:dyDescent="0.2">
      <c r="C28" s="13" t="str">
        <f>Lookup!$D$126</f>
        <v>Overhead assets</v>
      </c>
    </row>
    <row r="29" spans="1:20" s="6" customFormat="1" ht="4.5" customHeight="1" x14ac:dyDescent="0.2"/>
    <row r="30" spans="1:20" ht="12.75" x14ac:dyDescent="0.2">
      <c r="D30" s="48" t="s">
        <v>90</v>
      </c>
      <c r="E30" s="43" t="str">
        <f>Lookup!E$20</f>
        <v>Source</v>
      </c>
      <c r="F30" s="43" t="str">
        <f>Lookup!F$20</f>
        <v>Unit</v>
      </c>
      <c r="G30" s="43" t="str">
        <f>Lookup!G$20</f>
        <v>Basis</v>
      </c>
      <c r="H30" s="43" t="str">
        <f>Lookup!H$20</f>
        <v>Timing</v>
      </c>
      <c r="J30" s="53" t="str">
        <f t="shared" ref="J30:T30" si="6">J$10</f>
        <v>RY18</v>
      </c>
      <c r="K30" s="52" t="str">
        <f t="shared" si="6"/>
        <v>RY19</v>
      </c>
      <c r="L30" s="43" t="str">
        <f>L$10</f>
        <v>RY20</v>
      </c>
      <c r="M30" s="43" t="str">
        <f t="shared" si="6"/>
        <v>RY21</v>
      </c>
      <c r="N30" s="43" t="str">
        <f t="shared" si="6"/>
        <v>RY22</v>
      </c>
      <c r="O30" s="53" t="str">
        <f t="shared" si="6"/>
        <v>RY23</v>
      </c>
      <c r="P30" s="52" t="str">
        <f t="shared" si="6"/>
        <v>RY24</v>
      </c>
      <c r="Q30" s="43" t="str">
        <f>Q$10</f>
        <v>RY25</v>
      </c>
      <c r="R30" s="43" t="str">
        <f t="shared" si="6"/>
        <v>RY26</v>
      </c>
      <c r="S30" s="43" t="str">
        <f t="shared" si="6"/>
        <v>RY27</v>
      </c>
      <c r="T30" s="53" t="str">
        <f t="shared" si="6"/>
        <v>RY28</v>
      </c>
    </row>
    <row r="31" spans="1:20" x14ac:dyDescent="0.2">
      <c r="J31" s="56"/>
      <c r="K31" s="54"/>
      <c r="L31" s="55"/>
      <c r="M31" s="55"/>
      <c r="N31" s="55"/>
      <c r="O31" s="56"/>
      <c r="P31" s="54"/>
      <c r="Q31" s="55"/>
      <c r="R31" s="55"/>
      <c r="S31" s="55"/>
      <c r="T31" s="56"/>
    </row>
    <row r="32" spans="1:20" ht="12.75" x14ac:dyDescent="0.2">
      <c r="D32" s="15" t="str">
        <f>Calc_EB!$C$14</f>
        <v>Opening Balance</v>
      </c>
      <c r="E32" s="50" t="s">
        <v>262</v>
      </c>
      <c r="F32" s="50" t="str">
        <f>Dollars</f>
        <v>Dollars</v>
      </c>
      <c r="G32" s="50" t="str">
        <f>Nominal</f>
        <v>Nominal</v>
      </c>
      <c r="H32" s="50" t="str">
        <f>Start_year</f>
        <v>Start year</v>
      </c>
      <c r="J32" s="61">
        <f>Calc_EB!J$18</f>
        <v>1652.192225695756</v>
      </c>
      <c r="K32" s="59">
        <f>Calc_EB!K$18</f>
        <v>1739.6411920154253</v>
      </c>
      <c r="L32" s="60">
        <f>Calc_EB!L$18</f>
        <v>1785.3894656396385</v>
      </c>
      <c r="M32" s="60">
        <f>Calc_EB!M$18</f>
        <v>1802.8356323679084</v>
      </c>
      <c r="N32" s="60">
        <f>Calc_EB!N$18</f>
        <v>1784.1129866829754</v>
      </c>
      <c r="O32" s="61">
        <f>Calc_EB!O$18</f>
        <v>1894.0185865542235</v>
      </c>
      <c r="P32" s="59">
        <f>Calc_EB!P$18</f>
        <v>2067.047361866079</v>
      </c>
      <c r="Q32" s="60">
        <f>Calc_EB!Q$18</f>
        <v>2467.3971803600843</v>
      </c>
      <c r="R32" s="60">
        <f>Calc_EB!R$18</f>
        <v>3349.3985785430341</v>
      </c>
      <c r="S32" s="60">
        <f>Calc_EB!S$18</f>
        <v>3363.7046055026831</v>
      </c>
      <c r="T32" s="61">
        <f>Calc_EB!T$18</f>
        <v>3352.9581362558347</v>
      </c>
    </row>
    <row r="33" spans="1:20" ht="12.75" x14ac:dyDescent="0.2">
      <c r="D33" s="15" t="str">
        <f>Calc_EB!$C$29</f>
        <v>Inflation</v>
      </c>
      <c r="E33" s="50" t="s">
        <v>262</v>
      </c>
      <c r="F33" s="50" t="str">
        <f>Dollars</f>
        <v>Dollars</v>
      </c>
      <c r="G33" s="50" t="str">
        <f>Nominal</f>
        <v>Nominal</v>
      </c>
      <c r="H33" s="50" t="str">
        <f>End_year</f>
        <v>End year</v>
      </c>
      <c r="J33" s="61">
        <f>Calc_EB!J$33</f>
        <v>31.541851581464357</v>
      </c>
      <c r="K33" s="59">
        <f>Calc_EB!K$33</f>
        <v>31.037309402594744</v>
      </c>
      <c r="L33" s="60">
        <f>Calc_EB!L$33</f>
        <v>32.859928815453678</v>
      </c>
      <c r="M33" s="60">
        <f>Calc_EB!M$33</f>
        <v>15.514936595248749</v>
      </c>
      <c r="N33" s="60">
        <f>Calc_EB!N$33</f>
        <v>57.983672067196707</v>
      </c>
      <c r="O33" s="61">
        <f>Calc_EB!O$33</f>
        <v>42.615418197470028</v>
      </c>
      <c r="P33" s="59">
        <f>Calc_EB!P$33</f>
        <v>48.574659528722343</v>
      </c>
      <c r="Q33" s="60">
        <f>Calc_EB!Q$33</f>
        <v>57.982695592383692</v>
      </c>
      <c r="R33" s="60">
        <f>Calc_EB!R$33</f>
        <v>78.709321605401755</v>
      </c>
      <c r="S33" s="60">
        <f>Calc_EB!S$33</f>
        <v>79.045506639955732</v>
      </c>
      <c r="T33" s="61">
        <f>Calc_EB!T$33</f>
        <v>78.792969569721265</v>
      </c>
    </row>
    <row r="34" spans="1:20" ht="12.75" x14ac:dyDescent="0.2">
      <c r="D34" s="15" t="str">
        <f>Calc_EB!$C$44</f>
        <v>Straight Line Depreciation</v>
      </c>
      <c r="E34" s="50" t="s">
        <v>262</v>
      </c>
      <c r="F34" s="50" t="str">
        <f>Dollars</f>
        <v>Dollars</v>
      </c>
      <c r="G34" s="50" t="str">
        <f>Nominal</f>
        <v>Nominal</v>
      </c>
      <c r="H34" s="50" t="str">
        <f>End_year</f>
        <v>End year</v>
      </c>
      <c r="J34" s="61">
        <f>Calc_EB!J$48</f>
        <v>-82.153309909747151</v>
      </c>
      <c r="K34" s="59">
        <f>Calc_EB!K$48</f>
        <v>-83.846466011801553</v>
      </c>
      <c r="L34" s="60">
        <f>Calc_EB!L$48</f>
        <v>-86.166071742956447</v>
      </c>
      <c r="M34" s="60">
        <f>Calc_EB!M$48</f>
        <v>-88.174483840980471</v>
      </c>
      <c r="N34" s="60">
        <f>Calc_EB!N$48</f>
        <v>-89.294240828863238</v>
      </c>
      <c r="O34" s="61">
        <f>Calc_EB!O$48</f>
        <v>-94.617054432450203</v>
      </c>
      <c r="P34" s="59">
        <f>Calc_EB!P$48</f>
        <v>-107.41588004678655</v>
      </c>
      <c r="Q34" s="60">
        <f>Calc_EB!Q$48</f>
        <v>-119.39381352309293</v>
      </c>
      <c r="R34" s="60">
        <f>Calc_EB!R$48</f>
        <v>-141.56101300896745</v>
      </c>
      <c r="S34" s="60">
        <f>Calc_EB!S$48</f>
        <v>-146.47111906187578</v>
      </c>
      <c r="T34" s="61">
        <f>Calc_EB!T$48</f>
        <v>-151.07334433441758</v>
      </c>
    </row>
    <row r="35" spans="1:20" ht="12.75" x14ac:dyDescent="0.2">
      <c r="D35" s="15" t="str">
        <f>Calc_EB!$C$59</f>
        <v>RAB Additions</v>
      </c>
      <c r="E35" s="50" t="s">
        <v>262</v>
      </c>
      <c r="F35" s="50" t="str">
        <f>Dollars</f>
        <v>Dollars</v>
      </c>
      <c r="G35" s="50" t="str">
        <f>Nominal</f>
        <v>Nominal</v>
      </c>
      <c r="H35" s="50" t="str">
        <f>End_year</f>
        <v>End year</v>
      </c>
      <c r="J35" s="61">
        <f>Calc_EB!J$63+Calc_EB!J$108</f>
        <v>138.06042464795209</v>
      </c>
      <c r="K35" s="59">
        <f>Calc_EB!K$63+Calc_EB!K$108</f>
        <v>98.557430233420064</v>
      </c>
      <c r="L35" s="60">
        <f>Calc_EB!L$63+Calc_EB!L$108</f>
        <v>70.752309655772791</v>
      </c>
      <c r="M35" s="60">
        <f>Calc_EB!M$63+Calc_EB!M$108</f>
        <v>53.936901560798532</v>
      </c>
      <c r="N35" s="60">
        <f>Calc_EB!N$63+Calc_EB!N$108</f>
        <v>141.21616863291447</v>
      </c>
      <c r="O35" s="61">
        <f>Calc_EB!O$63+Calc_EB!O$108</f>
        <v>225.03041154683558</v>
      </c>
      <c r="P35" s="59">
        <f>Calc_EB!P$63+Calc_EB!P$108</f>
        <v>459.19103901206972</v>
      </c>
      <c r="Q35" s="60">
        <f>Calc_EB!Q$63+Calc_EB!Q$108</f>
        <v>943.41251611365885</v>
      </c>
      <c r="R35" s="60">
        <f>Calc_EB!R$63+Calc_EB!R$108</f>
        <v>77.15771836321494</v>
      </c>
      <c r="S35" s="60">
        <f>Calc_EB!S$63+Calc_EB!S$108</f>
        <v>56.679143175071438</v>
      </c>
      <c r="T35" s="61">
        <f>Calc_EB!T$63+Calc_EB!T$108</f>
        <v>103.95169711477152</v>
      </c>
    </row>
    <row r="36" spans="1:20" ht="12.75" x14ac:dyDescent="0.2">
      <c r="D36" s="15" t="str">
        <f>Calc_EB!$C$74</f>
        <v>Disposals</v>
      </c>
      <c r="E36" s="50" t="s">
        <v>262</v>
      </c>
      <c r="F36" s="50" t="str">
        <f>Dollars</f>
        <v>Dollars</v>
      </c>
      <c r="G36" s="50" t="str">
        <f>Nominal</f>
        <v>Nominal</v>
      </c>
      <c r="H36" s="50" t="str">
        <f>End_year</f>
        <v>End year</v>
      </c>
      <c r="J36" s="61">
        <f>Calc_EB!J$78</f>
        <v>0</v>
      </c>
      <c r="K36" s="59">
        <f>Calc_EB!K$78</f>
        <v>0</v>
      </c>
      <c r="L36" s="60">
        <f>Calc_EB!L$78</f>
        <v>0</v>
      </c>
      <c r="M36" s="60">
        <f>Calc_EB!M$78</f>
        <v>0</v>
      </c>
      <c r="N36" s="60">
        <f>Calc_EB!N$78</f>
        <v>0</v>
      </c>
      <c r="O36" s="61">
        <f>Calc_EB!O$78</f>
        <v>0</v>
      </c>
      <c r="P36" s="59">
        <f>Calc_EB!P$78</f>
        <v>0</v>
      </c>
      <c r="Q36" s="60">
        <f>Calc_EB!Q$78</f>
        <v>0</v>
      </c>
      <c r="R36" s="60">
        <f>Calc_EB!R$78</f>
        <v>0</v>
      </c>
      <c r="S36" s="60">
        <f>Calc_EB!S$78</f>
        <v>0</v>
      </c>
      <c r="T36" s="61">
        <f>Calc_EB!T$78</f>
        <v>0</v>
      </c>
    </row>
    <row r="37" spans="1:20" x14ac:dyDescent="0.2">
      <c r="J37" s="56"/>
      <c r="K37" s="54"/>
      <c r="L37" s="55"/>
      <c r="M37" s="55"/>
      <c r="N37" s="55"/>
      <c r="O37" s="56"/>
      <c r="P37" s="54"/>
      <c r="Q37" s="55"/>
      <c r="R37" s="55"/>
      <c r="S37" s="55"/>
      <c r="T37" s="56"/>
    </row>
    <row r="38" spans="1:20" ht="12.75" x14ac:dyDescent="0.2">
      <c r="D38" s="49" t="s">
        <v>110</v>
      </c>
      <c r="E38" s="45" t="s">
        <v>92</v>
      </c>
      <c r="F38" s="45" t="str">
        <f>F32</f>
        <v>Dollars</v>
      </c>
      <c r="G38" s="45" t="str">
        <f>G32</f>
        <v>Nominal</v>
      </c>
      <c r="H38" s="45" t="str">
        <f>End_year</f>
        <v>End year</v>
      </c>
      <c r="J38" s="58">
        <f t="shared" ref="J38:T38" si="7">SUM(J32:J36)</f>
        <v>1739.6411920154253</v>
      </c>
      <c r="K38" s="57">
        <f t="shared" si="7"/>
        <v>1785.3894656396385</v>
      </c>
      <c r="L38" s="44">
        <f t="shared" si="7"/>
        <v>1802.8356323679084</v>
      </c>
      <c r="M38" s="44">
        <f t="shared" si="7"/>
        <v>1784.1129866829754</v>
      </c>
      <c r="N38" s="44">
        <f t="shared" si="7"/>
        <v>1894.0185865542235</v>
      </c>
      <c r="O38" s="58">
        <f t="shared" si="7"/>
        <v>2067.047361866079</v>
      </c>
      <c r="P38" s="57">
        <f t="shared" si="7"/>
        <v>2467.3971803600843</v>
      </c>
      <c r="Q38" s="44">
        <f t="shared" si="7"/>
        <v>3349.3985785430341</v>
      </c>
      <c r="R38" s="44">
        <f t="shared" si="7"/>
        <v>3363.7046055026831</v>
      </c>
      <c r="S38" s="44">
        <f t="shared" si="7"/>
        <v>3352.9581362558347</v>
      </c>
      <c r="T38" s="58">
        <f t="shared" si="7"/>
        <v>3384.6294586059098</v>
      </c>
    </row>
    <row r="39" spans="1:20" s="6" customFormat="1" ht="4.5" customHeight="1" x14ac:dyDescent="0.2"/>
    <row r="40" spans="1:20" s="6" customFormat="1" ht="11.25" customHeight="1" x14ac:dyDescent="0.2">
      <c r="A40" s="47">
        <f>IF(SUM($J40:$T40)&lt;&gt;0,1,0)</f>
        <v>0</v>
      </c>
      <c r="D40" s="15" t="s">
        <v>95</v>
      </c>
      <c r="J40" s="63">
        <f>IF(J38&lt;&gt;Calc_EB!J$123,1,0)</f>
        <v>0</v>
      </c>
      <c r="K40" s="63">
        <f>IF(K38&lt;&gt;Calc_EB!K$123,1,0)</f>
        <v>0</v>
      </c>
      <c r="L40" s="63">
        <f>IF(L38&lt;&gt;Calc_EB!L$123,1,0)</f>
        <v>0</v>
      </c>
      <c r="M40" s="63">
        <f>IF(M38&lt;&gt;Calc_EB!M$123,1,0)</f>
        <v>0</v>
      </c>
      <c r="N40" s="63">
        <f>IF(N38&lt;&gt;Calc_EB!N$123,1,0)</f>
        <v>0</v>
      </c>
      <c r="O40" s="63">
        <f>IF(O38&lt;&gt;Calc_EB!O$123,1,0)</f>
        <v>0</v>
      </c>
      <c r="P40" s="63">
        <f>IF(P38&lt;&gt;Calc_EB!P$123,1,0)</f>
        <v>0</v>
      </c>
      <c r="Q40" s="63">
        <f>IF(Q38&lt;&gt;Calc_EB!Q$123,1,0)</f>
        <v>0</v>
      </c>
      <c r="R40" s="63">
        <f>IF(R38&lt;&gt;Calc_EB!R$123,1,0)</f>
        <v>0</v>
      </c>
      <c r="S40" s="63">
        <f>IF(S38&lt;&gt;Calc_EB!S$123,1,0)</f>
        <v>0</v>
      </c>
      <c r="T40" s="63">
        <f>IF(T38&lt;&gt;Calc_EB!T$123,1,0)</f>
        <v>0</v>
      </c>
    </row>
    <row r="41" spans="1:20" s="6" customFormat="1" ht="4.5" customHeight="1" x14ac:dyDescent="0.2"/>
    <row r="42" spans="1:20" s="13" customFormat="1" ht="15" x14ac:dyDescent="0.2">
      <c r="C42" s="13" t="str">
        <f>Lookup!$D$127</f>
        <v>Underground assets</v>
      </c>
    </row>
    <row r="43" spans="1:20" s="6" customFormat="1" ht="4.5" customHeight="1" x14ac:dyDescent="0.2"/>
    <row r="44" spans="1:20" ht="12.75" x14ac:dyDescent="0.2">
      <c r="D44" s="48" t="s">
        <v>90</v>
      </c>
      <c r="E44" s="43" t="str">
        <f>Lookup!E$20</f>
        <v>Source</v>
      </c>
      <c r="F44" s="43" t="str">
        <f>Lookup!F$20</f>
        <v>Unit</v>
      </c>
      <c r="G44" s="43" t="str">
        <f>Lookup!G$20</f>
        <v>Basis</v>
      </c>
      <c r="H44" s="43" t="str">
        <f>Lookup!H$20</f>
        <v>Timing</v>
      </c>
      <c r="J44" s="53" t="str">
        <f t="shared" ref="J44:T44" si="8">J$10</f>
        <v>RY18</v>
      </c>
      <c r="K44" s="52" t="str">
        <f t="shared" si="8"/>
        <v>RY19</v>
      </c>
      <c r="L44" s="43" t="str">
        <f>L$10</f>
        <v>RY20</v>
      </c>
      <c r="M44" s="43" t="str">
        <f t="shared" si="8"/>
        <v>RY21</v>
      </c>
      <c r="N44" s="43" t="str">
        <f t="shared" si="8"/>
        <v>RY22</v>
      </c>
      <c r="O44" s="53" t="str">
        <f t="shared" si="8"/>
        <v>RY23</v>
      </c>
      <c r="P44" s="52" t="str">
        <f t="shared" si="8"/>
        <v>RY24</v>
      </c>
      <c r="Q44" s="43" t="str">
        <f>Q$10</f>
        <v>RY25</v>
      </c>
      <c r="R44" s="43" t="str">
        <f t="shared" si="8"/>
        <v>RY26</v>
      </c>
      <c r="S44" s="43" t="str">
        <f t="shared" si="8"/>
        <v>RY27</v>
      </c>
      <c r="T44" s="53" t="str">
        <f t="shared" si="8"/>
        <v>RY28</v>
      </c>
    </row>
    <row r="45" spans="1:20" x14ac:dyDescent="0.2">
      <c r="J45" s="56"/>
      <c r="K45" s="54"/>
      <c r="L45" s="55"/>
      <c r="M45" s="55"/>
      <c r="N45" s="55"/>
      <c r="O45" s="56"/>
      <c r="P45" s="54"/>
      <c r="Q45" s="55"/>
      <c r="R45" s="55"/>
      <c r="S45" s="55"/>
      <c r="T45" s="56"/>
    </row>
    <row r="46" spans="1:20" ht="12.75" x14ac:dyDescent="0.2">
      <c r="D46" s="15" t="str">
        <f>Calc_EB!$C$14</f>
        <v>Opening Balance</v>
      </c>
      <c r="E46" s="50" t="str">
        <f>$E$32</f>
        <v>Calc_EB</v>
      </c>
      <c r="F46" s="50" t="str">
        <f>Dollars</f>
        <v>Dollars</v>
      </c>
      <c r="G46" s="50" t="str">
        <f>Nominal</f>
        <v>Nominal</v>
      </c>
      <c r="H46" s="50" t="str">
        <f>Start_year</f>
        <v>Start year</v>
      </c>
      <c r="J46" s="61">
        <f>Calc_EB!J$19</f>
        <v>204.66126455323328</v>
      </c>
      <c r="K46" s="59">
        <f>Calc_EB!K$19</f>
        <v>200.87244463236121</v>
      </c>
      <c r="L46" s="60">
        <f>Calc_EB!L$19</f>
        <v>196.7840781880985</v>
      </c>
      <c r="M46" s="60">
        <f>Calc_EB!M$19</f>
        <v>192.59681174360585</v>
      </c>
      <c r="N46" s="60">
        <f>Calc_EB!N$19</f>
        <v>186.30139275260683</v>
      </c>
      <c r="O46" s="61">
        <f>Calc_EB!O$19</f>
        <v>185.28993701407683</v>
      </c>
      <c r="P46" s="59">
        <f>Calc_EB!P$19</f>
        <v>186.72361179289112</v>
      </c>
      <c r="Q46" s="60">
        <f>Calc_EB!Q$19</f>
        <v>182.45615525011667</v>
      </c>
      <c r="R46" s="60">
        <f>Calc_EB!R$19</f>
        <v>177.88501812025746</v>
      </c>
      <c r="S46" s="60">
        <f>Calc_EB!S$19</f>
        <v>177.30018371776109</v>
      </c>
      <c r="T46" s="61">
        <f>Calc_EB!T$19</f>
        <v>172.08879316170285</v>
      </c>
    </row>
    <row r="47" spans="1:20" ht="12.75" x14ac:dyDescent="0.2">
      <c r="D47" s="15" t="str">
        <f>Calc_EB!$C$29</f>
        <v>Inflation</v>
      </c>
      <c r="E47" s="50" t="str">
        <f>$E$33</f>
        <v>Calc_EB</v>
      </c>
      <c r="F47" s="50" t="str">
        <f>Dollars</f>
        <v>Dollars</v>
      </c>
      <c r="G47" s="50" t="str">
        <f>Nominal</f>
        <v>Nominal</v>
      </c>
      <c r="H47" s="50" t="str">
        <f>End_year</f>
        <v>End year</v>
      </c>
      <c r="J47" s="61">
        <f>Calc_EB!J$34</f>
        <v>3.9071695960162627</v>
      </c>
      <c r="K47" s="59">
        <f>Calc_EB!K$34</f>
        <v>3.5838081111929063</v>
      </c>
      <c r="L47" s="60">
        <f>Calc_EB!L$34</f>
        <v>3.6217928500877257</v>
      </c>
      <c r="M47" s="60">
        <f>Calc_EB!M$34</f>
        <v>1.657459653559427</v>
      </c>
      <c r="N47" s="60">
        <f>Calc_EB!N$34</f>
        <v>6.054795264459722</v>
      </c>
      <c r="O47" s="61">
        <f>Calc_EB!O$34</f>
        <v>4.1690235828167284</v>
      </c>
      <c r="P47" s="59">
        <f>Calc_EB!P$34</f>
        <v>4.3879187463923479</v>
      </c>
      <c r="Q47" s="60">
        <f>Calc_EB!Q$34</f>
        <v>4.2876354861037447</v>
      </c>
      <c r="R47" s="60">
        <f>Calc_EB!R$34</f>
        <v>4.1802158720985965</v>
      </c>
      <c r="S47" s="60">
        <f>Calc_EB!S$34</f>
        <v>4.1664725334088155</v>
      </c>
      <c r="T47" s="61">
        <f>Calc_EB!T$34</f>
        <v>4.0440072592202281</v>
      </c>
    </row>
    <row r="48" spans="1:20" ht="12.75" x14ac:dyDescent="0.2">
      <c r="D48" s="15" t="str">
        <f>Calc_EB!$C$44</f>
        <v>Straight Line Depreciation</v>
      </c>
      <c r="E48" s="50" t="str">
        <f>$E$34</f>
        <v>Calc_EB</v>
      </c>
      <c r="F48" s="50" t="str">
        <f>Dollars</f>
        <v>Dollars</v>
      </c>
      <c r="G48" s="50" t="str">
        <f>Nominal</f>
        <v>Nominal</v>
      </c>
      <c r="H48" s="50" t="str">
        <f>End_year</f>
        <v>End year</v>
      </c>
      <c r="J48" s="61">
        <f>Calc_EB!J$49</f>
        <v>-7.6959895168883357</v>
      </c>
      <c r="K48" s="59">
        <f>Calc_EB!K$49</f>
        <v>-7.6721745554556025</v>
      </c>
      <c r="L48" s="60">
        <f>Calc_EB!L$49</f>
        <v>-7.8090592945803694</v>
      </c>
      <c r="M48" s="60">
        <f>Calc_EB!M$49</f>
        <v>-7.9527882178533442</v>
      </c>
      <c r="N48" s="60">
        <f>Calc_EB!N$49</f>
        <v>-8.0212326713029292</v>
      </c>
      <c r="O48" s="61">
        <f>Calc_EB!O$49</f>
        <v>-8.2869866675790593</v>
      </c>
      <c r="P48" s="59">
        <f>Calc_EB!P$49</f>
        <v>-8.6553752891668001</v>
      </c>
      <c r="Q48" s="60">
        <f>Calc_EB!Q$49</f>
        <v>-8.8587726159629483</v>
      </c>
      <c r="R48" s="60">
        <f>Calc_EB!R$49</f>
        <v>-9.0669496861169154</v>
      </c>
      <c r="S48" s="60">
        <f>Calc_EB!S$49</f>
        <v>-9.3778630894670307</v>
      </c>
      <c r="T48" s="61">
        <f>Calc_EB!T$49</f>
        <v>-9.5982385463054243</v>
      </c>
    </row>
    <row r="49" spans="1:20" ht="12.75" x14ac:dyDescent="0.2">
      <c r="D49" s="15" t="str">
        <f>Calc_EB!$C$59</f>
        <v>RAB Additions</v>
      </c>
      <c r="E49" s="50" t="str">
        <f>$E$35</f>
        <v>Calc_EB</v>
      </c>
      <c r="F49" s="50" t="str">
        <f>Dollars</f>
        <v>Dollars</v>
      </c>
      <c r="G49" s="50" t="str">
        <f>Nominal</f>
        <v>Nominal</v>
      </c>
      <c r="H49" s="50" t="str">
        <f>End_year</f>
        <v>End year</v>
      </c>
      <c r="J49" s="61">
        <f>Calc_EB!J$64+Calc_EB!J$109</f>
        <v>0</v>
      </c>
      <c r="K49" s="59">
        <f>Calc_EB!K$64+Calc_EB!K$109</f>
        <v>0</v>
      </c>
      <c r="L49" s="60">
        <f>Calc_EB!L$64+Calc_EB!L$109</f>
        <v>0</v>
      </c>
      <c r="M49" s="60">
        <f>Calc_EB!M$64+Calc_EB!M$109</f>
        <v>-9.0426705108243919E-5</v>
      </c>
      <c r="N49" s="60">
        <f>Calc_EB!N$64+Calc_EB!N$109</f>
        <v>0.95498166831318676</v>
      </c>
      <c r="O49" s="61">
        <f>Calc_EB!O$64+Calc_EB!O$109</f>
        <v>5.551637863576647</v>
      </c>
      <c r="P49" s="59">
        <f>Calc_EB!P$64+Calc_EB!P$109</f>
        <v>0</v>
      </c>
      <c r="Q49" s="60">
        <f>Calc_EB!Q$64+Calc_EB!Q$109</f>
        <v>0</v>
      </c>
      <c r="R49" s="60">
        <f>Calc_EB!R$64+Calc_EB!R$109</f>
        <v>4.301899411521946</v>
      </c>
      <c r="S49" s="60">
        <f>Calc_EB!S$64+Calc_EB!S$109</f>
        <v>0</v>
      </c>
      <c r="T49" s="61">
        <f>Calc_EB!T$64+Calc_EB!T$109</f>
        <v>3.7705376576075218</v>
      </c>
    </row>
    <row r="50" spans="1:20" ht="12.75" x14ac:dyDescent="0.2">
      <c r="D50" s="15" t="str">
        <f>Calc_EB!$C$74</f>
        <v>Disposals</v>
      </c>
      <c r="E50" s="50" t="str">
        <f>$E$36</f>
        <v>Calc_EB</v>
      </c>
      <c r="F50" s="50" t="str">
        <f>Dollars</f>
        <v>Dollars</v>
      </c>
      <c r="G50" s="50" t="str">
        <f>Nominal</f>
        <v>Nominal</v>
      </c>
      <c r="H50" s="50" t="str">
        <f>End_year</f>
        <v>End year</v>
      </c>
      <c r="J50" s="61">
        <f>Calc_EB!J$79</f>
        <v>0</v>
      </c>
      <c r="K50" s="59">
        <f>Calc_EB!K$79</f>
        <v>0</v>
      </c>
      <c r="L50" s="60">
        <f>Calc_EB!L$79</f>
        <v>0</v>
      </c>
      <c r="M50" s="60">
        <f>Calc_EB!M$79</f>
        <v>0</v>
      </c>
      <c r="N50" s="60">
        <f>Calc_EB!N$79</f>
        <v>0</v>
      </c>
      <c r="O50" s="61">
        <f>Calc_EB!O$79</f>
        <v>0</v>
      </c>
      <c r="P50" s="59">
        <f>Calc_EB!P$79</f>
        <v>0</v>
      </c>
      <c r="Q50" s="60">
        <f>Calc_EB!Q$79</f>
        <v>0</v>
      </c>
      <c r="R50" s="60">
        <f>Calc_EB!R$79</f>
        <v>0</v>
      </c>
      <c r="S50" s="60">
        <f>Calc_EB!S$79</f>
        <v>0</v>
      </c>
      <c r="T50" s="61">
        <f>Calc_EB!T$79</f>
        <v>0</v>
      </c>
    </row>
    <row r="51" spans="1:20" x14ac:dyDescent="0.2">
      <c r="J51" s="56"/>
      <c r="K51" s="54"/>
      <c r="L51" s="55"/>
      <c r="M51" s="55"/>
      <c r="N51" s="55"/>
      <c r="O51" s="56"/>
      <c r="P51" s="54"/>
      <c r="Q51" s="55"/>
      <c r="R51" s="55"/>
      <c r="S51" s="55"/>
      <c r="T51" s="56"/>
    </row>
    <row r="52" spans="1:20" ht="12.75" x14ac:dyDescent="0.2">
      <c r="D52" s="49" t="s">
        <v>110</v>
      </c>
      <c r="E52" s="45" t="s">
        <v>92</v>
      </c>
      <c r="F52" s="45" t="str">
        <f>F46</f>
        <v>Dollars</v>
      </c>
      <c r="G52" s="45" t="str">
        <f>G46</f>
        <v>Nominal</v>
      </c>
      <c r="H52" s="45" t="str">
        <f>End_year</f>
        <v>End year</v>
      </c>
      <c r="J52" s="58">
        <f t="shared" ref="J52:T52" si="9">SUM(J46:J50)</f>
        <v>200.87244463236121</v>
      </c>
      <c r="K52" s="57">
        <f t="shared" si="9"/>
        <v>196.7840781880985</v>
      </c>
      <c r="L52" s="44">
        <f t="shared" si="9"/>
        <v>192.59681174360585</v>
      </c>
      <c r="M52" s="44">
        <f t="shared" si="9"/>
        <v>186.30139275260683</v>
      </c>
      <c r="N52" s="44">
        <f t="shared" si="9"/>
        <v>185.28993701407683</v>
      </c>
      <c r="O52" s="58">
        <f t="shared" si="9"/>
        <v>186.72361179289112</v>
      </c>
      <c r="P52" s="57">
        <f t="shared" si="9"/>
        <v>182.45615525011667</v>
      </c>
      <c r="Q52" s="44">
        <f t="shared" si="9"/>
        <v>177.88501812025746</v>
      </c>
      <c r="R52" s="44">
        <f t="shared" si="9"/>
        <v>177.30018371776109</v>
      </c>
      <c r="S52" s="44">
        <f t="shared" si="9"/>
        <v>172.08879316170285</v>
      </c>
      <c r="T52" s="58">
        <f t="shared" si="9"/>
        <v>170.30509953222517</v>
      </c>
    </row>
    <row r="53" spans="1:20" s="6" customFormat="1" ht="4.5" customHeight="1" x14ac:dyDescent="0.2"/>
    <row r="54" spans="1:20" s="6" customFormat="1" ht="11.25" customHeight="1" x14ac:dyDescent="0.2">
      <c r="A54" s="47">
        <f>IF(SUM($J54:$T54)&lt;&gt;0,1,0)</f>
        <v>0</v>
      </c>
      <c r="D54" s="15" t="s">
        <v>95</v>
      </c>
      <c r="J54" s="63">
        <f>IF(J52&lt;&gt;Calc_EB!J$124,1,0)</f>
        <v>0</v>
      </c>
      <c r="K54" s="63">
        <f>IF(K52&lt;&gt;Calc_EB!K$124,1,0)</f>
        <v>0</v>
      </c>
      <c r="L54" s="63">
        <f>IF(L52&lt;&gt;Calc_EB!L$124,1,0)</f>
        <v>0</v>
      </c>
      <c r="M54" s="63">
        <f>IF(M52&lt;&gt;Calc_EB!M$124,1,0)</f>
        <v>0</v>
      </c>
      <c r="N54" s="63">
        <f>IF(N52&lt;&gt;Calc_EB!N$124,1,0)</f>
        <v>0</v>
      </c>
      <c r="O54" s="63">
        <f>IF(O52&lt;&gt;Calc_EB!O$124,1,0)</f>
        <v>0</v>
      </c>
      <c r="P54" s="63">
        <f>IF(P52&lt;&gt;Calc_EB!P$124,1,0)</f>
        <v>0</v>
      </c>
      <c r="Q54" s="63">
        <f>IF(Q52&lt;&gt;Calc_EB!Q$124,1,0)</f>
        <v>0</v>
      </c>
      <c r="R54" s="63">
        <f>IF(R52&lt;&gt;Calc_EB!R$124,1,0)</f>
        <v>0</v>
      </c>
      <c r="S54" s="63">
        <f>IF(S52&lt;&gt;Calc_EB!S$124,1,0)</f>
        <v>0</v>
      </c>
      <c r="T54" s="63">
        <f>IF(T52&lt;&gt;Calc_EB!T$124,1,0)</f>
        <v>0</v>
      </c>
    </row>
    <row r="55" spans="1:20" s="6" customFormat="1" ht="4.5" customHeight="1" x14ac:dyDescent="0.2"/>
    <row r="56" spans="1:20" s="13" customFormat="1" ht="15" x14ac:dyDescent="0.2">
      <c r="C56" s="13" t="str">
        <f>Lookup!$D$128</f>
        <v>Switchyards, substations</v>
      </c>
    </row>
    <row r="57" spans="1:20" s="6" customFormat="1" ht="4.5" customHeight="1" x14ac:dyDescent="0.2"/>
    <row r="58" spans="1:20" ht="12.75" x14ac:dyDescent="0.2">
      <c r="D58" s="48" t="s">
        <v>90</v>
      </c>
      <c r="E58" s="43" t="str">
        <f>Lookup!E$20</f>
        <v>Source</v>
      </c>
      <c r="F58" s="43" t="str">
        <f>Lookup!F$20</f>
        <v>Unit</v>
      </c>
      <c r="G58" s="43" t="str">
        <f>Lookup!G$20</f>
        <v>Basis</v>
      </c>
      <c r="H58" s="43" t="str">
        <f>Lookup!H$20</f>
        <v>Timing</v>
      </c>
      <c r="J58" s="53" t="str">
        <f t="shared" ref="J58:T58" si="10">J$10</f>
        <v>RY18</v>
      </c>
      <c r="K58" s="52" t="str">
        <f t="shared" si="10"/>
        <v>RY19</v>
      </c>
      <c r="L58" s="43" t="str">
        <f>L$10</f>
        <v>RY20</v>
      </c>
      <c r="M58" s="43" t="str">
        <f t="shared" si="10"/>
        <v>RY21</v>
      </c>
      <c r="N58" s="43" t="str">
        <f t="shared" si="10"/>
        <v>RY22</v>
      </c>
      <c r="O58" s="53" t="str">
        <f t="shared" si="10"/>
        <v>RY23</v>
      </c>
      <c r="P58" s="52" t="str">
        <f t="shared" si="10"/>
        <v>RY24</v>
      </c>
      <c r="Q58" s="43" t="str">
        <f>Q$10</f>
        <v>RY25</v>
      </c>
      <c r="R58" s="43" t="str">
        <f t="shared" si="10"/>
        <v>RY26</v>
      </c>
      <c r="S58" s="43" t="str">
        <f t="shared" si="10"/>
        <v>RY27</v>
      </c>
      <c r="T58" s="53" t="str">
        <f t="shared" si="10"/>
        <v>RY28</v>
      </c>
    </row>
    <row r="59" spans="1:20" x14ac:dyDescent="0.2">
      <c r="J59" s="56"/>
      <c r="K59" s="54"/>
      <c r="L59" s="55"/>
      <c r="M59" s="55"/>
      <c r="N59" s="55"/>
      <c r="O59" s="56"/>
      <c r="P59" s="54"/>
      <c r="Q59" s="55"/>
      <c r="R59" s="55"/>
      <c r="S59" s="55"/>
      <c r="T59" s="56"/>
    </row>
    <row r="60" spans="1:20" ht="12.75" x14ac:dyDescent="0.2">
      <c r="D60" s="15" t="str">
        <f>Calc_EB!$C$14</f>
        <v>Opening Balance</v>
      </c>
      <c r="E60" s="50" t="str">
        <f>$E$32</f>
        <v>Calc_EB</v>
      </c>
      <c r="F60" s="50" t="str">
        <f>Dollars</f>
        <v>Dollars</v>
      </c>
      <c r="G60" s="50" t="str">
        <f>Nominal</f>
        <v>Nominal</v>
      </c>
      <c r="H60" s="50" t="str">
        <f>Start_year</f>
        <v>Start year</v>
      </c>
      <c r="J60" s="61">
        <f>Calc_EB!J$20</f>
        <v>2918.9952045704863</v>
      </c>
      <c r="K60" s="59">
        <f>Calc_EB!K$20</f>
        <v>2938.4753803232793</v>
      </c>
      <c r="L60" s="60">
        <f>Calc_EB!L$20</f>
        <v>2978.1247754774736</v>
      </c>
      <c r="M60" s="60">
        <f>Calc_EB!M$20</f>
        <v>2988.8379823274531</v>
      </c>
      <c r="N60" s="60">
        <f>Calc_EB!N$20</f>
        <v>2982.9530399144592</v>
      </c>
      <c r="O60" s="61">
        <f>Calc_EB!O$20</f>
        <v>3240.1560082789865</v>
      </c>
      <c r="P60" s="59">
        <f>Calc_EB!P$20</f>
        <v>3381.463091524919</v>
      </c>
      <c r="Q60" s="60">
        <f>Calc_EB!Q$20</f>
        <v>3548.2937663505359</v>
      </c>
      <c r="R60" s="60">
        <f>Calc_EB!R$20</f>
        <v>3688.1761890318867</v>
      </c>
      <c r="S60" s="60">
        <f>Calc_EB!S$20</f>
        <v>3754.4473714750779</v>
      </c>
      <c r="T60" s="61">
        <f>Calc_EB!T$20</f>
        <v>3745.6869475839776</v>
      </c>
    </row>
    <row r="61" spans="1:20" ht="12.75" x14ac:dyDescent="0.2">
      <c r="D61" s="15" t="str">
        <f>Calc_EB!$C$29</f>
        <v>Inflation</v>
      </c>
      <c r="E61" s="50" t="str">
        <f>$E$33</f>
        <v>Calc_EB</v>
      </c>
      <c r="F61" s="50" t="str">
        <f>Dollars</f>
        <v>Dollars</v>
      </c>
      <c r="G61" s="50" t="str">
        <f>Nominal</f>
        <v>Nominal</v>
      </c>
      <c r="H61" s="50" t="str">
        <f>End_year</f>
        <v>End year</v>
      </c>
      <c r="J61" s="61">
        <f>Calc_EB!J$35</f>
        <v>55.726272087254614</v>
      </c>
      <c r="K61" s="59">
        <f>Calc_EB!K$35</f>
        <v>52.425965750638653</v>
      </c>
      <c r="L61" s="60">
        <f>Calc_EB!L$35</f>
        <v>54.812112432101081</v>
      </c>
      <c r="M61" s="60">
        <f>Calc_EB!M$35</f>
        <v>25.72149726615703</v>
      </c>
      <c r="N61" s="60">
        <f>Calc_EB!N$35</f>
        <v>96.945973797219921</v>
      </c>
      <c r="O61" s="61">
        <f>Calc_EB!O$35</f>
        <v>72.903510186277202</v>
      </c>
      <c r="P61" s="59">
        <f>Calc_EB!P$35</f>
        <v>79.462822869951054</v>
      </c>
      <c r="Q61" s="60">
        <f>Calc_EB!Q$35</f>
        <v>83.383266773706339</v>
      </c>
      <c r="R61" s="60">
        <f>Calc_EB!R$35</f>
        <v>86.670439182598471</v>
      </c>
      <c r="S61" s="60">
        <f>Calc_EB!S$35</f>
        <v>88.227781400842446</v>
      </c>
      <c r="T61" s="61">
        <f>Calc_EB!T$35</f>
        <v>88.021915480357038</v>
      </c>
    </row>
    <row r="62" spans="1:20" ht="12.75" x14ac:dyDescent="0.2">
      <c r="D62" s="15" t="str">
        <f>Calc_EB!$C$44</f>
        <v>Straight Line Depreciation</v>
      </c>
      <c r="E62" s="50" t="str">
        <f>$E$34</f>
        <v>Calc_EB</v>
      </c>
      <c r="F62" s="50" t="str">
        <f>Dollars</f>
        <v>Dollars</v>
      </c>
      <c r="G62" s="50" t="str">
        <f>Nominal</f>
        <v>Nominal</v>
      </c>
      <c r="H62" s="50" t="str">
        <f>End_year</f>
        <v>End year</v>
      </c>
      <c r="J62" s="61">
        <f>Calc_EB!J$50</f>
        <v>-116.80509375379945</v>
      </c>
      <c r="K62" s="59">
        <f>Calc_EB!K$50</f>
        <v>-119.01876638757282</v>
      </c>
      <c r="L62" s="60">
        <f>Calc_EB!L$50</f>
        <v>-123.53692199715711</v>
      </c>
      <c r="M62" s="60">
        <f>Calc_EB!M$50</f>
        <v>-128.3532080519189</v>
      </c>
      <c r="N62" s="60">
        <f>Calc_EB!N$50</f>
        <v>-131.1750017953951</v>
      </c>
      <c r="O62" s="61">
        <f>Calc_EB!O$50</f>
        <v>-142.77942011023075</v>
      </c>
      <c r="P62" s="59">
        <f>Calc_EB!P$50</f>
        <v>-152.81619879853511</v>
      </c>
      <c r="Q62" s="60">
        <f>Calc_EB!Q$50</f>
        <v>-162.55301560907378</v>
      </c>
      <c r="R62" s="60">
        <f>Calc_EB!R$50</f>
        <v>-171.97793140702061</v>
      </c>
      <c r="S62" s="60">
        <f>Calc_EB!S$50</f>
        <v>-179.8978510562186</v>
      </c>
      <c r="T62" s="61">
        <f>Calc_EB!T$50</f>
        <v>-186.24681717873673</v>
      </c>
    </row>
    <row r="63" spans="1:20" ht="12.75" x14ac:dyDescent="0.2">
      <c r="D63" s="15" t="str">
        <f>Calc_EB!$C$59</f>
        <v>RAB Additions</v>
      </c>
      <c r="E63" s="50" t="str">
        <f>$E$35</f>
        <v>Calc_EB</v>
      </c>
      <c r="F63" s="50" t="str">
        <f>Dollars</f>
        <v>Dollars</v>
      </c>
      <c r="G63" s="50" t="str">
        <f>Nominal</f>
        <v>Nominal</v>
      </c>
      <c r="H63" s="50" t="str">
        <f>End_year</f>
        <v>End year</v>
      </c>
      <c r="J63" s="61">
        <f>Calc_EB!J$65+Calc_EB!J$110</f>
        <v>80.558997419338155</v>
      </c>
      <c r="K63" s="59">
        <f>Calc_EB!K$65+Calc_EB!K$110</f>
        <v>106.24219579112815</v>
      </c>
      <c r="L63" s="60">
        <f>Calc_EB!L$65+Calc_EB!L$110</f>
        <v>79.438016415035889</v>
      </c>
      <c r="M63" s="60">
        <f>Calc_EB!M$65+Calc_EB!M$110</f>
        <v>96.746768372767548</v>
      </c>
      <c r="N63" s="60">
        <f>Calc_EB!N$65+Calc_EB!N$110</f>
        <v>291.43199636270259</v>
      </c>
      <c r="O63" s="61">
        <f>Calc_EB!O$65+Calc_EB!O$110</f>
        <v>211.182993169886</v>
      </c>
      <c r="P63" s="59">
        <f>Calc_EB!P$65+Calc_EB!P$110</f>
        <v>240.1840507542008</v>
      </c>
      <c r="Q63" s="60">
        <f>Calc_EB!Q$65+Calc_EB!Q$110</f>
        <v>219.05217151671792</v>
      </c>
      <c r="R63" s="60">
        <f>Calc_EB!R$65+Calc_EB!R$110</f>
        <v>151.57867466761371</v>
      </c>
      <c r="S63" s="60">
        <f>Calc_EB!S$65+Calc_EB!S$110</f>
        <v>82.909645764275865</v>
      </c>
      <c r="T63" s="61">
        <f>Calc_EB!T$65+Calc_EB!T$110</f>
        <v>139.48292063168171</v>
      </c>
    </row>
    <row r="64" spans="1:20" ht="12.75" x14ac:dyDescent="0.2">
      <c r="D64" s="15" t="str">
        <f>Calc_EB!$C$74</f>
        <v>Disposals</v>
      </c>
      <c r="E64" s="50" t="str">
        <f>$E$36</f>
        <v>Calc_EB</v>
      </c>
      <c r="F64" s="50" t="str">
        <f>Dollars</f>
        <v>Dollars</v>
      </c>
      <c r="G64" s="50" t="str">
        <f>Nominal</f>
        <v>Nominal</v>
      </c>
      <c r="H64" s="50" t="str">
        <f>End_year</f>
        <v>End year</v>
      </c>
      <c r="J64" s="61">
        <f>Calc_EB!J$80</f>
        <v>0</v>
      </c>
      <c r="K64" s="59">
        <f>Calc_EB!K$80</f>
        <v>0</v>
      </c>
      <c r="L64" s="60">
        <f>Calc_EB!L$80</f>
        <v>0</v>
      </c>
      <c r="M64" s="60">
        <f>Calc_EB!M$80</f>
        <v>0</v>
      </c>
      <c r="N64" s="60">
        <f>Calc_EB!N$80</f>
        <v>0</v>
      </c>
      <c r="O64" s="61">
        <f>Calc_EB!O$80</f>
        <v>0</v>
      </c>
      <c r="P64" s="59">
        <f>Calc_EB!P$80</f>
        <v>0</v>
      </c>
      <c r="Q64" s="60">
        <f>Calc_EB!Q$80</f>
        <v>0</v>
      </c>
      <c r="R64" s="60">
        <f>Calc_EB!R$80</f>
        <v>0</v>
      </c>
      <c r="S64" s="60">
        <f>Calc_EB!S$80</f>
        <v>0</v>
      </c>
      <c r="T64" s="61">
        <f>Calc_EB!T$80</f>
        <v>0</v>
      </c>
    </row>
    <row r="65" spans="1:20" x14ac:dyDescent="0.2">
      <c r="J65" s="56"/>
      <c r="K65" s="54"/>
      <c r="L65" s="55"/>
      <c r="M65" s="55"/>
      <c r="N65" s="55"/>
      <c r="O65" s="56"/>
      <c r="P65" s="54"/>
      <c r="Q65" s="55"/>
      <c r="R65" s="55"/>
      <c r="S65" s="55"/>
      <c r="T65" s="56"/>
    </row>
    <row r="66" spans="1:20" ht="12.75" x14ac:dyDescent="0.2">
      <c r="D66" s="49" t="s">
        <v>110</v>
      </c>
      <c r="E66" s="45" t="s">
        <v>92</v>
      </c>
      <c r="F66" s="45" t="str">
        <f>F60</f>
        <v>Dollars</v>
      </c>
      <c r="G66" s="45" t="str">
        <f>G60</f>
        <v>Nominal</v>
      </c>
      <c r="H66" s="45" t="str">
        <f>End_year</f>
        <v>End year</v>
      </c>
      <c r="J66" s="58">
        <f t="shared" ref="J66:T66" si="11">SUM(J60:J64)</f>
        <v>2938.4753803232793</v>
      </c>
      <c r="K66" s="57">
        <f t="shared" si="11"/>
        <v>2978.1247754774736</v>
      </c>
      <c r="L66" s="44">
        <f t="shared" si="11"/>
        <v>2988.8379823274531</v>
      </c>
      <c r="M66" s="44">
        <f t="shared" si="11"/>
        <v>2982.9530399144592</v>
      </c>
      <c r="N66" s="44">
        <f t="shared" si="11"/>
        <v>3240.1560082789865</v>
      </c>
      <c r="O66" s="58">
        <f t="shared" si="11"/>
        <v>3381.463091524919</v>
      </c>
      <c r="P66" s="57">
        <f t="shared" si="11"/>
        <v>3548.2937663505359</v>
      </c>
      <c r="Q66" s="44">
        <f t="shared" si="11"/>
        <v>3688.1761890318867</v>
      </c>
      <c r="R66" s="44">
        <f t="shared" si="11"/>
        <v>3754.4473714750779</v>
      </c>
      <c r="S66" s="44">
        <f t="shared" si="11"/>
        <v>3745.6869475839776</v>
      </c>
      <c r="T66" s="58">
        <f t="shared" si="11"/>
        <v>3786.9449665172797</v>
      </c>
    </row>
    <row r="67" spans="1:20" s="6" customFormat="1" ht="4.5" customHeight="1" x14ac:dyDescent="0.2"/>
    <row r="68" spans="1:20" s="6" customFormat="1" ht="11.25" customHeight="1" x14ac:dyDescent="0.2">
      <c r="A68" s="47">
        <f>IF(SUM($J68:$T68)&lt;&gt;0,1,0)</f>
        <v>0</v>
      </c>
      <c r="D68" s="15" t="s">
        <v>95</v>
      </c>
      <c r="J68" s="63">
        <f>IF(J66&lt;&gt;Calc_EB!J$125,1,0)</f>
        <v>0</v>
      </c>
      <c r="K68" s="63">
        <f>IF(K66&lt;&gt;Calc_EB!K$125,1,0)</f>
        <v>0</v>
      </c>
      <c r="L68" s="63">
        <f>IF(L66&lt;&gt;Calc_EB!L$125,1,0)</f>
        <v>0</v>
      </c>
      <c r="M68" s="63">
        <f>IF(M66&lt;&gt;Calc_EB!M$125,1,0)</f>
        <v>0</v>
      </c>
      <c r="N68" s="63">
        <f>IF(N66&lt;&gt;Calc_EB!N$125,1,0)</f>
        <v>0</v>
      </c>
      <c r="O68" s="63">
        <f>IF(O66&lt;&gt;Calc_EB!O$125,1,0)</f>
        <v>0</v>
      </c>
      <c r="P68" s="63">
        <f>IF(P66&lt;&gt;Calc_EB!P$125,1,0)</f>
        <v>0</v>
      </c>
      <c r="Q68" s="63">
        <f>IF(Q66&lt;&gt;Calc_EB!Q$125,1,0)</f>
        <v>0</v>
      </c>
      <c r="R68" s="63">
        <f>IF(R66&lt;&gt;Calc_EB!R$125,1,0)</f>
        <v>0</v>
      </c>
      <c r="S68" s="63">
        <f>IF(S66&lt;&gt;Calc_EB!S$125,1,0)</f>
        <v>0</v>
      </c>
      <c r="T68" s="63">
        <f>IF(T66&lt;&gt;Calc_EB!T$125,1,0)</f>
        <v>0</v>
      </c>
    </row>
    <row r="69" spans="1:20" s="6" customFormat="1" ht="4.5" customHeight="1" x14ac:dyDescent="0.2"/>
    <row r="70" spans="1:20" s="13" customFormat="1" ht="15" x14ac:dyDescent="0.2">
      <c r="C70" s="13" t="str">
        <f>Lookup!$D$129</f>
        <v>Easements</v>
      </c>
    </row>
    <row r="71" spans="1:20" s="6" customFormat="1" ht="4.5" customHeight="1" x14ac:dyDescent="0.2"/>
    <row r="72" spans="1:20" ht="12.75" x14ac:dyDescent="0.2">
      <c r="D72" s="48" t="s">
        <v>90</v>
      </c>
      <c r="E72" s="43" t="str">
        <f>Lookup!E$20</f>
        <v>Source</v>
      </c>
      <c r="F72" s="43" t="str">
        <f>Lookup!F$20</f>
        <v>Unit</v>
      </c>
      <c r="G72" s="43" t="str">
        <f>Lookup!G$20</f>
        <v>Basis</v>
      </c>
      <c r="H72" s="43" t="str">
        <f>Lookup!H$20</f>
        <v>Timing</v>
      </c>
      <c r="J72" s="53" t="str">
        <f t="shared" ref="J72:T72" si="12">J$10</f>
        <v>RY18</v>
      </c>
      <c r="K72" s="52" t="str">
        <f t="shared" si="12"/>
        <v>RY19</v>
      </c>
      <c r="L72" s="43" t="str">
        <f>L$10</f>
        <v>RY20</v>
      </c>
      <c r="M72" s="43" t="str">
        <f t="shared" si="12"/>
        <v>RY21</v>
      </c>
      <c r="N72" s="43" t="str">
        <f t="shared" si="12"/>
        <v>RY22</v>
      </c>
      <c r="O72" s="53" t="str">
        <f t="shared" si="12"/>
        <v>RY23</v>
      </c>
      <c r="P72" s="52" t="str">
        <f t="shared" si="12"/>
        <v>RY24</v>
      </c>
      <c r="Q72" s="43" t="str">
        <f>Q$10</f>
        <v>RY25</v>
      </c>
      <c r="R72" s="43" t="str">
        <f t="shared" si="12"/>
        <v>RY26</v>
      </c>
      <c r="S72" s="43" t="str">
        <f t="shared" si="12"/>
        <v>RY27</v>
      </c>
      <c r="T72" s="53" t="str">
        <f t="shared" si="12"/>
        <v>RY28</v>
      </c>
    </row>
    <row r="73" spans="1:20" x14ac:dyDescent="0.2">
      <c r="J73" s="56"/>
      <c r="K73" s="54"/>
      <c r="L73" s="55"/>
      <c r="M73" s="55"/>
      <c r="N73" s="55"/>
      <c r="O73" s="56"/>
      <c r="P73" s="54"/>
      <c r="Q73" s="55"/>
      <c r="R73" s="55"/>
      <c r="S73" s="55"/>
      <c r="T73" s="56"/>
    </row>
    <row r="74" spans="1:20" ht="12.75" x14ac:dyDescent="0.2">
      <c r="D74" s="15" t="str">
        <f>Calc_EB!$C$14</f>
        <v>Opening Balance</v>
      </c>
      <c r="E74" s="50" t="str">
        <f>$E$32</f>
        <v>Calc_EB</v>
      </c>
      <c r="F74" s="50" t="str">
        <f>Dollars</f>
        <v>Dollars</v>
      </c>
      <c r="G74" s="50" t="str">
        <f>Nominal</f>
        <v>Nominal</v>
      </c>
      <c r="H74" s="50" t="str">
        <f>Start_year</f>
        <v>Start year</v>
      </c>
      <c r="J74" s="61">
        <f>Calc_EB!J$21</f>
        <v>855.89231883681293</v>
      </c>
      <c r="K74" s="59">
        <f>Calc_EB!K$21</f>
        <v>887.17675670501319</v>
      </c>
      <c r="L74" s="60">
        <f>Calc_EB!L$21</f>
        <v>904.14875359410485</v>
      </c>
      <c r="M74" s="60">
        <f>Calc_EB!M$21</f>
        <v>924.27658604316616</v>
      </c>
      <c r="N74" s="60">
        <f>Calc_EB!N$21</f>
        <v>932.55410670332913</v>
      </c>
      <c r="O74" s="61">
        <f>Calc_EB!O$21</f>
        <v>962.59786258268377</v>
      </c>
      <c r="P74" s="59">
        <f>Calc_EB!P$21</f>
        <v>979.98601768690287</v>
      </c>
      <c r="Q74" s="60">
        <f>Calc_EB!Q$21</f>
        <v>1078.6981536843543</v>
      </c>
      <c r="R74" s="60">
        <f>Calc_EB!R$21</f>
        <v>1292.0405812731565</v>
      </c>
      <c r="S74" s="60">
        <f>Calc_EB!S$21</f>
        <v>1322.0633832010146</v>
      </c>
      <c r="T74" s="61">
        <f>Calc_EB!T$21</f>
        <v>1352.7837277220056</v>
      </c>
    </row>
    <row r="75" spans="1:20" ht="12.75" x14ac:dyDescent="0.2">
      <c r="D75" s="15" t="str">
        <f>Calc_EB!$C$29</f>
        <v>Inflation</v>
      </c>
      <c r="E75" s="50" t="str">
        <f>$E$33</f>
        <v>Calc_EB</v>
      </c>
      <c r="F75" s="50" t="str">
        <f>Dollars</f>
        <v>Dollars</v>
      </c>
      <c r="G75" s="50" t="str">
        <f>Nominal</f>
        <v>Nominal</v>
      </c>
      <c r="H75" s="50" t="str">
        <f>End_year</f>
        <v>End year</v>
      </c>
      <c r="J75" s="61">
        <f>Calc_EB!J$36</f>
        <v>16.339762450520936</v>
      </c>
      <c r="K75" s="59">
        <f>Calc_EB!K$36</f>
        <v>15.828309664674725</v>
      </c>
      <c r="L75" s="60">
        <f>Calc_EB!L$36</f>
        <v>16.640774606026575</v>
      </c>
      <c r="M75" s="60">
        <f>Calc_EB!M$36</f>
        <v>7.9541874874626854</v>
      </c>
      <c r="N75" s="60">
        <f>Calc_EB!N$36</f>
        <v>30.308008467858198</v>
      </c>
      <c r="O75" s="61">
        <f>Calc_EB!O$36</f>
        <v>21.658451908110383</v>
      </c>
      <c r="P75" s="59">
        <f>Calc_EB!P$36</f>
        <v>23.029219373607116</v>
      </c>
      <c r="Q75" s="60">
        <f>Calc_EB!Q$36</f>
        <v>25.348909036208951</v>
      </c>
      <c r="R75" s="60">
        <f>Calc_EB!R$36</f>
        <v>30.362357675238528</v>
      </c>
      <c r="S75" s="60">
        <f>Calc_EB!S$36</f>
        <v>31.067879671806335</v>
      </c>
      <c r="T75" s="61">
        <f>Calc_EB!T$36</f>
        <v>31.789793597554528</v>
      </c>
    </row>
    <row r="76" spans="1:20" ht="12.75" x14ac:dyDescent="0.2">
      <c r="D76" s="15" t="str">
        <f>Calc_EB!$C$44</f>
        <v>Straight Line Depreciation</v>
      </c>
      <c r="E76" s="50" t="str">
        <f>$E$34</f>
        <v>Calc_EB</v>
      </c>
      <c r="F76" s="50" t="str">
        <f>Dollars</f>
        <v>Dollars</v>
      </c>
      <c r="G76" s="50" t="str">
        <f>Nominal</f>
        <v>Nominal</v>
      </c>
      <c r="H76" s="50" t="str">
        <f>End_year</f>
        <v>End year</v>
      </c>
      <c r="J76" s="61">
        <f>Calc_EB!J$51</f>
        <v>0</v>
      </c>
      <c r="K76" s="59">
        <f>Calc_EB!K$51</f>
        <v>0</v>
      </c>
      <c r="L76" s="60">
        <f>Calc_EB!L$51</f>
        <v>0</v>
      </c>
      <c r="M76" s="60">
        <f>Calc_EB!M$51</f>
        <v>0</v>
      </c>
      <c r="N76" s="60">
        <f>Calc_EB!N$51</f>
        <v>0</v>
      </c>
      <c r="O76" s="61">
        <f>Calc_EB!O$51</f>
        <v>0</v>
      </c>
      <c r="P76" s="59">
        <f>Calc_EB!P$51</f>
        <v>0</v>
      </c>
      <c r="Q76" s="60">
        <f>Calc_EB!Q$51</f>
        <v>0</v>
      </c>
      <c r="R76" s="60">
        <f>Calc_EB!R$51</f>
        <v>0</v>
      </c>
      <c r="S76" s="60">
        <f>Calc_EB!S$51</f>
        <v>0</v>
      </c>
      <c r="T76" s="61">
        <f>Calc_EB!T$51</f>
        <v>0</v>
      </c>
    </row>
    <row r="77" spans="1:20" ht="12.75" x14ac:dyDescent="0.2">
      <c r="D77" s="15" t="str">
        <f>Calc_EB!$C$59</f>
        <v>RAB Additions</v>
      </c>
      <c r="E77" s="50" t="str">
        <f>$E$35</f>
        <v>Calc_EB</v>
      </c>
      <c r="F77" s="50" t="str">
        <f>Dollars</f>
        <v>Dollars</v>
      </c>
      <c r="G77" s="50" t="str">
        <f>Nominal</f>
        <v>Nominal</v>
      </c>
      <c r="H77" s="50" t="str">
        <f>End_year</f>
        <v>End year</v>
      </c>
      <c r="J77" s="61">
        <f>Calc_EB!J$66+Calc_EB!J$111</f>
        <v>14.944675417679402</v>
      </c>
      <c r="K77" s="59">
        <f>Calc_EB!K$66+Calc_EB!K$111</f>
        <v>2.02080170570621</v>
      </c>
      <c r="L77" s="60">
        <f>Calc_EB!L$66+Calc_EB!L$111</f>
        <v>3.5152329962843329</v>
      </c>
      <c r="M77" s="60">
        <f>Calc_EB!M$66+Calc_EB!M$111</f>
        <v>0.3233331727002936</v>
      </c>
      <c r="N77" s="60">
        <f>Calc_EB!N$66+Calc_EB!N$111</f>
        <v>4.8663047000705013E-2</v>
      </c>
      <c r="O77" s="61">
        <f>Calc_EB!O$66+Calc_EB!O$111</f>
        <v>-3.9518937613787823</v>
      </c>
      <c r="P77" s="59">
        <f>Calc_EB!P$66+Calc_EB!P$111</f>
        <v>76.007058978981732</v>
      </c>
      <c r="Q77" s="60">
        <f>Calc_EB!Q$66+Calc_EB!Q$111</f>
        <v>188.32527810355811</v>
      </c>
      <c r="R77" s="60">
        <f>Calc_EB!R$66+Calc_EB!R$111</f>
        <v>0</v>
      </c>
      <c r="S77" s="60">
        <f>Calc_EB!S$66+Calc_EB!S$111</f>
        <v>0</v>
      </c>
      <c r="T77" s="61">
        <f>Calc_EB!T$66+Calc_EB!T$111</f>
        <v>18.703141459708672</v>
      </c>
    </row>
    <row r="78" spans="1:20" ht="12.75" x14ac:dyDescent="0.2">
      <c r="D78" s="15" t="str">
        <f>Calc_EB!$C$74</f>
        <v>Disposals</v>
      </c>
      <c r="E78" s="50" t="str">
        <f>$E$36</f>
        <v>Calc_EB</v>
      </c>
      <c r="F78" s="50" t="str">
        <f>Dollars</f>
        <v>Dollars</v>
      </c>
      <c r="G78" s="50" t="str">
        <f>Nominal</f>
        <v>Nominal</v>
      </c>
      <c r="H78" s="50" t="str">
        <f>End_year</f>
        <v>End year</v>
      </c>
      <c r="J78" s="61">
        <f>Calc_EB!J$81</f>
        <v>0</v>
      </c>
      <c r="K78" s="59">
        <f>Calc_EB!K$81</f>
        <v>-0.87711448128930969</v>
      </c>
      <c r="L78" s="60">
        <f>Calc_EB!L$81</f>
        <v>-2.8175153249596799E-2</v>
      </c>
      <c r="M78" s="60">
        <f>Calc_EB!M$81</f>
        <v>0</v>
      </c>
      <c r="N78" s="60">
        <f>Calc_EB!N$81</f>
        <v>-0.31291563550417728</v>
      </c>
      <c r="O78" s="61">
        <f>Calc_EB!O$81</f>
        <v>-0.31840304251250867</v>
      </c>
      <c r="P78" s="59">
        <f>Calc_EB!P$81</f>
        <v>-0.32414235513744355</v>
      </c>
      <c r="Q78" s="60">
        <f>Calc_EB!Q$81</f>
        <v>-0.33175955096474441</v>
      </c>
      <c r="R78" s="60">
        <f>Calc_EB!R$81</f>
        <v>-0.33955574738037275</v>
      </c>
      <c r="S78" s="60">
        <f>Calc_EB!S$81</f>
        <v>-0.34753515081558595</v>
      </c>
      <c r="T78" s="61">
        <f>Calc_EB!T$81</f>
        <v>-0.35570206655083553</v>
      </c>
    </row>
    <row r="79" spans="1:20" x14ac:dyDescent="0.2">
      <c r="J79" s="56"/>
      <c r="K79" s="54"/>
      <c r="L79" s="55"/>
      <c r="M79" s="55"/>
      <c r="N79" s="55"/>
      <c r="O79" s="56"/>
      <c r="P79" s="54"/>
      <c r="Q79" s="55"/>
      <c r="R79" s="55"/>
      <c r="S79" s="55"/>
      <c r="T79" s="56"/>
    </row>
    <row r="80" spans="1:20" ht="12.75" x14ac:dyDescent="0.2">
      <c r="D80" s="49" t="s">
        <v>110</v>
      </c>
      <c r="E80" s="45" t="s">
        <v>92</v>
      </c>
      <c r="F80" s="45" t="str">
        <f>F74</f>
        <v>Dollars</v>
      </c>
      <c r="G80" s="45" t="str">
        <f>G74</f>
        <v>Nominal</v>
      </c>
      <c r="H80" s="45" t="str">
        <f>End_year</f>
        <v>End year</v>
      </c>
      <c r="J80" s="58">
        <f t="shared" ref="J80:T80" si="13">SUM(J74:J78)</f>
        <v>887.17675670501319</v>
      </c>
      <c r="K80" s="57">
        <f t="shared" si="13"/>
        <v>904.14875359410485</v>
      </c>
      <c r="L80" s="44">
        <f t="shared" si="13"/>
        <v>924.27658604316616</v>
      </c>
      <c r="M80" s="44">
        <f t="shared" si="13"/>
        <v>932.55410670332913</v>
      </c>
      <c r="N80" s="44">
        <f t="shared" si="13"/>
        <v>962.59786258268377</v>
      </c>
      <c r="O80" s="58">
        <f t="shared" si="13"/>
        <v>979.98601768690287</v>
      </c>
      <c r="P80" s="57">
        <f t="shared" si="13"/>
        <v>1078.6981536843543</v>
      </c>
      <c r="Q80" s="44">
        <f t="shared" si="13"/>
        <v>1292.0405812731565</v>
      </c>
      <c r="R80" s="44">
        <f t="shared" si="13"/>
        <v>1322.0633832010146</v>
      </c>
      <c r="S80" s="44">
        <f t="shared" si="13"/>
        <v>1352.7837277220056</v>
      </c>
      <c r="T80" s="58">
        <f t="shared" si="13"/>
        <v>1402.9209607127179</v>
      </c>
    </row>
    <row r="81" spans="1:20" s="6" customFormat="1" ht="4.5" customHeight="1" x14ac:dyDescent="0.2"/>
    <row r="82" spans="1:20" s="6" customFormat="1" ht="11.25" customHeight="1" x14ac:dyDescent="0.2">
      <c r="A82" s="47">
        <f>IF(SUM($J82:$T82)&lt;&gt;0,1,0)</f>
        <v>0</v>
      </c>
      <c r="D82" s="15" t="s">
        <v>95</v>
      </c>
      <c r="J82" s="63">
        <f>IF(J80&lt;&gt;Calc_EB!J$126,1,0)</f>
        <v>0</v>
      </c>
      <c r="K82" s="63">
        <f>IF(K80&lt;&gt;Calc_EB!K$126,1,0)</f>
        <v>0</v>
      </c>
      <c r="L82" s="63">
        <f>IF(L80&lt;&gt;Calc_EB!L$126,1,0)</f>
        <v>0</v>
      </c>
      <c r="M82" s="63">
        <f>IF(M80&lt;&gt;Calc_EB!M$126,1,0)</f>
        <v>0</v>
      </c>
      <c r="N82" s="63">
        <f>IF(N80&lt;&gt;Calc_EB!N$126,1,0)</f>
        <v>0</v>
      </c>
      <c r="O82" s="63">
        <f>IF(O80&lt;&gt;Calc_EB!O$126,1,0)</f>
        <v>0</v>
      </c>
      <c r="P82" s="63">
        <f>IF(P80&lt;&gt;Calc_EB!P$126,1,0)</f>
        <v>0</v>
      </c>
      <c r="Q82" s="63">
        <f>IF(Q80&lt;&gt;Calc_EB!Q$126,1,0)</f>
        <v>0</v>
      </c>
      <c r="R82" s="63">
        <f>IF(R80&lt;&gt;Calc_EB!R$126,1,0)</f>
        <v>0</v>
      </c>
      <c r="S82" s="63">
        <f>IF(S80&lt;&gt;Calc_EB!S$126,1,0)</f>
        <v>0</v>
      </c>
      <c r="T82" s="63">
        <f>IF(T80&lt;&gt;Calc_EB!T$126,1,0)</f>
        <v>0</v>
      </c>
    </row>
    <row r="83" spans="1:20" s="6" customFormat="1" ht="4.5" customHeight="1" x14ac:dyDescent="0.2"/>
    <row r="84" spans="1:20" s="13" customFormat="1" ht="15" x14ac:dyDescent="0.2">
      <c r="C84" s="13" t="str">
        <f>Lookup!$D$130</f>
        <v>“Other” asset items with long lives</v>
      </c>
    </row>
    <row r="85" spans="1:20" s="6" customFormat="1" ht="4.5" customHeight="1" x14ac:dyDescent="0.2"/>
    <row r="86" spans="1:20" ht="12.75" x14ac:dyDescent="0.2">
      <c r="D86" s="48" t="s">
        <v>90</v>
      </c>
      <c r="E86" s="43" t="str">
        <f>Lookup!E$20</f>
        <v>Source</v>
      </c>
      <c r="F86" s="43" t="str">
        <f>Lookup!F$20</f>
        <v>Unit</v>
      </c>
      <c r="G86" s="43" t="str">
        <f>Lookup!G$20</f>
        <v>Basis</v>
      </c>
      <c r="H86" s="43" t="str">
        <f>Lookup!H$20</f>
        <v>Timing</v>
      </c>
      <c r="J86" s="53" t="str">
        <f t="shared" ref="J86:T86" si="14">J$10</f>
        <v>RY18</v>
      </c>
      <c r="K86" s="52" t="str">
        <f t="shared" si="14"/>
        <v>RY19</v>
      </c>
      <c r="L86" s="43" t="str">
        <f>L$10</f>
        <v>RY20</v>
      </c>
      <c r="M86" s="43" t="str">
        <f t="shared" si="14"/>
        <v>RY21</v>
      </c>
      <c r="N86" s="43" t="str">
        <f t="shared" si="14"/>
        <v>RY22</v>
      </c>
      <c r="O86" s="53" t="str">
        <f t="shared" si="14"/>
        <v>RY23</v>
      </c>
      <c r="P86" s="52" t="str">
        <f t="shared" si="14"/>
        <v>RY24</v>
      </c>
      <c r="Q86" s="43" t="str">
        <f>Q$10</f>
        <v>RY25</v>
      </c>
      <c r="R86" s="43" t="str">
        <f t="shared" si="14"/>
        <v>RY26</v>
      </c>
      <c r="S86" s="43" t="str">
        <f t="shared" si="14"/>
        <v>RY27</v>
      </c>
      <c r="T86" s="53" t="str">
        <f t="shared" si="14"/>
        <v>RY28</v>
      </c>
    </row>
    <row r="87" spans="1:20" x14ac:dyDescent="0.2">
      <c r="J87" s="56"/>
      <c r="K87" s="54"/>
      <c r="L87" s="55"/>
      <c r="M87" s="55"/>
      <c r="N87" s="55"/>
      <c r="O87" s="56"/>
      <c r="P87" s="54"/>
      <c r="Q87" s="55"/>
      <c r="R87" s="55"/>
      <c r="S87" s="55"/>
      <c r="T87" s="56"/>
    </row>
    <row r="88" spans="1:20" ht="12.75" x14ac:dyDescent="0.2">
      <c r="D88" s="15" t="str">
        <f>Calc_EB!$C$14</f>
        <v>Opening Balance</v>
      </c>
      <c r="E88" s="50" t="str">
        <f>$E$32</f>
        <v>Calc_EB</v>
      </c>
      <c r="F88" s="50" t="str">
        <f>Dollars</f>
        <v>Dollars</v>
      </c>
      <c r="G88" s="50" t="str">
        <f>Nominal</f>
        <v>Nominal</v>
      </c>
      <c r="H88" s="50" t="str">
        <f>Start_year</f>
        <v>Start year</v>
      </c>
      <c r="J88" s="61">
        <f>Calc_EB!J$22</f>
        <v>333.94235983500505</v>
      </c>
      <c r="K88" s="59">
        <f>Calc_EB!K$22</f>
        <v>368.62346883130499</v>
      </c>
      <c r="L88" s="60">
        <f>Calc_EB!L$22</f>
        <v>393.59093037796259</v>
      </c>
      <c r="M88" s="60">
        <f>Calc_EB!M$22</f>
        <v>406.96455058718811</v>
      </c>
      <c r="N88" s="60">
        <f>Calc_EB!N$22</f>
        <v>405.87595198983507</v>
      </c>
      <c r="O88" s="61">
        <f>Calc_EB!O$22</f>
        <v>481.13150290759756</v>
      </c>
      <c r="P88" s="59">
        <f>Calc_EB!P$22</f>
        <v>414.93873638270719</v>
      </c>
      <c r="Q88" s="60">
        <f>Calc_EB!Q$22</f>
        <v>493.4909902092179</v>
      </c>
      <c r="R88" s="60">
        <f>Calc_EB!R$22</f>
        <v>617.31560796732742</v>
      </c>
      <c r="S88" s="60">
        <f>Calc_EB!S$22</f>
        <v>653.70747166300907</v>
      </c>
      <c r="T88" s="61">
        <f>Calc_EB!T$22</f>
        <v>687.86980099900211</v>
      </c>
    </row>
    <row r="89" spans="1:20" ht="12.75" x14ac:dyDescent="0.2">
      <c r="D89" s="15" t="str">
        <f>Calc_EB!$C$29</f>
        <v>Inflation</v>
      </c>
      <c r="E89" s="50" t="str">
        <f>$E$33</f>
        <v>Calc_EB</v>
      </c>
      <c r="F89" s="50" t="str">
        <f>Dollars</f>
        <v>Dollars</v>
      </c>
      <c r="G89" s="50" t="str">
        <f>Nominal</f>
        <v>Nominal</v>
      </c>
      <c r="H89" s="50" t="str">
        <f>End_year</f>
        <v>End year</v>
      </c>
      <c r="J89" s="61">
        <f>Calc_EB!J$37</f>
        <v>6.3752632332137198</v>
      </c>
      <c r="K89" s="59">
        <f>Calc_EB!K$37</f>
        <v>6.5766898988636422</v>
      </c>
      <c r="L89" s="60">
        <f>Calc_EB!L$37</f>
        <v>7.2440048535821777</v>
      </c>
      <c r="M89" s="60">
        <f>Calc_EB!M$37</f>
        <v>3.5022766831943826</v>
      </c>
      <c r="N89" s="60">
        <f>Calc_EB!N$37</f>
        <v>13.190968439669641</v>
      </c>
      <c r="O89" s="61">
        <f>Calc_EB!O$37</f>
        <v>10.825458815420944</v>
      </c>
      <c r="P89" s="59">
        <f>Calc_EB!P$37</f>
        <v>9.7508689045578478</v>
      </c>
      <c r="Q89" s="60">
        <f>Calc_EB!Q$37</f>
        <v>11.596810635371339</v>
      </c>
      <c r="R89" s="60">
        <f>Calc_EB!R$37</f>
        <v>14.506632035614631</v>
      </c>
      <c r="S89" s="60">
        <f>Calc_EB!S$37</f>
        <v>15.361824045843923</v>
      </c>
      <c r="T89" s="61">
        <f>Calc_EB!T$37</f>
        <v>16.164623027046684</v>
      </c>
    </row>
    <row r="90" spans="1:20" ht="12.75" x14ac:dyDescent="0.2">
      <c r="D90" s="15" t="str">
        <f>Calc_EB!$C$44</f>
        <v>Straight Line Depreciation</v>
      </c>
      <c r="E90" s="50" t="str">
        <f>$E$34</f>
        <v>Calc_EB</v>
      </c>
      <c r="F90" s="50" t="str">
        <f>Dollars</f>
        <v>Dollars</v>
      </c>
      <c r="G90" s="50" t="str">
        <f>Nominal</f>
        <v>Nominal</v>
      </c>
      <c r="H90" s="50" t="str">
        <f>End_year</f>
        <v>End year</v>
      </c>
      <c r="J90" s="61">
        <f>Calc_EB!J$52</f>
        <v>-27.936442934036737</v>
      </c>
      <c r="K90" s="59">
        <f>Calc_EB!K$52</f>
        <v>-27.601372351908488</v>
      </c>
      <c r="L90" s="60">
        <f>Calc_EB!L$52</f>
        <v>-30.189167464710621</v>
      </c>
      <c r="M90" s="60">
        <f>Calc_EB!M$52</f>
        <v>-34.265451785898911</v>
      </c>
      <c r="N90" s="60">
        <f>Calc_EB!N$52</f>
        <v>-38.741675990971025</v>
      </c>
      <c r="O90" s="61">
        <f>Calc_EB!O$52</f>
        <v>-41.02756978467913</v>
      </c>
      <c r="P90" s="59">
        <f>Calc_EB!P$52</f>
        <v>-31.05332202638596</v>
      </c>
      <c r="Q90" s="60">
        <f>Calc_EB!Q$52</f>
        <v>-35.964303019938995</v>
      </c>
      <c r="R90" s="60">
        <f>Calc_EB!R$52</f>
        <v>-42.819102478329917</v>
      </c>
      <c r="S90" s="60">
        <f>Calc_EB!S$52</f>
        <v>-48.316918728594359</v>
      </c>
      <c r="T90" s="61">
        <f>Calc_EB!T$52</f>
        <v>-48.215897482215063</v>
      </c>
    </row>
    <row r="91" spans="1:20" ht="12.75" x14ac:dyDescent="0.2">
      <c r="D91" s="15" t="str">
        <f>Calc_EB!$C$59</f>
        <v>RAB Additions</v>
      </c>
      <c r="E91" s="50" t="str">
        <f>$E$35</f>
        <v>Calc_EB</v>
      </c>
      <c r="F91" s="50" t="str">
        <f>Dollars</f>
        <v>Dollars</v>
      </c>
      <c r="G91" s="50" t="str">
        <f>Nominal</f>
        <v>Nominal</v>
      </c>
      <c r="H91" s="50" t="str">
        <f>End_year</f>
        <v>End year</v>
      </c>
      <c r="J91" s="61">
        <f>Calc_EB!J$67+Calc_EB!J$112</f>
        <v>56.242288697122945</v>
      </c>
      <c r="K91" s="59">
        <f>Calc_EB!K$67+Calc_EB!K$112</f>
        <v>45.992143999702407</v>
      </c>
      <c r="L91" s="60">
        <f>Calc_EB!L$67+Calc_EB!L$112</f>
        <v>36.318782820354009</v>
      </c>
      <c r="M91" s="60">
        <f>Calc_EB!M$67+Calc_EB!M$112</f>
        <v>29.674576505351443</v>
      </c>
      <c r="N91" s="60">
        <f>Calc_EB!N$67+Calc_EB!N$112</f>
        <v>100.80625846906389</v>
      </c>
      <c r="O91" s="61">
        <f>Calc_EB!O$67+Calc_EB!O$112</f>
        <v>-35.990655555632138</v>
      </c>
      <c r="P91" s="59">
        <f>Calc_EB!P$67+Calc_EB!P$112</f>
        <v>99.854706948338801</v>
      </c>
      <c r="Q91" s="60">
        <f>Calc_EB!Q$67+Calc_EB!Q$112</f>
        <v>148.19211014267714</v>
      </c>
      <c r="R91" s="60">
        <f>Calc_EB!R$67+Calc_EB!R$112</f>
        <v>64.704334138396916</v>
      </c>
      <c r="S91" s="60">
        <f>Calc_EB!S$67+Calc_EB!S$112</f>
        <v>67.117424018743421</v>
      </c>
      <c r="T91" s="61">
        <f>Calc_EB!T$67+Calc_EB!T$112</f>
        <v>133.72086586439806</v>
      </c>
    </row>
    <row r="92" spans="1:20" ht="12.75" x14ac:dyDescent="0.2">
      <c r="D92" s="15" t="str">
        <f>Calc_EB!$C$74</f>
        <v>Disposals</v>
      </c>
      <c r="E92" s="50" t="str">
        <f>$E$36</f>
        <v>Calc_EB</v>
      </c>
      <c r="F92" s="50" t="str">
        <f>Dollars</f>
        <v>Dollars</v>
      </c>
      <c r="G92" s="50" t="str">
        <f>Nominal</f>
        <v>Nominal</v>
      </c>
      <c r="H92" s="50" t="str">
        <f>End_year</f>
        <v>End year</v>
      </c>
      <c r="J92" s="61">
        <f>Calc_EB!J$82</f>
        <v>0</v>
      </c>
      <c r="K92" s="59">
        <f>Calc_EB!K$82</f>
        <v>0</v>
      </c>
      <c r="L92" s="60">
        <f>Calc_EB!L$82</f>
        <v>0</v>
      </c>
      <c r="M92" s="60">
        <f>Calc_EB!M$82</f>
        <v>0</v>
      </c>
      <c r="N92" s="60">
        <f>Calc_EB!N$82</f>
        <v>0</v>
      </c>
      <c r="O92" s="61">
        <f>Calc_EB!O$82</f>
        <v>0</v>
      </c>
      <c r="P92" s="59">
        <f>Calc_EB!P$82</f>
        <v>0</v>
      </c>
      <c r="Q92" s="60">
        <f>Calc_EB!Q$82</f>
        <v>0</v>
      </c>
      <c r="R92" s="60">
        <f>Calc_EB!R$82</f>
        <v>0</v>
      </c>
      <c r="S92" s="60">
        <f>Calc_EB!S$82</f>
        <v>0</v>
      </c>
      <c r="T92" s="61">
        <f>Calc_EB!T$82</f>
        <v>0</v>
      </c>
    </row>
    <row r="93" spans="1:20" x14ac:dyDescent="0.2">
      <c r="J93" s="56"/>
      <c r="K93" s="54"/>
      <c r="L93" s="55"/>
      <c r="M93" s="55"/>
      <c r="N93" s="55"/>
      <c r="O93" s="56"/>
      <c r="P93" s="54"/>
      <c r="Q93" s="55"/>
      <c r="R93" s="55"/>
      <c r="S93" s="55"/>
      <c r="T93" s="56"/>
    </row>
    <row r="94" spans="1:20" ht="12.75" x14ac:dyDescent="0.2">
      <c r="D94" s="49" t="s">
        <v>110</v>
      </c>
      <c r="E94" s="45" t="s">
        <v>92</v>
      </c>
      <c r="F94" s="45" t="str">
        <f>F88</f>
        <v>Dollars</v>
      </c>
      <c r="G94" s="45" t="str">
        <f>G88</f>
        <v>Nominal</v>
      </c>
      <c r="H94" s="45" t="str">
        <f>End_year</f>
        <v>End year</v>
      </c>
      <c r="J94" s="58">
        <f t="shared" ref="J94:T94" si="15">SUM(J88:J92)</f>
        <v>368.62346883130499</v>
      </c>
      <c r="K94" s="57">
        <f t="shared" si="15"/>
        <v>393.59093037796259</v>
      </c>
      <c r="L94" s="44">
        <f t="shared" si="15"/>
        <v>406.96455058718811</v>
      </c>
      <c r="M94" s="44">
        <f t="shared" si="15"/>
        <v>405.87595198983507</v>
      </c>
      <c r="N94" s="44">
        <f t="shared" si="15"/>
        <v>481.13150290759756</v>
      </c>
      <c r="O94" s="58">
        <f t="shared" si="15"/>
        <v>414.93873638270719</v>
      </c>
      <c r="P94" s="57">
        <f t="shared" si="15"/>
        <v>493.4909902092179</v>
      </c>
      <c r="Q94" s="44">
        <f t="shared" si="15"/>
        <v>617.31560796732742</v>
      </c>
      <c r="R94" s="44">
        <f t="shared" si="15"/>
        <v>653.70747166300907</v>
      </c>
      <c r="S94" s="44">
        <f t="shared" si="15"/>
        <v>687.86980099900211</v>
      </c>
      <c r="T94" s="58">
        <f t="shared" si="15"/>
        <v>789.53939240823183</v>
      </c>
    </row>
    <row r="95" spans="1:20" s="6" customFormat="1" ht="4.5" customHeight="1" x14ac:dyDescent="0.2"/>
    <row r="96" spans="1:20" s="6" customFormat="1" ht="11.25" customHeight="1" x14ac:dyDescent="0.2">
      <c r="A96" s="47">
        <f>IF(SUM($J96:$T96)&lt;&gt;0,1,0)</f>
        <v>0</v>
      </c>
      <c r="D96" s="15" t="s">
        <v>95</v>
      </c>
      <c r="J96" s="63">
        <f>IF(ROUND(J94-Calc_EB!J$127,4)&lt;&gt;0,1,0)</f>
        <v>0</v>
      </c>
      <c r="K96" s="63">
        <f>IF(ROUND(K94-Calc_EB!K$127,4)&lt;&gt;0,1,0)</f>
        <v>0</v>
      </c>
      <c r="L96" s="63">
        <f>IF(ROUND(L94-Calc_EB!L$127,4)&lt;&gt;0,1,0)</f>
        <v>0</v>
      </c>
      <c r="M96" s="63">
        <f>IF(ROUND(M94-Calc_EB!M$127,4)&lt;&gt;0,1,0)</f>
        <v>0</v>
      </c>
      <c r="N96" s="63">
        <f>IF(ROUND(N94-Calc_EB!N$127,4)&lt;&gt;0,1,0)</f>
        <v>0</v>
      </c>
      <c r="O96" s="63">
        <f>IF(ROUND(O94-Calc_EB!O$127,4)&lt;&gt;0,1,0)</f>
        <v>0</v>
      </c>
      <c r="P96" s="63">
        <f>IF(ROUND(P94-Calc_EB!P$127,4)&lt;&gt;0,1,0)</f>
        <v>0</v>
      </c>
      <c r="Q96" s="63">
        <f>IF(ROUND(Q94-Calc_EB!Q$127,4)&lt;&gt;0,1,0)</f>
        <v>0</v>
      </c>
      <c r="R96" s="63">
        <f>IF(ROUND(R94-Calc_EB!R$127,4)&lt;&gt;0,1,0)</f>
        <v>0</v>
      </c>
      <c r="S96" s="63">
        <f>IF(ROUND(S94-Calc_EB!S$127,4)&lt;&gt;0,1,0)</f>
        <v>0</v>
      </c>
      <c r="T96" s="63">
        <f>IF(ROUND(T94-Calc_EB!T$127,4)&lt;&gt;0,1,0)</f>
        <v>0</v>
      </c>
    </row>
    <row r="97" spans="1:20" s="6" customFormat="1" ht="4.5" customHeight="1" x14ac:dyDescent="0.2"/>
    <row r="98" spans="1:20" s="13" customFormat="1" ht="15" x14ac:dyDescent="0.2">
      <c r="C98" s="13" t="str">
        <f>Lookup!$D$131</f>
        <v>“Other” asset items with short lives</v>
      </c>
    </row>
    <row r="99" spans="1:20" s="6" customFormat="1" ht="4.5" customHeight="1" x14ac:dyDescent="0.2"/>
    <row r="100" spans="1:20" ht="12.75" x14ac:dyDescent="0.2">
      <c r="D100" s="48" t="s">
        <v>90</v>
      </c>
      <c r="E100" s="43" t="str">
        <f>Lookup!E$20</f>
        <v>Source</v>
      </c>
      <c r="F100" s="43" t="str">
        <f>Lookup!F$20</f>
        <v>Unit</v>
      </c>
      <c r="G100" s="43" t="str">
        <f>Lookup!G$20</f>
        <v>Basis</v>
      </c>
      <c r="H100" s="43" t="str">
        <f>Lookup!H$20</f>
        <v>Timing</v>
      </c>
      <c r="J100" s="53" t="str">
        <f t="shared" ref="J100:T100" si="16">J$10</f>
        <v>RY18</v>
      </c>
      <c r="K100" s="52" t="str">
        <f t="shared" si="16"/>
        <v>RY19</v>
      </c>
      <c r="L100" s="43" t="str">
        <f>L$10</f>
        <v>RY20</v>
      </c>
      <c r="M100" s="43" t="str">
        <f t="shared" si="16"/>
        <v>RY21</v>
      </c>
      <c r="N100" s="43" t="str">
        <f t="shared" si="16"/>
        <v>RY22</v>
      </c>
      <c r="O100" s="53" t="str">
        <f t="shared" si="16"/>
        <v>RY23</v>
      </c>
      <c r="P100" s="52" t="str">
        <f t="shared" si="16"/>
        <v>RY24</v>
      </c>
      <c r="Q100" s="43" t="str">
        <f>Q$10</f>
        <v>RY25</v>
      </c>
      <c r="R100" s="43" t="str">
        <f t="shared" si="16"/>
        <v>RY26</v>
      </c>
      <c r="S100" s="43" t="str">
        <f t="shared" si="16"/>
        <v>RY27</v>
      </c>
      <c r="T100" s="53" t="str">
        <f t="shared" si="16"/>
        <v>RY28</v>
      </c>
    </row>
    <row r="101" spans="1:20" x14ac:dyDescent="0.2">
      <c r="J101" s="56"/>
      <c r="K101" s="54"/>
      <c r="L101" s="55"/>
      <c r="M101" s="55"/>
      <c r="N101" s="55"/>
      <c r="O101" s="56"/>
      <c r="P101" s="54"/>
      <c r="Q101" s="55"/>
      <c r="R101" s="55"/>
      <c r="S101" s="55"/>
      <c r="T101" s="56"/>
    </row>
    <row r="102" spans="1:20" ht="12.75" x14ac:dyDescent="0.2">
      <c r="D102" s="15" t="str">
        <f>Calc_EB!$C$14</f>
        <v>Opening Balance</v>
      </c>
      <c r="E102" s="50" t="str">
        <f>$E$32</f>
        <v>Calc_EB</v>
      </c>
      <c r="F102" s="50" t="str">
        <f>Dollars</f>
        <v>Dollars</v>
      </c>
      <c r="G102" s="50" t="str">
        <f>Nominal</f>
        <v>Nominal</v>
      </c>
      <c r="H102" s="50" t="str">
        <f>Start_year</f>
        <v>Start year</v>
      </c>
      <c r="J102" s="61">
        <f>Calc_EB!J$23</f>
        <v>64.327288254435743</v>
      </c>
      <c r="K102" s="59">
        <f>Calc_EB!K$23</f>
        <v>66.108684612442204</v>
      </c>
      <c r="L102" s="60">
        <f>Calc_EB!L$23</f>
        <v>75.475641269972755</v>
      </c>
      <c r="M102" s="60">
        <f>Calc_EB!M$23</f>
        <v>74.349378776506896</v>
      </c>
      <c r="N102" s="60">
        <f>Calc_EB!N$23</f>
        <v>67.653509256245016</v>
      </c>
      <c r="O102" s="61">
        <f>Calc_EB!O$23</f>
        <v>89.641832108294253</v>
      </c>
      <c r="P102" s="59">
        <f>Calc_EB!P$23</f>
        <v>54.156229477783185</v>
      </c>
      <c r="Q102" s="60">
        <f>Calc_EB!Q$23</f>
        <v>85.929572443279014</v>
      </c>
      <c r="R102" s="60">
        <f>Calc_EB!R$23</f>
        <v>115.53479664993138</v>
      </c>
      <c r="S102" s="60">
        <f>Calc_EB!S$23</f>
        <v>121.1160996964996</v>
      </c>
      <c r="T102" s="61">
        <f>Calc_EB!T$23</f>
        <v>133.39294673161879</v>
      </c>
    </row>
    <row r="103" spans="1:20" ht="12.75" x14ac:dyDescent="0.2">
      <c r="D103" s="15" t="str">
        <f>Calc_EB!$C$29</f>
        <v>Inflation</v>
      </c>
      <c r="E103" s="50" t="str">
        <f>$E$33</f>
        <v>Calc_EB</v>
      </c>
      <c r="F103" s="50" t="str">
        <f>Dollars</f>
        <v>Dollars</v>
      </c>
      <c r="G103" s="50" t="str">
        <f>Nominal</f>
        <v>Nominal</v>
      </c>
      <c r="H103" s="50" t="str">
        <f>End_year</f>
        <v>End year</v>
      </c>
      <c r="J103" s="61">
        <f>Calc_EB!J$38</f>
        <v>1.2280664121301341</v>
      </c>
      <c r="K103" s="59">
        <f>Calc_EB!K$38</f>
        <v>1.179459136707272</v>
      </c>
      <c r="L103" s="60">
        <f>Calc_EB!L$38</f>
        <v>1.3891222319626975</v>
      </c>
      <c r="M103" s="60">
        <f>Calc_EB!M$38</f>
        <v>0.63983974850694258</v>
      </c>
      <c r="N103" s="60">
        <f>Calc_EB!N$38</f>
        <v>2.1987390508279629</v>
      </c>
      <c r="O103" s="61">
        <f>Calc_EB!O$38</f>
        <v>2.0169412224366208</v>
      </c>
      <c r="P103" s="59">
        <f>Calc_EB!P$38</f>
        <v>1.2726464118692551</v>
      </c>
      <c r="Q103" s="60">
        <f>Calc_EB!Q$38</f>
        <v>2.0193053153425464</v>
      </c>
      <c r="R103" s="60">
        <f>Calc_EB!R$38</f>
        <v>2.7150144280797499</v>
      </c>
      <c r="S103" s="60">
        <f>Calc_EB!S$38</f>
        <v>2.8461724751643218</v>
      </c>
      <c r="T103" s="61">
        <f>Calc_EB!T$38</f>
        <v>3.1346727174997246</v>
      </c>
    </row>
    <row r="104" spans="1:20" ht="12.75" x14ac:dyDescent="0.2">
      <c r="D104" s="15" t="str">
        <f>Calc_EB!$C$44</f>
        <v>Straight Line Depreciation</v>
      </c>
      <c r="E104" s="50" t="str">
        <f>$E$34</f>
        <v>Calc_EB</v>
      </c>
      <c r="F104" s="50" t="str">
        <f>Dollars</f>
        <v>Dollars</v>
      </c>
      <c r="G104" s="50" t="str">
        <f>Nominal</f>
        <v>Nominal</v>
      </c>
      <c r="H104" s="50" t="str">
        <f>End_year</f>
        <v>End year</v>
      </c>
      <c r="J104" s="61">
        <f>Calc_EB!J$53</f>
        <v>-30.448130825626844</v>
      </c>
      <c r="K104" s="59">
        <f>Calc_EB!K$53</f>
        <v>-17.828983842469501</v>
      </c>
      <c r="L104" s="60">
        <f>Calc_EB!L$53</f>
        <v>-27.407936864881176</v>
      </c>
      <c r="M104" s="60">
        <f>Calc_EB!M$53</f>
        <v>-31.235583780324767</v>
      </c>
      <c r="N104" s="60">
        <f>Calc_EB!N$53</f>
        <v>-24.240711099947774</v>
      </c>
      <c r="O104" s="61">
        <f>Calc_EB!O$53</f>
        <v>-29.194631227866147</v>
      </c>
      <c r="P104" s="59">
        <f>Calc_EB!P$53</f>
        <v>-16.118424038686825</v>
      </c>
      <c r="Q104" s="60">
        <f>Calc_EB!Q$53</f>
        <v>-27.75431994648898</v>
      </c>
      <c r="R104" s="60">
        <f>Calc_EB!R$53</f>
        <v>-31.607333927969197</v>
      </c>
      <c r="S104" s="60">
        <f>Calc_EB!S$53</f>
        <v>-28.446188532521099</v>
      </c>
      <c r="T104" s="61">
        <f>Calc_EB!T$53</f>
        <v>-34.906482211743203</v>
      </c>
    </row>
    <row r="105" spans="1:20" ht="12.75" x14ac:dyDescent="0.2">
      <c r="D105" s="15" t="str">
        <f>Calc_EB!$C$59</f>
        <v>RAB Additions</v>
      </c>
      <c r="E105" s="50" t="str">
        <f>$E$35</f>
        <v>Calc_EB</v>
      </c>
      <c r="F105" s="50" t="str">
        <f>Dollars</f>
        <v>Dollars</v>
      </c>
      <c r="G105" s="50" t="str">
        <f>Nominal</f>
        <v>Nominal</v>
      </c>
      <c r="H105" s="50" t="str">
        <f>End_year</f>
        <v>End year</v>
      </c>
      <c r="J105" s="61">
        <f>Calc_EB!J$68+Calc_EB!J$113</f>
        <v>31.001460771503183</v>
      </c>
      <c r="K105" s="59">
        <f>Calc_EB!K$68+Calc_EB!K$113</f>
        <v>29.441365266676151</v>
      </c>
      <c r="L105" s="60">
        <f>Calc_EB!L$68+Calc_EB!L$113</f>
        <v>27.091230777888185</v>
      </c>
      <c r="M105" s="60">
        <f>Calc_EB!M$68+Calc_EB!M$113</f>
        <v>27.810493291926598</v>
      </c>
      <c r="N105" s="60">
        <f>Calc_EB!N$68+Calc_EB!N$113</f>
        <v>48.110327765975114</v>
      </c>
      <c r="O105" s="61">
        <f>Calc_EB!O$68+Calc_EB!O$113</f>
        <v>-4.1563307598540566</v>
      </c>
      <c r="P105" s="59">
        <f>Calc_EB!P$68+Calc_EB!P$113</f>
        <v>50.84553599563943</v>
      </c>
      <c r="Q105" s="60">
        <f>Calc_EB!Q$68+Calc_EB!Q$113</f>
        <v>59.665973053567605</v>
      </c>
      <c r="R105" s="60">
        <f>Calc_EB!R$68+Calc_EB!R$113</f>
        <v>38.901009520948456</v>
      </c>
      <c r="S105" s="60">
        <f>Calc_EB!S$68+Calc_EB!S$113</f>
        <v>42.408291618628972</v>
      </c>
      <c r="T105" s="61">
        <f>Calc_EB!T$68+Calc_EB!T$113</f>
        <v>37.782684846760617</v>
      </c>
    </row>
    <row r="106" spans="1:20" ht="12.75" x14ac:dyDescent="0.2">
      <c r="D106" s="15" t="str">
        <f>Calc_EB!$C$74</f>
        <v>Disposals</v>
      </c>
      <c r="E106" s="50" t="str">
        <f>$E$36</f>
        <v>Calc_EB</v>
      </c>
      <c r="F106" s="50" t="str">
        <f>Dollars</f>
        <v>Dollars</v>
      </c>
      <c r="G106" s="50" t="str">
        <f>Nominal</f>
        <v>Nominal</v>
      </c>
      <c r="H106" s="50" t="str">
        <f>End_year</f>
        <v>End year</v>
      </c>
      <c r="J106" s="61">
        <f>Calc_EB!J$83</f>
        <v>0</v>
      </c>
      <c r="K106" s="59">
        <f>Calc_EB!K$83</f>
        <v>-3.4248839033833796</v>
      </c>
      <c r="L106" s="60">
        <f>Calc_EB!L$83</f>
        <v>-2.1986786384355659</v>
      </c>
      <c r="M106" s="60">
        <f>Calc_EB!M$83</f>
        <v>-3.9106187803706614</v>
      </c>
      <c r="N106" s="60">
        <f>Calc_EB!N$83</f>
        <v>-4.0800328648060651</v>
      </c>
      <c r="O106" s="61">
        <f>Calc_EB!O$83</f>
        <v>-4.1515818652274916</v>
      </c>
      <c r="P106" s="59">
        <f>Calc_EB!P$83</f>
        <v>-4.2264154033260315</v>
      </c>
      <c r="Q106" s="60">
        <f>Calc_EB!Q$83</f>
        <v>-4.325734215768807</v>
      </c>
      <c r="R106" s="60">
        <f>Calc_EB!R$83</f>
        <v>-4.4273869744908048</v>
      </c>
      <c r="S106" s="60">
        <f>Calc_EB!S$83</f>
        <v>-4.5314285261529994</v>
      </c>
      <c r="T106" s="61">
        <f>Calc_EB!T$83</f>
        <v>-4.6379150062875949</v>
      </c>
    </row>
    <row r="107" spans="1:20" x14ac:dyDescent="0.2">
      <c r="J107" s="56"/>
      <c r="K107" s="54"/>
      <c r="L107" s="55"/>
      <c r="M107" s="55"/>
      <c r="N107" s="55"/>
      <c r="O107" s="56"/>
      <c r="P107" s="54"/>
      <c r="Q107" s="55"/>
      <c r="R107" s="55"/>
      <c r="S107" s="55"/>
      <c r="T107" s="56"/>
    </row>
    <row r="108" spans="1:20" ht="12.75" x14ac:dyDescent="0.2">
      <c r="D108" s="49" t="s">
        <v>110</v>
      </c>
      <c r="E108" s="45" t="s">
        <v>92</v>
      </c>
      <c r="F108" s="45" t="str">
        <f>F102</f>
        <v>Dollars</v>
      </c>
      <c r="G108" s="45" t="str">
        <f>G102</f>
        <v>Nominal</v>
      </c>
      <c r="H108" s="45" t="str">
        <f>End_year</f>
        <v>End year</v>
      </c>
      <c r="J108" s="58">
        <f t="shared" ref="J108:T108" si="17">SUM(J102:J106)</f>
        <v>66.108684612442204</v>
      </c>
      <c r="K108" s="57">
        <f t="shared" si="17"/>
        <v>75.475641269972755</v>
      </c>
      <c r="L108" s="44">
        <f t="shared" si="17"/>
        <v>74.349378776506896</v>
      </c>
      <c r="M108" s="44">
        <f t="shared" si="17"/>
        <v>67.653509256245016</v>
      </c>
      <c r="N108" s="44">
        <f t="shared" si="17"/>
        <v>89.641832108294253</v>
      </c>
      <c r="O108" s="58">
        <f t="shared" si="17"/>
        <v>54.156229477783171</v>
      </c>
      <c r="P108" s="57">
        <f t="shared" si="17"/>
        <v>85.929572443279014</v>
      </c>
      <c r="Q108" s="44">
        <f t="shared" si="17"/>
        <v>115.53479664993138</v>
      </c>
      <c r="R108" s="44">
        <f t="shared" si="17"/>
        <v>121.1160996964996</v>
      </c>
      <c r="S108" s="44">
        <f t="shared" si="17"/>
        <v>133.39294673161879</v>
      </c>
      <c r="T108" s="58">
        <f t="shared" si="17"/>
        <v>134.76590707784834</v>
      </c>
    </row>
    <row r="109" spans="1:20" s="6" customFormat="1" ht="4.5" customHeight="1" x14ac:dyDescent="0.2"/>
    <row r="110" spans="1:20" s="6" customFormat="1" ht="11.25" customHeight="1" x14ac:dyDescent="0.2">
      <c r="A110" s="47">
        <f>IF(SUM($J110:$T110)&lt;&gt;0,1,0)</f>
        <v>0</v>
      </c>
      <c r="D110" s="15" t="s">
        <v>95</v>
      </c>
      <c r="J110" s="63">
        <f>IF(J108&lt;&gt;Calc_EB!J$128,1,0)</f>
        <v>0</v>
      </c>
      <c r="K110" s="63">
        <f>IF(K108&lt;&gt;Calc_EB!K$128,1,0)</f>
        <v>0</v>
      </c>
      <c r="L110" s="63">
        <f>IF(L108&lt;&gt;Calc_EB!L$128,1,0)</f>
        <v>0</v>
      </c>
      <c r="M110" s="63">
        <f>IF(M108&lt;&gt;Calc_EB!M$128,1,0)</f>
        <v>0</v>
      </c>
      <c r="N110" s="63">
        <f>IF(N108&lt;&gt;Calc_EB!N$128,1,0)</f>
        <v>0</v>
      </c>
      <c r="O110" s="63">
        <f>IF(O108&lt;&gt;Calc_EB!O$128,1,0)</f>
        <v>0</v>
      </c>
      <c r="P110" s="63">
        <f>IF(P108&lt;&gt;Calc_EB!P$128,1,0)</f>
        <v>0</v>
      </c>
      <c r="Q110" s="63">
        <f>IF(Q108&lt;&gt;Calc_EB!Q$128,1,0)</f>
        <v>0</v>
      </c>
      <c r="R110" s="63">
        <f>IF(R108&lt;&gt;Calc_EB!R$128,1,0)</f>
        <v>0</v>
      </c>
      <c r="S110" s="63">
        <f>IF(S108&lt;&gt;Calc_EB!S$128,1,0)</f>
        <v>0</v>
      </c>
      <c r="T110" s="63">
        <f>IF(T108&lt;&gt;Calc_EB!T$128,1,0)</f>
        <v>0</v>
      </c>
    </row>
    <row r="111" spans="1:20" s="6" customFormat="1" ht="4.5" customHeight="1" x14ac:dyDescent="0.2"/>
    <row r="112" spans="1:20" s="4" customFormat="1" ht="15.75" x14ac:dyDescent="0.2">
      <c r="B112" s="4" t="s">
        <v>33</v>
      </c>
    </row>
  </sheetData>
  <conditionalFormatting sqref="B2">
    <cfRule type="cellIs" dxfId="5" priority="1" operator="notEqual">
      <formula>"No Errors Found"</formula>
    </cfRule>
  </conditionalFormatting>
  <hyperlinks>
    <hyperlink ref="B3:E3" location="TOC!A1" display="TOC!A1"/>
  </hyperlinks>
  <pageMargins left="0.7" right="0.7" top="0.75" bottom="0.75" header="0.3" footer="0.3"/>
  <pageSetup paperSize="9" scale="4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pageSetUpPr autoPageBreaks="0" fitToPage="1"/>
  </sheetPr>
  <dimension ref="A1:AH164"/>
  <sheetViews>
    <sheetView showGridLines="0" zoomScale="80" zoomScaleNormal="8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ColWidth="8.6640625" defaultRowHeight="15" outlineLevelRow="2" x14ac:dyDescent="0.25"/>
  <cols>
    <col min="1" max="1" width="23.5" style="174" customWidth="1"/>
    <col min="2" max="2" width="95.33203125" style="115" bestFit="1" customWidth="1"/>
    <col min="3" max="7" width="23.33203125" style="115" customWidth="1"/>
    <col min="8" max="10" width="10.6640625" style="115" customWidth="1"/>
    <col min="11" max="11" width="32.6640625" style="115" customWidth="1"/>
    <col min="12" max="12" width="39.83203125" style="115" customWidth="1"/>
    <col min="13" max="18" width="10.6640625" style="115" customWidth="1"/>
    <col min="19" max="16384" width="8.6640625" style="115"/>
  </cols>
  <sheetData>
    <row r="1" spans="1:34" ht="30" customHeight="1" x14ac:dyDescent="0.25">
      <c r="A1" s="111"/>
      <c r="B1" s="112" t="s">
        <v>125</v>
      </c>
      <c r="C1" s="113"/>
      <c r="D1" s="113"/>
      <c r="E1" s="113"/>
      <c r="F1" s="113"/>
      <c r="G1" s="113"/>
      <c r="H1" s="113"/>
      <c r="I1" s="113"/>
      <c r="J1" s="113"/>
      <c r="K1" s="113"/>
      <c r="L1" s="113"/>
      <c r="M1" s="113"/>
      <c r="N1" s="113"/>
      <c r="O1" s="113"/>
      <c r="P1" s="113"/>
      <c r="Q1" s="113"/>
      <c r="R1" s="113"/>
      <c r="S1" s="114"/>
      <c r="T1" s="114"/>
      <c r="U1" s="114"/>
      <c r="V1" s="114"/>
      <c r="W1" s="114"/>
      <c r="X1" s="114"/>
      <c r="Y1" s="114"/>
      <c r="Z1" s="114"/>
      <c r="AA1" s="114"/>
      <c r="AB1" s="114"/>
      <c r="AC1" s="114"/>
      <c r="AD1" s="114"/>
      <c r="AE1" s="114"/>
      <c r="AF1" s="114"/>
      <c r="AG1" s="114"/>
      <c r="AH1" s="114"/>
    </row>
    <row r="2" spans="1:34" ht="30" customHeight="1" x14ac:dyDescent="0.25">
      <c r="A2" s="111"/>
      <c r="B2" s="116" t="s">
        <v>207</v>
      </c>
      <c r="C2" s="113"/>
      <c r="D2" s="113"/>
      <c r="E2" s="113"/>
      <c r="F2" s="113"/>
      <c r="G2" s="113"/>
      <c r="H2" s="113"/>
      <c r="I2" s="113"/>
      <c r="J2" s="113"/>
      <c r="K2" s="113"/>
      <c r="L2" s="113"/>
      <c r="M2" s="113"/>
      <c r="N2" s="113"/>
      <c r="O2" s="113"/>
      <c r="P2" s="113"/>
      <c r="Q2" s="113"/>
      <c r="R2" s="113"/>
      <c r="S2" s="114"/>
      <c r="T2" s="114"/>
      <c r="U2" s="114"/>
      <c r="V2" s="114"/>
      <c r="W2" s="114"/>
      <c r="X2" s="114"/>
      <c r="Y2" s="114"/>
      <c r="Z2" s="114"/>
      <c r="AA2" s="114"/>
      <c r="AB2" s="114"/>
      <c r="AC2" s="114"/>
      <c r="AD2" s="114"/>
      <c r="AE2" s="114"/>
      <c r="AF2" s="114"/>
      <c r="AG2" s="114"/>
      <c r="AH2" s="114"/>
    </row>
    <row r="3" spans="1:34" ht="30" customHeight="1" x14ac:dyDescent="0.25">
      <c r="A3" s="111"/>
      <c r="B3" s="112" t="s">
        <v>248</v>
      </c>
      <c r="C3" s="117"/>
      <c r="D3" s="117"/>
      <c r="E3" s="117"/>
      <c r="F3" s="117"/>
      <c r="G3" s="117"/>
      <c r="H3" s="117"/>
      <c r="I3" s="117"/>
      <c r="J3" s="117"/>
      <c r="K3" s="117"/>
      <c r="L3" s="117"/>
      <c r="M3" s="117"/>
      <c r="N3" s="117"/>
      <c r="O3" s="117"/>
      <c r="P3" s="117"/>
      <c r="Q3" s="117"/>
      <c r="R3" s="117"/>
      <c r="S3" s="114"/>
      <c r="T3" s="114"/>
      <c r="U3" s="114"/>
      <c r="V3" s="114"/>
      <c r="W3" s="114"/>
      <c r="X3" s="114"/>
      <c r="Y3" s="114"/>
      <c r="Z3" s="114"/>
      <c r="AA3" s="114"/>
      <c r="AB3" s="114"/>
      <c r="AC3" s="114"/>
      <c r="AD3" s="114"/>
      <c r="AE3" s="114"/>
      <c r="AF3" s="114"/>
      <c r="AG3" s="114"/>
      <c r="AH3" s="114"/>
    </row>
    <row r="4" spans="1:34" ht="30" customHeight="1" x14ac:dyDescent="0.25">
      <c r="A4" s="111"/>
      <c r="B4" s="118" t="s">
        <v>263</v>
      </c>
      <c r="C4" s="118"/>
      <c r="D4" s="118"/>
      <c r="E4" s="118"/>
      <c r="F4" s="118"/>
      <c r="G4" s="118"/>
      <c r="H4" s="118"/>
      <c r="I4" s="118"/>
      <c r="J4" s="118"/>
      <c r="K4" s="118"/>
      <c r="L4" s="118"/>
      <c r="M4" s="118"/>
      <c r="N4" s="118"/>
      <c r="O4" s="118"/>
      <c r="P4" s="118"/>
      <c r="Q4" s="118"/>
      <c r="R4" s="118"/>
      <c r="S4" s="114"/>
      <c r="T4" s="114"/>
      <c r="U4" s="114"/>
      <c r="V4" s="114"/>
      <c r="W4" s="114"/>
      <c r="X4" s="114"/>
      <c r="Y4" s="114"/>
      <c r="Z4" s="114"/>
      <c r="AA4" s="114"/>
      <c r="AB4" s="114"/>
      <c r="AC4" s="114"/>
      <c r="AD4" s="114"/>
      <c r="AE4" s="114"/>
      <c r="AF4" s="114"/>
      <c r="AG4" s="114"/>
      <c r="AH4" s="114"/>
    </row>
    <row r="5" spans="1:34" x14ac:dyDescent="0.25">
      <c r="A5" s="115"/>
    </row>
    <row r="6" spans="1:34" ht="45" x14ac:dyDescent="0.25">
      <c r="A6" s="63">
        <f>SUM(A19,A32,A39,A46,A53,A60)</f>
        <v>0</v>
      </c>
      <c r="B6" s="119" t="s">
        <v>126</v>
      </c>
    </row>
    <row r="7" spans="1:34" x14ac:dyDescent="0.25">
      <c r="A7" s="115"/>
    </row>
    <row r="8" spans="1:34" ht="19.5" thickBot="1" x14ac:dyDescent="0.3">
      <c r="A8" s="120"/>
      <c r="B8" s="121" t="s">
        <v>127</v>
      </c>
      <c r="C8" s="121"/>
      <c r="D8" s="121"/>
      <c r="E8" s="121"/>
      <c r="F8" s="121"/>
      <c r="G8" s="114"/>
      <c r="H8" s="114"/>
      <c r="I8" s="114"/>
      <c r="J8" s="114"/>
      <c r="K8" s="114"/>
      <c r="L8" s="114"/>
      <c r="M8" s="114"/>
      <c r="N8" s="114"/>
      <c r="O8" s="114"/>
      <c r="P8" s="114"/>
      <c r="Q8" s="114"/>
      <c r="R8" s="114"/>
      <c r="X8" s="114"/>
      <c r="Y8" s="114"/>
      <c r="Z8" s="114"/>
      <c r="AA8" s="114"/>
      <c r="AB8" s="114"/>
      <c r="AC8" s="114"/>
      <c r="AD8" s="114"/>
      <c r="AE8" s="114"/>
      <c r="AF8" s="114"/>
      <c r="AG8" s="114"/>
      <c r="AH8" s="114"/>
    </row>
    <row r="9" spans="1:34" ht="28.5" customHeight="1" outlineLevel="2" x14ac:dyDescent="0.25">
      <c r="A9" s="120"/>
      <c r="B9" s="122"/>
      <c r="C9" s="277" t="s">
        <v>251</v>
      </c>
      <c r="D9" s="277"/>
      <c r="E9" s="277"/>
      <c r="F9" s="278"/>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row>
    <row r="10" spans="1:34" s="124" customFormat="1" ht="41.25" customHeight="1" outlineLevel="2" thickBot="1" x14ac:dyDescent="0.3">
      <c r="A10" s="120"/>
      <c r="B10" s="123"/>
      <c r="C10" s="271" t="s">
        <v>252</v>
      </c>
      <c r="D10" s="271"/>
      <c r="E10" s="271"/>
      <c r="F10" s="272"/>
      <c r="G10" s="114"/>
      <c r="H10" s="114"/>
      <c r="I10" s="114"/>
      <c r="J10" s="114"/>
      <c r="K10" s="114"/>
      <c r="L10" s="114"/>
      <c r="M10" s="114"/>
      <c r="N10" s="114"/>
      <c r="O10" s="114"/>
      <c r="P10" s="114"/>
      <c r="Q10" s="114"/>
      <c r="R10" s="114"/>
      <c r="S10" s="123"/>
      <c r="T10" s="123"/>
      <c r="U10" s="123"/>
      <c r="V10" s="123"/>
      <c r="W10" s="123"/>
      <c r="X10" s="123"/>
      <c r="Y10" s="123"/>
      <c r="Z10" s="123"/>
      <c r="AA10" s="123"/>
      <c r="AB10" s="123"/>
      <c r="AC10" s="123"/>
      <c r="AD10" s="123"/>
      <c r="AE10" s="123"/>
      <c r="AF10" s="123"/>
      <c r="AG10" s="123"/>
      <c r="AH10" s="123"/>
    </row>
    <row r="11" spans="1:34" s="129" customFormat="1" ht="15.75" outlineLevel="2" thickBot="1" x14ac:dyDescent="0.3">
      <c r="A11" s="125"/>
      <c r="B11" s="114"/>
      <c r="C11" s="126" t="str">
        <f>Output_EB_RIN!J14</f>
        <v>RY18</v>
      </c>
      <c r="D11" s="128" t="str">
        <f>Output_EB_RIN!K14</f>
        <v>RY19</v>
      </c>
      <c r="E11" s="127" t="str">
        <f>Output_EB_RIN!L14</f>
        <v>RY20</v>
      </c>
      <c r="F11" s="127" t="str">
        <f>Output_EB_RIN!M14</f>
        <v>RY21</v>
      </c>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row>
    <row r="12" spans="1:34" ht="29.25" customHeight="1" outlineLevel="2" thickBot="1" x14ac:dyDescent="0.3">
      <c r="A12" s="120"/>
      <c r="B12" s="130" t="s">
        <v>128</v>
      </c>
      <c r="C12" s="131"/>
      <c r="D12" s="131"/>
      <c r="E12" s="131"/>
      <c r="F12" s="131"/>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row>
    <row r="13" spans="1:34" outlineLevel="2" x14ac:dyDescent="0.25">
      <c r="A13" s="132" t="s">
        <v>129</v>
      </c>
      <c r="B13" s="133" t="s">
        <v>130</v>
      </c>
      <c r="C13" s="135">
        <f>Output_EB_RIN!J16*10^6</f>
        <v>6030010661.7457285</v>
      </c>
      <c r="D13" s="137">
        <f>Output_EB_RIN!K16*10^6</f>
        <v>6200897927.1198273</v>
      </c>
      <c r="E13" s="137">
        <f>Output_EB_RIN!L16*10^6</f>
        <v>6333513644.5472507</v>
      </c>
      <c r="F13" s="135">
        <f>Output_EB_RIN!M16*10^6</f>
        <v>6389860941.8458281</v>
      </c>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row>
    <row r="14" spans="1:34" outlineLevel="2" x14ac:dyDescent="0.25">
      <c r="A14" s="132" t="s">
        <v>131</v>
      </c>
      <c r="B14" s="138" t="s">
        <v>132</v>
      </c>
      <c r="C14" s="140">
        <f>Output_EB_RIN!J17*10^6</f>
        <v>115118385.36060001</v>
      </c>
      <c r="D14" s="142">
        <f>Output_EB_RIN!K17*10^6</f>
        <v>110631541.96467194</v>
      </c>
      <c r="E14" s="142">
        <f>Output_EB_RIN!L17*10^6</f>
        <v>116567735.78921394</v>
      </c>
      <c r="F14" s="140">
        <f>Output_EB_RIN!M17*10^6</f>
        <v>54990197.434129216</v>
      </c>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row>
    <row r="15" spans="1:34" outlineLevel="2" x14ac:dyDescent="0.25">
      <c r="A15" s="132" t="s">
        <v>133</v>
      </c>
      <c r="B15" s="138" t="s">
        <v>134</v>
      </c>
      <c r="C15" s="140">
        <f>Output_EB_RIN!J18*10^6</f>
        <v>-265038966.94009852</v>
      </c>
      <c r="D15" s="142">
        <f>Output_EB_RIN!K18*10^6</f>
        <v>-255967763.14920798</v>
      </c>
      <c r="E15" s="142">
        <f>Output_EB_RIN!L18*10^6</f>
        <v>-275109157.36428571</v>
      </c>
      <c r="F15" s="140">
        <f>Output_EB_RIN!M18*10^6</f>
        <v>-289981515.67697638</v>
      </c>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row>
    <row r="16" spans="1:34" outlineLevel="2" x14ac:dyDescent="0.25">
      <c r="A16" s="132" t="s">
        <v>135</v>
      </c>
      <c r="B16" s="138" t="s">
        <v>136</v>
      </c>
      <c r="C16" s="140">
        <f>Output_EB_RIN!J19*10^6</f>
        <v>320807846.95359582</v>
      </c>
      <c r="D16" s="142">
        <f>Output_EB_RIN!K19*10^6</f>
        <v>282253936.99663299</v>
      </c>
      <c r="E16" s="142">
        <f>Output_EB_RIN!L19*10^6</f>
        <v>217115572.66533521</v>
      </c>
      <c r="F16" s="140">
        <f>Output_EB_RIN!M19*10^6</f>
        <v>208491982.47683933</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row>
    <row r="17" spans="1:34" outlineLevel="2" x14ac:dyDescent="0.25">
      <c r="A17" s="132" t="s">
        <v>137</v>
      </c>
      <c r="B17" s="138" t="s">
        <v>138</v>
      </c>
      <c r="C17" s="140">
        <f>Output_EB_RIN!J20*10^6</f>
        <v>0</v>
      </c>
      <c r="D17" s="142">
        <f>Output_EB_RIN!K20*10^6</f>
        <v>-4301998.3846726893</v>
      </c>
      <c r="E17" s="142">
        <f>Output_EB_RIN!L20*10^6</f>
        <v>-2226853.7916851626</v>
      </c>
      <c r="F17" s="140">
        <f>Output_EB_RIN!M20*10^6</f>
        <v>-3910618.7803706615</v>
      </c>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row>
    <row r="18" spans="1:34" ht="15.75" outlineLevel="2" thickBot="1" x14ac:dyDescent="0.3">
      <c r="A18" s="132" t="s">
        <v>139</v>
      </c>
      <c r="B18" s="143" t="s">
        <v>140</v>
      </c>
      <c r="C18" s="145">
        <f>Output_EB_RIN!J22*10^6</f>
        <v>6200897927.1198273</v>
      </c>
      <c r="D18" s="147">
        <f>Output_EB_RIN!K22*10^6</f>
        <v>6333513644.5472507</v>
      </c>
      <c r="E18" s="147">
        <f>Output_EB_RIN!L22*10^6</f>
        <v>6389860941.8458281</v>
      </c>
      <c r="F18" s="145">
        <f>Output_EB_RIN!M22*10^6</f>
        <v>6359450987.2994499</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row>
    <row r="19" spans="1:34" x14ac:dyDescent="0.25">
      <c r="A19" s="63">
        <f>IF(SUM(C19:F19)&lt;&gt;0,1,0)</f>
        <v>0</v>
      </c>
      <c r="B19" s="148"/>
      <c r="C19" s="215">
        <f t="shared" ref="C19:F19" si="0">IF(ROUND(C18-(C31+C38+C45+C52+C59+C66),4)=0,0,1)</f>
        <v>0</v>
      </c>
      <c r="D19" s="215">
        <f t="shared" si="0"/>
        <v>0</v>
      </c>
      <c r="E19" s="215">
        <f t="shared" si="0"/>
        <v>0</v>
      </c>
      <c r="F19" s="215">
        <f t="shared" si="0"/>
        <v>0</v>
      </c>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row>
    <row r="20" spans="1:34" x14ac:dyDescent="0.25">
      <c r="A20" s="132"/>
      <c r="B20" s="241" t="s">
        <v>206</v>
      </c>
      <c r="C20" s="149"/>
      <c r="D20" s="149"/>
      <c r="E20" s="149"/>
      <c r="F20" s="149"/>
      <c r="G20" s="114"/>
      <c r="H20" s="114"/>
      <c r="I20" s="114"/>
      <c r="J20" s="114"/>
      <c r="K20" s="114"/>
      <c r="L20" s="114"/>
      <c r="M20" s="114"/>
      <c r="N20" s="114"/>
      <c r="O20" s="114"/>
      <c r="P20" s="114"/>
      <c r="Q20" s="114"/>
      <c r="R20" s="114"/>
      <c r="S20" s="114"/>
      <c r="T20" s="114"/>
      <c r="U20" s="114"/>
      <c r="W20" s="114"/>
      <c r="X20" s="114"/>
      <c r="Y20" s="114"/>
      <c r="Z20" s="114"/>
      <c r="AA20" s="114"/>
      <c r="AB20" s="114"/>
      <c r="AC20" s="114"/>
      <c r="AD20" s="114"/>
      <c r="AE20" s="114"/>
      <c r="AF20" s="114"/>
      <c r="AG20" s="114"/>
      <c r="AH20" s="114"/>
    </row>
    <row r="21" spans="1:34" ht="19.5" thickBot="1" x14ac:dyDescent="0.3">
      <c r="A21" s="132"/>
      <c r="B21" s="121" t="s">
        <v>141</v>
      </c>
      <c r="C21" s="121"/>
      <c r="D21" s="121"/>
      <c r="E21" s="121"/>
      <c r="F21" s="121"/>
      <c r="G21" s="114"/>
      <c r="H21" s="114"/>
      <c r="I21" s="114"/>
      <c r="J21" s="114"/>
      <c r="K21" s="114"/>
      <c r="L21" s="114"/>
      <c r="M21" s="114"/>
      <c r="N21" s="114"/>
      <c r="O21" s="114"/>
      <c r="P21" s="114"/>
      <c r="Q21" s="114"/>
      <c r="R21" s="114"/>
      <c r="X21" s="114"/>
      <c r="Y21" s="114"/>
      <c r="Z21" s="114"/>
      <c r="AA21" s="114"/>
      <c r="AB21" s="114"/>
      <c r="AC21" s="114"/>
      <c r="AD21" s="114"/>
      <c r="AE21" s="114"/>
      <c r="AF21" s="114"/>
      <c r="AG21" s="114"/>
      <c r="AH21" s="114"/>
    </row>
    <row r="22" spans="1:34" ht="28.5" customHeight="1" outlineLevel="2" x14ac:dyDescent="0.25">
      <c r="A22" s="120"/>
      <c r="B22" s="122"/>
      <c r="C22" s="277" t="s">
        <v>251</v>
      </c>
      <c r="D22" s="277"/>
      <c r="E22" s="277"/>
      <c r="F22" s="278"/>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row>
    <row r="23" spans="1:34" s="124" customFormat="1" ht="41.25" customHeight="1" outlineLevel="2" thickBot="1" x14ac:dyDescent="0.3">
      <c r="A23" s="120"/>
      <c r="B23" s="123"/>
      <c r="C23" s="271" t="s">
        <v>252</v>
      </c>
      <c r="D23" s="271"/>
      <c r="E23" s="271"/>
      <c r="F23" s="272"/>
      <c r="G23" s="114"/>
      <c r="H23" s="114"/>
      <c r="I23" s="114"/>
      <c r="J23" s="114"/>
      <c r="K23" s="114"/>
      <c r="L23" s="114"/>
      <c r="M23" s="114"/>
      <c r="N23" s="114"/>
      <c r="O23" s="114"/>
      <c r="P23" s="114"/>
      <c r="Q23" s="114"/>
      <c r="R23" s="114"/>
      <c r="S23" s="123"/>
      <c r="T23" s="123"/>
      <c r="U23" s="123"/>
      <c r="V23" s="123"/>
      <c r="W23" s="123"/>
      <c r="X23" s="123"/>
      <c r="Y23" s="123"/>
      <c r="Z23" s="123"/>
      <c r="AA23" s="123"/>
      <c r="AB23" s="123"/>
      <c r="AC23" s="123"/>
      <c r="AD23" s="123"/>
      <c r="AE23" s="123"/>
      <c r="AF23" s="123"/>
      <c r="AG23" s="123"/>
      <c r="AH23" s="123"/>
    </row>
    <row r="24" spans="1:34" s="129" customFormat="1" ht="15.75" outlineLevel="2" thickBot="1" x14ac:dyDescent="0.3">
      <c r="A24" s="125"/>
      <c r="B24" s="150"/>
      <c r="C24" s="126" t="str">
        <f t="shared" ref="C24:F24" si="1">C$11</f>
        <v>RY18</v>
      </c>
      <c r="D24" s="128" t="str">
        <f t="shared" si="1"/>
        <v>RY19</v>
      </c>
      <c r="E24" s="127" t="str">
        <f t="shared" si="1"/>
        <v>RY20</v>
      </c>
      <c r="F24" s="127" t="str">
        <f t="shared" si="1"/>
        <v>RY21</v>
      </c>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row>
    <row r="25" spans="1:34" ht="23.25" customHeight="1" outlineLevel="1" thickBot="1" x14ac:dyDescent="0.3">
      <c r="A25" s="132"/>
      <c r="B25" s="151" t="str">
        <f>Lookup!$D$126</f>
        <v>Overhead assets</v>
      </c>
      <c r="G25" s="114"/>
      <c r="H25" s="114"/>
      <c r="I25" s="114"/>
      <c r="J25" s="114"/>
      <c r="K25" s="114"/>
      <c r="L25" s="114"/>
      <c r="M25" s="114"/>
      <c r="N25" s="114"/>
      <c r="O25" s="114"/>
      <c r="P25" s="114"/>
      <c r="Q25" s="114"/>
      <c r="R25" s="114"/>
      <c r="X25" s="114"/>
      <c r="Y25" s="114"/>
      <c r="Z25" s="114"/>
      <c r="AA25" s="114"/>
      <c r="AB25" s="114"/>
      <c r="AC25" s="114"/>
      <c r="AD25" s="114"/>
      <c r="AE25" s="114"/>
      <c r="AF25" s="114"/>
      <c r="AG25" s="114"/>
      <c r="AH25" s="114"/>
    </row>
    <row r="26" spans="1:34" outlineLevel="2" x14ac:dyDescent="0.25">
      <c r="A26" s="132" t="s">
        <v>142</v>
      </c>
      <c r="B26" s="133" t="s">
        <v>130</v>
      </c>
      <c r="C26" s="135">
        <f>Output_EB_RIN!J32*10^6</f>
        <v>1652192225.695756</v>
      </c>
      <c r="D26" s="137">
        <f>Output_EB_RIN!K32*10^6</f>
        <v>1739641192.0154252</v>
      </c>
      <c r="E26" s="137">
        <f>Output_EB_RIN!L32*10^6</f>
        <v>1785389465.6396384</v>
      </c>
      <c r="F26" s="135">
        <f>Output_EB_RIN!M32*10^6</f>
        <v>1802835632.3679085</v>
      </c>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row>
    <row r="27" spans="1:34" outlineLevel="2" x14ac:dyDescent="0.25">
      <c r="A27" s="132" t="s">
        <v>143</v>
      </c>
      <c r="B27" s="138" t="s">
        <v>132</v>
      </c>
      <c r="C27" s="140">
        <f>Output_EB_RIN!J33*10^6</f>
        <v>31541851.581464358</v>
      </c>
      <c r="D27" s="142">
        <f>Output_EB_RIN!K33*10^6</f>
        <v>31037309.402594745</v>
      </c>
      <c r="E27" s="142">
        <f>Output_EB_RIN!L33*10^6</f>
        <v>32859928.815453678</v>
      </c>
      <c r="F27" s="140">
        <f>Output_EB_RIN!M33*10^6</f>
        <v>15514936.595248749</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row>
    <row r="28" spans="1:34" outlineLevel="2" x14ac:dyDescent="0.25">
      <c r="A28" s="132" t="s">
        <v>144</v>
      </c>
      <c r="B28" s="138" t="s">
        <v>134</v>
      </c>
      <c r="C28" s="140">
        <f>Output_EB_RIN!J34*10^6</f>
        <v>-82153309.909747154</v>
      </c>
      <c r="D28" s="142">
        <f>Output_EB_RIN!K34*10^6</f>
        <v>-83846466.011801556</v>
      </c>
      <c r="E28" s="142">
        <f>Output_EB_RIN!L34*10^6</f>
        <v>-86166071.742956445</v>
      </c>
      <c r="F28" s="140">
        <f>Output_EB_RIN!M34*10^6</f>
        <v>-88174483.84098047</v>
      </c>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row>
    <row r="29" spans="1:34" outlineLevel="2" x14ac:dyDescent="0.25">
      <c r="A29" s="132" t="s">
        <v>145</v>
      </c>
      <c r="B29" s="138" t="s">
        <v>136</v>
      </c>
      <c r="C29" s="140">
        <f>Output_EB_RIN!J35*10^6</f>
        <v>138060424.64795208</v>
      </c>
      <c r="D29" s="142">
        <f>Output_EB_RIN!K35*10^6</f>
        <v>98557430.233420059</v>
      </c>
      <c r="E29" s="142">
        <f>Output_EB_RIN!L35*10^6</f>
        <v>70752309.65577279</v>
      </c>
      <c r="F29" s="140">
        <f>Output_EB_RIN!M35*10^6</f>
        <v>53936901.560798533</v>
      </c>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row>
    <row r="30" spans="1:34" outlineLevel="2" x14ac:dyDescent="0.25">
      <c r="A30" s="132" t="s">
        <v>146</v>
      </c>
      <c r="B30" s="138" t="s">
        <v>138</v>
      </c>
      <c r="C30" s="140">
        <f>Output_EB_RIN!J36*10^6</f>
        <v>0</v>
      </c>
      <c r="D30" s="142">
        <f>Output_EB_RIN!K36*10^6</f>
        <v>0</v>
      </c>
      <c r="E30" s="142">
        <f>Output_EB_RIN!L36*10^6</f>
        <v>0</v>
      </c>
      <c r="F30" s="140">
        <f>Output_EB_RIN!M36*10^6</f>
        <v>0</v>
      </c>
      <c r="G30" s="114"/>
      <c r="H30" s="114"/>
      <c r="I30" s="114"/>
      <c r="J30" s="114"/>
      <c r="K30" s="114"/>
      <c r="L30" s="114"/>
      <c r="M30" s="114"/>
      <c r="N30" s="114"/>
      <c r="O30" s="114"/>
      <c r="P30" s="114"/>
      <c r="Q30" s="114"/>
      <c r="R30" s="114"/>
      <c r="S30" s="114"/>
      <c r="T30" s="114"/>
      <c r="U30" s="114"/>
      <c r="V30" s="114"/>
      <c r="W30" s="114"/>
      <c r="X30" s="152"/>
      <c r="Y30" s="152"/>
      <c r="Z30" s="114"/>
      <c r="AA30" s="114"/>
      <c r="AB30" s="114"/>
      <c r="AC30" s="114"/>
      <c r="AD30" s="114"/>
      <c r="AE30" s="114"/>
      <c r="AF30" s="114"/>
      <c r="AG30" s="114"/>
      <c r="AH30" s="114"/>
    </row>
    <row r="31" spans="1:34" ht="15.75" outlineLevel="2" thickBot="1" x14ac:dyDescent="0.3">
      <c r="A31" s="132" t="s">
        <v>147</v>
      </c>
      <c r="B31" s="143" t="s">
        <v>140</v>
      </c>
      <c r="C31" s="145">
        <f t="shared" ref="C31:F31" si="2">SUM(C26:C30)</f>
        <v>1739641192.0154252</v>
      </c>
      <c r="D31" s="147">
        <f t="shared" si="2"/>
        <v>1785389465.6396387</v>
      </c>
      <c r="E31" s="147">
        <f t="shared" si="2"/>
        <v>1802835632.3679085</v>
      </c>
      <c r="F31" s="145">
        <f t="shared" si="2"/>
        <v>1784112986.6829753</v>
      </c>
      <c r="G31" s="114"/>
      <c r="H31" s="114"/>
      <c r="I31" s="114"/>
      <c r="J31" s="114"/>
      <c r="K31" s="114"/>
      <c r="L31" s="114"/>
      <c r="M31" s="114"/>
      <c r="N31" s="114"/>
      <c r="O31" s="114"/>
      <c r="P31" s="114"/>
      <c r="Q31" s="114"/>
      <c r="R31" s="114"/>
      <c r="S31" s="114"/>
      <c r="T31" s="114"/>
      <c r="U31" s="114"/>
      <c r="V31" s="114"/>
      <c r="W31" s="114"/>
      <c r="X31" s="152"/>
      <c r="Y31" s="152"/>
      <c r="Z31" s="114"/>
      <c r="AA31" s="114"/>
      <c r="AB31" s="114"/>
      <c r="AC31" s="114"/>
      <c r="AD31" s="114"/>
      <c r="AE31" s="114"/>
      <c r="AF31" s="114"/>
      <c r="AG31" s="114"/>
      <c r="AH31" s="114"/>
    </row>
    <row r="32" spans="1:34" ht="20.25" customHeight="1" outlineLevel="1" thickBot="1" x14ac:dyDescent="0.3">
      <c r="A32" s="63">
        <f>IF(SUM(C32:F32)&lt;&gt;0,1,0)</f>
        <v>0</v>
      </c>
      <c r="B32" s="151" t="str">
        <f>Lookup!$D$127</f>
        <v>Underground assets</v>
      </c>
      <c r="C32" s="215">
        <f>IF(ROUND(C31-(Output_EB_RIN!J38*10^6),4)=0,0,1)</f>
        <v>0</v>
      </c>
      <c r="D32" s="215">
        <f>IF(ROUND(D31-(Output_EB_RIN!K38*10^6),4)=0,0,1)</f>
        <v>0</v>
      </c>
      <c r="E32" s="215">
        <f>IF(ROUND(E31-(Output_EB_RIN!L38*10^6),4)=0,0,1)</f>
        <v>0</v>
      </c>
      <c r="F32" s="215">
        <f>IF(ROUND(F31-(Output_EB_RIN!M38*10^6),4)=0,0,1)</f>
        <v>0</v>
      </c>
      <c r="G32" s="114"/>
      <c r="H32" s="114"/>
      <c r="I32" s="114"/>
      <c r="J32" s="114"/>
      <c r="K32" s="114"/>
      <c r="L32" s="114"/>
      <c r="M32" s="114"/>
      <c r="N32" s="114"/>
      <c r="O32" s="114"/>
      <c r="P32" s="114"/>
      <c r="Q32" s="114"/>
      <c r="R32" s="114"/>
      <c r="S32" s="153"/>
      <c r="T32" s="153"/>
      <c r="U32" s="153"/>
      <c r="V32" s="153"/>
      <c r="W32" s="153"/>
      <c r="X32" s="153"/>
      <c r="Y32" s="152"/>
      <c r="Z32" s="114"/>
      <c r="AA32" s="114"/>
      <c r="AB32" s="114"/>
      <c r="AC32" s="114"/>
      <c r="AD32" s="114"/>
      <c r="AE32" s="114"/>
      <c r="AF32" s="114"/>
      <c r="AG32" s="114"/>
      <c r="AH32" s="114"/>
    </row>
    <row r="33" spans="1:34" outlineLevel="2" x14ac:dyDescent="0.25">
      <c r="A33" s="132" t="s">
        <v>148</v>
      </c>
      <c r="B33" s="133" t="s">
        <v>130</v>
      </c>
      <c r="C33" s="135">
        <f>Output_EB_RIN!J46*10^6</f>
        <v>204661264.55323327</v>
      </c>
      <c r="D33" s="137">
        <f>Output_EB_RIN!K46*10^6</f>
        <v>200872444.6323612</v>
      </c>
      <c r="E33" s="137">
        <f>Output_EB_RIN!L46*10^6</f>
        <v>196784078.18809849</v>
      </c>
      <c r="F33" s="135">
        <f>Output_EB_RIN!M46*10^6</f>
        <v>192596811.74360585</v>
      </c>
      <c r="G33" s="114"/>
      <c r="H33" s="114"/>
      <c r="I33" s="114"/>
      <c r="J33" s="114"/>
      <c r="K33" s="114"/>
      <c r="L33" s="114"/>
      <c r="M33" s="114"/>
      <c r="N33" s="114"/>
      <c r="O33" s="114"/>
      <c r="P33" s="114"/>
      <c r="Q33" s="114"/>
      <c r="R33" s="114"/>
      <c r="S33" s="114"/>
      <c r="T33" s="114"/>
      <c r="U33" s="114"/>
      <c r="V33" s="114"/>
      <c r="W33" s="114"/>
      <c r="X33" s="152"/>
      <c r="Y33" s="152"/>
      <c r="Z33" s="114"/>
      <c r="AA33" s="114"/>
      <c r="AB33" s="114"/>
      <c r="AC33" s="114"/>
      <c r="AD33" s="114"/>
      <c r="AE33" s="114"/>
      <c r="AF33" s="114"/>
      <c r="AG33" s="114"/>
      <c r="AH33" s="114"/>
    </row>
    <row r="34" spans="1:34" outlineLevel="2" x14ac:dyDescent="0.25">
      <c r="A34" s="132" t="s">
        <v>149</v>
      </c>
      <c r="B34" s="138" t="s">
        <v>132</v>
      </c>
      <c r="C34" s="140">
        <f>Output_EB_RIN!J47*10^6</f>
        <v>3907169.5960162627</v>
      </c>
      <c r="D34" s="142">
        <f>Output_EB_RIN!K47*10^6</f>
        <v>3583808.1111929063</v>
      </c>
      <c r="E34" s="142">
        <f>Output_EB_RIN!L47*10^6</f>
        <v>3621792.8500877256</v>
      </c>
      <c r="F34" s="140">
        <f>Output_EB_RIN!M47*10^6</f>
        <v>1657459.653559427</v>
      </c>
      <c r="G34" s="114"/>
      <c r="H34" s="114"/>
      <c r="I34" s="114"/>
      <c r="J34" s="114"/>
      <c r="K34" s="114"/>
      <c r="L34" s="114"/>
      <c r="M34" s="114"/>
      <c r="N34" s="114"/>
      <c r="O34" s="114"/>
      <c r="P34" s="114"/>
      <c r="Q34" s="114"/>
      <c r="R34" s="114"/>
      <c r="S34" s="114"/>
      <c r="T34" s="114"/>
      <c r="U34" s="114"/>
      <c r="V34" s="114"/>
      <c r="W34" s="114"/>
      <c r="X34" s="152"/>
      <c r="Y34" s="152"/>
      <c r="Z34" s="114"/>
      <c r="AA34" s="114"/>
      <c r="AB34" s="114"/>
      <c r="AC34" s="114"/>
      <c r="AD34" s="114"/>
      <c r="AE34" s="114"/>
      <c r="AF34" s="114"/>
      <c r="AG34" s="114"/>
      <c r="AH34" s="114"/>
    </row>
    <row r="35" spans="1:34" outlineLevel="2" x14ac:dyDescent="0.25">
      <c r="A35" s="132" t="s">
        <v>150</v>
      </c>
      <c r="B35" s="138" t="s">
        <v>134</v>
      </c>
      <c r="C35" s="140">
        <f>Output_EB_RIN!J48*10^6</f>
        <v>-7695989.5168883353</v>
      </c>
      <c r="D35" s="142">
        <f>Output_EB_RIN!K48*10^6</f>
        <v>-7672174.5554556027</v>
      </c>
      <c r="E35" s="142">
        <f>Output_EB_RIN!L48*10^6</f>
        <v>-7809059.2945803693</v>
      </c>
      <c r="F35" s="140">
        <f>Output_EB_RIN!M48*10^6</f>
        <v>-7952788.217853344</v>
      </c>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row>
    <row r="36" spans="1:34" outlineLevel="2" x14ac:dyDescent="0.25">
      <c r="A36" s="132" t="s">
        <v>151</v>
      </c>
      <c r="B36" s="138" t="s">
        <v>136</v>
      </c>
      <c r="C36" s="140">
        <f>Output_EB_RIN!J49*10^6</f>
        <v>0</v>
      </c>
      <c r="D36" s="142">
        <f>Output_EB_RIN!K49*10^6</f>
        <v>0</v>
      </c>
      <c r="E36" s="142">
        <f>Output_EB_RIN!L49*10^6</f>
        <v>0</v>
      </c>
      <c r="F36" s="140">
        <f>Output_EB_RIN!M49*10^6</f>
        <v>-90.426705108243922</v>
      </c>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row>
    <row r="37" spans="1:34" outlineLevel="2" x14ac:dyDescent="0.25">
      <c r="A37" s="132" t="s">
        <v>152</v>
      </c>
      <c r="B37" s="138" t="s">
        <v>138</v>
      </c>
      <c r="C37" s="140">
        <f>Output_EB_RIN!J50*10^6</f>
        <v>0</v>
      </c>
      <c r="D37" s="142">
        <f>Output_EB_RIN!K50*10^6</f>
        <v>0</v>
      </c>
      <c r="E37" s="142">
        <f>Output_EB_RIN!L50*10^6</f>
        <v>0</v>
      </c>
      <c r="F37" s="140">
        <f>Output_EB_RIN!M50*10^6</f>
        <v>0</v>
      </c>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row>
    <row r="38" spans="1:34" ht="15.75" outlineLevel="2" thickBot="1" x14ac:dyDescent="0.3">
      <c r="A38" s="132" t="s">
        <v>153</v>
      </c>
      <c r="B38" s="143" t="s">
        <v>140</v>
      </c>
      <c r="C38" s="145">
        <f t="shared" ref="C38" si="3">SUM(C33:C37)</f>
        <v>200872444.63236117</v>
      </c>
      <c r="D38" s="147">
        <f t="shared" ref="D38" si="4">SUM(D33:D37)</f>
        <v>196784078.18809852</v>
      </c>
      <c r="E38" s="147">
        <f t="shared" ref="E38" si="5">SUM(E33:E37)</f>
        <v>192596811.74360585</v>
      </c>
      <c r="F38" s="145">
        <f t="shared" ref="F38" si="6">SUM(F33:F37)</f>
        <v>186301392.75260681</v>
      </c>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row>
    <row r="39" spans="1:34" ht="20.25" customHeight="1" outlineLevel="1" thickBot="1" x14ac:dyDescent="0.3">
      <c r="A39" s="63">
        <f>IF(SUM(C39:F39)&lt;&gt;0,1,0)</f>
        <v>0</v>
      </c>
      <c r="B39" s="151" t="str">
        <f>Lookup!$D$128</f>
        <v>Switchyards, substations</v>
      </c>
      <c r="C39" s="215">
        <f>IF(ROUND(C38-(Output_EB_RIN!J52*10^6),4)=0,0,1)</f>
        <v>0</v>
      </c>
      <c r="D39" s="215">
        <f>IF(ROUND(D38-(Output_EB_RIN!K52*10^6),4)=0,0,1)</f>
        <v>0</v>
      </c>
      <c r="E39" s="215">
        <f>IF(ROUND(E38-(Output_EB_RIN!L52*10^6),4)=0,0,1)</f>
        <v>0</v>
      </c>
      <c r="F39" s="215">
        <f>IF(ROUND(F38-(Output_EB_RIN!M52*10^6),4)=0,0,1)</f>
        <v>0</v>
      </c>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row>
    <row r="40" spans="1:34" outlineLevel="2" x14ac:dyDescent="0.25">
      <c r="A40" s="132" t="s">
        <v>154</v>
      </c>
      <c r="B40" s="133" t="s">
        <v>130</v>
      </c>
      <c r="C40" s="135">
        <f>Output_EB_RIN!J60*10^6</f>
        <v>2918995204.5704861</v>
      </c>
      <c r="D40" s="137">
        <f>Output_EB_RIN!K60*10^6</f>
        <v>2938475380.3232794</v>
      </c>
      <c r="E40" s="137">
        <f>Output_EB_RIN!L60*10^6</f>
        <v>2978124775.4774737</v>
      </c>
      <c r="F40" s="135">
        <f>Output_EB_RIN!M60*10^6</f>
        <v>2988837982.3274531</v>
      </c>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row>
    <row r="41" spans="1:34" outlineLevel="2" x14ac:dyDescent="0.25">
      <c r="A41" s="132" t="s">
        <v>155</v>
      </c>
      <c r="B41" s="138" t="s">
        <v>132</v>
      </c>
      <c r="C41" s="140">
        <f>Output_EB_RIN!J61*10^6</f>
        <v>55726272.087254614</v>
      </c>
      <c r="D41" s="142">
        <f>Output_EB_RIN!K61*10^6</f>
        <v>52425965.750638656</v>
      </c>
      <c r="E41" s="142">
        <f>Output_EB_RIN!L61*10^6</f>
        <v>54812112.432101078</v>
      </c>
      <c r="F41" s="140">
        <f>Output_EB_RIN!M61*10^6</f>
        <v>25721497.266157031</v>
      </c>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row>
    <row r="42" spans="1:34" outlineLevel="2" x14ac:dyDescent="0.25">
      <c r="A42" s="132" t="s">
        <v>156</v>
      </c>
      <c r="B42" s="138" t="s">
        <v>134</v>
      </c>
      <c r="C42" s="140">
        <f>Output_EB_RIN!J62*10^6</f>
        <v>-116805093.75379945</v>
      </c>
      <c r="D42" s="142">
        <f>Output_EB_RIN!K62*10^6</f>
        <v>-119018766.38757282</v>
      </c>
      <c r="E42" s="142">
        <f>Output_EB_RIN!L62*10^6</f>
        <v>-123536921.99715711</v>
      </c>
      <c r="F42" s="140">
        <f>Output_EB_RIN!M62*10^6</f>
        <v>-128353208.05191889</v>
      </c>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row>
    <row r="43" spans="1:34" outlineLevel="2" x14ac:dyDescent="0.25">
      <c r="A43" s="132" t="s">
        <v>157</v>
      </c>
      <c r="B43" s="138" t="s">
        <v>136</v>
      </c>
      <c r="C43" s="140">
        <f>Output_EB_RIN!J63*10^6</f>
        <v>80558997.419338152</v>
      </c>
      <c r="D43" s="142">
        <f>Output_EB_RIN!K63*10^6</f>
        <v>106242195.79112816</v>
      </c>
      <c r="E43" s="142">
        <f>Output_EB_RIN!L63*10^6</f>
        <v>79438016.415035889</v>
      </c>
      <c r="F43" s="140">
        <f>Output_EB_RIN!M63*10^6</f>
        <v>96746768.372767553</v>
      </c>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row>
    <row r="44" spans="1:34" outlineLevel="2" x14ac:dyDescent="0.25">
      <c r="A44" s="132" t="s">
        <v>158</v>
      </c>
      <c r="B44" s="138" t="s">
        <v>138</v>
      </c>
      <c r="C44" s="140">
        <f>Output_EB_RIN!J64*10^6</f>
        <v>0</v>
      </c>
      <c r="D44" s="142">
        <f>Output_EB_RIN!K64*10^6</f>
        <v>0</v>
      </c>
      <c r="E44" s="142">
        <f>Output_EB_RIN!L64*10^6</f>
        <v>0</v>
      </c>
      <c r="F44" s="140">
        <f>Output_EB_RIN!M64*10^6</f>
        <v>0</v>
      </c>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row>
    <row r="45" spans="1:34" ht="15.75" outlineLevel="2" thickBot="1" x14ac:dyDescent="0.3">
      <c r="A45" s="132" t="s">
        <v>159</v>
      </c>
      <c r="B45" s="143" t="s">
        <v>140</v>
      </c>
      <c r="C45" s="145">
        <f t="shared" ref="C45" si="7">SUM(C40:C44)</f>
        <v>2938475380.3232794</v>
      </c>
      <c r="D45" s="147">
        <f t="shared" ref="D45" si="8">SUM(D40:D44)</f>
        <v>2978124775.4774733</v>
      </c>
      <c r="E45" s="147">
        <f t="shared" ref="E45" si="9">SUM(E40:E44)</f>
        <v>2988837982.3274536</v>
      </c>
      <c r="F45" s="145">
        <f t="shared" ref="F45" si="10">SUM(F40:F44)</f>
        <v>2982953039.9144588</v>
      </c>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row>
    <row r="46" spans="1:34" ht="20.25" customHeight="1" outlineLevel="1" thickBot="1" x14ac:dyDescent="0.3">
      <c r="A46" s="63">
        <f>IF(SUM(C46:F46)&lt;&gt;0,1,0)</f>
        <v>0</v>
      </c>
      <c r="B46" s="151" t="str">
        <f>Lookup!$D$129</f>
        <v>Easements</v>
      </c>
      <c r="C46" s="215">
        <f>IF(ROUND(C45-(Output_EB_RIN!J66*10^6),4)=0,0,1)</f>
        <v>0</v>
      </c>
      <c r="D46" s="215">
        <f>IF(ROUND(D45-(Output_EB_RIN!K66*10^6),4)=0,0,1)</f>
        <v>0</v>
      </c>
      <c r="E46" s="215">
        <f>IF(ROUND(E45-(Output_EB_RIN!L66*10^6),4)=0,0,1)</f>
        <v>0</v>
      </c>
      <c r="F46" s="215">
        <f>IF(ROUND(F45-(Output_EB_RIN!M66*10^6),4)=0,0,1)</f>
        <v>0</v>
      </c>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row>
    <row r="47" spans="1:34" outlineLevel="2" x14ac:dyDescent="0.25">
      <c r="A47" s="132" t="s">
        <v>160</v>
      </c>
      <c r="B47" s="133" t="s">
        <v>130</v>
      </c>
      <c r="C47" s="135">
        <f>Output_EB_RIN!J74*10^6</f>
        <v>855892318.83681297</v>
      </c>
      <c r="D47" s="137">
        <f>Output_EB_RIN!K74*10^6</f>
        <v>887176756.70501316</v>
      </c>
      <c r="E47" s="137">
        <f>Output_EB_RIN!L74*10^6</f>
        <v>904148753.59410489</v>
      </c>
      <c r="F47" s="135">
        <f>Output_EB_RIN!M74*10^6</f>
        <v>924276586.04316616</v>
      </c>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row>
    <row r="48" spans="1:34" outlineLevel="2" x14ac:dyDescent="0.25">
      <c r="A48" s="132" t="s">
        <v>161</v>
      </c>
      <c r="B48" s="138" t="s">
        <v>132</v>
      </c>
      <c r="C48" s="140">
        <f>Output_EB_RIN!J75*10^6</f>
        <v>16339762.450520936</v>
      </c>
      <c r="D48" s="142">
        <f>Output_EB_RIN!K75*10^6</f>
        <v>15828309.664674725</v>
      </c>
      <c r="E48" s="142">
        <f>Output_EB_RIN!L75*10^6</f>
        <v>16640774.606026575</v>
      </c>
      <c r="F48" s="140">
        <f>Output_EB_RIN!M75*10^6</f>
        <v>7954187.4874626854</v>
      </c>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row>
    <row r="49" spans="1:34" outlineLevel="2" x14ac:dyDescent="0.25">
      <c r="A49" s="132" t="s">
        <v>162</v>
      </c>
      <c r="B49" s="138" t="s">
        <v>134</v>
      </c>
      <c r="C49" s="140">
        <f>Output_EB_RIN!J76*10^6</f>
        <v>0</v>
      </c>
      <c r="D49" s="142">
        <f>Output_EB_RIN!K76*10^6</f>
        <v>0</v>
      </c>
      <c r="E49" s="142">
        <f>Output_EB_RIN!L76*10^6</f>
        <v>0</v>
      </c>
      <c r="F49" s="140">
        <f>Output_EB_RIN!M76*10^6</f>
        <v>0</v>
      </c>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row>
    <row r="50" spans="1:34" outlineLevel="2" x14ac:dyDescent="0.25">
      <c r="A50" s="132" t="s">
        <v>163</v>
      </c>
      <c r="B50" s="138" t="s">
        <v>136</v>
      </c>
      <c r="C50" s="140">
        <f>Output_EB_RIN!J77*10^6</f>
        <v>14944675.417679403</v>
      </c>
      <c r="D50" s="142">
        <f>Output_EB_RIN!K77*10^6</f>
        <v>2020801.7057062099</v>
      </c>
      <c r="E50" s="142">
        <f>Output_EB_RIN!L77*10^6</f>
        <v>3515232.9962843331</v>
      </c>
      <c r="F50" s="140">
        <f>Output_EB_RIN!M77*10^6</f>
        <v>323333.17270029359</v>
      </c>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row>
    <row r="51" spans="1:34" outlineLevel="2" x14ac:dyDescent="0.25">
      <c r="A51" s="132" t="s">
        <v>164</v>
      </c>
      <c r="B51" s="138" t="s">
        <v>138</v>
      </c>
      <c r="C51" s="140">
        <f>Output_EB_RIN!J78*10^6</f>
        <v>0</v>
      </c>
      <c r="D51" s="142">
        <f>Output_EB_RIN!K78*10^6</f>
        <v>-877114.48128930968</v>
      </c>
      <c r="E51" s="142">
        <f>Output_EB_RIN!L78*10^6</f>
        <v>-28175.153249596799</v>
      </c>
      <c r="F51" s="140">
        <f>Output_EB_RIN!M78*10^6</f>
        <v>0</v>
      </c>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row>
    <row r="52" spans="1:34" ht="15.75" outlineLevel="2" thickBot="1" x14ac:dyDescent="0.3">
      <c r="A52" s="132" t="s">
        <v>165</v>
      </c>
      <c r="B52" s="143" t="s">
        <v>140</v>
      </c>
      <c r="C52" s="145">
        <f t="shared" ref="C52" si="11">SUM(C47:C51)</f>
        <v>887176756.70501339</v>
      </c>
      <c r="D52" s="147">
        <f t="shared" ref="D52" si="12">SUM(D47:D51)</f>
        <v>904148753.59410489</v>
      </c>
      <c r="E52" s="147">
        <f t="shared" ref="E52" si="13">SUM(E47:E51)</f>
        <v>924276586.04316616</v>
      </c>
      <c r="F52" s="145">
        <f t="shared" ref="F52" si="14">SUM(F47:F51)</f>
        <v>932554106.70332909</v>
      </c>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row>
    <row r="53" spans="1:34" ht="20.25" customHeight="1" outlineLevel="1" thickBot="1" x14ac:dyDescent="0.3">
      <c r="A53" s="63">
        <f>IF(SUM(C53:F53)&lt;&gt;0,1,0)</f>
        <v>0</v>
      </c>
      <c r="B53" s="151" t="str">
        <f>Lookup!$D$130</f>
        <v>“Other” asset items with long lives</v>
      </c>
      <c r="C53" s="215">
        <f>IF(ROUND(C52-(Output_EB_RIN!J80*10^6),4)=0,0,1)</f>
        <v>0</v>
      </c>
      <c r="D53" s="215">
        <f>IF(ROUND(D52-(Output_EB_RIN!K80*10^6),4)=0,0,1)</f>
        <v>0</v>
      </c>
      <c r="E53" s="215">
        <f>IF(ROUND(E52-(Output_EB_RIN!L80*10^6),4)=0,0,1)</f>
        <v>0</v>
      </c>
      <c r="F53" s="215">
        <f>IF(ROUND(F52-(Output_EB_RIN!M80*10^6),4)=0,0,1)</f>
        <v>0</v>
      </c>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row>
    <row r="54" spans="1:34" outlineLevel="2" x14ac:dyDescent="0.25">
      <c r="A54" s="132" t="s">
        <v>166</v>
      </c>
      <c r="B54" s="133" t="s">
        <v>130</v>
      </c>
      <c r="C54" s="135">
        <f>Output_EB_RIN!J88*10^6</f>
        <v>333942359.83500504</v>
      </c>
      <c r="D54" s="137">
        <f>Output_EB_RIN!K88*10^6</f>
        <v>368623468.83130497</v>
      </c>
      <c r="E54" s="137">
        <f>Output_EB_RIN!L88*10^6</f>
        <v>393590930.37796259</v>
      </c>
      <c r="F54" s="135">
        <f>Output_EB_RIN!M88*10^6</f>
        <v>406964550.58718812</v>
      </c>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row>
    <row r="55" spans="1:34" outlineLevel="2" x14ac:dyDescent="0.25">
      <c r="A55" s="132" t="s">
        <v>167</v>
      </c>
      <c r="B55" s="138" t="s">
        <v>132</v>
      </c>
      <c r="C55" s="140">
        <f>Output_EB_RIN!J89*10^6</f>
        <v>6375263.2332137199</v>
      </c>
      <c r="D55" s="142">
        <f>Output_EB_RIN!K89*10^6</f>
        <v>6576689.8988636425</v>
      </c>
      <c r="E55" s="142">
        <f>Output_EB_RIN!L89*10^6</f>
        <v>7244004.8535821773</v>
      </c>
      <c r="F55" s="140">
        <f>Output_EB_RIN!M89*10^6</f>
        <v>3502276.6831943826</v>
      </c>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row>
    <row r="56" spans="1:34" outlineLevel="2" x14ac:dyDescent="0.25">
      <c r="A56" s="132" t="s">
        <v>168</v>
      </c>
      <c r="B56" s="138" t="s">
        <v>134</v>
      </c>
      <c r="C56" s="140">
        <f>Output_EB_RIN!J90*10^6</f>
        <v>-27936442.934036735</v>
      </c>
      <c r="D56" s="142">
        <f>Output_EB_RIN!K90*10^6</f>
        <v>-27601372.351908486</v>
      </c>
      <c r="E56" s="142">
        <f>Output_EB_RIN!L90*10^6</f>
        <v>-30189167.464710623</v>
      </c>
      <c r="F56" s="140">
        <f>Output_EB_RIN!M90*10^6</f>
        <v>-34265451.785898909</v>
      </c>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row>
    <row r="57" spans="1:34" outlineLevel="2" x14ac:dyDescent="0.25">
      <c r="A57" s="132" t="s">
        <v>169</v>
      </c>
      <c r="B57" s="138" t="s">
        <v>136</v>
      </c>
      <c r="C57" s="140">
        <f>Output_EB_RIN!J91*10^6</f>
        <v>56242288.697122946</v>
      </c>
      <c r="D57" s="142">
        <f>Output_EB_RIN!K91*10^6</f>
        <v>45992143.999702409</v>
      </c>
      <c r="E57" s="142">
        <f>Output_EB_RIN!L91*10^6</f>
        <v>36318782.820354007</v>
      </c>
      <c r="F57" s="140">
        <f>Output_EB_RIN!M91*10^6</f>
        <v>29674576.505351443</v>
      </c>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row>
    <row r="58" spans="1:34" outlineLevel="2" x14ac:dyDescent="0.25">
      <c r="A58" s="132" t="s">
        <v>170</v>
      </c>
      <c r="B58" s="138" t="s">
        <v>138</v>
      </c>
      <c r="C58" s="140">
        <f>Output_EB_RIN!J92*10^6</f>
        <v>0</v>
      </c>
      <c r="D58" s="142">
        <f>Output_EB_RIN!K92*10^6</f>
        <v>0</v>
      </c>
      <c r="E58" s="142">
        <f>Output_EB_RIN!L92*10^6</f>
        <v>0</v>
      </c>
      <c r="F58" s="140">
        <f>Output_EB_RIN!M92*10^6</f>
        <v>0</v>
      </c>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row>
    <row r="59" spans="1:34" ht="15.75" outlineLevel="2" thickBot="1" x14ac:dyDescent="0.3">
      <c r="A59" s="132" t="s">
        <v>171</v>
      </c>
      <c r="B59" s="143" t="s">
        <v>140</v>
      </c>
      <c r="C59" s="145">
        <f t="shared" ref="C59:F59" si="15">SUM(C54:C58)</f>
        <v>368623468.83130497</v>
      </c>
      <c r="D59" s="147">
        <f t="shared" si="15"/>
        <v>393590930.37796247</v>
      </c>
      <c r="E59" s="147">
        <f t="shared" si="15"/>
        <v>406964550.58718812</v>
      </c>
      <c r="F59" s="145">
        <f t="shared" si="15"/>
        <v>405875951.98983502</v>
      </c>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row>
    <row r="60" spans="1:34" ht="20.25" customHeight="1" outlineLevel="1" thickBot="1" x14ac:dyDescent="0.3">
      <c r="A60" s="63">
        <f>IF(SUM(C60:F60)&lt;&gt;0,1,0)</f>
        <v>0</v>
      </c>
      <c r="B60" s="151" t="str">
        <f>Lookup!$D$131</f>
        <v>“Other” asset items with short lives</v>
      </c>
      <c r="C60" s="215">
        <f>IF(ROUND(C59-(Output_EB_RIN!J94*10^6),4)=0,0,1)</f>
        <v>0</v>
      </c>
      <c r="D60" s="215">
        <f>IF(ROUND(D59-(Output_EB_RIN!K94*10^6),4)=0,0,1)</f>
        <v>0</v>
      </c>
      <c r="E60" s="215">
        <f>IF(ROUND(E59-(Output_EB_RIN!L94*10^6),4)=0,0,1)</f>
        <v>0</v>
      </c>
      <c r="F60" s="215">
        <f>IF(ROUND(F59-(Output_EB_RIN!M94*10^6),4)=0,0,1)</f>
        <v>0</v>
      </c>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row>
    <row r="61" spans="1:34" outlineLevel="2" x14ac:dyDescent="0.25">
      <c r="A61" s="132" t="s">
        <v>172</v>
      </c>
      <c r="B61" s="133" t="s">
        <v>130</v>
      </c>
      <c r="C61" s="135">
        <f>Output_EB_RIN!J102*10^6</f>
        <v>64327288.25443574</v>
      </c>
      <c r="D61" s="137">
        <f>Output_EB_RIN!K102*10^6</f>
        <v>66108684.612442203</v>
      </c>
      <c r="E61" s="137">
        <f>Output_EB_RIN!L102*10^6</f>
        <v>75475641.269972757</v>
      </c>
      <c r="F61" s="135">
        <f>Output_EB_RIN!M102*10^6</f>
        <v>74349378.776506901</v>
      </c>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row>
    <row r="62" spans="1:34" outlineLevel="2" x14ac:dyDescent="0.25">
      <c r="A62" s="132" t="s">
        <v>173</v>
      </c>
      <c r="B62" s="138" t="s">
        <v>132</v>
      </c>
      <c r="C62" s="140">
        <f>Output_EB_RIN!J103*10^6</f>
        <v>1228066.4121301342</v>
      </c>
      <c r="D62" s="142">
        <f>Output_EB_RIN!K103*10^6</f>
        <v>1179459.1367072719</v>
      </c>
      <c r="E62" s="142">
        <f>Output_EB_RIN!L103*10^6</f>
        <v>1389122.2319626973</v>
      </c>
      <c r="F62" s="140">
        <f>Output_EB_RIN!M103*10^6</f>
        <v>639839.74850694253</v>
      </c>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row>
    <row r="63" spans="1:34" outlineLevel="2" x14ac:dyDescent="0.25">
      <c r="A63" s="132" t="s">
        <v>174</v>
      </c>
      <c r="B63" s="138" t="s">
        <v>134</v>
      </c>
      <c r="C63" s="140">
        <f>Output_EB_RIN!J104*10^6</f>
        <v>-30448130.825626843</v>
      </c>
      <c r="D63" s="142">
        <f>Output_EB_RIN!K104*10^6</f>
        <v>-17828983.842469502</v>
      </c>
      <c r="E63" s="142">
        <f>Output_EB_RIN!L104*10^6</f>
        <v>-27407936.864881177</v>
      </c>
      <c r="F63" s="140">
        <f>Output_EB_RIN!M104*10^6</f>
        <v>-31235583.780324768</v>
      </c>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4" outlineLevel="2" x14ac:dyDescent="0.25">
      <c r="A64" s="132" t="s">
        <v>175</v>
      </c>
      <c r="B64" s="138" t="s">
        <v>136</v>
      </c>
      <c r="C64" s="140">
        <f>Output_EB_RIN!J105*10^6</f>
        <v>31001460.771503184</v>
      </c>
      <c r="D64" s="142">
        <f>Output_EB_RIN!K105*10^6</f>
        <v>29441365.26667615</v>
      </c>
      <c r="E64" s="142">
        <f>Output_EB_RIN!L105*10^6</f>
        <v>27091230.777888186</v>
      </c>
      <c r="F64" s="140">
        <f>Output_EB_RIN!M105*10^6</f>
        <v>27810493.291926596</v>
      </c>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4" outlineLevel="2" x14ac:dyDescent="0.25">
      <c r="A65" s="132" t="s">
        <v>176</v>
      </c>
      <c r="B65" s="138" t="s">
        <v>138</v>
      </c>
      <c r="C65" s="140">
        <f>Output_EB_RIN!J106*10^6</f>
        <v>0</v>
      </c>
      <c r="D65" s="142">
        <f>Output_EB_RIN!K106*10^6</f>
        <v>-3424883.9033833793</v>
      </c>
      <c r="E65" s="142">
        <f>Output_EB_RIN!L106*10^6</f>
        <v>-2198678.6384355659</v>
      </c>
      <c r="F65" s="140">
        <f>Output_EB_RIN!M106*10^6</f>
        <v>-3910618.7803706615</v>
      </c>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4" ht="15.75" outlineLevel="2" thickBot="1" x14ac:dyDescent="0.3">
      <c r="A66" s="132" t="s">
        <v>177</v>
      </c>
      <c r="B66" s="143" t="s">
        <v>140</v>
      </c>
      <c r="C66" s="145">
        <f t="shared" ref="C66" si="16">SUM(C61:C65)</f>
        <v>66108684.61244221</v>
      </c>
      <c r="D66" s="147">
        <f t="shared" ref="D66" si="17">SUM(D61:D65)</f>
        <v>75475641.269972742</v>
      </c>
      <c r="E66" s="147">
        <f t="shared" ref="E66" si="18">SUM(E61:E65)</f>
        <v>74349378.776506901</v>
      </c>
      <c r="F66" s="145">
        <f t="shared" ref="F66" si="19">SUM(F61:F65)</f>
        <v>67653509.256245002</v>
      </c>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4" s="129" customFormat="1" outlineLevel="1" x14ac:dyDescent="0.25">
      <c r="A67" s="154"/>
      <c r="C67" s="215">
        <f>IF(ROUND(C66-(Output_EB_RIN!J108*10^6),4)=0,0,1)</f>
        <v>0</v>
      </c>
      <c r="D67" s="215">
        <f>IF(ROUND(D66-(Output_EB_RIN!K108*10^6),4)=0,0,1)</f>
        <v>0</v>
      </c>
      <c r="E67" s="215">
        <f>IF(ROUND(E66-(Output_EB_RIN!L108*10^6),4)=0,0,1)</f>
        <v>0</v>
      </c>
      <c r="F67" s="215">
        <f>IF(ROUND(F66-(Output_EB_RIN!M108*10^6),4)=0,0,1)</f>
        <v>0</v>
      </c>
      <c r="G67" s="114"/>
      <c r="H67" s="114"/>
      <c r="I67" s="114"/>
      <c r="J67" s="114"/>
      <c r="K67" s="114"/>
      <c r="L67" s="114"/>
      <c r="M67" s="114"/>
      <c r="N67" s="114"/>
      <c r="O67" s="114"/>
      <c r="P67" s="114"/>
      <c r="Q67" s="114"/>
      <c r="R67" s="114"/>
      <c r="S67" s="115"/>
    </row>
    <row r="68" spans="1:34" s="129" customFormat="1" outlineLevel="1" x14ac:dyDescent="0.25">
      <c r="A68" s="154"/>
      <c r="C68" s="115"/>
      <c r="D68" s="115"/>
      <c r="E68" s="115"/>
      <c r="F68" s="115"/>
      <c r="G68" s="114"/>
      <c r="H68" s="114"/>
      <c r="I68" s="114"/>
      <c r="J68" s="114"/>
      <c r="K68" s="114"/>
      <c r="L68" s="114"/>
      <c r="M68" s="114"/>
      <c r="N68" s="114"/>
      <c r="O68" s="114"/>
      <c r="P68" s="114"/>
      <c r="Q68" s="114"/>
      <c r="R68" s="114"/>
      <c r="S68" s="115"/>
    </row>
    <row r="69" spans="1:34" s="129" customFormat="1" x14ac:dyDescent="0.25">
      <c r="A69" s="154"/>
      <c r="C69" s="115"/>
      <c r="D69" s="115"/>
      <c r="E69" s="115"/>
      <c r="F69" s="115"/>
      <c r="G69" s="114"/>
      <c r="H69" s="114"/>
      <c r="I69" s="114"/>
      <c r="J69" s="114"/>
      <c r="K69" s="114"/>
      <c r="L69" s="114"/>
      <c r="M69" s="114"/>
      <c r="N69" s="114"/>
      <c r="O69" s="114"/>
      <c r="P69" s="114"/>
      <c r="Q69" s="114"/>
      <c r="R69" s="114"/>
      <c r="S69" s="115"/>
    </row>
    <row r="70" spans="1:34" s="129" customFormat="1" x14ac:dyDescent="0.25">
      <c r="A70" s="154"/>
      <c r="C70" s="115"/>
      <c r="D70" s="115"/>
      <c r="E70" s="115"/>
      <c r="F70" s="115"/>
      <c r="G70" s="114"/>
      <c r="H70" s="114"/>
      <c r="I70" s="114"/>
      <c r="J70" s="114"/>
      <c r="K70" s="114"/>
      <c r="L70" s="114"/>
      <c r="M70" s="114"/>
      <c r="N70" s="114"/>
      <c r="O70" s="114"/>
      <c r="P70" s="114"/>
      <c r="Q70" s="114"/>
      <c r="R70" s="114"/>
      <c r="S70" s="115"/>
    </row>
    <row r="71" spans="1:34" ht="19.5" thickBot="1" x14ac:dyDescent="0.3">
      <c r="A71" s="132"/>
      <c r="B71" s="121" t="s">
        <v>178</v>
      </c>
      <c r="C71" s="121"/>
      <c r="D71" s="121"/>
      <c r="E71" s="121"/>
      <c r="F71" s="121"/>
      <c r="G71" s="114"/>
      <c r="H71" s="114"/>
      <c r="I71" s="114"/>
      <c r="J71" s="114"/>
      <c r="K71" s="114"/>
      <c r="L71" s="114"/>
      <c r="M71" s="114"/>
      <c r="N71" s="114"/>
      <c r="O71" s="114"/>
      <c r="P71" s="114"/>
      <c r="Q71" s="114"/>
      <c r="R71" s="114"/>
      <c r="T71" s="114"/>
      <c r="U71" s="114"/>
      <c r="V71" s="114"/>
      <c r="W71" s="114"/>
      <c r="X71" s="114"/>
      <c r="Y71" s="114"/>
      <c r="Z71" s="114"/>
      <c r="AA71" s="114"/>
      <c r="AB71" s="114"/>
      <c r="AC71" s="114"/>
      <c r="AD71" s="114"/>
      <c r="AE71" s="114"/>
      <c r="AF71" s="114"/>
      <c r="AG71" s="114"/>
      <c r="AH71" s="114"/>
    </row>
    <row r="72" spans="1:34" ht="28.5" customHeight="1" outlineLevel="2" x14ac:dyDescent="0.25">
      <c r="A72" s="120"/>
      <c r="B72" s="122"/>
      <c r="C72" s="277" t="s">
        <v>251</v>
      </c>
      <c r="D72" s="277"/>
      <c r="E72" s="277"/>
      <c r="F72" s="278"/>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4" s="124" customFormat="1" ht="41.25" customHeight="1" outlineLevel="2" thickBot="1" x14ac:dyDescent="0.3">
      <c r="A73" s="120"/>
      <c r="B73" s="123"/>
      <c r="C73" s="271" t="s">
        <v>252</v>
      </c>
      <c r="D73" s="271"/>
      <c r="E73" s="271"/>
      <c r="F73" s="272"/>
      <c r="G73" s="114"/>
      <c r="H73" s="114"/>
      <c r="I73" s="114"/>
      <c r="J73" s="114"/>
      <c r="K73" s="114"/>
      <c r="L73" s="114"/>
      <c r="M73" s="114"/>
      <c r="N73" s="114"/>
      <c r="O73" s="114"/>
      <c r="P73" s="114"/>
      <c r="Q73" s="114"/>
      <c r="R73" s="114"/>
      <c r="S73" s="123"/>
      <c r="T73" s="123"/>
      <c r="U73" s="123"/>
      <c r="V73" s="123"/>
      <c r="W73" s="123"/>
      <c r="X73" s="123"/>
      <c r="Y73" s="123"/>
      <c r="Z73" s="123"/>
      <c r="AA73" s="123"/>
      <c r="AB73" s="123"/>
      <c r="AC73" s="123"/>
      <c r="AD73" s="123"/>
      <c r="AE73" s="123"/>
      <c r="AF73" s="123"/>
      <c r="AG73" s="123"/>
      <c r="AH73" s="123"/>
    </row>
    <row r="74" spans="1:34" s="129" customFormat="1" ht="15.75" outlineLevel="2" thickBot="1" x14ac:dyDescent="0.3">
      <c r="A74" s="125"/>
      <c r="B74" s="114"/>
      <c r="C74" s="126" t="str">
        <f t="shared" ref="C74:F74" si="20">C$11</f>
        <v>RY18</v>
      </c>
      <c r="D74" s="128" t="str">
        <f t="shared" si="20"/>
        <v>RY19</v>
      </c>
      <c r="E74" s="127" t="str">
        <f t="shared" si="20"/>
        <v>RY20</v>
      </c>
      <c r="F74" s="127" t="str">
        <f t="shared" si="20"/>
        <v>RY21</v>
      </c>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4" outlineLevel="2" x14ac:dyDescent="0.25">
      <c r="A75" s="132" t="s">
        <v>179</v>
      </c>
      <c r="B75" s="133" t="str">
        <f>Lookup!D126</f>
        <v>Overhead assets</v>
      </c>
      <c r="C75" s="135">
        <f t="shared" ref="C75:F75" si="21">AVERAGE(C31,C26)</f>
        <v>1695916708.8555906</v>
      </c>
      <c r="D75" s="137">
        <f t="shared" si="21"/>
        <v>1762515328.8275318</v>
      </c>
      <c r="E75" s="137">
        <f t="shared" si="21"/>
        <v>1794112549.0037735</v>
      </c>
      <c r="F75" s="135">
        <f t="shared" si="21"/>
        <v>1793474309.5254419</v>
      </c>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4" outlineLevel="2" x14ac:dyDescent="0.25">
      <c r="A76" s="132" t="s">
        <v>180</v>
      </c>
      <c r="B76" s="155" t="str">
        <f>Lookup!D127</f>
        <v>Underground assets</v>
      </c>
      <c r="C76" s="140">
        <f t="shared" ref="C76:F76" si="22">AVERAGE(C38,C33)</f>
        <v>202766854.59279722</v>
      </c>
      <c r="D76" s="142">
        <f t="shared" si="22"/>
        <v>198828261.41022986</v>
      </c>
      <c r="E76" s="142">
        <f t="shared" si="22"/>
        <v>194690444.96585217</v>
      </c>
      <c r="F76" s="140">
        <f t="shared" si="22"/>
        <v>189449102.24810633</v>
      </c>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4" outlineLevel="2" x14ac:dyDescent="0.25">
      <c r="A77" s="132" t="s">
        <v>181</v>
      </c>
      <c r="B77" s="155" t="str">
        <f>Lookup!D128</f>
        <v>Switchyards, substations</v>
      </c>
      <c r="C77" s="140">
        <f t="shared" ref="C77:F77" si="23">AVERAGE(C45,C40)</f>
        <v>2928735292.4468827</v>
      </c>
      <c r="D77" s="142">
        <f t="shared" si="23"/>
        <v>2958300077.9003763</v>
      </c>
      <c r="E77" s="142">
        <f t="shared" si="23"/>
        <v>2983481378.9024639</v>
      </c>
      <c r="F77" s="140">
        <f t="shared" si="23"/>
        <v>2985895511.1209559</v>
      </c>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4" outlineLevel="2" x14ac:dyDescent="0.25">
      <c r="A78" s="132" t="s">
        <v>182</v>
      </c>
      <c r="B78" s="155" t="str">
        <f>Lookup!D129</f>
        <v>Easements</v>
      </c>
      <c r="C78" s="140">
        <f t="shared" ref="C78:F78" si="24">AVERAGE(C52,C47)</f>
        <v>871534537.77091312</v>
      </c>
      <c r="D78" s="142">
        <f t="shared" si="24"/>
        <v>895662755.14955902</v>
      </c>
      <c r="E78" s="142">
        <f t="shared" si="24"/>
        <v>914212669.81863546</v>
      </c>
      <c r="F78" s="140">
        <f t="shared" si="24"/>
        <v>928415346.37324762</v>
      </c>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row>
    <row r="79" spans="1:34" outlineLevel="2" x14ac:dyDescent="0.25">
      <c r="A79" s="132" t="s">
        <v>183</v>
      </c>
      <c r="B79" s="155" t="str">
        <f>Lookup!D130</f>
        <v>“Other” asset items with long lives</v>
      </c>
      <c r="C79" s="140">
        <f t="shared" ref="C79:F79" si="25">AVERAGE(C59,C54)</f>
        <v>351282914.33315504</v>
      </c>
      <c r="D79" s="142">
        <f t="shared" si="25"/>
        <v>381107199.60463369</v>
      </c>
      <c r="E79" s="142">
        <f t="shared" si="25"/>
        <v>400277740.48257536</v>
      </c>
      <c r="F79" s="140">
        <f t="shared" si="25"/>
        <v>406420251.28851157</v>
      </c>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row>
    <row r="80" spans="1:34" ht="15.75" outlineLevel="2" thickBot="1" x14ac:dyDescent="0.3">
      <c r="A80" s="132" t="s">
        <v>184</v>
      </c>
      <c r="B80" s="156" t="str">
        <f>Lookup!D131</f>
        <v>“Other” asset items with short lives</v>
      </c>
      <c r="C80" s="157">
        <f t="shared" ref="C80:F80" si="26">AVERAGE(C66,C61)</f>
        <v>65217986.433438972</v>
      </c>
      <c r="D80" s="158">
        <f t="shared" si="26"/>
        <v>70792162.941207469</v>
      </c>
      <c r="E80" s="158">
        <f t="shared" si="26"/>
        <v>74912510.023239821</v>
      </c>
      <c r="F80" s="157">
        <f t="shared" si="26"/>
        <v>71001444.016375959</v>
      </c>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row>
    <row r="81" spans="1:34" x14ac:dyDescent="0.25">
      <c r="A81" s="132"/>
      <c r="B81" s="148"/>
      <c r="C81" s="148"/>
      <c r="D81" s="148"/>
      <c r="E81" s="148"/>
      <c r="F81" s="148"/>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4" x14ac:dyDescent="0.25">
      <c r="A82" s="132"/>
      <c r="B82" s="148"/>
      <c r="C82" s="159"/>
      <c r="D82" s="159"/>
      <c r="E82" s="159"/>
      <c r="F82" s="159"/>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4" ht="19.5" thickBot="1" x14ac:dyDescent="0.3">
      <c r="A83" s="132"/>
      <c r="B83" s="121" t="s">
        <v>185</v>
      </c>
      <c r="C83" s="121"/>
      <c r="D83" s="121"/>
      <c r="E83" s="121"/>
      <c r="F83" s="121"/>
      <c r="G83" s="114"/>
      <c r="H83" s="114"/>
      <c r="I83" s="114"/>
      <c r="J83" s="114"/>
      <c r="K83" s="114"/>
      <c r="L83" s="114"/>
      <c r="M83" s="114"/>
      <c r="N83" s="114"/>
      <c r="O83" s="114"/>
      <c r="P83" s="114"/>
      <c r="Q83" s="114"/>
      <c r="R83" s="114"/>
      <c r="T83" s="114"/>
      <c r="U83" s="114"/>
      <c r="V83" s="114"/>
      <c r="W83" s="114"/>
      <c r="X83" s="114"/>
      <c r="Y83" s="114"/>
      <c r="Z83" s="114"/>
      <c r="AA83" s="114"/>
      <c r="AB83" s="114"/>
      <c r="AC83" s="114"/>
      <c r="AD83" s="114"/>
      <c r="AE83" s="114"/>
      <c r="AF83" s="114"/>
      <c r="AG83" s="114"/>
      <c r="AH83" s="114"/>
    </row>
    <row r="84" spans="1:34" ht="21.75" customHeight="1" outlineLevel="1" x14ac:dyDescent="0.25">
      <c r="A84" s="132"/>
      <c r="C84" s="273" t="s">
        <v>251</v>
      </c>
      <c r="D84" s="273"/>
      <c r="E84" s="273"/>
      <c r="F84" s="27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row>
    <row r="85" spans="1:34" ht="21.75" customHeight="1" outlineLevel="1" x14ac:dyDescent="0.25">
      <c r="A85" s="132"/>
      <c r="C85" s="275" t="s">
        <v>123</v>
      </c>
      <c r="D85" s="275"/>
      <c r="E85" s="275"/>
      <c r="F85" s="276"/>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row>
    <row r="86" spans="1:34" ht="21.75" customHeight="1" outlineLevel="1" thickBot="1" x14ac:dyDescent="0.3">
      <c r="A86" s="132"/>
      <c r="C86" s="160" t="str">
        <f t="shared" ref="C86:F86" si="27">C$11</f>
        <v>RY18</v>
      </c>
      <c r="D86" s="160" t="str">
        <f t="shared" si="27"/>
        <v>RY19</v>
      </c>
      <c r="E86" s="160" t="str">
        <f t="shared" si="27"/>
        <v>RY20</v>
      </c>
      <c r="F86" s="161" t="str">
        <f t="shared" si="27"/>
        <v>RY21</v>
      </c>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row>
    <row r="87" spans="1:34" ht="20.25" customHeight="1" outlineLevel="1" thickBot="1" x14ac:dyDescent="0.3">
      <c r="A87" s="132"/>
      <c r="B87" s="162" t="s">
        <v>186</v>
      </c>
      <c r="C87" s="131"/>
      <c r="D87" s="131"/>
      <c r="E87" s="131"/>
      <c r="F87" s="131"/>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row>
    <row r="88" spans="1:34" outlineLevel="2" x14ac:dyDescent="0.25">
      <c r="A88" s="132" t="s">
        <v>187</v>
      </c>
      <c r="B88" s="133" t="str">
        <f>Lookup!$D$126</f>
        <v>Overhead assets</v>
      </c>
      <c r="C88" s="165">
        <f>Input_AssetLives!J13</f>
        <v>48.953680344918695</v>
      </c>
      <c r="D88" s="164">
        <f>Input_AssetLives!K13</f>
        <v>47.708275005042331</v>
      </c>
      <c r="E88" s="164">
        <f>Input_AssetLives!L13</f>
        <v>34.9</v>
      </c>
      <c r="F88" s="165">
        <f>Input_AssetLives!M13</f>
        <v>40.1</v>
      </c>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4" outlineLevel="2" x14ac:dyDescent="0.25">
      <c r="A89" s="132" t="s">
        <v>188</v>
      </c>
      <c r="B89" s="155" t="str">
        <f>Lookup!$D$127</f>
        <v>Underground assets</v>
      </c>
      <c r="C89" s="168">
        <f>Input_AssetLives!J14</f>
        <v>45</v>
      </c>
      <c r="D89" s="167">
        <f>Input_AssetLives!K14</f>
        <v>0</v>
      </c>
      <c r="E89" s="167">
        <f>Input_AssetLives!L14</f>
        <v>0</v>
      </c>
      <c r="F89" s="168">
        <f>Input_AssetLives!M14</f>
        <v>0</v>
      </c>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row>
    <row r="90" spans="1:34" outlineLevel="2" x14ac:dyDescent="0.25">
      <c r="A90" s="132" t="s">
        <v>189</v>
      </c>
      <c r="B90" s="155" t="str">
        <f>Lookup!$D$128</f>
        <v>Switchyards, substations</v>
      </c>
      <c r="C90" s="168">
        <f>Input_AssetLives!J15</f>
        <v>40</v>
      </c>
      <c r="D90" s="167">
        <f>Input_AssetLives!K15</f>
        <v>39.999999999999993</v>
      </c>
      <c r="E90" s="167">
        <f>Input_AssetLives!L15</f>
        <v>40</v>
      </c>
      <c r="F90" s="168">
        <f>Input_AssetLives!M15</f>
        <v>40</v>
      </c>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row>
    <row r="91" spans="1:34" outlineLevel="2" x14ac:dyDescent="0.25">
      <c r="A91" s="132" t="s">
        <v>190</v>
      </c>
      <c r="B91" s="155" t="str">
        <f>Lookup!$D$130</f>
        <v>“Other” asset items with long lives</v>
      </c>
      <c r="C91" s="168">
        <f>Input_AssetLives!J17</f>
        <v>13.960867582397464</v>
      </c>
      <c r="D91" s="167">
        <f>Input_AssetLives!K17</f>
        <v>12.882866013674436</v>
      </c>
      <c r="E91" s="167">
        <f>Input_AssetLives!L17</f>
        <v>14.2</v>
      </c>
      <c r="F91" s="168">
        <f>Input_AssetLives!M17</f>
        <v>13.3</v>
      </c>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row>
    <row r="92" spans="1:34" ht="15.75" outlineLevel="2" thickBot="1" x14ac:dyDescent="0.3">
      <c r="A92" s="132" t="s">
        <v>191</v>
      </c>
      <c r="B92" s="143" t="str">
        <f>Lookup!$D$131</f>
        <v>“Other” asset items with short lives</v>
      </c>
      <c r="C92" s="171">
        <f>Input_AssetLives!J18</f>
        <v>4.9830252785820894</v>
      </c>
      <c r="D92" s="170">
        <f>Input_AssetLives!K18</f>
        <v>5.0478349016581818</v>
      </c>
      <c r="E92" s="170">
        <f>Input_AssetLives!L18</f>
        <v>5.3</v>
      </c>
      <c r="F92" s="171">
        <f>Input_AssetLives!M18</f>
        <v>5</v>
      </c>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row>
    <row r="93" spans="1:34" ht="15.75" outlineLevel="1" thickBot="1" x14ac:dyDescent="0.3">
      <c r="A93" s="115"/>
      <c r="C93" s="159"/>
      <c r="D93" s="159"/>
      <c r="E93" s="159"/>
      <c r="F93" s="159"/>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row>
    <row r="94" spans="1:34" ht="20.25" customHeight="1" outlineLevel="1" thickBot="1" x14ac:dyDescent="0.3">
      <c r="A94" s="132"/>
      <c r="B94" s="162" t="s">
        <v>192</v>
      </c>
      <c r="C94" s="131"/>
      <c r="D94" s="131"/>
      <c r="E94" s="131"/>
      <c r="F94" s="131"/>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row>
    <row r="95" spans="1:34" outlineLevel="2" x14ac:dyDescent="0.25">
      <c r="A95" s="132" t="s">
        <v>193</v>
      </c>
      <c r="B95" s="133" t="str">
        <f>Lookup!$D$126</f>
        <v>Overhead assets</v>
      </c>
      <c r="C95" s="173">
        <f>IFERROR(MAX(MIN(-C26/C28,C88),0),"")</f>
        <v>20.111085329499673</v>
      </c>
      <c r="D95" s="172">
        <f t="shared" ref="D95:F95" si="28">IFERROR(MAX(MIN(-D26/D28,D88),0),"")</f>
        <v>20.747936970540504</v>
      </c>
      <c r="E95" s="172">
        <f t="shared" si="28"/>
        <v>20.720330282267778</v>
      </c>
      <c r="F95" s="173">
        <f t="shared" si="28"/>
        <v>20.446228362609506</v>
      </c>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row>
    <row r="96" spans="1:34" outlineLevel="2" x14ac:dyDescent="0.25">
      <c r="A96" s="132" t="s">
        <v>194</v>
      </c>
      <c r="B96" s="155" t="str">
        <f>Lookup!$D$127</f>
        <v>Underground assets</v>
      </c>
      <c r="C96" s="168">
        <f>IFERROR(MAX(MIN(-C33/C35),0),"")</f>
        <v>26.593235880079849</v>
      </c>
      <c r="D96" s="167">
        <f t="shared" ref="D96:F96" si="29">IFERROR(MAX(MIN(-D33/D35),0),"")</f>
        <v>26.181944008237263</v>
      </c>
      <c r="E96" s="167">
        <f t="shared" si="29"/>
        <v>25.199460109704923</v>
      </c>
      <c r="F96" s="168">
        <f t="shared" si="29"/>
        <v>24.21752050573183</v>
      </c>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row>
    <row r="97" spans="1:34" outlineLevel="2" x14ac:dyDescent="0.25">
      <c r="A97" s="132" t="s">
        <v>195</v>
      </c>
      <c r="B97" s="155" t="str">
        <f>Lookup!$D$128</f>
        <v>Switchyards, substations</v>
      </c>
      <c r="C97" s="168">
        <f>IFERROR(MAX(MIN(-C40/C42),0),"")</f>
        <v>24.990307449460325</v>
      </c>
      <c r="D97" s="167">
        <f t="shared" ref="D97:F97" si="30">IFERROR(MAX(MIN(-D40/D42),0),"")</f>
        <v>24.689176921515262</v>
      </c>
      <c r="E97" s="167">
        <f t="shared" si="30"/>
        <v>24.10716348870994</v>
      </c>
      <c r="F97" s="168">
        <f t="shared" si="30"/>
        <v>23.286040354507289</v>
      </c>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row>
    <row r="98" spans="1:34" outlineLevel="2" x14ac:dyDescent="0.25">
      <c r="A98" s="132" t="s">
        <v>196</v>
      </c>
      <c r="B98" s="155" t="str">
        <f>Lookup!$D$130</f>
        <v>“Other” asset items with long lives</v>
      </c>
      <c r="C98" s="168">
        <f>IFERROR(MAX(MIN(-C54/C56),0),"")</f>
        <v>11.953646375936499</v>
      </c>
      <c r="D98" s="167">
        <f t="shared" ref="D98:F98" si="31">IFERROR(MAX(MIN(-D54/D56),0),"")</f>
        <v>13.355258721612682</v>
      </c>
      <c r="E98" s="167">
        <f t="shared" si="31"/>
        <v>13.037488723001303</v>
      </c>
      <c r="F98" s="168">
        <f t="shared" si="31"/>
        <v>11.876818468060129</v>
      </c>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row>
    <row r="99" spans="1:34" ht="15.75" outlineLevel="2" thickBot="1" x14ac:dyDescent="0.3">
      <c r="A99" s="132" t="s">
        <v>197</v>
      </c>
      <c r="B99" s="143" t="str">
        <f>Lookup!$D$131</f>
        <v>“Other” asset items with short lives</v>
      </c>
      <c r="C99" s="171">
        <f>IFERROR(MAX(MIN(-C61/C63),0),"")</f>
        <v>2.112684309681641</v>
      </c>
      <c r="D99" s="170">
        <f t="shared" ref="D99:F99" si="32">IFERROR(MAX(MIN(-D61/D63),0),"")</f>
        <v>3.7079333963480363</v>
      </c>
      <c r="E99" s="170">
        <f t="shared" si="32"/>
        <v>2.7537877674653632</v>
      </c>
      <c r="F99" s="171">
        <f t="shared" si="32"/>
        <v>2.3802781884723228</v>
      </c>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row>
    <row r="100" spans="1:34" outlineLevel="1" x14ac:dyDescent="0.25">
      <c r="A100" s="120"/>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row>
    <row r="101" spans="1:34" outlineLevel="1" x14ac:dyDescent="0.25">
      <c r="A101" s="120"/>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row>
    <row r="102" spans="1:34" x14ac:dyDescent="0.25">
      <c r="A102" s="120"/>
      <c r="B102" s="148"/>
      <c r="C102" s="148"/>
      <c r="D102" s="148"/>
      <c r="E102" s="148"/>
      <c r="F102" s="148"/>
      <c r="G102" s="148"/>
      <c r="H102" s="114"/>
      <c r="I102" s="114"/>
      <c r="J102" s="114"/>
      <c r="K102" s="114"/>
      <c r="L102" s="114"/>
      <c r="M102" s="114"/>
      <c r="N102" s="114"/>
      <c r="O102" s="114"/>
      <c r="P102" s="114"/>
      <c r="Q102" s="114"/>
      <c r="R102" s="114"/>
      <c r="S102" s="114"/>
      <c r="T102" s="114"/>
      <c r="U102" s="114"/>
      <c r="V102" s="114"/>
      <c r="W102" s="114"/>
      <c r="X102" s="114"/>
      <c r="Y102" s="114"/>
      <c r="Z102" s="114"/>
      <c r="AA102" s="114"/>
    </row>
    <row r="103" spans="1:34" x14ac:dyDescent="0.25">
      <c r="A103" s="120"/>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row>
    <row r="104" spans="1:34" x14ac:dyDescent="0.25">
      <c r="A104" s="120"/>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row>
    <row r="105" spans="1:34" x14ac:dyDescent="0.25">
      <c r="A105" s="120"/>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row>
    <row r="106" spans="1:34" x14ac:dyDescent="0.25">
      <c r="A106" s="120"/>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row>
    <row r="107" spans="1:34" x14ac:dyDescent="0.25">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34" x14ac:dyDescent="0.25">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row>
    <row r="109" spans="1:34" x14ac:dyDescent="0.25">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row>
    <row r="110" spans="1:34" x14ac:dyDescent="0.25">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row>
    <row r="111" spans="1:34" x14ac:dyDescent="0.25">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row>
    <row r="112" spans="1:34" x14ac:dyDescent="0.25">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row>
    <row r="113" spans="2:27" x14ac:dyDescent="0.25">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row>
    <row r="114" spans="2:27" x14ac:dyDescent="0.25">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row>
    <row r="115" spans="2:27" x14ac:dyDescent="0.25">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row>
    <row r="116" spans="2:27" x14ac:dyDescent="0.25">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row>
    <row r="117" spans="2:27" x14ac:dyDescent="0.25">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row>
    <row r="118" spans="2:27" x14ac:dyDescent="0.25">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row>
    <row r="119" spans="2:27" x14ac:dyDescent="0.25">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row>
    <row r="120" spans="2:27" x14ac:dyDescent="0.25">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row>
    <row r="121" spans="2:27" x14ac:dyDescent="0.25">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row>
    <row r="122" spans="2:27" x14ac:dyDescent="0.25">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row>
    <row r="123" spans="2:27" x14ac:dyDescent="0.25">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row>
    <row r="124" spans="2:27" x14ac:dyDescent="0.25">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row>
    <row r="125" spans="2:27" x14ac:dyDescent="0.25">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row>
    <row r="126" spans="2:27" x14ac:dyDescent="0.25">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row>
    <row r="127" spans="2:27" x14ac:dyDescent="0.25">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row>
    <row r="128" spans="2:27" x14ac:dyDescent="0.25">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row>
    <row r="129" spans="2:27" x14ac:dyDescent="0.25">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row>
    <row r="130" spans="2:27" x14ac:dyDescent="0.25">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row>
    <row r="131" spans="2:27" x14ac:dyDescent="0.25">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row>
    <row r="132" spans="2:27" x14ac:dyDescent="0.25">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row>
    <row r="133" spans="2:27" x14ac:dyDescent="0.25">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row>
    <row r="134" spans="2:27" x14ac:dyDescent="0.25">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row>
    <row r="135" spans="2:27" x14ac:dyDescent="0.25">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row>
    <row r="136" spans="2:27" x14ac:dyDescent="0.25">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row>
    <row r="137" spans="2:27" x14ac:dyDescent="0.25">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row>
    <row r="138" spans="2:27" x14ac:dyDescent="0.25">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row>
    <row r="139" spans="2:27" x14ac:dyDescent="0.25">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row>
    <row r="140" spans="2:27" x14ac:dyDescent="0.25">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row>
    <row r="141" spans="2:27" x14ac:dyDescent="0.25">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row>
    <row r="142" spans="2:27" x14ac:dyDescent="0.25">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row>
    <row r="143" spans="2:27" x14ac:dyDescent="0.25">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row>
    <row r="144" spans="2:27" x14ac:dyDescent="0.25">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row>
    <row r="145" spans="2:27" x14ac:dyDescent="0.25">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row>
    <row r="146" spans="2:27" x14ac:dyDescent="0.25">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row>
    <row r="147" spans="2:27" x14ac:dyDescent="0.25">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row>
    <row r="148" spans="2:27" x14ac:dyDescent="0.25">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row>
    <row r="149" spans="2:27" x14ac:dyDescent="0.25">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row>
    <row r="150" spans="2:27" x14ac:dyDescent="0.25">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row>
    <row r="151" spans="2:27" x14ac:dyDescent="0.25">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row>
    <row r="152" spans="2:27" x14ac:dyDescent="0.25">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row>
    <row r="153" spans="2:27" x14ac:dyDescent="0.25">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row>
    <row r="154" spans="2:27" x14ac:dyDescent="0.25">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row>
    <row r="155" spans="2:27" x14ac:dyDescent="0.25">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row>
    <row r="156" spans="2:27" x14ac:dyDescent="0.25">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row>
    <row r="157" spans="2:27" x14ac:dyDescent="0.25">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row>
    <row r="158" spans="2:27" x14ac:dyDescent="0.25">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row>
    <row r="159" spans="2:27" x14ac:dyDescent="0.25">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row>
    <row r="160" spans="2:27" x14ac:dyDescent="0.25">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row>
    <row r="161" spans="2:27" x14ac:dyDescent="0.25">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row>
    <row r="162" spans="2:27" x14ac:dyDescent="0.25">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row>
    <row r="163" spans="2:27" x14ac:dyDescent="0.25">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row>
    <row r="164" spans="2:27" x14ac:dyDescent="0.25">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row>
  </sheetData>
  <mergeCells count="8">
    <mergeCell ref="C73:F73"/>
    <mergeCell ref="C84:F84"/>
    <mergeCell ref="C85:F85"/>
    <mergeCell ref="C9:F9"/>
    <mergeCell ref="C10:F10"/>
    <mergeCell ref="C22:F22"/>
    <mergeCell ref="C23:F23"/>
    <mergeCell ref="C72:F72"/>
  </mergeCells>
  <dataValidations disablePrompts="1" count="1">
    <dataValidation allowBlank="1" showInputMessage="1" showErrorMessage="1" sqref="G100:R101 D11:F11 D24:F24 D74:F74 C25:F71 C13:F21 C75:C101 D75:F83 D86:F101"/>
  </dataValidations>
  <pageMargins left="0.7" right="0.7" top="0.75" bottom="0.75" header="0.3" footer="0.3"/>
  <pageSetup paperSize="8" scale="56" fitToHeight="0" orientation="landscape" r:id="rId1"/>
  <rowBreaks count="1" manualBreakCount="1">
    <brk id="9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AK164"/>
  <sheetViews>
    <sheetView showGridLines="0" zoomScale="80" zoomScaleNormal="8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ColWidth="8.6640625" defaultRowHeight="15" outlineLevelRow="2" x14ac:dyDescent="0.25"/>
  <cols>
    <col min="1" max="1" width="23.5" style="174" customWidth="1"/>
    <col min="2" max="2" width="95.33203125" style="115" bestFit="1" customWidth="1"/>
    <col min="3" max="10" width="23.33203125" style="115" customWidth="1"/>
    <col min="11" max="11" width="17.1640625" style="115" customWidth="1"/>
    <col min="12" max="13" width="10.6640625" style="115" customWidth="1"/>
    <col min="14" max="14" width="32.6640625" style="115" customWidth="1"/>
    <col min="15" max="15" width="39.83203125" style="115" customWidth="1"/>
    <col min="16" max="21" width="10.6640625" style="115" customWidth="1"/>
    <col min="22" max="16384" width="8.6640625" style="115"/>
  </cols>
  <sheetData>
    <row r="1" spans="1:37" ht="30" customHeight="1" x14ac:dyDescent="0.25">
      <c r="A1" s="111"/>
      <c r="B1" s="112" t="s">
        <v>125</v>
      </c>
      <c r="C1" s="113"/>
      <c r="D1" s="113"/>
      <c r="E1" s="113"/>
      <c r="F1" s="113"/>
      <c r="G1" s="113"/>
      <c r="H1" s="113"/>
      <c r="I1" s="113"/>
      <c r="J1" s="113"/>
      <c r="K1" s="113"/>
      <c r="L1" s="113"/>
      <c r="M1" s="113"/>
      <c r="N1" s="113"/>
      <c r="O1" s="113"/>
      <c r="P1" s="113"/>
      <c r="Q1" s="113"/>
      <c r="R1" s="113"/>
      <c r="S1" s="113"/>
      <c r="T1" s="113"/>
      <c r="U1" s="113"/>
      <c r="V1" s="114"/>
      <c r="W1" s="114"/>
      <c r="X1" s="114"/>
      <c r="Y1" s="114"/>
      <c r="Z1" s="114"/>
      <c r="AA1" s="114"/>
      <c r="AB1" s="114"/>
      <c r="AC1" s="114"/>
      <c r="AD1" s="114"/>
      <c r="AE1" s="114"/>
      <c r="AF1" s="114"/>
      <c r="AG1" s="114"/>
      <c r="AH1" s="114"/>
      <c r="AI1" s="114"/>
      <c r="AJ1" s="114"/>
      <c r="AK1" s="114"/>
    </row>
    <row r="2" spans="1:37" ht="30" customHeight="1" x14ac:dyDescent="0.25">
      <c r="A2" s="111"/>
      <c r="B2" s="116" t="s">
        <v>207</v>
      </c>
      <c r="C2" s="113"/>
      <c r="D2" s="113"/>
      <c r="E2" s="113"/>
      <c r="F2" s="113"/>
      <c r="G2" s="113"/>
      <c r="H2" s="113"/>
      <c r="I2" s="113"/>
      <c r="J2" s="113"/>
      <c r="K2" s="113"/>
      <c r="L2" s="113"/>
      <c r="M2" s="113"/>
      <c r="N2" s="113"/>
      <c r="O2" s="113"/>
      <c r="P2" s="113"/>
      <c r="Q2" s="113"/>
      <c r="R2" s="113"/>
      <c r="S2" s="113"/>
      <c r="T2" s="113"/>
      <c r="U2" s="113"/>
      <c r="V2" s="114"/>
      <c r="W2" s="114"/>
      <c r="X2" s="114"/>
      <c r="Y2" s="114"/>
      <c r="Z2" s="114"/>
      <c r="AA2" s="114"/>
      <c r="AB2" s="114"/>
      <c r="AC2" s="114"/>
      <c r="AD2" s="114"/>
      <c r="AE2" s="114"/>
      <c r="AF2" s="114"/>
      <c r="AG2" s="114"/>
      <c r="AH2" s="114"/>
      <c r="AI2" s="114"/>
      <c r="AJ2" s="114"/>
      <c r="AK2" s="114"/>
    </row>
    <row r="3" spans="1:37" ht="30" customHeight="1" x14ac:dyDescent="0.25">
      <c r="A3" s="111"/>
      <c r="B3" s="112" t="s">
        <v>248</v>
      </c>
      <c r="C3" s="117"/>
      <c r="D3" s="117"/>
      <c r="E3" s="117"/>
      <c r="F3" s="117"/>
      <c r="G3" s="117"/>
      <c r="H3" s="117"/>
      <c r="I3" s="117"/>
      <c r="J3" s="117"/>
      <c r="K3" s="117"/>
      <c r="L3" s="117"/>
      <c r="M3" s="117"/>
      <c r="N3" s="117"/>
      <c r="O3" s="117"/>
      <c r="P3" s="117"/>
      <c r="Q3" s="117"/>
      <c r="R3" s="117"/>
      <c r="S3" s="117"/>
      <c r="T3" s="117"/>
      <c r="U3" s="117"/>
      <c r="V3" s="114"/>
      <c r="W3" s="114"/>
      <c r="X3" s="114"/>
      <c r="Y3" s="114"/>
      <c r="Z3" s="114"/>
      <c r="AA3" s="114"/>
      <c r="AB3" s="114"/>
      <c r="AC3" s="114"/>
      <c r="AD3" s="114"/>
      <c r="AE3" s="114"/>
      <c r="AF3" s="114"/>
      <c r="AG3" s="114"/>
      <c r="AH3" s="114"/>
      <c r="AI3" s="114"/>
      <c r="AJ3" s="114"/>
      <c r="AK3" s="114"/>
    </row>
    <row r="4" spans="1:37" ht="30" customHeight="1" x14ac:dyDescent="0.25">
      <c r="A4" s="111"/>
      <c r="B4" s="118" t="s">
        <v>264</v>
      </c>
      <c r="C4" s="118"/>
      <c r="D4" s="118"/>
      <c r="E4" s="118"/>
      <c r="F4" s="118"/>
      <c r="G4" s="118"/>
      <c r="H4" s="118"/>
      <c r="I4" s="118"/>
      <c r="J4" s="118"/>
      <c r="K4" s="118"/>
      <c r="L4" s="118"/>
      <c r="M4" s="118"/>
      <c r="N4" s="118"/>
      <c r="O4" s="118"/>
      <c r="P4" s="118"/>
      <c r="Q4" s="118"/>
      <c r="R4" s="118"/>
      <c r="S4" s="118"/>
      <c r="T4" s="118"/>
      <c r="U4" s="118"/>
      <c r="V4" s="114"/>
      <c r="W4" s="114"/>
      <c r="X4" s="114"/>
      <c r="Y4" s="114"/>
      <c r="Z4" s="114"/>
      <c r="AA4" s="114"/>
      <c r="AB4" s="114"/>
      <c r="AC4" s="114"/>
      <c r="AD4" s="114"/>
      <c r="AE4" s="114"/>
      <c r="AF4" s="114"/>
      <c r="AG4" s="114"/>
      <c r="AH4" s="114"/>
      <c r="AI4" s="114"/>
      <c r="AJ4" s="114"/>
      <c r="AK4" s="114"/>
    </row>
    <row r="5" spans="1:37" x14ac:dyDescent="0.25">
      <c r="A5" s="115"/>
    </row>
    <row r="6" spans="1:37" ht="45" x14ac:dyDescent="0.25">
      <c r="A6" s="63">
        <f>SUM(A19,A32,A39,A46,A53,A60)</f>
        <v>0</v>
      </c>
      <c r="B6" s="119" t="s">
        <v>126</v>
      </c>
    </row>
    <row r="7" spans="1:37" x14ac:dyDescent="0.25">
      <c r="A7" s="115"/>
    </row>
    <row r="8" spans="1:37" ht="19.5" thickBot="1" x14ac:dyDescent="0.3">
      <c r="A8" s="120"/>
      <c r="B8" s="121" t="s">
        <v>127</v>
      </c>
      <c r="C8" s="121"/>
      <c r="D8" s="121"/>
      <c r="E8" s="121"/>
      <c r="F8" s="121"/>
      <c r="G8" s="121"/>
      <c r="H8" s="121"/>
      <c r="I8" s="121"/>
      <c r="J8" s="114"/>
      <c r="K8" s="114"/>
      <c r="L8" s="114"/>
      <c r="M8" s="114"/>
      <c r="N8" s="114"/>
      <c r="O8" s="114"/>
      <c r="P8" s="114"/>
      <c r="Q8" s="114"/>
      <c r="R8" s="114"/>
      <c r="S8" s="114"/>
      <c r="T8" s="114"/>
      <c r="U8" s="114"/>
      <c r="AA8" s="114"/>
      <c r="AB8" s="114"/>
      <c r="AC8" s="114"/>
      <c r="AD8" s="114"/>
      <c r="AE8" s="114"/>
      <c r="AF8" s="114"/>
      <c r="AG8" s="114"/>
      <c r="AH8" s="114"/>
      <c r="AI8" s="114"/>
      <c r="AJ8" s="114"/>
      <c r="AK8" s="114"/>
    </row>
    <row r="9" spans="1:37" ht="28.5" customHeight="1" outlineLevel="2" x14ac:dyDescent="0.25">
      <c r="A9" s="120"/>
      <c r="B9" s="122"/>
      <c r="C9" s="277" t="s">
        <v>65</v>
      </c>
      <c r="D9" s="277"/>
      <c r="E9" s="277"/>
      <c r="F9" s="277"/>
      <c r="G9" s="277"/>
      <c r="H9" s="277"/>
      <c r="I9" s="277"/>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row>
    <row r="10" spans="1:37" s="124" customFormat="1" ht="41.25" customHeight="1" outlineLevel="2" thickBot="1" x14ac:dyDescent="0.3">
      <c r="A10" s="120"/>
      <c r="B10" s="123"/>
      <c r="C10" s="271" t="s">
        <v>253</v>
      </c>
      <c r="D10" s="271"/>
      <c r="E10" s="271"/>
      <c r="F10" s="271"/>
      <c r="G10" s="271"/>
      <c r="H10" s="271"/>
      <c r="I10" s="271"/>
      <c r="J10" s="114"/>
      <c r="K10" s="114"/>
      <c r="L10" s="114"/>
      <c r="M10" s="114"/>
      <c r="N10" s="114"/>
      <c r="O10" s="114"/>
      <c r="P10" s="114"/>
      <c r="Q10" s="114"/>
      <c r="R10" s="114"/>
      <c r="S10" s="114"/>
      <c r="T10" s="114"/>
      <c r="U10" s="114"/>
      <c r="V10" s="123"/>
      <c r="W10" s="123"/>
      <c r="X10" s="123"/>
      <c r="Y10" s="123"/>
      <c r="Z10" s="123"/>
      <c r="AA10" s="123"/>
      <c r="AB10" s="123"/>
      <c r="AC10" s="123"/>
      <c r="AD10" s="123"/>
      <c r="AE10" s="123"/>
      <c r="AF10" s="123"/>
      <c r="AG10" s="123"/>
      <c r="AH10" s="123"/>
      <c r="AI10" s="123"/>
      <c r="AJ10" s="123"/>
      <c r="AK10" s="123"/>
    </row>
    <row r="11" spans="1:37" s="129" customFormat="1" ht="15.75" outlineLevel="2" thickBot="1" x14ac:dyDescent="0.3">
      <c r="A11" s="125"/>
      <c r="B11" s="114"/>
      <c r="C11" s="128" t="str">
        <f>Output_EB_RIN!N14</f>
        <v>RY22</v>
      </c>
      <c r="D11" s="128" t="str">
        <f>Output_EB_RIN!O14</f>
        <v>RY23</v>
      </c>
      <c r="E11" s="126" t="str">
        <f>Output_EB_RIN!P14</f>
        <v>RY24</v>
      </c>
      <c r="F11" s="126" t="str">
        <f>Output_EB_RIN!Q14</f>
        <v>RY25</v>
      </c>
      <c r="G11" s="126" t="str">
        <f>Output_EB_RIN!R14</f>
        <v>RY26</v>
      </c>
      <c r="H11" s="126" t="str">
        <f>Output_EB_RIN!S14</f>
        <v>RY27</v>
      </c>
      <c r="I11" s="128" t="str">
        <f>Output_EB_RIN!T14</f>
        <v>RY28</v>
      </c>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row>
    <row r="12" spans="1:37" ht="29.25" customHeight="1" outlineLevel="2" thickBot="1" x14ac:dyDescent="0.3">
      <c r="A12" s="120"/>
      <c r="B12" s="130" t="s">
        <v>128</v>
      </c>
      <c r="C12" s="131"/>
      <c r="D12" s="131"/>
      <c r="E12" s="131"/>
      <c r="F12" s="131"/>
      <c r="G12" s="131"/>
      <c r="H12" s="131"/>
      <c r="I12" s="131"/>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row>
    <row r="13" spans="1:37" outlineLevel="2" x14ac:dyDescent="0.25">
      <c r="A13" s="132" t="s">
        <v>129</v>
      </c>
      <c r="B13" s="133" t="s">
        <v>130</v>
      </c>
      <c r="C13" s="134">
        <f>Output_EB_RIN!N16*10^6*Input_Inflation!N$26</f>
        <v>6502538634.5136871</v>
      </c>
      <c r="D13" s="135">
        <f>Output_EB_RIN!O16*10^6*Input_Inflation!O$26</f>
        <v>6852835729.4458628</v>
      </c>
      <c r="E13" s="136">
        <f>Output_EB_RIN!P16*10^6*Input_Inflation!P$26</f>
        <v>6921659249.1572857</v>
      </c>
      <c r="F13" s="134">
        <f>Output_EB_RIN!Q16*10^6*Input_Inflation!Q$26</f>
        <v>7499647773.8193426</v>
      </c>
      <c r="G13" s="134">
        <f>Output_EB_RIN!R16*10^6*Input_Inflation!R$26</f>
        <v>8618377319.1541119</v>
      </c>
      <c r="H13" s="134">
        <f>Output_EB_RIN!S16*10^6*Input_Inflation!S$26</f>
        <v>8559002624.2749596</v>
      </c>
      <c r="I13" s="135">
        <f>Output_EB_RIN!T16*10^6*Input_Inflation!T$26</f>
        <v>8409179174.3247137</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row>
    <row r="14" spans="1:37" outlineLevel="2" x14ac:dyDescent="0.25">
      <c r="A14" s="132" t="s">
        <v>131</v>
      </c>
      <c r="B14" s="138" t="s">
        <v>132</v>
      </c>
      <c r="C14" s="139">
        <f>Output_EB_RIN!N17*10^6*Input_Inflation!N$26</f>
        <v>211332505.62169486</v>
      </c>
      <c r="D14" s="140">
        <f>Output_EB_RIN!O17*10^6*Input_Inflation!O$26</f>
        <v>154188803.91253191</v>
      </c>
      <c r="E14" s="141">
        <f>Output_EB_RIN!P17*10^6*Input_Inflation!P$26</f>
        <v>162655799.57399645</v>
      </c>
      <c r="F14" s="139">
        <f>Output_EB_RIN!Q17*10^6*Input_Inflation!Q$26</f>
        <v>176238263.29249686</v>
      </c>
      <c r="G14" s="139">
        <f>Output_EB_RIN!R17*10^6*Input_Inflation!R$26</f>
        <v>202527891.5670518</v>
      </c>
      <c r="H14" s="139">
        <f>Output_EB_RIN!S17*10^6*Input_Inflation!S$26</f>
        <v>201132613.62539268</v>
      </c>
      <c r="I14" s="140">
        <f>Output_EB_RIN!T17*10^6*Input_Inflation!T$26</f>
        <v>197611831.66121849</v>
      </c>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row>
    <row r="15" spans="1:37" outlineLevel="2" x14ac:dyDescent="0.25">
      <c r="A15" s="132" t="s">
        <v>133</v>
      </c>
      <c r="B15" s="138" t="s">
        <v>134</v>
      </c>
      <c r="C15" s="139">
        <f>Output_EB_RIN!N18*10^6*Input_Inflation!N$26</f>
        <v>-298031001.79017586</v>
      </c>
      <c r="D15" s="140">
        <f>Output_EB_RIN!O18*10^6*Input_Inflation!O$26</f>
        <v>-315905662.22280526</v>
      </c>
      <c r="E15" s="141">
        <f>Output_EB_RIN!P18*10^6*Input_Inflation!P$26</f>
        <v>-308802484.26195139</v>
      </c>
      <c r="F15" s="139">
        <f>Output_EB_RIN!Q18*10^6*Input_Inflation!Q$26</f>
        <v>-338431371.10420614</v>
      </c>
      <c r="G15" s="139">
        <f>Output_EB_RIN!R18*10^6*Input_Inflation!R$26</f>
        <v>-370307850.51435554</v>
      </c>
      <c r="H15" s="139">
        <f>Output_EB_RIN!S18*10^6*Input_Inflation!S$26</f>
        <v>-375909943.16591638</v>
      </c>
      <c r="I15" s="140">
        <f>Output_EB_RIN!T18*10^6*Input_Inflation!T$26</f>
        <v>-382887672.79517961</v>
      </c>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1:37" outlineLevel="2" x14ac:dyDescent="0.25">
      <c r="A16" s="132" t="s">
        <v>135</v>
      </c>
      <c r="B16" s="138" t="s">
        <v>136</v>
      </c>
      <c r="C16" s="139">
        <f>Output_EB_RIN!N19*10^6*Input_Inflation!N$26</f>
        <v>595676184.85475421</v>
      </c>
      <c r="D16" s="140">
        <f>Output_EB_RIN!O19*10^6*Input_Inflation!O$26</f>
        <v>397666162.50343329</v>
      </c>
      <c r="E16" s="141">
        <f>Output_EB_RIN!P19*10^6*Input_Inflation!P$26</f>
        <v>904819549.64233601</v>
      </c>
      <c r="F16" s="139">
        <f>Output_EB_RIN!Q19*10^6*Input_Inflation!Q$26</f>
        <v>1487896621.7133546</v>
      </c>
      <c r="G16" s="139">
        <f>Output_EB_RIN!R19*10^6*Input_Inflation!R$26</f>
        <v>313983954.69337529</v>
      </c>
      <c r="H16" s="139">
        <f>Output_EB_RIN!S19*10^6*Input_Inflation!S$26</f>
        <v>227011788.25132051</v>
      </c>
      <c r="I16" s="140">
        <f>Output_EB_RIN!T19*10^6*Input_Inflation!T$26</f>
        <v>389450517.84864575</v>
      </c>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row>
    <row r="17" spans="1:37" outlineLevel="2" x14ac:dyDescent="0.25">
      <c r="A17" s="132" t="s">
        <v>137</v>
      </c>
      <c r="B17" s="138" t="s">
        <v>138</v>
      </c>
      <c r="C17" s="139">
        <f>Output_EB_RIN!N20*10^6*Input_Inflation!N$26</f>
        <v>-4491789.841567223</v>
      </c>
      <c r="D17" s="140">
        <f>Output_EB_RIN!O20*10^6*Input_Inflation!O$26</f>
        <v>-4469984.9077400006</v>
      </c>
      <c r="E17" s="141">
        <f>Output_EB_RIN!P20*10^6*Input_Inflation!P$26</f>
        <v>-4446076.9998271</v>
      </c>
      <c r="F17" s="139">
        <f>Output_EB_RIN!Q20*10^6*Input_Inflation!Q$26</f>
        <v>-4446076.9998271018</v>
      </c>
      <c r="G17" s="139">
        <f>Output_EB_RIN!R20*10^6*Input_Inflation!R$26</f>
        <v>-4446076.9998271009</v>
      </c>
      <c r="H17" s="139">
        <f>Output_EB_RIN!S20*10^6*Input_Inflation!S$26</f>
        <v>-4446076.9998271009</v>
      </c>
      <c r="I17" s="140">
        <f>Output_EB_RIN!T20*10^6*Input_Inflation!T$26</f>
        <v>-4446076.9998271018</v>
      </c>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row>
    <row r="18" spans="1:37" ht="15.75" outlineLevel="2" thickBot="1" x14ac:dyDescent="0.3">
      <c r="A18" s="132" t="s">
        <v>139</v>
      </c>
      <c r="B18" s="143" t="s">
        <v>140</v>
      </c>
      <c r="C18" s="144">
        <f>Output_EB_RIN!N22*10^6*Input_Inflation!N$26</f>
        <v>7007024533.3583946</v>
      </c>
      <c r="D18" s="145">
        <f>Output_EB_RIN!O22*10^6*Input_Inflation!O$26</f>
        <v>7084315048.7312822</v>
      </c>
      <c r="E18" s="146">
        <f>Output_EB_RIN!P22*10^6*Input_Inflation!P$26</f>
        <v>7675886037.1118393</v>
      </c>
      <c r="F18" s="144">
        <f>Output_EB_RIN!Q22*10^6*Input_Inflation!Q$26</f>
        <v>8820905210.7211647</v>
      </c>
      <c r="G18" s="144">
        <f>Output_EB_RIN!R22*10^6*Input_Inflation!R$26</f>
        <v>8760135237.9003525</v>
      </c>
      <c r="H18" s="144">
        <f>Output_EB_RIN!S22*10^6*Input_Inflation!S$26</f>
        <v>8606791005.9859333</v>
      </c>
      <c r="I18" s="145">
        <f>Output_EB_RIN!T22*10^6*Input_Inflation!T$26</f>
        <v>8608907774.0395699</v>
      </c>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row>
    <row r="19" spans="1:37" x14ac:dyDescent="0.25">
      <c r="A19" s="63">
        <f>IF(SUM(C19:I19)&lt;&gt;0,1,0)</f>
        <v>0</v>
      </c>
      <c r="B19" s="148"/>
      <c r="C19" s="215">
        <f>IF(ROUND(C18-(C31+C38+C45+C52+C59+C66),4)=0,0,1)</f>
        <v>0</v>
      </c>
      <c r="D19" s="215">
        <f t="shared" ref="D19:I19" si="0">IF(ROUND(D18-(D31+D38+D45+D52+D59+D66),4)=0,0,1)</f>
        <v>0</v>
      </c>
      <c r="E19" s="215">
        <f t="shared" si="0"/>
        <v>0</v>
      </c>
      <c r="F19" s="215">
        <f t="shared" si="0"/>
        <v>0</v>
      </c>
      <c r="G19" s="215">
        <f t="shared" si="0"/>
        <v>0</v>
      </c>
      <c r="H19" s="215">
        <f t="shared" si="0"/>
        <v>0</v>
      </c>
      <c r="I19" s="215">
        <f t="shared" si="0"/>
        <v>0</v>
      </c>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row>
    <row r="20" spans="1:37" x14ac:dyDescent="0.25">
      <c r="A20" s="132"/>
      <c r="B20" s="241" t="s">
        <v>206</v>
      </c>
      <c r="C20" s="149"/>
      <c r="D20" s="149"/>
      <c r="E20" s="149"/>
      <c r="F20" s="149"/>
      <c r="G20" s="149"/>
      <c r="H20" s="149"/>
      <c r="I20" s="149"/>
      <c r="J20" s="114"/>
      <c r="K20" s="114"/>
      <c r="L20" s="114"/>
      <c r="M20" s="114"/>
      <c r="N20" s="114"/>
      <c r="O20" s="114"/>
      <c r="P20" s="114"/>
      <c r="Q20" s="114"/>
      <c r="R20" s="114"/>
      <c r="S20" s="114"/>
      <c r="T20" s="114"/>
      <c r="U20" s="114"/>
      <c r="V20" s="114"/>
      <c r="W20" s="114"/>
      <c r="X20" s="114"/>
      <c r="Z20" s="114"/>
      <c r="AA20" s="114"/>
      <c r="AB20" s="114"/>
      <c r="AC20" s="114"/>
      <c r="AD20" s="114"/>
      <c r="AE20" s="114"/>
      <c r="AF20" s="114"/>
      <c r="AG20" s="114"/>
      <c r="AH20" s="114"/>
      <c r="AI20" s="114"/>
      <c r="AJ20" s="114"/>
      <c r="AK20" s="114"/>
    </row>
    <row r="21" spans="1:37" ht="19.5" thickBot="1" x14ac:dyDescent="0.3">
      <c r="A21" s="132"/>
      <c r="B21" s="121" t="s">
        <v>141</v>
      </c>
      <c r="C21" s="121"/>
      <c r="D21" s="121"/>
      <c r="E21" s="121"/>
      <c r="F21" s="121"/>
      <c r="G21" s="121"/>
      <c r="H21" s="121"/>
      <c r="I21" s="121"/>
      <c r="J21" s="114"/>
      <c r="K21" s="114"/>
      <c r="L21" s="114"/>
      <c r="M21" s="114"/>
      <c r="N21" s="114"/>
      <c r="O21" s="114"/>
      <c r="P21" s="114"/>
      <c r="Q21" s="114"/>
      <c r="R21" s="114"/>
      <c r="S21" s="114"/>
      <c r="T21" s="114"/>
      <c r="U21" s="114"/>
      <c r="AA21" s="114"/>
      <c r="AB21" s="114"/>
      <c r="AC21" s="114"/>
      <c r="AD21" s="114"/>
      <c r="AE21" s="114"/>
      <c r="AF21" s="114"/>
      <c r="AG21" s="114"/>
      <c r="AH21" s="114"/>
      <c r="AI21" s="114"/>
      <c r="AJ21" s="114"/>
      <c r="AK21" s="114"/>
    </row>
    <row r="22" spans="1:37" ht="28.5" customHeight="1" outlineLevel="2" x14ac:dyDescent="0.25">
      <c r="A22" s="120"/>
      <c r="B22" s="122"/>
      <c r="C22" s="277" t="str">
        <f>$C$9</f>
        <v>Forecast</v>
      </c>
      <c r="D22" s="277"/>
      <c r="E22" s="277"/>
      <c r="F22" s="277"/>
      <c r="G22" s="277"/>
      <c r="H22" s="277"/>
      <c r="I22" s="277"/>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row>
    <row r="23" spans="1:37" s="124" customFormat="1" ht="41.25" customHeight="1" outlineLevel="2" thickBot="1" x14ac:dyDescent="0.3">
      <c r="A23" s="120"/>
      <c r="B23" s="123"/>
      <c r="C23" s="271" t="str">
        <f>$C$10</f>
        <v>($0's, Real 2023)</v>
      </c>
      <c r="D23" s="271"/>
      <c r="E23" s="271"/>
      <c r="F23" s="271"/>
      <c r="G23" s="271"/>
      <c r="H23" s="271"/>
      <c r="I23" s="271"/>
      <c r="J23" s="114"/>
      <c r="K23" s="114"/>
      <c r="L23" s="114"/>
      <c r="M23" s="114"/>
      <c r="N23" s="114"/>
      <c r="O23" s="114"/>
      <c r="P23" s="114"/>
      <c r="Q23" s="114"/>
      <c r="R23" s="114"/>
      <c r="S23" s="114"/>
      <c r="T23" s="114"/>
      <c r="U23" s="114"/>
      <c r="V23" s="123"/>
      <c r="W23" s="123"/>
      <c r="X23" s="123"/>
      <c r="Y23" s="123"/>
      <c r="Z23" s="123"/>
      <c r="AA23" s="123"/>
      <c r="AB23" s="123"/>
      <c r="AC23" s="123"/>
      <c r="AD23" s="123"/>
      <c r="AE23" s="123"/>
      <c r="AF23" s="123"/>
      <c r="AG23" s="123"/>
      <c r="AH23" s="123"/>
      <c r="AI23" s="123"/>
      <c r="AJ23" s="123"/>
      <c r="AK23" s="123"/>
    </row>
    <row r="24" spans="1:37" s="129" customFormat="1" ht="15.75" outlineLevel="2" thickBot="1" x14ac:dyDescent="0.3">
      <c r="A24" s="125"/>
      <c r="B24" s="150"/>
      <c r="C24" s="128" t="str">
        <f>C$11</f>
        <v>RY22</v>
      </c>
      <c r="D24" s="128" t="str">
        <f t="shared" ref="D24:I24" si="1">D$11</f>
        <v>RY23</v>
      </c>
      <c r="E24" s="126" t="str">
        <f t="shared" si="1"/>
        <v>RY24</v>
      </c>
      <c r="F24" s="126" t="str">
        <f t="shared" si="1"/>
        <v>RY25</v>
      </c>
      <c r="G24" s="126" t="str">
        <f t="shared" si="1"/>
        <v>RY26</v>
      </c>
      <c r="H24" s="126" t="str">
        <f t="shared" si="1"/>
        <v>RY27</v>
      </c>
      <c r="I24" s="128" t="str">
        <f t="shared" si="1"/>
        <v>RY28</v>
      </c>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1:37" ht="23.25" customHeight="1" outlineLevel="1" thickBot="1" x14ac:dyDescent="0.3">
      <c r="A25" s="132"/>
      <c r="B25" s="151" t="str">
        <f>Lookup!$D$126</f>
        <v>Overhead assets</v>
      </c>
      <c r="D25" s="260"/>
      <c r="J25" s="114"/>
      <c r="K25" s="114"/>
      <c r="L25" s="114"/>
      <c r="M25" s="114"/>
      <c r="N25" s="114"/>
      <c r="O25" s="114"/>
      <c r="P25" s="114"/>
      <c r="Q25" s="114"/>
      <c r="R25" s="114"/>
      <c r="S25" s="114"/>
      <c r="T25" s="114"/>
      <c r="U25" s="114"/>
      <c r="AA25" s="114"/>
      <c r="AB25" s="114"/>
      <c r="AC25" s="114"/>
      <c r="AD25" s="114"/>
      <c r="AE25" s="114"/>
      <c r="AF25" s="114"/>
      <c r="AG25" s="114"/>
      <c r="AH25" s="114"/>
      <c r="AI25" s="114"/>
      <c r="AJ25" s="114"/>
      <c r="AK25" s="114"/>
    </row>
    <row r="26" spans="1:37" outlineLevel="2" x14ac:dyDescent="0.25">
      <c r="A26" s="132" t="s">
        <v>142</v>
      </c>
      <c r="B26" s="133" t="s">
        <v>130</v>
      </c>
      <c r="C26" s="134">
        <f>Output_EB_RIN!N32*10^6*Input_Inflation!N$26</f>
        <v>1824255528.8833423</v>
      </c>
      <c r="D26" s="135">
        <f>Output_EB_RIN!O32*10^6*Input_Inflation!O$26</f>
        <v>1894018586.5542235</v>
      </c>
      <c r="E26" s="136">
        <f>Output_EB_RIN!P32*10^6*Input_Inflation!P$26</f>
        <v>2019587976.0131218</v>
      </c>
      <c r="F26" s="134">
        <f>Output_EB_RIN!Q32*10^6*Input_Inflation!Q$26</f>
        <v>2355395069.2092905</v>
      </c>
      <c r="G26" s="134">
        <f>Output_EB_RIN!R32*10^6*Input_Inflation!R$26</f>
        <v>3123948587.632349</v>
      </c>
      <c r="H26" s="134">
        <f>Output_EB_RIN!S32*10^6*Input_Inflation!S$26</f>
        <v>3065259483.5528774</v>
      </c>
      <c r="I26" s="135">
        <f>Output_EB_RIN!T32*10^6*Input_Inflation!T$26</f>
        <v>2985313017.3068328</v>
      </c>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row>
    <row r="27" spans="1:37" outlineLevel="2" x14ac:dyDescent="0.25">
      <c r="A27" s="132" t="s">
        <v>143</v>
      </c>
      <c r="B27" s="138" t="s">
        <v>132</v>
      </c>
      <c r="C27" s="139">
        <f>Output_EB_RIN!N33*10^6*Input_Inflation!N$26</f>
        <v>59288304.688708626</v>
      </c>
      <c r="D27" s="140">
        <f>Output_EB_RIN!O33*10^6*Input_Inflation!O$26</f>
        <v>42615418.197470024</v>
      </c>
      <c r="E27" s="141">
        <f>Output_EB_RIN!P33*10^6*Input_Inflation!P$26</f>
        <v>47459385.852956899</v>
      </c>
      <c r="F27" s="139">
        <f>Output_EB_RIN!Q33*10^6*Input_Inflation!Q$26</f>
        <v>55350697.643997826</v>
      </c>
      <c r="G27" s="139">
        <f>Output_EB_RIN!R33*10^6*Input_Inflation!R$26</f>
        <v>73411350.813211665</v>
      </c>
      <c r="H27" s="139">
        <f>Output_EB_RIN!S33*10^6*Input_Inflation!S$26</f>
        <v>72032183.939099759</v>
      </c>
      <c r="I27" s="140">
        <f>Output_EB_RIN!T33*10^6*Input_Inflation!T$26</f>
        <v>70153478.859541103</v>
      </c>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row>
    <row r="28" spans="1:37" outlineLevel="2" x14ac:dyDescent="0.25">
      <c r="A28" s="132" t="s">
        <v>144</v>
      </c>
      <c r="B28" s="138" t="s">
        <v>134</v>
      </c>
      <c r="C28" s="139">
        <f>Output_EB_RIN!N34*10^6*Input_Inflation!N$26</f>
        <v>-91303361.247512653</v>
      </c>
      <c r="D28" s="140">
        <f>Output_EB_RIN!O34*10^6*Input_Inflation!O$26</f>
        <v>-94617054.432450205</v>
      </c>
      <c r="E28" s="141">
        <f>Output_EB_RIN!P34*10^6*Input_Inflation!P$26</f>
        <v>-104949612.56210099</v>
      </c>
      <c r="F28" s="139">
        <f>Output_EB_RIN!Q34*10^6*Input_Inflation!Q$26</f>
        <v>-113974191.87507796</v>
      </c>
      <c r="G28" s="139">
        <f>Output_EB_RIN!R34*10^6*Input_Inflation!R$26</f>
        <v>-132032457.8526379</v>
      </c>
      <c r="H28" s="139">
        <f>Output_EB_RIN!S34*10^6*Input_Inflation!S$26</f>
        <v>-133475450.26294649</v>
      </c>
      <c r="I28" s="140">
        <f>Output_EB_RIN!T34*10^6*Input_Inflation!T$26</f>
        <v>-134508455.84169331</v>
      </c>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37" outlineLevel="2" x14ac:dyDescent="0.25">
      <c r="A29" s="132" t="s">
        <v>145</v>
      </c>
      <c r="B29" s="138" t="s">
        <v>136</v>
      </c>
      <c r="C29" s="139">
        <f>Output_EB_RIN!N35*10^6*Input_Inflation!N$26</f>
        <v>144393532.42715505</v>
      </c>
      <c r="D29" s="140">
        <f>Output_EB_RIN!O35*10^6*Input_Inflation!O$26</f>
        <v>225030411.54683557</v>
      </c>
      <c r="E29" s="141">
        <f>Output_EB_RIN!P35*10^6*Input_Inflation!P$26</f>
        <v>448648017.54931039</v>
      </c>
      <c r="F29" s="139">
        <f>Output_EB_RIN!Q35*10^6*Input_Inflation!Q$26</f>
        <v>900588363.46735013</v>
      </c>
      <c r="G29" s="139">
        <f>Output_EB_RIN!R35*10^6*Input_Inflation!R$26</f>
        <v>71964186.899054945</v>
      </c>
      <c r="H29" s="139">
        <f>Output_EB_RIN!S35*10^6*Input_Inflation!S$26</f>
        <v>51650278.937343061</v>
      </c>
      <c r="I29" s="140">
        <f>Output_EB_RIN!T35*10^6*Input_Inflation!T$26</f>
        <v>92553602.507665217</v>
      </c>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row>
    <row r="30" spans="1:37" outlineLevel="2" x14ac:dyDescent="0.25">
      <c r="A30" s="132" t="s">
        <v>146</v>
      </c>
      <c r="B30" s="138" t="s">
        <v>138</v>
      </c>
      <c r="C30" s="139">
        <f>Output_EB_RIN!N36*10^6*Input_Inflation!N$26</f>
        <v>0</v>
      </c>
      <c r="D30" s="140">
        <f>Output_EB_RIN!O36*10^6*Input_Inflation!O$26</f>
        <v>0</v>
      </c>
      <c r="E30" s="141">
        <f>Output_EB_RIN!P36*10^6*Input_Inflation!P$26</f>
        <v>0</v>
      </c>
      <c r="F30" s="139">
        <f>Output_EB_RIN!Q36*10^6*Input_Inflation!Q$26</f>
        <v>0</v>
      </c>
      <c r="G30" s="139">
        <f>Output_EB_RIN!R36*10^6*Input_Inflation!R$26</f>
        <v>0</v>
      </c>
      <c r="H30" s="139">
        <f>Output_EB_RIN!S36*10^6*Input_Inflation!S$26</f>
        <v>0</v>
      </c>
      <c r="I30" s="140">
        <f>Output_EB_RIN!T36*10^6*Input_Inflation!T$26</f>
        <v>0</v>
      </c>
      <c r="J30" s="114"/>
      <c r="K30" s="114"/>
      <c r="L30" s="114"/>
      <c r="M30" s="114"/>
      <c r="N30" s="114"/>
      <c r="O30" s="114"/>
      <c r="P30" s="114"/>
      <c r="Q30" s="114"/>
      <c r="R30" s="114"/>
      <c r="S30" s="114"/>
      <c r="T30" s="114"/>
      <c r="U30" s="114"/>
      <c r="V30" s="114"/>
      <c r="W30" s="114"/>
      <c r="X30" s="114"/>
      <c r="Y30" s="114"/>
      <c r="Z30" s="114"/>
      <c r="AA30" s="152"/>
      <c r="AB30" s="152"/>
      <c r="AC30" s="114"/>
      <c r="AD30" s="114"/>
      <c r="AE30" s="114"/>
      <c r="AF30" s="114"/>
      <c r="AG30" s="114"/>
      <c r="AH30" s="114"/>
      <c r="AI30" s="114"/>
      <c r="AJ30" s="114"/>
      <c r="AK30" s="114"/>
    </row>
    <row r="31" spans="1:37" ht="15.75" outlineLevel="2" thickBot="1" x14ac:dyDescent="0.3">
      <c r="A31" s="132" t="s">
        <v>147</v>
      </c>
      <c r="B31" s="143" t="s">
        <v>140</v>
      </c>
      <c r="C31" s="144">
        <f t="shared" ref="C31:I31" si="2">SUM(C26:C30)</f>
        <v>1936634004.7516932</v>
      </c>
      <c r="D31" s="145">
        <f t="shared" si="2"/>
        <v>2067047361.8660789</v>
      </c>
      <c r="E31" s="146">
        <f t="shared" si="2"/>
        <v>2410745766.8532882</v>
      </c>
      <c r="F31" s="144">
        <f t="shared" si="2"/>
        <v>3197359938.4455605</v>
      </c>
      <c r="G31" s="144">
        <f t="shared" si="2"/>
        <v>3137291667.4919777</v>
      </c>
      <c r="H31" s="144">
        <f t="shared" si="2"/>
        <v>3055466496.1663737</v>
      </c>
      <c r="I31" s="145">
        <f t="shared" si="2"/>
        <v>3013511642.8323455</v>
      </c>
      <c r="J31" s="114"/>
      <c r="K31" s="114"/>
      <c r="L31" s="114"/>
      <c r="M31" s="114"/>
      <c r="N31" s="114"/>
      <c r="O31" s="114"/>
      <c r="P31" s="114"/>
      <c r="Q31" s="114"/>
      <c r="R31" s="114"/>
      <c r="S31" s="114"/>
      <c r="T31" s="114"/>
      <c r="U31" s="114"/>
      <c r="V31" s="114"/>
      <c r="W31" s="114"/>
      <c r="X31" s="114"/>
      <c r="Y31" s="114"/>
      <c r="Z31" s="114"/>
      <c r="AA31" s="152"/>
      <c r="AB31" s="152"/>
      <c r="AC31" s="114"/>
      <c r="AD31" s="114"/>
      <c r="AE31" s="114"/>
      <c r="AF31" s="114"/>
      <c r="AG31" s="114"/>
      <c r="AH31" s="114"/>
      <c r="AI31" s="114"/>
      <c r="AJ31" s="114"/>
      <c r="AK31" s="114"/>
    </row>
    <row r="32" spans="1:37" ht="20.25" customHeight="1" outlineLevel="1" thickBot="1" x14ac:dyDescent="0.3">
      <c r="A32" s="63">
        <f>IF(SUM(C32:I32)&lt;&gt;0,1,0)</f>
        <v>0</v>
      </c>
      <c r="B32" s="151" t="str">
        <f>Lookup!$D$127</f>
        <v>Underground assets</v>
      </c>
      <c r="C32" s="215">
        <f>IF(ROUND(C31-(Output_EB_RIN!N38*10^6*Input_Inflation!N$26),4)=0,0,1)</f>
        <v>0</v>
      </c>
      <c r="D32" s="215">
        <f>IF(ROUND(D31-(Output_EB_RIN!O38*10^6*Input_Inflation!O$26),4)=0,0,1)</f>
        <v>0</v>
      </c>
      <c r="E32" s="215">
        <f>IF(ROUND(E31-(Output_EB_RIN!P38*10^6*Input_Inflation!P$26),4)=0,0,1)</f>
        <v>0</v>
      </c>
      <c r="F32" s="215">
        <f>IF(ROUND(F31-(Output_EB_RIN!Q38*10^6*Input_Inflation!Q$26),4)=0,0,1)</f>
        <v>0</v>
      </c>
      <c r="G32" s="215">
        <f>IF(ROUND(G31-(Output_EB_RIN!R38*10^6*Input_Inflation!R$26),4)=0,0,1)</f>
        <v>0</v>
      </c>
      <c r="H32" s="215">
        <f>IF(ROUND(H31-(Output_EB_RIN!S38*10^6*Input_Inflation!S$26),4)=0,0,1)</f>
        <v>0</v>
      </c>
      <c r="I32" s="215">
        <f>IF(ROUND(I31-(Output_EB_RIN!T38*10^6*Input_Inflation!T$26),4)=0,0,1)</f>
        <v>0</v>
      </c>
      <c r="J32" s="114"/>
      <c r="K32" s="114"/>
      <c r="L32" s="114"/>
      <c r="M32" s="114"/>
      <c r="N32" s="114"/>
      <c r="O32" s="114"/>
      <c r="P32" s="114"/>
      <c r="Q32" s="114"/>
      <c r="R32" s="114"/>
      <c r="S32" s="114"/>
      <c r="T32" s="114"/>
      <c r="U32" s="114"/>
      <c r="V32" s="153"/>
      <c r="W32" s="153"/>
      <c r="X32" s="153"/>
      <c r="Y32" s="153"/>
      <c r="Z32" s="153"/>
      <c r="AA32" s="153"/>
      <c r="AB32" s="152"/>
      <c r="AC32" s="114"/>
      <c r="AD32" s="114"/>
      <c r="AE32" s="114"/>
      <c r="AF32" s="114"/>
      <c r="AG32" s="114"/>
      <c r="AH32" s="114"/>
      <c r="AI32" s="114"/>
      <c r="AJ32" s="114"/>
      <c r="AK32" s="114"/>
    </row>
    <row r="33" spans="1:37" outlineLevel="2" x14ac:dyDescent="0.25">
      <c r="A33" s="132" t="s">
        <v>148</v>
      </c>
      <c r="B33" s="133" t="s">
        <v>130</v>
      </c>
      <c r="C33" s="134">
        <f>Output_EB_RIN!N46*10^6*Input_Inflation!N$26</f>
        <v>190493174.08954048</v>
      </c>
      <c r="D33" s="135">
        <f>Output_EB_RIN!O46*10^6*Input_Inflation!O$26</f>
        <v>185289937.01407683</v>
      </c>
      <c r="E33" s="136">
        <f>Output_EB_RIN!P46*10^6*Input_Inflation!P$26</f>
        <v>182436439.61511558</v>
      </c>
      <c r="F33" s="134">
        <f>Output_EB_RIN!Q46*10^6*Input_Inflation!Q$26</f>
        <v>174173956.2012032</v>
      </c>
      <c r="G33" s="134">
        <f>Output_EB_RIN!R46*10^6*Input_Inflation!R$26</f>
        <v>165911472.78729081</v>
      </c>
      <c r="H33" s="134">
        <f>Output_EB_RIN!S46*10^6*Input_Inflation!S$26</f>
        <v>161569202.20862159</v>
      </c>
      <c r="I33" s="135">
        <f>Output_EB_RIN!T46*10^6*Input_Inflation!T$26</f>
        <v>153219602.95392597</v>
      </c>
      <c r="J33" s="114"/>
      <c r="K33" s="114"/>
      <c r="L33" s="114"/>
      <c r="M33" s="114"/>
      <c r="N33" s="114"/>
      <c r="O33" s="114"/>
      <c r="P33" s="114"/>
      <c r="Q33" s="114"/>
      <c r="R33" s="114"/>
      <c r="S33" s="114"/>
      <c r="T33" s="114"/>
      <c r="U33" s="114"/>
      <c r="V33" s="114"/>
      <c r="W33" s="114"/>
      <c r="X33" s="114"/>
      <c r="Y33" s="114"/>
      <c r="Z33" s="114"/>
      <c r="AA33" s="152"/>
      <c r="AB33" s="152"/>
      <c r="AC33" s="114"/>
      <c r="AD33" s="114"/>
      <c r="AE33" s="114"/>
      <c r="AF33" s="114"/>
      <c r="AG33" s="114"/>
      <c r="AH33" s="114"/>
      <c r="AI33" s="114"/>
      <c r="AJ33" s="114"/>
      <c r="AK33" s="114"/>
    </row>
    <row r="34" spans="1:37" outlineLevel="2" x14ac:dyDescent="0.25">
      <c r="A34" s="132" t="s">
        <v>149</v>
      </c>
      <c r="B34" s="138" t="s">
        <v>132</v>
      </c>
      <c r="C34" s="139">
        <f>Output_EB_RIN!N47*10^6*Input_Inflation!N$26</f>
        <v>6191028.1579100657</v>
      </c>
      <c r="D34" s="140">
        <f>Output_EB_RIN!O47*10^6*Input_Inflation!O$26</f>
        <v>4169023.5828167284</v>
      </c>
      <c r="E34" s="141">
        <f>Output_EB_RIN!P47*10^6*Input_Inflation!P$26</f>
        <v>4287172.1777755274</v>
      </c>
      <c r="F34" s="139">
        <f>Output_EB_RIN!Q47*10^6*Input_Inflation!Q$26</f>
        <v>4093007.6288170642</v>
      </c>
      <c r="G34" s="139">
        <f>Output_EB_RIN!R47*10^6*Input_Inflation!R$26</f>
        <v>3898843.0798585992</v>
      </c>
      <c r="H34" s="139">
        <f>Output_EB_RIN!S47*10^6*Input_Inflation!S$26</f>
        <v>3796801.724236236</v>
      </c>
      <c r="I34" s="140">
        <f>Output_EB_RIN!T47*10^6*Input_Inflation!T$26</f>
        <v>3600589.9932036367</v>
      </c>
      <c r="J34" s="114"/>
      <c r="K34" s="114"/>
      <c r="L34" s="114"/>
      <c r="M34" s="114"/>
      <c r="N34" s="114"/>
      <c r="O34" s="114"/>
      <c r="P34" s="114"/>
      <c r="Q34" s="114"/>
      <c r="R34" s="114"/>
      <c r="S34" s="114"/>
      <c r="T34" s="114"/>
      <c r="U34" s="114"/>
      <c r="V34" s="114"/>
      <c r="W34" s="114"/>
      <c r="X34" s="114"/>
      <c r="Y34" s="114"/>
      <c r="Z34" s="114"/>
      <c r="AA34" s="152"/>
      <c r="AB34" s="152"/>
      <c r="AC34" s="114"/>
      <c r="AD34" s="114"/>
      <c r="AE34" s="114"/>
      <c r="AF34" s="114"/>
      <c r="AG34" s="114"/>
      <c r="AH34" s="114"/>
      <c r="AI34" s="114"/>
      <c r="AJ34" s="114"/>
      <c r="AK34" s="114"/>
    </row>
    <row r="35" spans="1:37" outlineLevel="2" x14ac:dyDescent="0.25">
      <c r="A35" s="132" t="s">
        <v>150</v>
      </c>
      <c r="B35" s="138" t="s">
        <v>134</v>
      </c>
      <c r="C35" s="139">
        <f>Output_EB_RIN!N48*10^6*Input_Inflation!N$26</f>
        <v>-8201710.4064072454</v>
      </c>
      <c r="D35" s="140">
        <f>Output_EB_RIN!O48*10^6*Input_Inflation!O$26</f>
        <v>-8286986.6675790595</v>
      </c>
      <c r="E35" s="141">
        <f>Output_EB_RIN!P48*10^6*Input_Inflation!P$26</f>
        <v>-8456647.9628708642</v>
      </c>
      <c r="F35" s="139">
        <f>Output_EB_RIN!Q48*10^6*Input_Inflation!Q$26</f>
        <v>-8456647.9628708623</v>
      </c>
      <c r="G35" s="139">
        <f>Output_EB_RIN!R48*10^6*Input_Inflation!R$26</f>
        <v>-8456647.9628708605</v>
      </c>
      <c r="H35" s="139">
        <f>Output_EB_RIN!S48*10^6*Input_Inflation!S$26</f>
        <v>-8545810.98572818</v>
      </c>
      <c r="I35" s="140">
        <f>Output_EB_RIN!T48*10^6*Input_Inflation!T$26</f>
        <v>-8545810.9857281782</v>
      </c>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outlineLevel="2" x14ac:dyDescent="0.25">
      <c r="A36" s="132" t="s">
        <v>151</v>
      </c>
      <c r="B36" s="138" t="s">
        <v>136</v>
      </c>
      <c r="C36" s="139">
        <f>Output_EB_RIN!N49*10^6*Input_Inflation!N$26</f>
        <v>976468.75585023337</v>
      </c>
      <c r="D36" s="140">
        <f>Output_EB_RIN!O49*10^6*Input_Inflation!O$26</f>
        <v>5551637.8635766469</v>
      </c>
      <c r="E36" s="141">
        <f>Output_EB_RIN!P49*10^6*Input_Inflation!P$26</f>
        <v>0</v>
      </c>
      <c r="F36" s="139">
        <f>Output_EB_RIN!Q49*10^6*Input_Inflation!Q$26</f>
        <v>0</v>
      </c>
      <c r="G36" s="139">
        <f>Output_EB_RIN!R49*10^6*Input_Inflation!R$26</f>
        <v>4012336.0285792719</v>
      </c>
      <c r="H36" s="139">
        <f>Output_EB_RIN!S49*10^6*Input_Inflation!S$26</f>
        <v>0</v>
      </c>
      <c r="I36" s="140">
        <f>Output_EB_RIN!T49*10^6*Input_Inflation!T$26</f>
        <v>3357105.7836322729</v>
      </c>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1:37" outlineLevel="2" x14ac:dyDescent="0.25">
      <c r="A37" s="132" t="s">
        <v>152</v>
      </c>
      <c r="B37" s="138" t="s">
        <v>138</v>
      </c>
      <c r="C37" s="139">
        <f>Output_EB_RIN!N50*10^6*Input_Inflation!N$26</f>
        <v>0</v>
      </c>
      <c r="D37" s="140">
        <f>Output_EB_RIN!O50*10^6*Input_Inflation!O$26</f>
        <v>0</v>
      </c>
      <c r="E37" s="141">
        <f>Output_EB_RIN!P50*10^6*Input_Inflation!P$26</f>
        <v>0</v>
      </c>
      <c r="F37" s="139">
        <f>Output_EB_RIN!Q50*10^6*Input_Inflation!Q$26</f>
        <v>0</v>
      </c>
      <c r="G37" s="139">
        <f>Output_EB_RIN!R50*10^6*Input_Inflation!R$26</f>
        <v>0</v>
      </c>
      <c r="H37" s="139">
        <f>Output_EB_RIN!S50*10^6*Input_Inflation!S$26</f>
        <v>0</v>
      </c>
      <c r="I37" s="140">
        <f>Output_EB_RIN!T50*10^6*Input_Inflation!T$26</f>
        <v>0</v>
      </c>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row>
    <row r="38" spans="1:37" ht="15.75" outlineLevel="2" thickBot="1" x14ac:dyDescent="0.3">
      <c r="A38" s="132" t="s">
        <v>153</v>
      </c>
      <c r="B38" s="143" t="s">
        <v>140</v>
      </c>
      <c r="C38" s="144">
        <f t="shared" ref="C38" si="3">SUM(C33:C37)</f>
        <v>189458960.59689355</v>
      </c>
      <c r="D38" s="145">
        <f t="shared" ref="D38:I38" si="4">SUM(D33:D37)</f>
        <v>186723611.79289114</v>
      </c>
      <c r="E38" s="146">
        <f t="shared" si="4"/>
        <v>178266963.83002025</v>
      </c>
      <c r="F38" s="144">
        <f t="shared" si="4"/>
        <v>169810315.86714938</v>
      </c>
      <c r="G38" s="144">
        <f t="shared" si="4"/>
        <v>165366003.93285781</v>
      </c>
      <c r="H38" s="144">
        <f t="shared" si="4"/>
        <v>156820192.94712967</v>
      </c>
      <c r="I38" s="145">
        <f t="shared" si="4"/>
        <v>151631487.74503371</v>
      </c>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row>
    <row r="39" spans="1:37" ht="20.25" customHeight="1" outlineLevel="1" thickBot="1" x14ac:dyDescent="0.3">
      <c r="A39" s="63">
        <f>IF(SUM(C39:I39)&lt;&gt;0,1,0)</f>
        <v>0</v>
      </c>
      <c r="B39" s="151" t="str">
        <f>Lookup!$D$128</f>
        <v>Switchyards, substations</v>
      </c>
      <c r="C39" s="215">
        <f>IF(ROUND(C38-(Output_EB_RIN!N52*10^6*Input_Inflation!N$26),4)=0,0,1)</f>
        <v>0</v>
      </c>
      <c r="D39" s="215">
        <f>IF(ROUND(D38-(Output_EB_RIN!O52*10^6*Input_Inflation!O$26),4)=0,0,1)</f>
        <v>0</v>
      </c>
      <c r="E39" s="215">
        <f>IF(ROUND(E38-(Output_EB_RIN!P52*10^6*Input_Inflation!P$26),4)=0,0,1)</f>
        <v>0</v>
      </c>
      <c r="F39" s="215">
        <f>IF(ROUND(F38-(Output_EB_RIN!Q52*10^6*Input_Inflation!Q$26),4)=0,0,1)</f>
        <v>0</v>
      </c>
      <c r="G39" s="215">
        <f>IF(ROUND(G38-(Output_EB_RIN!R52*10^6*Input_Inflation!R$26),4)=0,0,1)</f>
        <v>0</v>
      </c>
      <c r="H39" s="215">
        <f>IF(ROUND(H38-(Output_EB_RIN!S52*10^6*Input_Inflation!S$26),4)=0,0,1)</f>
        <v>0</v>
      </c>
      <c r="I39" s="215">
        <f>IF(ROUND(I38-(Output_EB_RIN!T52*10^6*Input_Inflation!T$26),4)=0,0,1)</f>
        <v>0</v>
      </c>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row>
    <row r="40" spans="1:37" outlineLevel="2" x14ac:dyDescent="0.25">
      <c r="A40" s="132" t="s">
        <v>154</v>
      </c>
      <c r="B40" s="133" t="s">
        <v>130</v>
      </c>
      <c r="C40" s="134">
        <f>Output_EB_RIN!N60*10^6*Input_Inflation!N$26</f>
        <v>3050069483.3125343</v>
      </c>
      <c r="D40" s="135">
        <f>Output_EB_RIN!O60*10^6*Input_Inflation!O$26</f>
        <v>3240156008.2789865</v>
      </c>
      <c r="E40" s="136">
        <f>Output_EB_RIN!P60*10^6*Input_Inflation!P$26</f>
        <v>3303824734.2386427</v>
      </c>
      <c r="F40" s="134">
        <f>Output_EB_RIN!Q60*10^6*Input_Inflation!Q$26</f>
        <v>3387226713.1911154</v>
      </c>
      <c r="G40" s="134">
        <f>Output_EB_RIN!R60*10^6*Input_Inflation!R$26</f>
        <v>3439922877.6401019</v>
      </c>
      <c r="H40" s="134">
        <f>Output_EB_RIN!S60*10^6*Input_Inflation!S$26</f>
        <v>3421333547.5676556</v>
      </c>
      <c r="I40" s="135">
        <f>Output_EB_RIN!T60*10^6*Input_Inflation!T$26</f>
        <v>3334979904.0036511</v>
      </c>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row>
    <row r="41" spans="1:37" outlineLevel="2" x14ac:dyDescent="0.25">
      <c r="A41" s="132" t="s">
        <v>155</v>
      </c>
      <c r="B41" s="138" t="s">
        <v>132</v>
      </c>
      <c r="C41" s="139">
        <f>Output_EB_RIN!N61*10^6*Input_Inflation!N$26</f>
        <v>99127258.207657367</v>
      </c>
      <c r="D41" s="140">
        <f>Output_EB_RIN!O61*10^6*Input_Inflation!O$26</f>
        <v>72903510.186277196</v>
      </c>
      <c r="E41" s="141">
        <f>Output_EB_RIN!P61*10^6*Input_Inflation!P$26</f>
        <v>77638357.286276385</v>
      </c>
      <c r="F41" s="139">
        <f>Output_EB_RIN!Q61*10^6*Input_Inflation!Q$26</f>
        <v>79598265.320498049</v>
      </c>
      <c r="G41" s="139">
        <f>Output_EB_RIN!R61*10^6*Input_Inflation!R$26</f>
        <v>80836600.87768057</v>
      </c>
      <c r="H41" s="139">
        <f>Output_EB_RIN!S61*10^6*Input_Inflation!S$26</f>
        <v>80399760.195752054</v>
      </c>
      <c r="I41" s="140">
        <f>Output_EB_RIN!T61*10^6*Input_Inflation!T$26</f>
        <v>78370489.404685423</v>
      </c>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row>
    <row r="42" spans="1:37" outlineLevel="2" x14ac:dyDescent="0.25">
      <c r="A42" s="132" t="s">
        <v>156</v>
      </c>
      <c r="B42" s="138" t="s">
        <v>134</v>
      </c>
      <c r="C42" s="139">
        <f>Output_EB_RIN!N62*10^6*Input_Inflation!N$26</f>
        <v>-134126439.3357915</v>
      </c>
      <c r="D42" s="140">
        <f>Output_EB_RIN!O62*10^6*Input_Inflation!O$26</f>
        <v>-142779420.11023074</v>
      </c>
      <c r="E42" s="141">
        <f>Output_EB_RIN!P62*10^6*Input_Inflation!P$26</f>
        <v>-149307540.46919018</v>
      </c>
      <c r="F42" s="139">
        <f>Output_EB_RIN!Q62*10^6*Input_Inflation!Q$26</f>
        <v>-155174276.15558732</v>
      </c>
      <c r="G42" s="139">
        <f>Output_EB_RIN!R62*10^6*Input_Inflation!R$26</f>
        <v>-160401995.55963126</v>
      </c>
      <c r="H42" s="139">
        <f>Output_EB_RIN!S62*10^6*Input_Inflation!S$26</f>
        <v>-163936391.17976266</v>
      </c>
      <c r="I42" s="140">
        <f>Output_EB_RIN!T62*10^6*Input_Inflation!T$26</f>
        <v>-165825228.10037994</v>
      </c>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row>
    <row r="43" spans="1:37" outlineLevel="2" x14ac:dyDescent="0.25">
      <c r="A43" s="132" t="s">
        <v>157</v>
      </c>
      <c r="B43" s="138" t="s">
        <v>136</v>
      </c>
      <c r="C43" s="139">
        <f>Output_EB_RIN!N63*10^6*Input_Inflation!N$26</f>
        <v>297989216.2808634</v>
      </c>
      <c r="D43" s="140">
        <f>Output_EB_RIN!O63*10^6*Input_Inflation!O$26</f>
        <v>211182993.16988599</v>
      </c>
      <c r="E43" s="141">
        <f>Output_EB_RIN!P63*10^6*Input_Inflation!P$26</f>
        <v>234669427.45588455</v>
      </c>
      <c r="F43" s="139">
        <f>Output_EB_RIN!Q63*10^6*Input_Inflation!Q$26</f>
        <v>209108776.16175616</v>
      </c>
      <c r="G43" s="139">
        <f>Output_EB_RIN!R63*10^6*Input_Inflation!R$26</f>
        <v>141375824.80525652</v>
      </c>
      <c r="H43" s="139">
        <f>Output_EB_RIN!S63*10^6*Input_Inflation!S$26</f>
        <v>75553476.824691862</v>
      </c>
      <c r="I43" s="140">
        <f>Output_EB_RIN!T63*10^6*Input_Inflation!T$26</f>
        <v>124188898.79690504</v>
      </c>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row>
    <row r="44" spans="1:37" outlineLevel="2" x14ac:dyDescent="0.25">
      <c r="A44" s="132" t="s">
        <v>158</v>
      </c>
      <c r="B44" s="138" t="s">
        <v>138</v>
      </c>
      <c r="C44" s="139">
        <f>Output_EB_RIN!N64*10^6*Input_Inflation!N$26</f>
        <v>0</v>
      </c>
      <c r="D44" s="140">
        <f>Output_EB_RIN!O64*10^6*Input_Inflation!O$26</f>
        <v>0</v>
      </c>
      <c r="E44" s="141">
        <f>Output_EB_RIN!P64*10^6*Input_Inflation!P$26</f>
        <v>0</v>
      </c>
      <c r="F44" s="139">
        <f>Output_EB_RIN!Q64*10^6*Input_Inflation!Q$26</f>
        <v>0</v>
      </c>
      <c r="G44" s="139">
        <f>Output_EB_RIN!R64*10^6*Input_Inflation!R$26</f>
        <v>0</v>
      </c>
      <c r="H44" s="139">
        <f>Output_EB_RIN!S64*10^6*Input_Inflation!S$26</f>
        <v>0</v>
      </c>
      <c r="I44" s="140">
        <f>Output_EB_RIN!T64*10^6*Input_Inflation!T$26</f>
        <v>0</v>
      </c>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row>
    <row r="45" spans="1:37" ht="15.75" outlineLevel="2" thickBot="1" x14ac:dyDescent="0.3">
      <c r="A45" s="132" t="s">
        <v>159</v>
      </c>
      <c r="B45" s="143" t="s">
        <v>140</v>
      </c>
      <c r="C45" s="144">
        <f t="shared" ref="C45" si="5">SUM(C40:C44)</f>
        <v>3313059518.4652634</v>
      </c>
      <c r="D45" s="145">
        <f t="shared" ref="D45:I45" si="6">SUM(D40:D44)</f>
        <v>3381463091.524919</v>
      </c>
      <c r="E45" s="146">
        <f t="shared" si="6"/>
        <v>3466824978.5116134</v>
      </c>
      <c r="F45" s="144">
        <f t="shared" si="6"/>
        <v>3520759478.5177822</v>
      </c>
      <c r="G45" s="144">
        <f t="shared" si="6"/>
        <v>3501733307.7634077</v>
      </c>
      <c r="H45" s="144">
        <f t="shared" si="6"/>
        <v>3413350393.4083366</v>
      </c>
      <c r="I45" s="145">
        <f t="shared" si="6"/>
        <v>3371714064.1048617</v>
      </c>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1:37" ht="20.25" customHeight="1" outlineLevel="1" thickBot="1" x14ac:dyDescent="0.3">
      <c r="A46" s="63">
        <f>IF(SUM(C46:I46)&lt;&gt;0,1,0)</f>
        <v>0</v>
      </c>
      <c r="B46" s="151" t="str">
        <f>Lookup!$D$129</f>
        <v>Easements</v>
      </c>
      <c r="C46" s="215">
        <f>IF(ROUND(C45-(Output_EB_RIN!N66*10^6*Input_Inflation!N$26),4)=0,0,1)</f>
        <v>0</v>
      </c>
      <c r="D46" s="215">
        <f>IF(ROUND(D45-(Output_EB_RIN!O66*10^6*Input_Inflation!O$26),4)=0,0,1)</f>
        <v>0</v>
      </c>
      <c r="E46" s="215">
        <f>IF(ROUND(E45-(Output_EB_RIN!P66*10^6*Input_Inflation!P$26),4)=0,0,1)</f>
        <v>0</v>
      </c>
      <c r="F46" s="215">
        <f>IF(ROUND(F45-(Output_EB_RIN!Q66*10^6*Input_Inflation!Q$26),4)=0,0,1)</f>
        <v>0</v>
      </c>
      <c r="G46" s="215">
        <f>IF(ROUND(G45-(Output_EB_RIN!R66*10^6*Input_Inflation!R$26),4)=0,0,1)</f>
        <v>0</v>
      </c>
      <c r="H46" s="215">
        <f>IF(ROUND(H45-(Output_EB_RIN!S66*10^6*Input_Inflation!S$26),4)=0,0,1)</f>
        <v>0</v>
      </c>
      <c r="I46" s="215">
        <f>IF(ROUND(I45-(Output_EB_RIN!T66*10^6*Input_Inflation!T$26),4)=0,0,1)</f>
        <v>0</v>
      </c>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row>
    <row r="47" spans="1:37" outlineLevel="2" x14ac:dyDescent="0.25">
      <c r="A47" s="132" t="s">
        <v>160</v>
      </c>
      <c r="B47" s="133" t="s">
        <v>130</v>
      </c>
      <c r="C47" s="134">
        <f>Output_EB_RIN!N74*10^6*Input_Inflation!N$26</f>
        <v>953536574.10415399</v>
      </c>
      <c r="D47" s="135">
        <f>Output_EB_RIN!O74*10^6*Input_Inflation!O$26</f>
        <v>962597862.5826838</v>
      </c>
      <c r="E47" s="136">
        <f>Output_EB_RIN!P74*10^6*Input_Inflation!P$26</f>
        <v>957485548.94973862</v>
      </c>
      <c r="F47" s="134">
        <f>Output_EB_RIN!Q74*10^6*Input_Inflation!Q$26</f>
        <v>1029733004.7132918</v>
      </c>
      <c r="G47" s="134">
        <f>Output_EB_RIN!R74*10^6*Input_Inflation!R$26</f>
        <v>1205072568.8155351</v>
      </c>
      <c r="H47" s="134">
        <f>Output_EB_RIN!S74*10^6*Input_Inflation!S$26</f>
        <v>1204763140.1953316</v>
      </c>
      <c r="I47" s="135">
        <f>Output_EB_RIN!T74*10^6*Input_Inflation!T$26</f>
        <v>1204453711.5751286</v>
      </c>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row>
    <row r="48" spans="1:37" outlineLevel="2" x14ac:dyDescent="0.25">
      <c r="A48" s="132" t="s">
        <v>161</v>
      </c>
      <c r="B48" s="138" t="s">
        <v>132</v>
      </c>
      <c r="C48" s="139">
        <f>Output_EB_RIN!N75*10^6*Input_Inflation!N$26</f>
        <v>30989938.658385009</v>
      </c>
      <c r="D48" s="140">
        <f>Output_EB_RIN!O75*10^6*Input_Inflation!O$26</f>
        <v>21658451.908110384</v>
      </c>
      <c r="E48" s="141">
        <f>Output_EB_RIN!P75*10^6*Input_Inflation!P$26</f>
        <v>22500468.737164166</v>
      </c>
      <c r="F48" s="139">
        <f>Output_EB_RIN!Q75*10^6*Input_Inflation!Q$26</f>
        <v>24198250.621737346</v>
      </c>
      <c r="G48" s="139">
        <f>Output_EB_RIN!R75*10^6*Input_Inflation!R$26</f>
        <v>28318649.498564281</v>
      </c>
      <c r="H48" s="139">
        <f>Output_EB_RIN!S75*10^6*Input_Inflation!S$26</f>
        <v>28311378.068720866</v>
      </c>
      <c r="I48" s="140">
        <f>Output_EB_RIN!T75*10^6*Input_Inflation!T$26</f>
        <v>28304106.638877451</v>
      </c>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row>
    <row r="49" spans="1:37" outlineLevel="2" x14ac:dyDescent="0.25">
      <c r="A49" s="132" t="s">
        <v>162</v>
      </c>
      <c r="B49" s="138" t="s">
        <v>134</v>
      </c>
      <c r="C49" s="139">
        <f>Output_EB_RIN!N76*10^6*Input_Inflation!N$26</f>
        <v>0</v>
      </c>
      <c r="D49" s="140">
        <f>Output_EB_RIN!O76*10^6*Input_Inflation!O$26</f>
        <v>0</v>
      </c>
      <c r="E49" s="141">
        <f>Output_EB_RIN!P76*10^6*Input_Inflation!P$26</f>
        <v>0</v>
      </c>
      <c r="F49" s="139">
        <f>Output_EB_RIN!Q76*10^6*Input_Inflation!Q$26</f>
        <v>0</v>
      </c>
      <c r="G49" s="139">
        <f>Output_EB_RIN!R76*10^6*Input_Inflation!R$26</f>
        <v>0</v>
      </c>
      <c r="H49" s="139">
        <f>Output_EB_RIN!S76*10^6*Input_Inflation!S$26</f>
        <v>0</v>
      </c>
      <c r="I49" s="140">
        <f>Output_EB_RIN!T76*10^6*Input_Inflation!T$26</f>
        <v>0</v>
      </c>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row>
    <row r="50" spans="1:37" outlineLevel="2" x14ac:dyDescent="0.25">
      <c r="A50" s="132" t="s">
        <v>163</v>
      </c>
      <c r="B50" s="138" t="s">
        <v>136</v>
      </c>
      <c r="C50" s="139">
        <f>Output_EB_RIN!N77*10^6*Input_Inflation!N$26</f>
        <v>49757.965558220872</v>
      </c>
      <c r="D50" s="140">
        <f>Output_EB_RIN!O77*10^6*Input_Inflation!O$26</f>
        <v>-3951893.7613787823</v>
      </c>
      <c r="E50" s="141">
        <f>Output_EB_RIN!P77*10^6*Input_Inflation!P$26</f>
        <v>74261937.698173046</v>
      </c>
      <c r="F50" s="139">
        <f>Output_EB_RIN!Q77*10^6*Input_Inflation!Q$26</f>
        <v>179776663.02911732</v>
      </c>
      <c r="G50" s="139">
        <f>Output_EB_RIN!R77*10^6*Input_Inflation!R$26</f>
        <v>0</v>
      </c>
      <c r="H50" s="139">
        <f>Output_EB_RIN!S77*10^6*Input_Inflation!S$26</f>
        <v>0</v>
      </c>
      <c r="I50" s="140">
        <f>Output_EB_RIN!T77*10^6*Input_Inflation!T$26</f>
        <v>16652379.598914014</v>
      </c>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row>
    <row r="51" spans="1:37" outlineLevel="2" x14ac:dyDescent="0.25">
      <c r="A51" s="132" t="s">
        <v>164</v>
      </c>
      <c r="B51" s="138" t="s">
        <v>138</v>
      </c>
      <c r="C51" s="139">
        <f>Output_EB_RIN!N78*10^6*Input_Inflation!N$26</f>
        <v>-319956.23730302131</v>
      </c>
      <c r="D51" s="140">
        <f>Output_EB_RIN!O78*10^6*Input_Inflation!O$26</f>
        <v>-318403.04251250869</v>
      </c>
      <c r="E51" s="141">
        <f>Output_EB_RIN!P78*10^6*Input_Inflation!P$26</f>
        <v>-316700.05004683055</v>
      </c>
      <c r="F51" s="139">
        <f>Output_EB_RIN!Q78*10^6*Input_Inflation!Q$26</f>
        <v>-316700.05004683055</v>
      </c>
      <c r="G51" s="139">
        <f>Output_EB_RIN!R78*10^6*Input_Inflation!R$26</f>
        <v>-316700.05004683061</v>
      </c>
      <c r="H51" s="139">
        <f>Output_EB_RIN!S78*10^6*Input_Inflation!S$26</f>
        <v>-316700.05004683061</v>
      </c>
      <c r="I51" s="140">
        <f>Output_EB_RIN!T78*10^6*Input_Inflation!T$26</f>
        <v>-316700.05004683055</v>
      </c>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2" spans="1:37" ht="15.75" outlineLevel="2" thickBot="1" x14ac:dyDescent="0.3">
      <c r="A52" s="132" t="s">
        <v>165</v>
      </c>
      <c r="B52" s="143" t="s">
        <v>140</v>
      </c>
      <c r="C52" s="144">
        <f t="shared" ref="C52" si="7">SUM(C47:C51)</f>
        <v>984256314.49079418</v>
      </c>
      <c r="D52" s="145">
        <f t="shared" ref="D52:I52" si="8">SUM(D47:D51)</f>
        <v>979986017.68690288</v>
      </c>
      <c r="E52" s="146">
        <f t="shared" si="8"/>
        <v>1053931255.335029</v>
      </c>
      <c r="F52" s="144">
        <f t="shared" si="8"/>
        <v>1233391218.3140996</v>
      </c>
      <c r="G52" s="144">
        <f t="shared" si="8"/>
        <v>1233074518.2640524</v>
      </c>
      <c r="H52" s="144">
        <f t="shared" si="8"/>
        <v>1232757818.2140055</v>
      </c>
      <c r="I52" s="145">
        <f t="shared" si="8"/>
        <v>1249093497.7628729</v>
      </c>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row>
    <row r="53" spans="1:37" ht="20.25" customHeight="1" outlineLevel="1" thickBot="1" x14ac:dyDescent="0.3">
      <c r="A53" s="63">
        <f>IF(SUM(C53:I53)&lt;&gt;0,1,0)</f>
        <v>0</v>
      </c>
      <c r="B53" s="151" t="str">
        <f>Lookup!$D$130</f>
        <v>“Other” asset items with long lives</v>
      </c>
      <c r="C53" s="215">
        <f>IF(ROUND(C52-(Output_EB_RIN!N80*10^6*Input_Inflation!N$26),4)=0,0,1)</f>
        <v>0</v>
      </c>
      <c r="D53" s="215">
        <f>IF(ROUND(D52-(Output_EB_RIN!O80*10^6*Input_Inflation!O$26),4)=0,0,1)</f>
        <v>0</v>
      </c>
      <c r="E53" s="215">
        <f>IF(ROUND(E52-(Output_EB_RIN!P80*10^6*Input_Inflation!P$26),4)=0,0,1)</f>
        <v>0</v>
      </c>
      <c r="F53" s="215">
        <f>IF(ROUND(F52-(Output_EB_RIN!Q80*10^6*Input_Inflation!Q$26),4)=0,0,1)</f>
        <v>0</v>
      </c>
      <c r="G53" s="215">
        <f>IF(ROUND(G52-(Output_EB_RIN!R80*10^6*Input_Inflation!R$26),4)=0,0,1)</f>
        <v>0</v>
      </c>
      <c r="H53" s="215">
        <f>IF(ROUND(H52-(Output_EB_RIN!S80*10^6*Input_Inflation!S$26),4)=0,0,1)</f>
        <v>0</v>
      </c>
      <c r="I53" s="215">
        <f>IF(ROUND(I52-(Output_EB_RIN!T80*10^6*Input_Inflation!T$26),4)=0,0,1)</f>
        <v>0</v>
      </c>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4" spans="1:37" outlineLevel="2" x14ac:dyDescent="0.25">
      <c r="A54" s="132" t="s">
        <v>166</v>
      </c>
      <c r="B54" s="133" t="s">
        <v>130</v>
      </c>
      <c r="C54" s="134">
        <f>Output_EB_RIN!N88*10^6*Input_Inflation!N$26</f>
        <v>415008160.90960634</v>
      </c>
      <c r="D54" s="135">
        <f>Output_EB_RIN!O88*10^6*Input_Inflation!O$26</f>
        <v>481131502.90759754</v>
      </c>
      <c r="E54" s="136">
        <f>Output_EB_RIN!P88*10^6*Input_Inflation!P$26</f>
        <v>405411747.32642007</v>
      </c>
      <c r="F54" s="134">
        <f>Output_EB_RIN!Q88*10^6*Input_Inflation!Q$26</f>
        <v>471090043.50421196</v>
      </c>
      <c r="G54" s="134">
        <f>Output_EB_RIN!R88*10^6*Input_Inflation!R$26</f>
        <v>575763730.83426988</v>
      </c>
      <c r="H54" s="134">
        <f>Output_EB_RIN!S88*10^6*Input_Inflation!S$26</f>
        <v>595707192.51221538</v>
      </c>
      <c r="I54" s="135">
        <f>Output_EB_RIN!T88*10^6*Input_Inflation!T$26</f>
        <v>612446260.19329953</v>
      </c>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row>
    <row r="55" spans="1:37" outlineLevel="2" x14ac:dyDescent="0.25">
      <c r="A55" s="132" t="s">
        <v>167</v>
      </c>
      <c r="B55" s="138" t="s">
        <v>132</v>
      </c>
      <c r="C55" s="139">
        <f>Output_EB_RIN!N89*10^6*Input_Inflation!N$26</f>
        <v>13487765.229562208</v>
      </c>
      <c r="D55" s="140">
        <f>Output_EB_RIN!O89*10^6*Input_Inflation!O$26</f>
        <v>10825458.815420944</v>
      </c>
      <c r="E55" s="141">
        <f>Output_EB_RIN!P89*10^6*Input_Inflation!P$26</f>
        <v>9526989.056287108</v>
      </c>
      <c r="F55" s="139">
        <f>Output_EB_RIN!Q89*10^6*Input_Inflation!Q$26</f>
        <v>11070398.720777184</v>
      </c>
      <c r="G55" s="139">
        <f>Output_EB_RIN!R89*10^6*Input_Inflation!R$26</f>
        <v>13530182.089786856</v>
      </c>
      <c r="H55" s="139">
        <f>Output_EB_RIN!S89*10^6*Input_Inflation!S$26</f>
        <v>13998844.239818953</v>
      </c>
      <c r="I55" s="140">
        <f>Output_EB_RIN!T89*10^6*Input_Inflation!T$26</f>
        <v>14392204.609028324</v>
      </c>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row>
    <row r="56" spans="1:37" outlineLevel="2" x14ac:dyDescent="0.25">
      <c r="A56" s="132" t="s">
        <v>168</v>
      </c>
      <c r="B56" s="138" t="s">
        <v>134</v>
      </c>
      <c r="C56" s="139">
        <f>Output_EB_RIN!N90*10^6*Input_Inflation!N$26</f>
        <v>-39613363.700767875</v>
      </c>
      <c r="D56" s="140">
        <f>Output_EB_RIN!O90*10^6*Input_Inflation!O$26</f>
        <v>-41027569.78467913</v>
      </c>
      <c r="E56" s="141">
        <f>Output_EB_RIN!P90*10^6*Input_Inflation!P$26</f>
        <v>-30340338.076789424</v>
      </c>
      <c r="F56" s="139">
        <f>Output_EB_RIN!Q90*10^6*Input_Inflation!Q$26</f>
        <v>-34331781.958326943</v>
      </c>
      <c r="G56" s="139">
        <f>Output_EB_RIN!R90*10^6*Input_Inflation!R$26</f>
        <v>-39936923.47270605</v>
      </c>
      <c r="H56" s="139">
        <f>Output_EB_RIN!S90*10^6*Input_Inflation!S$26</f>
        <v>-44029993.925921559</v>
      </c>
      <c r="I56" s="140">
        <f>Output_EB_RIN!T90*10^6*Input_Inflation!T$26</f>
        <v>-42929121.255155928</v>
      </c>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row>
    <row r="57" spans="1:37" outlineLevel="2" x14ac:dyDescent="0.25">
      <c r="A57" s="132" t="s">
        <v>169</v>
      </c>
      <c r="B57" s="138" t="s">
        <v>136</v>
      </c>
      <c r="C57" s="139">
        <f>Output_EB_RIN!N91*10^6*Input_Inflation!N$26</f>
        <v>103074399.28461783</v>
      </c>
      <c r="D57" s="140">
        <f>Output_EB_RIN!O91*10^6*Input_Inflation!O$26</f>
        <v>-35990655.555632137</v>
      </c>
      <c r="E57" s="141">
        <f>Output_EB_RIN!P91*10^6*Input_Inflation!P$26</f>
        <v>97562043.919071361</v>
      </c>
      <c r="F57" s="139">
        <f>Output_EB_RIN!Q91*10^6*Input_Inflation!Q$26</f>
        <v>141465252.65739438</v>
      </c>
      <c r="G57" s="139">
        <f>Output_EB_RIN!R91*10^6*Input_Inflation!R$26</f>
        <v>60349047.300683796</v>
      </c>
      <c r="H57" s="139">
        <f>Output_EB_RIN!S91*10^6*Input_Inflation!S$26</f>
        <v>61162421.97621502</v>
      </c>
      <c r="I57" s="140">
        <f>Output_EB_RIN!T91*10^6*Input_Inflation!T$26</f>
        <v>119058641.7509834</v>
      </c>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1:37" outlineLevel="2" x14ac:dyDescent="0.25">
      <c r="A58" s="132" t="s">
        <v>170</v>
      </c>
      <c r="B58" s="138" t="s">
        <v>138</v>
      </c>
      <c r="C58" s="139">
        <f>Output_EB_RIN!N92*10^6*Input_Inflation!N$26</f>
        <v>0</v>
      </c>
      <c r="D58" s="140">
        <f>Output_EB_RIN!O92*10^6*Input_Inflation!O$26</f>
        <v>0</v>
      </c>
      <c r="E58" s="141">
        <f>Output_EB_RIN!P92*10^6*Input_Inflation!P$26</f>
        <v>0</v>
      </c>
      <c r="F58" s="139">
        <f>Output_EB_RIN!Q92*10^6*Input_Inflation!Q$26</f>
        <v>0</v>
      </c>
      <c r="G58" s="139">
        <f>Output_EB_RIN!R92*10^6*Input_Inflation!R$26</f>
        <v>0</v>
      </c>
      <c r="H58" s="139">
        <f>Output_EB_RIN!S92*10^6*Input_Inflation!S$26</f>
        <v>0</v>
      </c>
      <c r="I58" s="140">
        <f>Output_EB_RIN!T92*10^6*Input_Inflation!T$26</f>
        <v>0</v>
      </c>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1:37" ht="15.75" outlineLevel="2" thickBot="1" x14ac:dyDescent="0.3">
      <c r="A59" s="132" t="s">
        <v>171</v>
      </c>
      <c r="B59" s="143" t="s">
        <v>140</v>
      </c>
      <c r="C59" s="144">
        <f t="shared" ref="C59:I59" si="9">SUM(C54:C58)</f>
        <v>491956961.72301853</v>
      </c>
      <c r="D59" s="145">
        <f t="shared" si="9"/>
        <v>414938736.38270724</v>
      </c>
      <c r="E59" s="146">
        <f t="shared" si="9"/>
        <v>482160442.22498912</v>
      </c>
      <c r="F59" s="144">
        <f t="shared" si="9"/>
        <v>589293912.92405665</v>
      </c>
      <c r="G59" s="144">
        <f t="shared" si="9"/>
        <v>609706036.75203443</v>
      </c>
      <c r="H59" s="144">
        <f t="shared" si="9"/>
        <v>626838464.80232775</v>
      </c>
      <c r="I59" s="145">
        <f t="shared" si="9"/>
        <v>702967985.29815531</v>
      </c>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row>
    <row r="60" spans="1:37" ht="20.25" customHeight="1" outlineLevel="1" thickBot="1" x14ac:dyDescent="0.3">
      <c r="A60" s="63">
        <f>IF(SUM(C60:I60)&lt;&gt;0,1,0)</f>
        <v>0</v>
      </c>
      <c r="B60" s="151" t="str">
        <f>Lookup!$D$131</f>
        <v>“Other” asset items with short lives</v>
      </c>
      <c r="C60" s="215">
        <f>IF(ROUND(C59-(Output_EB_RIN!N94*10^6*Input_Inflation!N$26),4)=0,0,1)</f>
        <v>0</v>
      </c>
      <c r="D60" s="215">
        <f>IF(ROUND(D59-(Output_EB_RIN!O94*10^6*Input_Inflation!O$26),4)=0,0,1)</f>
        <v>0</v>
      </c>
      <c r="E60" s="215">
        <f>IF(ROUND(E59-(Output_EB_RIN!P94*10^6*Input_Inflation!P$26),4)=0,0,1)</f>
        <v>0</v>
      </c>
      <c r="F60" s="215">
        <f>IF(ROUND(F59-(Output_EB_RIN!Q94*10^6*Input_Inflation!Q$26),4)=0,0,1)</f>
        <v>0</v>
      </c>
      <c r="G60" s="215">
        <f>IF(ROUND(G59-(Output_EB_RIN!R94*10^6*Input_Inflation!R$26),4)=0,0,1)</f>
        <v>0</v>
      </c>
      <c r="H60" s="215">
        <f>IF(ROUND(H59-(Output_EB_RIN!S94*10^6*Input_Inflation!S$26),4)=0,0,1)</f>
        <v>0</v>
      </c>
      <c r="I60" s="215">
        <f>IF(ROUND(I59-(Output_EB_RIN!T94*10^6*Input_Inflation!T$26),4)=0,0,1)</f>
        <v>0</v>
      </c>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row>
    <row r="61" spans="1:37" outlineLevel="2" x14ac:dyDescent="0.25">
      <c r="A61" s="132" t="s">
        <v>172</v>
      </c>
      <c r="B61" s="133" t="s">
        <v>130</v>
      </c>
      <c r="C61" s="134">
        <f>Output_EB_RIN!N102*10^6*Input_Inflation!N$26</f>
        <v>69175713.21451053</v>
      </c>
      <c r="D61" s="135">
        <f>Output_EB_RIN!O102*10^6*Input_Inflation!O$26</f>
        <v>89641832.108294249</v>
      </c>
      <c r="E61" s="136">
        <f>Output_EB_RIN!P102*10^6*Input_Inflation!P$26</f>
        <v>52912803.014246784</v>
      </c>
      <c r="F61" s="134">
        <f>Output_EB_RIN!Q102*10^6*Input_Inflation!Q$26</f>
        <v>82028987.000230163</v>
      </c>
      <c r="G61" s="134">
        <f>Output_EB_RIN!R102*10^6*Input_Inflation!R$26</f>
        <v>107758081.444563</v>
      </c>
      <c r="H61" s="134">
        <f>Output_EB_RIN!S102*10^6*Input_Inflation!S$26</f>
        <v>110370058.23825902</v>
      </c>
      <c r="I61" s="135">
        <f>Output_EB_RIN!T102*10^6*Input_Inflation!T$26</f>
        <v>118766678.29187411</v>
      </c>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row>
    <row r="62" spans="1:37" outlineLevel="2" x14ac:dyDescent="0.25">
      <c r="A62" s="132" t="s">
        <v>173</v>
      </c>
      <c r="B62" s="138" t="s">
        <v>132</v>
      </c>
      <c r="C62" s="139">
        <f>Output_EB_RIN!N103*10^6*Input_Inflation!N$26</f>
        <v>2248210.679471592</v>
      </c>
      <c r="D62" s="140">
        <f>Output_EB_RIN!O103*10^6*Input_Inflation!O$26</f>
        <v>2016941.2224366209</v>
      </c>
      <c r="E62" s="141">
        <f>Output_EB_RIN!P103*10^6*Input_Inflation!P$26</f>
        <v>1243426.4635364034</v>
      </c>
      <c r="F62" s="139">
        <f>Output_EB_RIN!Q103*10^6*Input_Inflation!Q$26</f>
        <v>1927643.3566694078</v>
      </c>
      <c r="G62" s="139">
        <f>Output_EB_RIN!R103*10^6*Input_Inflation!R$26</f>
        <v>2532265.2079498428</v>
      </c>
      <c r="H62" s="139">
        <f>Output_EB_RIN!S103*10^6*Input_Inflation!S$26</f>
        <v>2593645.4577648095</v>
      </c>
      <c r="I62" s="140">
        <f>Output_EB_RIN!T103*10^6*Input_Inflation!T$26</f>
        <v>2790962.1558825471</v>
      </c>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row>
    <row r="63" spans="1:37" outlineLevel="2" x14ac:dyDescent="0.25">
      <c r="A63" s="132" t="s">
        <v>174</v>
      </c>
      <c r="B63" s="138" t="s">
        <v>134</v>
      </c>
      <c r="C63" s="139">
        <f>Output_EB_RIN!N104*10^6*Input_Inflation!N$26</f>
        <v>-24786127.099696595</v>
      </c>
      <c r="D63" s="140">
        <f>Output_EB_RIN!O104*10^6*Input_Inflation!O$26</f>
        <v>-29194631.227866147</v>
      </c>
      <c r="E63" s="141">
        <f>Output_EB_RIN!P104*10^6*Input_Inflation!P$26</f>
        <v>-15748345.19099994</v>
      </c>
      <c r="F63" s="139">
        <f>Output_EB_RIN!Q104*10^6*Input_Inflation!Q$26</f>
        <v>-26494473.152343053</v>
      </c>
      <c r="G63" s="139">
        <f>Output_EB_RIN!R104*10^6*Input_Inflation!R$26</f>
        <v>-29479825.666509509</v>
      </c>
      <c r="H63" s="139">
        <f>Output_EB_RIN!S104*10^6*Input_Inflation!S$26</f>
        <v>-25922296.811557479</v>
      </c>
      <c r="I63" s="140">
        <f>Output_EB_RIN!T104*10^6*Input_Inflation!T$26</f>
        <v>-31079056.61222228</v>
      </c>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row>
    <row r="64" spans="1:37" outlineLevel="2" x14ac:dyDescent="0.25">
      <c r="A64" s="132" t="s">
        <v>175</v>
      </c>
      <c r="B64" s="138" t="s">
        <v>136</v>
      </c>
      <c r="C64" s="139">
        <f>Output_EB_RIN!N105*10^6*Input_Inflation!N$26</f>
        <v>49192810.140709557</v>
      </c>
      <c r="D64" s="140">
        <f>Output_EB_RIN!O105*10^6*Input_Inflation!O$26</f>
        <v>-4156330.7598540569</v>
      </c>
      <c r="E64" s="141">
        <f>Output_EB_RIN!P105*10^6*Input_Inflation!P$26</f>
        <v>49678123.019896589</v>
      </c>
      <c r="F64" s="139">
        <f>Output_EB_RIN!Q105*10^6*Input_Inflation!Q$26</f>
        <v>56957566.397736579</v>
      </c>
      <c r="G64" s="139">
        <f>Output_EB_RIN!R105*10^6*Input_Inflation!R$26</f>
        <v>36282559.659800753</v>
      </c>
      <c r="H64" s="139">
        <f>Output_EB_RIN!S105*10^6*Input_Inflation!S$26</f>
        <v>38645610.513070591</v>
      </c>
      <c r="I64" s="140">
        <f>Output_EB_RIN!T105*10^6*Input_Inflation!T$26</f>
        <v>33639889.410545811</v>
      </c>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1:37" outlineLevel="2" x14ac:dyDescent="0.25">
      <c r="A65" s="132" t="s">
        <v>176</v>
      </c>
      <c r="B65" s="138" t="s">
        <v>138</v>
      </c>
      <c r="C65" s="139">
        <f>Output_EB_RIN!N106*10^6*Input_Inflation!N$26</f>
        <v>-4171833.6042642011</v>
      </c>
      <c r="D65" s="140">
        <f>Output_EB_RIN!O106*10^6*Input_Inflation!O$26</f>
        <v>-4151581.8652274916</v>
      </c>
      <c r="E65" s="141">
        <f>Output_EB_RIN!P106*10^6*Input_Inflation!P$26</f>
        <v>-4129376.94978027</v>
      </c>
      <c r="F65" s="139">
        <f>Output_EB_RIN!Q106*10^6*Input_Inflation!Q$26</f>
        <v>-4129376.94978027</v>
      </c>
      <c r="G65" s="139">
        <f>Output_EB_RIN!R106*10^6*Input_Inflation!R$26</f>
        <v>-4129376.9497802705</v>
      </c>
      <c r="H65" s="139">
        <f>Output_EB_RIN!S106*10^6*Input_Inflation!S$26</f>
        <v>-4129376.9497802709</v>
      </c>
      <c r="I65" s="140">
        <f>Output_EB_RIN!T106*10^6*Input_Inflation!T$26</f>
        <v>-4129376.9497802705</v>
      </c>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row>
    <row r="66" spans="1:37" ht="15.75" outlineLevel="2" thickBot="1" x14ac:dyDescent="0.3">
      <c r="A66" s="132" t="s">
        <v>177</v>
      </c>
      <c r="B66" s="143" t="s">
        <v>140</v>
      </c>
      <c r="C66" s="144">
        <f t="shared" ref="C66" si="10">SUM(C61:C65)</f>
        <v>91658773.330730885</v>
      </c>
      <c r="D66" s="145">
        <f t="shared" ref="D66:I66" si="11">SUM(D61:D65)</f>
        <v>54156229.477783181</v>
      </c>
      <c r="E66" s="146">
        <f t="shared" si="11"/>
        <v>83956630.356899574</v>
      </c>
      <c r="F66" s="144">
        <f t="shared" si="11"/>
        <v>110290346.65251283</v>
      </c>
      <c r="G66" s="144">
        <f t="shared" si="11"/>
        <v>112963703.69602382</v>
      </c>
      <c r="H66" s="144">
        <f t="shared" si="11"/>
        <v>121557640.44775666</v>
      </c>
      <c r="I66" s="145">
        <f t="shared" si="11"/>
        <v>119989096.29629992</v>
      </c>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row>
    <row r="67" spans="1:37" s="129" customFormat="1" outlineLevel="1" x14ac:dyDescent="0.25">
      <c r="A67" s="154"/>
      <c r="C67" s="215">
        <f>IF(ROUND(C66-(Output_EB_RIN!N108*10^6*Input_Inflation!N$26),4)=0,0,1)</f>
        <v>0</v>
      </c>
      <c r="D67" s="215">
        <f>IF(ROUND(D66-(Output_EB_RIN!O108*10^6*Input_Inflation!O$26),4)=0,0,1)</f>
        <v>0</v>
      </c>
      <c r="E67" s="215">
        <f>IF(ROUND(E66-(Output_EB_RIN!P108*10^6*Input_Inflation!P$26),4)=0,0,1)</f>
        <v>0</v>
      </c>
      <c r="F67" s="215">
        <f>IF(ROUND(F66-(Output_EB_RIN!Q108*10^6*Input_Inflation!Q$26),4)=0,0,1)</f>
        <v>0</v>
      </c>
      <c r="G67" s="215">
        <f>IF(ROUND(G66-(Output_EB_RIN!R108*10^6*Input_Inflation!R$26),4)=0,0,1)</f>
        <v>0</v>
      </c>
      <c r="H67" s="215">
        <f>IF(ROUND(H66-(Output_EB_RIN!S108*10^6*Input_Inflation!S$26),4)=0,0,1)</f>
        <v>0</v>
      </c>
      <c r="I67" s="215">
        <f>IF(ROUND(I66-(Output_EB_RIN!T108*10^6*Input_Inflation!T$26),4)=0,0,1)</f>
        <v>0</v>
      </c>
      <c r="J67" s="114"/>
      <c r="K67" s="114"/>
      <c r="L67" s="114"/>
      <c r="M67" s="114"/>
      <c r="N67" s="114"/>
      <c r="O67" s="114"/>
      <c r="P67" s="114"/>
      <c r="Q67" s="114"/>
      <c r="R67" s="114"/>
      <c r="S67" s="114"/>
      <c r="T67" s="114"/>
      <c r="U67" s="114"/>
      <c r="V67" s="115"/>
    </row>
    <row r="68" spans="1:37" s="129" customFormat="1" outlineLevel="1" x14ac:dyDescent="0.25">
      <c r="A68" s="154"/>
      <c r="C68" s="115"/>
      <c r="D68" s="115"/>
      <c r="E68" s="115"/>
      <c r="F68" s="115"/>
      <c r="G68" s="115"/>
      <c r="H68" s="115"/>
      <c r="I68" s="115"/>
      <c r="J68" s="114"/>
      <c r="K68" s="114"/>
      <c r="L68" s="114"/>
      <c r="M68" s="114"/>
      <c r="N68" s="114"/>
      <c r="O68" s="114"/>
      <c r="P68" s="114"/>
      <c r="Q68" s="114"/>
      <c r="R68" s="114"/>
      <c r="S68" s="114"/>
      <c r="T68" s="114"/>
      <c r="U68" s="114"/>
      <c r="V68" s="115"/>
    </row>
    <row r="69" spans="1:37" s="129" customFormat="1" x14ac:dyDescent="0.25">
      <c r="A69" s="154"/>
      <c r="C69" s="115"/>
      <c r="D69" s="115"/>
      <c r="E69" s="115"/>
      <c r="F69" s="115"/>
      <c r="G69" s="115"/>
      <c r="H69" s="115"/>
      <c r="I69" s="115"/>
      <c r="J69" s="114"/>
      <c r="K69" s="114"/>
      <c r="L69" s="114"/>
      <c r="M69" s="114"/>
      <c r="N69" s="114"/>
      <c r="O69" s="114"/>
      <c r="P69" s="114"/>
      <c r="Q69" s="114"/>
      <c r="R69" s="114"/>
      <c r="S69" s="114"/>
      <c r="T69" s="114"/>
      <c r="U69" s="114"/>
      <c r="V69" s="115"/>
    </row>
    <row r="70" spans="1:37" s="129" customFormat="1" x14ac:dyDescent="0.25">
      <c r="A70" s="154"/>
      <c r="C70" s="115"/>
      <c r="D70" s="115"/>
      <c r="E70" s="115"/>
      <c r="F70" s="115"/>
      <c r="G70" s="115"/>
      <c r="H70" s="115"/>
      <c r="I70" s="115"/>
      <c r="J70" s="114"/>
      <c r="K70" s="114"/>
      <c r="L70" s="114"/>
      <c r="M70" s="114"/>
      <c r="N70" s="114"/>
      <c r="O70" s="114"/>
      <c r="P70" s="114"/>
      <c r="Q70" s="114"/>
      <c r="R70" s="114"/>
      <c r="S70" s="114"/>
      <c r="T70" s="114"/>
      <c r="U70" s="114"/>
      <c r="V70" s="115"/>
    </row>
    <row r="71" spans="1:37" ht="19.5" thickBot="1" x14ac:dyDescent="0.3">
      <c r="A71" s="132"/>
      <c r="B71" s="121" t="s">
        <v>178</v>
      </c>
      <c r="C71" s="121"/>
      <c r="D71" s="121"/>
      <c r="E71" s="121"/>
      <c r="F71" s="121"/>
      <c r="G71" s="121"/>
      <c r="H71" s="121"/>
      <c r="I71" s="121"/>
      <c r="J71" s="114"/>
      <c r="K71" s="114"/>
      <c r="L71" s="114"/>
      <c r="M71" s="114"/>
      <c r="N71" s="114"/>
      <c r="O71" s="114"/>
      <c r="P71" s="114"/>
      <c r="Q71" s="114"/>
      <c r="R71" s="114"/>
      <c r="S71" s="114"/>
      <c r="T71" s="114"/>
      <c r="U71" s="114"/>
      <c r="W71" s="114"/>
      <c r="X71" s="114"/>
      <c r="Y71" s="114"/>
      <c r="Z71" s="114"/>
      <c r="AA71" s="114"/>
      <c r="AB71" s="114"/>
      <c r="AC71" s="114"/>
      <c r="AD71" s="114"/>
      <c r="AE71" s="114"/>
      <c r="AF71" s="114"/>
      <c r="AG71" s="114"/>
      <c r="AH71" s="114"/>
      <c r="AI71" s="114"/>
      <c r="AJ71" s="114"/>
      <c r="AK71" s="114"/>
    </row>
    <row r="72" spans="1:37" ht="28.5" customHeight="1" outlineLevel="2" x14ac:dyDescent="0.25">
      <c r="A72" s="120"/>
      <c r="B72" s="122"/>
      <c r="C72" s="277" t="str">
        <f>$C$9</f>
        <v>Forecast</v>
      </c>
      <c r="D72" s="277"/>
      <c r="E72" s="277"/>
      <c r="F72" s="277"/>
      <c r="G72" s="277"/>
      <c r="H72" s="277"/>
      <c r="I72" s="277"/>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row>
    <row r="73" spans="1:37" s="124" customFormat="1" ht="41.25" customHeight="1" outlineLevel="2" thickBot="1" x14ac:dyDescent="0.3">
      <c r="A73" s="120"/>
      <c r="B73" s="123"/>
      <c r="C73" s="271" t="str">
        <f>$C$10</f>
        <v>($0's, Real 2023)</v>
      </c>
      <c r="D73" s="271"/>
      <c r="E73" s="271"/>
      <c r="F73" s="271"/>
      <c r="G73" s="271"/>
      <c r="H73" s="271"/>
      <c r="I73" s="271"/>
      <c r="J73" s="114"/>
      <c r="K73" s="114"/>
      <c r="L73" s="114"/>
      <c r="M73" s="114"/>
      <c r="N73" s="114"/>
      <c r="O73" s="114"/>
      <c r="P73" s="114"/>
      <c r="Q73" s="114"/>
      <c r="R73" s="114"/>
      <c r="S73" s="114"/>
      <c r="T73" s="114"/>
      <c r="U73" s="114"/>
      <c r="V73" s="123"/>
      <c r="W73" s="123"/>
      <c r="X73" s="123"/>
      <c r="Y73" s="123"/>
      <c r="Z73" s="123"/>
      <c r="AA73" s="123"/>
      <c r="AB73" s="123"/>
      <c r="AC73" s="123"/>
      <c r="AD73" s="123"/>
      <c r="AE73" s="123"/>
      <c r="AF73" s="123"/>
      <c r="AG73" s="123"/>
      <c r="AH73" s="123"/>
      <c r="AI73" s="123"/>
      <c r="AJ73" s="123"/>
      <c r="AK73" s="123"/>
    </row>
    <row r="74" spans="1:37" s="129" customFormat="1" ht="15.75" outlineLevel="2" thickBot="1" x14ac:dyDescent="0.3">
      <c r="A74" s="125"/>
      <c r="B74" s="114"/>
      <c r="C74" s="261" t="str">
        <f>C$11</f>
        <v>RY22</v>
      </c>
      <c r="D74" s="261" t="str">
        <f t="shared" ref="D74:I74" si="12">D$11</f>
        <v>RY23</v>
      </c>
      <c r="E74" s="262" t="str">
        <f t="shared" si="12"/>
        <v>RY24</v>
      </c>
      <c r="F74" s="262" t="str">
        <f t="shared" si="12"/>
        <v>RY25</v>
      </c>
      <c r="G74" s="262" t="str">
        <f t="shared" si="12"/>
        <v>RY26</v>
      </c>
      <c r="H74" s="262" t="str">
        <f t="shared" si="12"/>
        <v>RY27</v>
      </c>
      <c r="I74" s="261" t="str">
        <f t="shared" si="12"/>
        <v>RY28</v>
      </c>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75" spans="1:37" outlineLevel="2" x14ac:dyDescent="0.25">
      <c r="A75" s="132" t="s">
        <v>179</v>
      </c>
      <c r="B75" s="133" t="str">
        <f>Lookup!D126</f>
        <v>Overhead assets</v>
      </c>
      <c r="C75" s="263">
        <f t="shared" ref="C75:I75" si="13">AVERAGE(C31,C26)</f>
        <v>1880444766.8175178</v>
      </c>
      <c r="D75" s="264">
        <f t="shared" si="13"/>
        <v>1980532974.2101512</v>
      </c>
      <c r="E75" s="263">
        <f t="shared" si="13"/>
        <v>2215166871.4332051</v>
      </c>
      <c r="F75" s="265">
        <f t="shared" si="13"/>
        <v>2776377503.8274255</v>
      </c>
      <c r="G75" s="265">
        <f t="shared" si="13"/>
        <v>3130620127.5621634</v>
      </c>
      <c r="H75" s="265">
        <f t="shared" si="13"/>
        <v>3060362989.8596258</v>
      </c>
      <c r="I75" s="264">
        <f t="shared" si="13"/>
        <v>2999412330.0695891</v>
      </c>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row>
    <row r="76" spans="1:37" outlineLevel="2" x14ac:dyDescent="0.25">
      <c r="A76" s="132" t="s">
        <v>180</v>
      </c>
      <c r="B76" s="155" t="str">
        <f>Lookup!D127</f>
        <v>Underground assets</v>
      </c>
      <c r="C76" s="141">
        <f t="shared" ref="C76:I76" si="14">AVERAGE(C38,C33)</f>
        <v>189976067.34321702</v>
      </c>
      <c r="D76" s="140">
        <f t="shared" si="14"/>
        <v>186006774.40348399</v>
      </c>
      <c r="E76" s="141">
        <f t="shared" si="14"/>
        <v>180351701.72256792</v>
      </c>
      <c r="F76" s="139">
        <f t="shared" si="14"/>
        <v>171992136.03417629</v>
      </c>
      <c r="G76" s="139">
        <f t="shared" si="14"/>
        <v>165638738.36007431</v>
      </c>
      <c r="H76" s="139">
        <f t="shared" si="14"/>
        <v>159194697.57787561</v>
      </c>
      <c r="I76" s="140">
        <f t="shared" si="14"/>
        <v>152425545.34947985</v>
      </c>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row>
    <row r="77" spans="1:37" outlineLevel="2" x14ac:dyDescent="0.25">
      <c r="A77" s="132" t="s">
        <v>181</v>
      </c>
      <c r="B77" s="155" t="str">
        <f>Lookup!D128</f>
        <v>Switchyards, substations</v>
      </c>
      <c r="C77" s="141">
        <f t="shared" ref="C77:I77" si="15">AVERAGE(C45,C40)</f>
        <v>3181564500.8888988</v>
      </c>
      <c r="D77" s="140">
        <f t="shared" si="15"/>
        <v>3310809549.9019527</v>
      </c>
      <c r="E77" s="141">
        <f t="shared" si="15"/>
        <v>3385324856.3751278</v>
      </c>
      <c r="F77" s="139">
        <f t="shared" si="15"/>
        <v>3453993095.8544488</v>
      </c>
      <c r="G77" s="139">
        <f t="shared" si="15"/>
        <v>3470828092.7017546</v>
      </c>
      <c r="H77" s="139">
        <f t="shared" si="15"/>
        <v>3417341970.4879961</v>
      </c>
      <c r="I77" s="140">
        <f t="shared" si="15"/>
        <v>3353346984.0542564</v>
      </c>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row>
    <row r="78" spans="1:37" outlineLevel="2" x14ac:dyDescent="0.25">
      <c r="A78" s="132" t="s">
        <v>182</v>
      </c>
      <c r="B78" s="155" t="str">
        <f>Lookup!D129</f>
        <v>Easements</v>
      </c>
      <c r="C78" s="141">
        <f t="shared" ref="C78:I78" si="16">AVERAGE(C52,C47)</f>
        <v>968896444.29747415</v>
      </c>
      <c r="D78" s="140">
        <f t="shared" si="16"/>
        <v>971291940.13479328</v>
      </c>
      <c r="E78" s="141">
        <f t="shared" si="16"/>
        <v>1005708402.1423838</v>
      </c>
      <c r="F78" s="139">
        <f t="shared" si="16"/>
        <v>1131562111.5136957</v>
      </c>
      <c r="G78" s="139">
        <f t="shared" si="16"/>
        <v>1219073543.5397937</v>
      </c>
      <c r="H78" s="139">
        <f t="shared" si="16"/>
        <v>1218760479.2046685</v>
      </c>
      <c r="I78" s="140">
        <f t="shared" si="16"/>
        <v>1226773604.6690006</v>
      </c>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row>
    <row r="79" spans="1:37" outlineLevel="2" x14ac:dyDescent="0.25">
      <c r="A79" s="132" t="s">
        <v>183</v>
      </c>
      <c r="B79" s="155" t="str">
        <f>Lookup!D130</f>
        <v>“Other” asset items with long lives</v>
      </c>
      <c r="C79" s="141">
        <f t="shared" ref="C79:I79" si="17">AVERAGE(C59,C54)</f>
        <v>453482561.31631243</v>
      </c>
      <c r="D79" s="140">
        <f t="shared" si="17"/>
        <v>448035119.64515239</v>
      </c>
      <c r="E79" s="141">
        <f t="shared" si="17"/>
        <v>443786094.77570462</v>
      </c>
      <c r="F79" s="139">
        <f t="shared" si="17"/>
        <v>530191978.21413434</v>
      </c>
      <c r="G79" s="139">
        <f t="shared" si="17"/>
        <v>592734883.79315209</v>
      </c>
      <c r="H79" s="139">
        <f t="shared" si="17"/>
        <v>611272828.65727162</v>
      </c>
      <c r="I79" s="140">
        <f t="shared" si="17"/>
        <v>657707122.74572742</v>
      </c>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row>
    <row r="80" spans="1:37" ht="15.75" outlineLevel="2" thickBot="1" x14ac:dyDescent="0.3">
      <c r="A80" s="132" t="s">
        <v>184</v>
      </c>
      <c r="B80" s="156" t="str">
        <f>Lookup!D131</f>
        <v>“Other” asset items with short lives</v>
      </c>
      <c r="C80" s="266">
        <f>AVERAGE(C66,C61)</f>
        <v>80417243.272620708</v>
      </c>
      <c r="D80" s="267">
        <f t="shared" ref="D80:I80" si="18">AVERAGE(D66,D61)</f>
        <v>71899030.793038711</v>
      </c>
      <c r="E80" s="266">
        <f t="shared" si="18"/>
        <v>68434716.685573176</v>
      </c>
      <c r="F80" s="268">
        <f t="shared" si="18"/>
        <v>96159666.826371491</v>
      </c>
      <c r="G80" s="268">
        <f t="shared" si="18"/>
        <v>110360892.57029341</v>
      </c>
      <c r="H80" s="268">
        <f t="shared" si="18"/>
        <v>115963849.34300783</v>
      </c>
      <c r="I80" s="267">
        <f t="shared" si="18"/>
        <v>119377887.29408702</v>
      </c>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row>
    <row r="81" spans="1:37" x14ac:dyDescent="0.25">
      <c r="A81" s="132"/>
      <c r="B81" s="148"/>
      <c r="C81" s="148"/>
      <c r="D81" s="148"/>
      <c r="E81" s="148"/>
      <c r="F81" s="148"/>
      <c r="G81" s="148"/>
      <c r="H81" s="148"/>
      <c r="I81" s="148"/>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row>
    <row r="82" spans="1:37" x14ac:dyDescent="0.25">
      <c r="A82" s="132"/>
      <c r="B82" s="148"/>
      <c r="C82" s="159"/>
      <c r="D82" s="159"/>
      <c r="E82" s="159"/>
      <c r="F82" s="159"/>
      <c r="G82" s="159"/>
      <c r="H82" s="159"/>
      <c r="I82" s="159"/>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row>
    <row r="83" spans="1:37" ht="19.5" thickBot="1" x14ac:dyDescent="0.3">
      <c r="A83" s="132"/>
      <c r="B83" s="121" t="s">
        <v>185</v>
      </c>
      <c r="C83" s="121"/>
      <c r="D83" s="121"/>
      <c r="E83" s="121"/>
      <c r="F83" s="121"/>
      <c r="G83" s="121"/>
      <c r="H83" s="121"/>
      <c r="I83" s="121"/>
      <c r="J83" s="114"/>
      <c r="K83" s="114"/>
      <c r="L83" s="114"/>
      <c r="M83" s="114"/>
      <c r="N83" s="114"/>
      <c r="O83" s="114"/>
      <c r="P83" s="114"/>
      <c r="Q83" s="114"/>
      <c r="R83" s="114"/>
      <c r="S83" s="114"/>
      <c r="T83" s="114"/>
      <c r="U83" s="114"/>
      <c r="W83" s="114"/>
      <c r="X83" s="114"/>
      <c r="Y83" s="114"/>
      <c r="Z83" s="114"/>
      <c r="AA83" s="114"/>
      <c r="AB83" s="114"/>
      <c r="AC83" s="114"/>
      <c r="AD83" s="114"/>
      <c r="AE83" s="114"/>
      <c r="AF83" s="114"/>
      <c r="AG83" s="114"/>
      <c r="AH83" s="114"/>
      <c r="AI83" s="114"/>
      <c r="AJ83" s="114"/>
      <c r="AK83" s="114"/>
    </row>
    <row r="84" spans="1:37" ht="21.75" customHeight="1" outlineLevel="1" x14ac:dyDescent="0.25">
      <c r="A84" s="132"/>
      <c r="C84" s="273" t="str">
        <f>$C$9</f>
        <v>Forecast</v>
      </c>
      <c r="D84" s="273"/>
      <c r="E84" s="273"/>
      <c r="F84" s="273"/>
      <c r="G84" s="273"/>
      <c r="H84" s="273"/>
      <c r="I84" s="273"/>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row>
    <row r="85" spans="1:37" ht="21.75" customHeight="1" outlineLevel="1" x14ac:dyDescent="0.25">
      <c r="A85" s="132"/>
      <c r="C85" s="275" t="s">
        <v>123</v>
      </c>
      <c r="D85" s="275"/>
      <c r="E85" s="275"/>
      <c r="F85" s="275"/>
      <c r="G85" s="275"/>
      <c r="H85" s="275"/>
      <c r="I85" s="275"/>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row>
    <row r="86" spans="1:37" ht="21.75" customHeight="1" outlineLevel="1" thickBot="1" x14ac:dyDescent="0.3">
      <c r="A86" s="132"/>
      <c r="C86" s="160" t="str">
        <f>C$11</f>
        <v>RY22</v>
      </c>
      <c r="D86" s="160" t="str">
        <f t="shared" ref="D86:I86" si="19">D$11</f>
        <v>RY23</v>
      </c>
      <c r="E86" s="160" t="str">
        <f t="shared" si="19"/>
        <v>RY24</v>
      </c>
      <c r="F86" s="160" t="str">
        <f t="shared" si="19"/>
        <v>RY25</v>
      </c>
      <c r="G86" s="160" t="str">
        <f t="shared" si="19"/>
        <v>RY26</v>
      </c>
      <c r="H86" s="160" t="str">
        <f t="shared" si="19"/>
        <v>RY27</v>
      </c>
      <c r="I86" s="160" t="str">
        <f t="shared" si="19"/>
        <v>RY28</v>
      </c>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row>
    <row r="87" spans="1:37" ht="20.25" customHeight="1" outlineLevel="1" thickBot="1" x14ac:dyDescent="0.3">
      <c r="A87" s="132"/>
      <c r="B87" s="162" t="s">
        <v>186</v>
      </c>
      <c r="C87" s="131"/>
      <c r="D87" s="131"/>
      <c r="E87" s="131"/>
      <c r="F87" s="131"/>
      <c r="G87" s="131"/>
      <c r="H87" s="131"/>
      <c r="I87" s="131"/>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row>
    <row r="88" spans="1:37" outlineLevel="2" x14ac:dyDescent="0.25">
      <c r="A88" s="132" t="s">
        <v>187</v>
      </c>
      <c r="B88" s="133" t="str">
        <f>Lookup!$D$126</f>
        <v>Overhead assets</v>
      </c>
      <c r="C88" s="164">
        <f>IF(C29=0,0,Input_AssetLives!$O13)</f>
        <v>40.1</v>
      </c>
      <c r="D88" s="165">
        <f>IF(D29=0,0,Input_AssetLives!$O13)</f>
        <v>40.1</v>
      </c>
      <c r="E88" s="163">
        <f>IF(E29=0,0,Input_AssetLives!$O13)</f>
        <v>40.1</v>
      </c>
      <c r="F88" s="164">
        <f>IF(F29=0,0,Input_AssetLives!$O13)</f>
        <v>40.1</v>
      </c>
      <c r="G88" s="164">
        <f>IF(G29=0,0,Input_AssetLives!$O13)</f>
        <v>40.1</v>
      </c>
      <c r="H88" s="164">
        <f>IF(H29=0,0,Input_AssetLives!$O13)</f>
        <v>40.1</v>
      </c>
      <c r="I88" s="165">
        <f>IF(I29=0,0,Input_AssetLives!$O13)</f>
        <v>40.1</v>
      </c>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row>
    <row r="89" spans="1:37" outlineLevel="2" x14ac:dyDescent="0.25">
      <c r="A89" s="132" t="s">
        <v>188</v>
      </c>
      <c r="B89" s="155" t="str">
        <f>Lookup!$D$127</f>
        <v>Underground assets</v>
      </c>
      <c r="C89" s="167">
        <f>IF(C36=0,0,Input_AssetLives!$O14)</f>
        <v>45</v>
      </c>
      <c r="D89" s="168">
        <f>IF(D36=0,0,Input_AssetLives!$O14)</f>
        <v>45</v>
      </c>
      <c r="E89" s="166">
        <f>IF(E36=0,0,Input_AssetLives!$O14)</f>
        <v>0</v>
      </c>
      <c r="F89" s="167">
        <f>IF(F36=0,0,Input_AssetLives!$O14)</f>
        <v>0</v>
      </c>
      <c r="G89" s="167">
        <f>IF(G36=0,0,Input_AssetLives!$O14)</f>
        <v>45</v>
      </c>
      <c r="H89" s="167">
        <f>IF(H36=0,0,Input_AssetLives!$O14)</f>
        <v>0</v>
      </c>
      <c r="I89" s="168">
        <f>IF(I36=0,0,Input_AssetLives!$O14)</f>
        <v>45</v>
      </c>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row>
    <row r="90" spans="1:37" outlineLevel="2" x14ac:dyDescent="0.25">
      <c r="A90" s="132" t="s">
        <v>189</v>
      </c>
      <c r="B90" s="155" t="str">
        <f>Lookup!$D$128</f>
        <v>Switchyards, substations</v>
      </c>
      <c r="C90" s="167">
        <f>IF(C43=0,0,Input_AssetLives!$O15)</f>
        <v>40</v>
      </c>
      <c r="D90" s="168">
        <f>IF(D43=0,0,Input_AssetLives!$O15)</f>
        <v>40</v>
      </c>
      <c r="E90" s="166">
        <f>IF(E43=0,0,Input_AssetLives!$O15)</f>
        <v>40</v>
      </c>
      <c r="F90" s="167">
        <f>IF(F43=0,0,Input_AssetLives!$O15)</f>
        <v>40</v>
      </c>
      <c r="G90" s="167">
        <f>IF(G43=0,0,Input_AssetLives!$O15)</f>
        <v>40</v>
      </c>
      <c r="H90" s="167">
        <f>IF(H43=0,0,Input_AssetLives!$O15)</f>
        <v>40</v>
      </c>
      <c r="I90" s="168">
        <f>IF(I43=0,0,Input_AssetLives!$O15)</f>
        <v>40</v>
      </c>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row>
    <row r="91" spans="1:37" outlineLevel="2" x14ac:dyDescent="0.25">
      <c r="A91" s="132" t="s">
        <v>190</v>
      </c>
      <c r="B91" s="155" t="str">
        <f>Lookup!$D$130</f>
        <v>“Other” asset items with long lives</v>
      </c>
      <c r="C91" s="167">
        <f>IF(C57=0,0,Input_AssetLives!$O17)</f>
        <v>13.3</v>
      </c>
      <c r="D91" s="168">
        <f>IF(D57=0,0,Input_AssetLives!$O17)</f>
        <v>13.3</v>
      </c>
      <c r="E91" s="166">
        <f>IF(E57=0,0,Input_AssetLives!$O17)</f>
        <v>13.3</v>
      </c>
      <c r="F91" s="167">
        <f>IF(F57=0,0,Input_AssetLives!$O17)</f>
        <v>13.3</v>
      </c>
      <c r="G91" s="167">
        <f>IF(G57=0,0,Input_AssetLives!$O17)</f>
        <v>13.3</v>
      </c>
      <c r="H91" s="167">
        <f>IF(H57=0,0,Input_AssetLives!$O17)</f>
        <v>13.3</v>
      </c>
      <c r="I91" s="168">
        <f>IF(I57=0,0,Input_AssetLives!$O17)</f>
        <v>13.3</v>
      </c>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row>
    <row r="92" spans="1:37" ht="15.75" outlineLevel="2" thickBot="1" x14ac:dyDescent="0.3">
      <c r="A92" s="132" t="s">
        <v>191</v>
      </c>
      <c r="B92" s="143" t="str">
        <f>Lookup!$D$131</f>
        <v>“Other” asset items with short lives</v>
      </c>
      <c r="C92" s="170">
        <f>IF(C64=0,0,Input_AssetLives!$O18)</f>
        <v>5</v>
      </c>
      <c r="D92" s="171">
        <f>IF(D64=0,0,Input_AssetLives!$O18)</f>
        <v>5</v>
      </c>
      <c r="E92" s="169">
        <f>IF(E64=0,0,Input_AssetLives!$O18)</f>
        <v>5</v>
      </c>
      <c r="F92" s="170">
        <f>IF(F64=0,0,Input_AssetLives!$O18)</f>
        <v>5</v>
      </c>
      <c r="G92" s="170">
        <f>IF(G64=0,0,Input_AssetLives!$O18)</f>
        <v>5</v>
      </c>
      <c r="H92" s="170">
        <f>IF(H64=0,0,Input_AssetLives!$O18)</f>
        <v>5</v>
      </c>
      <c r="I92" s="171">
        <f>IF(I64=0,0,Input_AssetLives!$O18)</f>
        <v>5</v>
      </c>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row>
    <row r="93" spans="1:37" ht="15.75" outlineLevel="1" thickBot="1" x14ac:dyDescent="0.3">
      <c r="A93" s="115"/>
      <c r="C93" s="159"/>
      <c r="D93" s="159"/>
      <c r="E93" s="159"/>
      <c r="F93" s="159"/>
      <c r="G93" s="159"/>
      <c r="H93" s="159"/>
      <c r="I93" s="159"/>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row>
    <row r="94" spans="1:37" ht="20.25" customHeight="1" outlineLevel="1" thickBot="1" x14ac:dyDescent="0.3">
      <c r="A94" s="132"/>
      <c r="B94" s="162" t="s">
        <v>192</v>
      </c>
      <c r="C94" s="131"/>
      <c r="D94" s="131"/>
      <c r="E94" s="131"/>
      <c r="F94" s="131"/>
      <c r="G94" s="131"/>
      <c r="H94" s="131"/>
      <c r="I94" s="131"/>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row>
    <row r="95" spans="1:37" outlineLevel="2" x14ac:dyDescent="0.25">
      <c r="A95" s="132" t="s">
        <v>193</v>
      </c>
      <c r="B95" s="133" t="str">
        <f>Lookup!$D$126</f>
        <v>Overhead assets</v>
      </c>
      <c r="C95" s="164">
        <f>IFERROR(MAX(MIN(-C26/C28,Input_AssetLives!$O$13),0),"")</f>
        <v>19.980157400098342</v>
      </c>
      <c r="D95" s="165">
        <f>IFERROR(MAX(MIN(-D26/D28,Input_AssetLives!$O$13),0),"")</f>
        <v>20.017729339761015</v>
      </c>
      <c r="E95" s="163">
        <f>IFERROR(MAX(MIN(-E26/E28,Input_AssetLives!$O$13),0),"")</f>
        <v>19.243405732613709</v>
      </c>
      <c r="F95" s="164">
        <f>IFERROR(MAX(MIN(-F26/F28,Input_AssetLives!$O$13),0),"")</f>
        <v>20.666038779997969</v>
      </c>
      <c r="G95" s="164">
        <f>IFERROR(MAX(MIN(-G26/G28,Input_AssetLives!$O$13),0),"")</f>
        <v>23.660459241916136</v>
      </c>
      <c r="H95" s="164">
        <f>IFERROR(MAX(MIN(-H26/H28,Input_AssetLives!$O$13),0),"")</f>
        <v>22.96496829577514</v>
      </c>
      <c r="I95" s="165">
        <f>IFERROR(MAX(MIN(-I26/I28,Input_AssetLives!$O$13),0),"")</f>
        <v>22.194240493105724</v>
      </c>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row>
    <row r="96" spans="1:37" outlineLevel="2" x14ac:dyDescent="0.25">
      <c r="A96" s="132" t="s">
        <v>194</v>
      </c>
      <c r="B96" s="155" t="str">
        <f>Lookup!$D$127</f>
        <v>Underground assets</v>
      </c>
      <c r="C96" s="167">
        <f>IFERROR(MAX(MIN(-C33/C35,Input_AssetLives!$O$14),0),"")</f>
        <v>23.226030260800918</v>
      </c>
      <c r="D96" s="168">
        <f>IFERROR(MAX(MIN(-D33/D35,Input_AssetLives!$O$14),0),"")</f>
        <v>22.359145060409151</v>
      </c>
      <c r="E96" s="166">
        <f>IFERROR(MAX(MIN(-E33/E35,Input_AssetLives!$O$14),0),"")</f>
        <v>21.573138720697322</v>
      </c>
      <c r="F96" s="167">
        <f>IFERROR(MAX(MIN(-F33/F35,Input_AssetLives!$O$14),0),"")</f>
        <v>20.596098710259501</v>
      </c>
      <c r="G96" s="167">
        <f>IFERROR(MAX(MIN(-G33/G35,Input_AssetLives!$O$14),0),"")</f>
        <v>19.619058699821675</v>
      </c>
      <c r="H96" s="167">
        <f>IFERROR(MAX(MIN(-H33/H35,Input_AssetLives!$O$14),0),"")</f>
        <v>18.906245700782303</v>
      </c>
      <c r="I96" s="168">
        <f>IFERROR(MAX(MIN(-I33/I35,Input_AssetLives!$O$14),0),"")</f>
        <v>17.929205690344475</v>
      </c>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row>
    <row r="97" spans="1:37" outlineLevel="2" x14ac:dyDescent="0.25">
      <c r="A97" s="132" t="s">
        <v>195</v>
      </c>
      <c r="B97" s="155" t="str">
        <f>Lookup!$D$128</f>
        <v>Switchyards, substations</v>
      </c>
      <c r="C97" s="167">
        <f>IFERROR(MAX(MIN(-C40/C42,Input_AssetLives!$O$15),0),"")</f>
        <v>22.740255377066635</v>
      </c>
      <c r="D97" s="168">
        <f>IFERROR(MAX(MIN(-D40/D42,Input_AssetLives!$O$15),0),"")</f>
        <v>22.69343863266479</v>
      </c>
      <c r="E97" s="166">
        <f>IFERROR(MAX(MIN(-E40/E42,Input_AssetLives!$O$15),0),"")</f>
        <v>22.127648234352851</v>
      </c>
      <c r="F97" s="167">
        <f>IFERROR(MAX(MIN(-F40/F42,Input_AssetLives!$O$15),0),"")</f>
        <v>21.828532390219578</v>
      </c>
      <c r="G97" s="167">
        <f>IFERROR(MAX(MIN(-G40/G42,Input_AssetLives!$O$15),0),"")</f>
        <v>21.445636418913949</v>
      </c>
      <c r="H97" s="167">
        <f>IFERROR(MAX(MIN(-H40/H42,Input_AssetLives!$O$15),0),"")</f>
        <v>20.869884489625186</v>
      </c>
      <c r="I97" s="168">
        <f>IFERROR(MAX(MIN(-I40/I42,Input_AssetLives!$O$15),0),"")</f>
        <v>20.111414542935943</v>
      </c>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row>
    <row r="98" spans="1:37" outlineLevel="2" x14ac:dyDescent="0.25">
      <c r="A98" s="132" t="s">
        <v>196</v>
      </c>
      <c r="B98" s="155" t="str">
        <f>Lookup!$D$130</f>
        <v>“Other” asset items with long lives</v>
      </c>
      <c r="C98" s="167">
        <f>IFERROR(MAX(MIN(-C54/C56,Input_AssetLives!$O$17),0),"")</f>
        <v>10.476468598943082</v>
      </c>
      <c r="D98" s="168">
        <f>IFERROR(MAX(MIN(-D54/D56,Input_AssetLives!$O$17),0),"")</f>
        <v>11.727029054674007</v>
      </c>
      <c r="E98" s="166">
        <f>IFERROR(MAX(MIN(-E54/E56,Input_AssetLives!$O$17),0),"")</f>
        <v>13.3</v>
      </c>
      <c r="F98" s="167">
        <f>IFERROR(MAX(MIN(-F54/F56,Input_AssetLives!$O$17),0),"")</f>
        <v>13.3</v>
      </c>
      <c r="G98" s="167">
        <f>IFERROR(MAX(MIN(-G54/G56,Input_AssetLives!$O$17),0),"")</f>
        <v>13.3</v>
      </c>
      <c r="H98" s="167">
        <f>IFERROR(MAX(MIN(-H54/H56,Input_AssetLives!$O$17),0),"")</f>
        <v>13.3</v>
      </c>
      <c r="I98" s="168">
        <f>IFERROR(MAX(MIN(-I54/I56,Input_AssetLives!$O$17),0),"")</f>
        <v>13.3</v>
      </c>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row>
    <row r="99" spans="1:37" ht="15.75" outlineLevel="2" thickBot="1" x14ac:dyDescent="0.3">
      <c r="A99" s="132" t="s">
        <v>197</v>
      </c>
      <c r="B99" s="143" t="str">
        <f>Lookup!$D$131</f>
        <v>“Other” asset items with short lives</v>
      </c>
      <c r="C99" s="170">
        <f>IFERROR(MAX(MIN(-C61/C63,Input_AssetLives!$O$18),0),"")</f>
        <v>2.7909044820220141</v>
      </c>
      <c r="D99" s="171">
        <f>IFERROR(MAX(MIN(-D61/D63,Input_AssetLives!$O$18),0),"")</f>
        <v>3.0704903038039237</v>
      </c>
      <c r="E99" s="169">
        <f>IFERROR(MAX(MIN(-E61/E63,Input_AssetLives!$O$18),0),"")</f>
        <v>3.3598960635232995</v>
      </c>
      <c r="F99" s="170">
        <f>IFERROR(MAX(MIN(-F61/F63,Input_AssetLives!$O$18),0),"")</f>
        <v>3.0960791908774334</v>
      </c>
      <c r="G99" s="170">
        <f>IFERROR(MAX(MIN(-G61/G63,Input_AssetLives!$O$18),0),"")</f>
        <v>3.6553161020548819</v>
      </c>
      <c r="H99" s="170">
        <f>IFERROR(MAX(MIN(-H61/H63,Input_AssetLives!$O$18),0),"")</f>
        <v>4.2577268148959098</v>
      </c>
      <c r="I99" s="171">
        <f>IFERROR(MAX(MIN(-I61/I63,Input_AssetLives!$O$18),0),"")</f>
        <v>3.8214376894943274</v>
      </c>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row>
    <row r="100" spans="1:37" outlineLevel="1" x14ac:dyDescent="0.25">
      <c r="A100" s="120"/>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row>
    <row r="101" spans="1:37" outlineLevel="1" x14ac:dyDescent="0.25">
      <c r="A101" s="120"/>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row>
    <row r="102" spans="1:37" x14ac:dyDescent="0.25">
      <c r="A102" s="120"/>
      <c r="B102" s="148"/>
      <c r="C102" s="148"/>
      <c r="D102" s="148"/>
      <c r="E102" s="148"/>
      <c r="F102" s="148"/>
      <c r="G102" s="148"/>
      <c r="H102" s="148"/>
      <c r="I102" s="148"/>
      <c r="J102" s="148"/>
      <c r="K102" s="114"/>
      <c r="L102" s="114"/>
      <c r="M102" s="114"/>
      <c r="N102" s="114"/>
      <c r="O102" s="114"/>
      <c r="P102" s="114"/>
      <c r="Q102" s="114"/>
      <c r="R102" s="114"/>
      <c r="S102" s="114"/>
      <c r="T102" s="114"/>
      <c r="U102" s="114"/>
      <c r="V102" s="114"/>
      <c r="W102" s="114"/>
      <c r="X102" s="114"/>
      <c r="Y102" s="114"/>
      <c r="Z102" s="114"/>
      <c r="AA102" s="114"/>
      <c r="AB102" s="114"/>
      <c r="AC102" s="114"/>
      <c r="AD102" s="114"/>
    </row>
    <row r="103" spans="1:37" x14ac:dyDescent="0.25">
      <c r="A103" s="120"/>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row>
    <row r="104" spans="1:37" x14ac:dyDescent="0.25">
      <c r="A104" s="120"/>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row>
    <row r="105" spans="1:37" x14ac:dyDescent="0.25">
      <c r="A105" s="120"/>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row>
    <row r="106" spans="1:37" x14ac:dyDescent="0.25">
      <c r="A106" s="120"/>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row>
    <row r="107" spans="1:37" x14ac:dyDescent="0.25">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row>
    <row r="108" spans="1:37" x14ac:dyDescent="0.25">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row>
    <row r="109" spans="1:37" x14ac:dyDescent="0.25">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row>
    <row r="110" spans="1:37" x14ac:dyDescent="0.25">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row>
    <row r="111" spans="1:37" x14ac:dyDescent="0.25">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row>
    <row r="112" spans="1:37" x14ac:dyDescent="0.25">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row>
    <row r="113" spans="2:30" x14ac:dyDescent="0.25">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row>
    <row r="114" spans="2:30" x14ac:dyDescent="0.25">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row>
    <row r="115" spans="2:30" x14ac:dyDescent="0.25">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row>
    <row r="116" spans="2:30" x14ac:dyDescent="0.25">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row>
    <row r="117" spans="2:30" x14ac:dyDescent="0.25">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row>
    <row r="118" spans="2:30" x14ac:dyDescent="0.25">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row>
    <row r="119" spans="2:30" x14ac:dyDescent="0.25">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row>
    <row r="120" spans="2:30" x14ac:dyDescent="0.25">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row>
    <row r="121" spans="2:30" x14ac:dyDescent="0.25">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row>
    <row r="122" spans="2:30" x14ac:dyDescent="0.25">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row>
    <row r="123" spans="2:30" x14ac:dyDescent="0.25">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row>
    <row r="124" spans="2:30" x14ac:dyDescent="0.25">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row>
    <row r="125" spans="2:30" x14ac:dyDescent="0.25">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row>
    <row r="126" spans="2:30" x14ac:dyDescent="0.25">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row>
    <row r="127" spans="2:30" x14ac:dyDescent="0.25">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row>
    <row r="128" spans="2:30" x14ac:dyDescent="0.25">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row>
    <row r="129" spans="2:30" x14ac:dyDescent="0.25">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row>
    <row r="130" spans="2:30" x14ac:dyDescent="0.25">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row>
    <row r="131" spans="2:30" x14ac:dyDescent="0.25">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row>
    <row r="132" spans="2:30" x14ac:dyDescent="0.25">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row>
    <row r="133" spans="2:30" x14ac:dyDescent="0.25">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row>
    <row r="134" spans="2:30" x14ac:dyDescent="0.25">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row>
    <row r="135" spans="2:30" x14ac:dyDescent="0.25">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row>
    <row r="136" spans="2:30" x14ac:dyDescent="0.25">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row>
    <row r="137" spans="2:30" x14ac:dyDescent="0.25">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row>
    <row r="138" spans="2:30" x14ac:dyDescent="0.25">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row>
    <row r="139" spans="2:30" x14ac:dyDescent="0.25">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row>
    <row r="140" spans="2:30" x14ac:dyDescent="0.25">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row>
    <row r="141" spans="2:30" x14ac:dyDescent="0.25">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row>
    <row r="142" spans="2:30" x14ac:dyDescent="0.25">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row>
    <row r="143" spans="2:30" x14ac:dyDescent="0.25">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row>
    <row r="144" spans="2:30" x14ac:dyDescent="0.25">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row>
    <row r="145" spans="2:30" x14ac:dyDescent="0.25">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row>
    <row r="146" spans="2:30" x14ac:dyDescent="0.25">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row>
    <row r="147" spans="2:30" x14ac:dyDescent="0.25">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row>
    <row r="148" spans="2:30" x14ac:dyDescent="0.25">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row>
    <row r="149" spans="2:30" x14ac:dyDescent="0.25">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row>
    <row r="150" spans="2:30" x14ac:dyDescent="0.25">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row>
    <row r="151" spans="2:30" x14ac:dyDescent="0.25">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row>
    <row r="152" spans="2:30" x14ac:dyDescent="0.25">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row>
    <row r="153" spans="2:30" x14ac:dyDescent="0.25">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row>
    <row r="154" spans="2:30" x14ac:dyDescent="0.25">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row>
    <row r="155" spans="2:30" x14ac:dyDescent="0.25">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row>
    <row r="156" spans="2:30" x14ac:dyDescent="0.25">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row>
    <row r="157" spans="2:30" x14ac:dyDescent="0.25">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row>
    <row r="158" spans="2:30" x14ac:dyDescent="0.25">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row>
    <row r="159" spans="2:30" x14ac:dyDescent="0.25">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row>
    <row r="160" spans="2:30" x14ac:dyDescent="0.25">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row>
    <row r="161" spans="2:30" x14ac:dyDescent="0.25">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row>
    <row r="162" spans="2:30" x14ac:dyDescent="0.25">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row>
    <row r="163" spans="2:30" x14ac:dyDescent="0.25">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row>
    <row r="164" spans="2:30" x14ac:dyDescent="0.25">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row>
  </sheetData>
  <mergeCells count="8">
    <mergeCell ref="C84:I84"/>
    <mergeCell ref="C85:I85"/>
    <mergeCell ref="C9:I9"/>
    <mergeCell ref="C10:I10"/>
    <mergeCell ref="C22:I22"/>
    <mergeCell ref="C23:I23"/>
    <mergeCell ref="C72:I72"/>
    <mergeCell ref="C73:I73"/>
  </mergeCells>
  <dataValidations count="1">
    <dataValidation allowBlank="1" showInputMessage="1" showErrorMessage="1" sqref="J100:U101 I11 I24 C25:I71 C13:I21 I74 C75:I101"/>
  </dataValidations>
  <pageMargins left="0.7" right="0.7" top="0.75" bottom="0.75" header="0.3" footer="0.3"/>
  <pageSetup paperSize="8" scale="56" fitToHeight="0" orientation="landscape" r:id="rId1"/>
  <rowBreaks count="1" manualBreakCount="1">
    <brk id="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E133"/>
  <sheetViews>
    <sheetView showGridLines="0" zoomScaleNormal="10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ColWidth="9.33203125" defaultRowHeight="11.25" outlineLevelRow="1" x14ac:dyDescent="0.2"/>
  <cols>
    <col min="1" max="3" width="2.83203125" style="1" customWidth="1"/>
    <col min="4" max="4" width="34" style="1" customWidth="1"/>
    <col min="5" max="6" width="30.83203125" style="1" customWidth="1"/>
    <col min="7" max="9" width="10.83203125" style="1" customWidth="1"/>
    <col min="10" max="18" width="12.83203125" style="1" customWidth="1"/>
    <col min="19" max="27" width="12.83203125" style="7" customWidth="1"/>
    <col min="28" max="28" width="12.83203125" style="1" customWidth="1"/>
    <col min="29" max="35" width="10.83203125" style="1" customWidth="1"/>
    <col min="36" max="16384" width="9.33203125" style="1"/>
  </cols>
  <sheetData>
    <row r="1" spans="2:28" ht="19.5" x14ac:dyDescent="0.2">
      <c r="B1" s="5" t="s">
        <v>46</v>
      </c>
    </row>
    <row r="2" spans="2:28" x14ac:dyDescent="0.2">
      <c r="B2" s="18" t="str">
        <f>Title_Msg</f>
        <v>No Errors Found</v>
      </c>
    </row>
    <row r="3" spans="2:28" s="7" customFormat="1" x14ac:dyDescent="0.2">
      <c r="B3" s="35" t="str">
        <f>TOC!B1</f>
        <v>Table of Contents</v>
      </c>
      <c r="C3" s="34"/>
      <c r="D3" s="34"/>
      <c r="E3" s="34"/>
    </row>
    <row r="4" spans="2:28" s="7" customFormat="1" ht="12.75" x14ac:dyDescent="0.2">
      <c r="B4" s="33" t="str">
        <f>Model_Name</f>
        <v>TransGrid - EB RIN RAB Allocation</v>
      </c>
    </row>
    <row r="5" spans="2:28" s="7" customFormat="1" x14ac:dyDescent="0.2"/>
    <row r="6" spans="2:28" s="4" customFormat="1" ht="15.75" x14ac:dyDescent="0.2">
      <c r="B6" s="4" t="s">
        <v>31</v>
      </c>
    </row>
    <row r="7" spans="2:28" s="2" customFormat="1" ht="6.75" customHeight="1" x14ac:dyDescent="0.2">
      <c r="S7" s="6"/>
      <c r="T7" s="6"/>
      <c r="U7" s="6"/>
      <c r="V7" s="6"/>
      <c r="W7" s="6"/>
      <c r="X7" s="6"/>
      <c r="Y7" s="6"/>
      <c r="Z7" s="6"/>
      <c r="AA7" s="6"/>
    </row>
    <row r="8" spans="2:28" s="13" customFormat="1" ht="15" x14ac:dyDescent="0.2">
      <c r="C8" s="13" t="s">
        <v>59</v>
      </c>
    </row>
    <row r="9" spans="2:28" s="2" customFormat="1" x14ac:dyDescent="0.2">
      <c r="D9" s="3"/>
      <c r="S9" s="6"/>
      <c r="T9" s="6"/>
      <c r="U9" s="6"/>
      <c r="V9" s="6"/>
      <c r="W9" s="6"/>
      <c r="X9" s="6"/>
      <c r="Y9" s="6"/>
      <c r="Z9" s="6"/>
      <c r="AA9" s="6"/>
    </row>
    <row r="10" spans="2:28" s="6" customFormat="1" ht="12.75" x14ac:dyDescent="0.2">
      <c r="D10" s="16" t="s">
        <v>58</v>
      </c>
      <c r="E10" s="36">
        <v>39995</v>
      </c>
    </row>
    <row r="11" spans="2:28" s="7" customFormat="1" ht="12.75" x14ac:dyDescent="0.2">
      <c r="D11" s="16" t="s">
        <v>61</v>
      </c>
      <c r="E11" s="17">
        <v>2022</v>
      </c>
      <c r="L11" s="23"/>
      <c r="M11" s="24"/>
      <c r="N11" s="24"/>
      <c r="O11" s="24"/>
    </row>
    <row r="12" spans="2:28" s="7" customFormat="1" x14ac:dyDescent="0.2">
      <c r="L12" s="23"/>
      <c r="M12" s="24"/>
      <c r="N12" s="24"/>
      <c r="O12" s="24"/>
    </row>
    <row r="13" spans="2:28" s="13" customFormat="1" ht="15" x14ac:dyDescent="0.2">
      <c r="C13" s="13" t="s">
        <v>60</v>
      </c>
    </row>
    <row r="14" spans="2:28" s="7" customFormat="1" x14ac:dyDescent="0.2">
      <c r="L14" s="23"/>
      <c r="M14" s="24"/>
      <c r="N14" s="24"/>
      <c r="O14" s="24"/>
    </row>
    <row r="15" spans="2:28" s="7" customFormat="1" ht="12.75" outlineLevel="1" x14ac:dyDescent="0.2">
      <c r="B15" s="16" t="s">
        <v>56</v>
      </c>
      <c r="J15" s="37">
        <f t="shared" ref="J15:R15" si="0">IF(J17=1,Model_Start_Date,I16+1)</f>
        <v>39995</v>
      </c>
      <c r="K15" s="37">
        <f t="shared" si="0"/>
        <v>40360</v>
      </c>
      <c r="L15" s="37">
        <f t="shared" si="0"/>
        <v>40725</v>
      </c>
      <c r="M15" s="37">
        <f t="shared" si="0"/>
        <v>41091</v>
      </c>
      <c r="N15" s="37">
        <f t="shared" si="0"/>
        <v>41456</v>
      </c>
      <c r="O15" s="37">
        <f t="shared" si="0"/>
        <v>41821</v>
      </c>
      <c r="P15" s="37">
        <f t="shared" si="0"/>
        <v>42186</v>
      </c>
      <c r="Q15" s="37">
        <f t="shared" si="0"/>
        <v>42552</v>
      </c>
      <c r="R15" s="37">
        <f t="shared" si="0"/>
        <v>42917</v>
      </c>
      <c r="S15" s="37">
        <f t="shared" ref="S15" si="1">IF(S17=1,Model_Start_Date,R16+1)</f>
        <v>43282</v>
      </c>
      <c r="T15" s="37">
        <f t="shared" ref="T15" si="2">IF(T17=1,Model_Start_Date,S16+1)</f>
        <v>43647</v>
      </c>
      <c r="U15" s="37">
        <f t="shared" ref="U15" si="3">IF(U17=1,Model_Start_Date,T16+1)</f>
        <v>44013</v>
      </c>
      <c r="V15" s="37">
        <f t="shared" ref="V15" si="4">IF(V17=1,Model_Start_Date,U16+1)</f>
        <v>44378</v>
      </c>
      <c r="W15" s="37">
        <f t="shared" ref="W15" si="5">IF(W17=1,Model_Start_Date,V16+1)</f>
        <v>44743</v>
      </c>
      <c r="X15" s="37">
        <f t="shared" ref="X15" si="6">IF(X17=1,Model_Start_Date,W16+1)</f>
        <v>45108</v>
      </c>
      <c r="Y15" s="37">
        <f t="shared" ref="Y15" si="7">IF(Y17=1,Model_Start_Date,X16+1)</f>
        <v>45474</v>
      </c>
      <c r="Z15" s="37">
        <f t="shared" ref="Z15" si="8">IF(Z17=1,Model_Start_Date,Y16+1)</f>
        <v>45839</v>
      </c>
      <c r="AA15" s="37">
        <f t="shared" ref="AA15" si="9">IF(AA17=1,Model_Start_Date,Z16+1)</f>
        <v>46204</v>
      </c>
      <c r="AB15" s="37">
        <f t="shared" ref="AB15" si="10">IF(AB17=1,Model_Start_Date,AA16+1)</f>
        <v>46569</v>
      </c>
    </row>
    <row r="16" spans="2:28" s="7" customFormat="1" ht="12.75" outlineLevel="1" x14ac:dyDescent="0.2">
      <c r="B16" s="16" t="s">
        <v>57</v>
      </c>
      <c r="J16" s="37">
        <f t="shared" ref="J16:R16" si="11">EOMONTH(J15,Mths_In_Yr-1)</f>
        <v>40359</v>
      </c>
      <c r="K16" s="37">
        <f t="shared" si="11"/>
        <v>40724</v>
      </c>
      <c r="L16" s="37">
        <f t="shared" si="11"/>
        <v>41090</v>
      </c>
      <c r="M16" s="37">
        <f t="shared" si="11"/>
        <v>41455</v>
      </c>
      <c r="N16" s="37">
        <f t="shared" si="11"/>
        <v>41820</v>
      </c>
      <c r="O16" s="37">
        <f t="shared" si="11"/>
        <v>42185</v>
      </c>
      <c r="P16" s="37">
        <f t="shared" si="11"/>
        <v>42551</v>
      </c>
      <c r="Q16" s="37">
        <f t="shared" si="11"/>
        <v>42916</v>
      </c>
      <c r="R16" s="37">
        <f t="shared" si="11"/>
        <v>43281</v>
      </c>
      <c r="S16" s="37">
        <f t="shared" ref="S16:AB16" si="12">EOMONTH(S15,Mths_In_Yr-1)</f>
        <v>43646</v>
      </c>
      <c r="T16" s="37">
        <f t="shared" si="12"/>
        <v>44012</v>
      </c>
      <c r="U16" s="37">
        <f t="shared" si="12"/>
        <v>44377</v>
      </c>
      <c r="V16" s="37">
        <f t="shared" si="12"/>
        <v>44742</v>
      </c>
      <c r="W16" s="37">
        <f t="shared" ref="W16:AA16" si="13">EOMONTH(W15,Mths_In_Yr-1)</f>
        <v>45107</v>
      </c>
      <c r="X16" s="37">
        <f t="shared" si="13"/>
        <v>45473</v>
      </c>
      <c r="Y16" s="37">
        <f t="shared" si="13"/>
        <v>45838</v>
      </c>
      <c r="Z16" s="37">
        <f t="shared" si="13"/>
        <v>46203</v>
      </c>
      <c r="AA16" s="37">
        <f t="shared" si="13"/>
        <v>46568</v>
      </c>
      <c r="AB16" s="37">
        <f t="shared" si="12"/>
        <v>46934</v>
      </c>
    </row>
    <row r="17" spans="2:31" s="7" customFormat="1" ht="12.75" outlineLevel="1" x14ac:dyDescent="0.2">
      <c r="B17" s="16" t="s">
        <v>55</v>
      </c>
      <c r="J17" s="28">
        <f>N(I17)+1</f>
        <v>1</v>
      </c>
      <c r="K17" s="28">
        <f t="shared" ref="K17:R17" si="14">N(J17)+1</f>
        <v>2</v>
      </c>
      <c r="L17" s="28">
        <f t="shared" si="14"/>
        <v>3</v>
      </c>
      <c r="M17" s="28">
        <f t="shared" si="14"/>
        <v>4</v>
      </c>
      <c r="N17" s="28">
        <f t="shared" si="14"/>
        <v>5</v>
      </c>
      <c r="O17" s="28">
        <f t="shared" si="14"/>
        <v>6</v>
      </c>
      <c r="P17" s="28">
        <f t="shared" si="14"/>
        <v>7</v>
      </c>
      <c r="Q17" s="28">
        <f t="shared" si="14"/>
        <v>8</v>
      </c>
      <c r="R17" s="28">
        <f t="shared" si="14"/>
        <v>9</v>
      </c>
      <c r="S17" s="28">
        <f t="shared" ref="S17" si="15">N(R17)+1</f>
        <v>10</v>
      </c>
      <c r="T17" s="28">
        <f t="shared" ref="T17" si="16">N(S17)+1</f>
        <v>11</v>
      </c>
      <c r="U17" s="28">
        <f t="shared" ref="U17" si="17">N(T17)+1</f>
        <v>12</v>
      </c>
      <c r="V17" s="28">
        <f t="shared" ref="V17" si="18">N(U17)+1</f>
        <v>13</v>
      </c>
      <c r="W17" s="28">
        <f t="shared" ref="W17" si="19">N(V17)+1</f>
        <v>14</v>
      </c>
      <c r="X17" s="28">
        <f t="shared" ref="X17" si="20">N(W17)+1</f>
        <v>15</v>
      </c>
      <c r="Y17" s="28">
        <f t="shared" ref="Y17" si="21">N(X17)+1</f>
        <v>16</v>
      </c>
      <c r="Z17" s="28">
        <f t="shared" ref="Z17" si="22">N(Y17)+1</f>
        <v>17</v>
      </c>
      <c r="AA17" s="28">
        <f t="shared" ref="AA17" si="23">N(Z17)+1</f>
        <v>18</v>
      </c>
      <c r="AB17" s="28">
        <f t="shared" ref="AB17" si="24">N(AA17)+1</f>
        <v>19</v>
      </c>
    </row>
    <row r="18" spans="2:31" s="7" customFormat="1" ht="12.75" outlineLevel="1" x14ac:dyDescent="0.2">
      <c r="B18" s="16" t="s">
        <v>62</v>
      </c>
      <c r="J18" s="12">
        <f>YEAR(J16)</f>
        <v>2010</v>
      </c>
      <c r="K18" s="12">
        <f t="shared" ref="K18:R18" si="25">YEAR(K16)</f>
        <v>2011</v>
      </c>
      <c r="L18" s="12">
        <f t="shared" si="25"/>
        <v>2012</v>
      </c>
      <c r="M18" s="12">
        <f t="shared" si="25"/>
        <v>2013</v>
      </c>
      <c r="N18" s="12">
        <f t="shared" si="25"/>
        <v>2014</v>
      </c>
      <c r="O18" s="12">
        <f t="shared" si="25"/>
        <v>2015</v>
      </c>
      <c r="P18" s="12">
        <f t="shared" si="25"/>
        <v>2016</v>
      </c>
      <c r="Q18" s="12">
        <f t="shared" si="25"/>
        <v>2017</v>
      </c>
      <c r="R18" s="12">
        <f t="shared" si="25"/>
        <v>2018</v>
      </c>
      <c r="S18" s="12">
        <f t="shared" ref="S18:AB18" si="26">YEAR(S16)</f>
        <v>2019</v>
      </c>
      <c r="T18" s="12">
        <f t="shared" si="26"/>
        <v>2020</v>
      </c>
      <c r="U18" s="12">
        <f t="shared" si="26"/>
        <v>2021</v>
      </c>
      <c r="V18" s="12">
        <f t="shared" si="26"/>
        <v>2022</v>
      </c>
      <c r="W18" s="12">
        <f t="shared" ref="W18:AA18" si="27">YEAR(W16)</f>
        <v>2023</v>
      </c>
      <c r="X18" s="12">
        <f t="shared" si="27"/>
        <v>2024</v>
      </c>
      <c r="Y18" s="12">
        <f t="shared" si="27"/>
        <v>2025</v>
      </c>
      <c r="Z18" s="12">
        <f t="shared" si="27"/>
        <v>2026</v>
      </c>
      <c r="AA18" s="12">
        <f t="shared" si="27"/>
        <v>2027</v>
      </c>
      <c r="AB18" s="12">
        <f t="shared" si="26"/>
        <v>2028</v>
      </c>
    </row>
    <row r="19" spans="2:31" s="7" customFormat="1" ht="12.75" outlineLevel="1" x14ac:dyDescent="0.2">
      <c r="B19" s="16" t="s">
        <v>63</v>
      </c>
      <c r="J19" s="19" t="s">
        <v>64</v>
      </c>
      <c r="K19" s="19" t="s">
        <v>64</v>
      </c>
      <c r="L19" s="19" t="s">
        <v>64</v>
      </c>
      <c r="M19" s="19" t="s">
        <v>64</v>
      </c>
      <c r="N19" s="19" t="s">
        <v>64</v>
      </c>
      <c r="O19" s="19" t="s">
        <v>64</v>
      </c>
      <c r="P19" s="19" t="s">
        <v>64</v>
      </c>
      <c r="Q19" s="19" t="s">
        <v>64</v>
      </c>
      <c r="R19" s="19" t="s">
        <v>64</v>
      </c>
      <c r="S19" s="19" t="s">
        <v>64</v>
      </c>
      <c r="T19" s="19" t="s">
        <v>64</v>
      </c>
      <c r="U19" s="19" t="s">
        <v>64</v>
      </c>
      <c r="V19" s="19" t="s">
        <v>61</v>
      </c>
      <c r="W19" s="19" t="s">
        <v>210</v>
      </c>
      <c r="X19" s="19" t="s">
        <v>65</v>
      </c>
      <c r="Y19" s="19" t="s">
        <v>65</v>
      </c>
      <c r="Z19" s="19" t="s">
        <v>65</v>
      </c>
      <c r="AA19" s="19" t="s">
        <v>65</v>
      </c>
      <c r="AB19" s="19" t="s">
        <v>65</v>
      </c>
    </row>
    <row r="20" spans="2:31" s="7" customFormat="1" ht="12.75" x14ac:dyDescent="0.2">
      <c r="B20" s="14" t="s">
        <v>66</v>
      </c>
      <c r="E20" s="20" t="s">
        <v>67</v>
      </c>
      <c r="F20" s="20" t="s">
        <v>68</v>
      </c>
      <c r="G20" s="20" t="s">
        <v>69</v>
      </c>
      <c r="H20" s="20" t="s">
        <v>70</v>
      </c>
      <c r="J20" s="38" t="str">
        <f>"RY"&amp;RIGHT(J18,2)</f>
        <v>RY10</v>
      </c>
      <c r="K20" s="38" t="str">
        <f t="shared" ref="K20:R20" si="28">"RY"&amp;RIGHT(K18,2)</f>
        <v>RY11</v>
      </c>
      <c r="L20" s="38" t="str">
        <f t="shared" si="28"/>
        <v>RY12</v>
      </c>
      <c r="M20" s="38" t="str">
        <f t="shared" si="28"/>
        <v>RY13</v>
      </c>
      <c r="N20" s="38" t="str">
        <f t="shared" si="28"/>
        <v>RY14</v>
      </c>
      <c r="O20" s="38" t="str">
        <f t="shared" si="28"/>
        <v>RY15</v>
      </c>
      <c r="P20" s="38" t="str">
        <f t="shared" si="28"/>
        <v>RY16</v>
      </c>
      <c r="Q20" s="38" t="str">
        <f t="shared" si="28"/>
        <v>RY17</v>
      </c>
      <c r="R20" s="38" t="str">
        <f t="shared" si="28"/>
        <v>RY18</v>
      </c>
      <c r="S20" s="38" t="str">
        <f t="shared" ref="S20:AB20" si="29">"RY"&amp;RIGHT(S18,2)</f>
        <v>RY19</v>
      </c>
      <c r="T20" s="38" t="str">
        <f t="shared" si="29"/>
        <v>RY20</v>
      </c>
      <c r="U20" s="38" t="str">
        <f t="shared" si="29"/>
        <v>RY21</v>
      </c>
      <c r="V20" s="38" t="str">
        <f t="shared" si="29"/>
        <v>RY22</v>
      </c>
      <c r="W20" s="38" t="str">
        <f t="shared" ref="W20:AA20" si="30">"RY"&amp;RIGHT(W18,2)</f>
        <v>RY23</v>
      </c>
      <c r="X20" s="38" t="str">
        <f t="shared" si="30"/>
        <v>RY24</v>
      </c>
      <c r="Y20" s="38" t="str">
        <f t="shared" si="30"/>
        <v>RY25</v>
      </c>
      <c r="Z20" s="38" t="str">
        <f t="shared" si="30"/>
        <v>RY26</v>
      </c>
      <c r="AA20" s="38" t="str">
        <f t="shared" si="30"/>
        <v>RY27</v>
      </c>
      <c r="AB20" s="38" t="str">
        <f t="shared" si="29"/>
        <v>RY28</v>
      </c>
      <c r="AD20" s="38" t="str">
        <f>J20&amp;"-"&amp;N20</f>
        <v>RY10-RY14</v>
      </c>
      <c r="AE20" s="38" t="str">
        <f>O20&amp;"-"&amp;AB20</f>
        <v>RY15-RY28</v>
      </c>
    </row>
    <row r="21" spans="2:31" s="7" customFormat="1" x14ac:dyDescent="0.2">
      <c r="L21" s="23"/>
      <c r="M21" s="24"/>
      <c r="N21" s="24"/>
      <c r="O21" s="24"/>
    </row>
    <row r="22" spans="2:31" s="4" customFormat="1" ht="15.75" x14ac:dyDescent="0.2">
      <c r="B22" s="4" t="s">
        <v>46</v>
      </c>
    </row>
    <row r="23" spans="2:31" s="7" customFormat="1" x14ac:dyDescent="0.2">
      <c r="L23" s="23"/>
      <c r="M23" s="24"/>
      <c r="N23" s="24"/>
      <c r="O23" s="24"/>
    </row>
    <row r="24" spans="2:31" ht="12.75" x14ac:dyDescent="0.2">
      <c r="C24" s="8" t="s">
        <v>0</v>
      </c>
      <c r="E24" s="20" t="s">
        <v>1</v>
      </c>
    </row>
    <row r="25" spans="2:31" x14ac:dyDescent="0.2">
      <c r="E25" s="21"/>
    </row>
    <row r="26" spans="2:31" ht="12.75" x14ac:dyDescent="0.2">
      <c r="D26" s="17">
        <v>1</v>
      </c>
      <c r="E26" s="22" t="s">
        <v>2</v>
      </c>
    </row>
    <row r="27" spans="2:31" ht="12.75" x14ac:dyDescent="0.2">
      <c r="D27" s="17">
        <v>3</v>
      </c>
      <c r="E27" s="22" t="s">
        <v>3</v>
      </c>
    </row>
    <row r="28" spans="2:31" s="7" customFormat="1" ht="12.75" x14ac:dyDescent="0.2">
      <c r="D28" s="17">
        <v>4</v>
      </c>
      <c r="E28" s="22" t="s">
        <v>34</v>
      </c>
    </row>
    <row r="29" spans="2:31" ht="12.75" x14ac:dyDescent="0.2">
      <c r="D29" s="17">
        <v>12</v>
      </c>
      <c r="E29" s="22" t="s">
        <v>4</v>
      </c>
    </row>
    <row r="30" spans="2:31" s="7" customFormat="1" ht="12.75" x14ac:dyDescent="0.2">
      <c r="D30" s="17">
        <v>7</v>
      </c>
      <c r="E30" s="22" t="s">
        <v>13</v>
      </c>
    </row>
    <row r="31" spans="2:31" s="7" customFormat="1" ht="12.75" x14ac:dyDescent="0.2">
      <c r="D31" s="17">
        <v>365</v>
      </c>
      <c r="E31" s="22" t="s">
        <v>47</v>
      </c>
    </row>
    <row r="32" spans="2:31" s="7" customFormat="1" ht="12.75" x14ac:dyDescent="0.2">
      <c r="D32" s="17">
        <v>0.5</v>
      </c>
      <c r="E32" s="22" t="s">
        <v>8</v>
      </c>
    </row>
    <row r="33" spans="3:5" ht="12.75" x14ac:dyDescent="0.2">
      <c r="D33" s="17" t="s">
        <v>6</v>
      </c>
      <c r="E33" s="22" t="s">
        <v>6</v>
      </c>
    </row>
    <row r="34" spans="3:5" s="7" customFormat="1" ht="12.75" x14ac:dyDescent="0.2">
      <c r="D34" s="17" t="s">
        <v>35</v>
      </c>
      <c r="E34" s="22" t="s">
        <v>36</v>
      </c>
    </row>
    <row r="35" spans="3:5" ht="12.75" x14ac:dyDescent="0.2">
      <c r="D35" s="17" t="s">
        <v>7</v>
      </c>
      <c r="E35" s="22" t="s">
        <v>7</v>
      </c>
    </row>
    <row r="36" spans="3:5" x14ac:dyDescent="0.2">
      <c r="E36" s="21"/>
    </row>
    <row r="37" spans="3:5" s="7" customFormat="1" ht="12.75" x14ac:dyDescent="0.2">
      <c r="C37" s="8" t="s">
        <v>0</v>
      </c>
      <c r="E37" s="20" t="s">
        <v>1</v>
      </c>
    </row>
    <row r="38" spans="3:5" s="7" customFormat="1" ht="12.75" x14ac:dyDescent="0.2">
      <c r="E38" s="22" t="s">
        <v>11</v>
      </c>
    </row>
    <row r="39" spans="3:5" s="7" customFormat="1" ht="12.75" x14ac:dyDescent="0.2">
      <c r="D39" s="17" t="s">
        <v>9</v>
      </c>
      <c r="E39" s="22" t="s">
        <v>9</v>
      </c>
    </row>
    <row r="40" spans="3:5" s="7" customFormat="1" ht="12.75" x14ac:dyDescent="0.2">
      <c r="D40" s="17" t="s">
        <v>10</v>
      </c>
      <c r="E40" s="22" t="s">
        <v>10</v>
      </c>
    </row>
    <row r="41" spans="3:5" s="7" customFormat="1" x14ac:dyDescent="0.2">
      <c r="E41" s="21"/>
    </row>
    <row r="42" spans="3:5" s="7" customFormat="1" ht="12.75" x14ac:dyDescent="0.2">
      <c r="C42" s="8" t="s">
        <v>73</v>
      </c>
      <c r="E42" s="20" t="s">
        <v>1</v>
      </c>
    </row>
    <row r="43" spans="3:5" s="7" customFormat="1" ht="12.75" x14ac:dyDescent="0.2">
      <c r="E43" s="22" t="s">
        <v>81</v>
      </c>
    </row>
    <row r="44" spans="3:5" s="7" customFormat="1" ht="12.75" x14ac:dyDescent="0.2">
      <c r="D44" s="17" t="s">
        <v>74</v>
      </c>
      <c r="E44" s="22" t="s">
        <v>74</v>
      </c>
    </row>
    <row r="45" spans="3:5" s="7" customFormat="1" ht="12.75" x14ac:dyDescent="0.2">
      <c r="D45" s="17" t="s">
        <v>75</v>
      </c>
      <c r="E45" s="22" t="s">
        <v>75</v>
      </c>
    </row>
    <row r="46" spans="3:5" s="7" customFormat="1" ht="12.75" x14ac:dyDescent="0.2">
      <c r="D46" s="17" t="s">
        <v>77</v>
      </c>
      <c r="E46" s="22" t="s">
        <v>79</v>
      </c>
    </row>
    <row r="47" spans="3:5" s="7" customFormat="1" ht="12.75" x14ac:dyDescent="0.2">
      <c r="D47" s="17" t="s">
        <v>78</v>
      </c>
      <c r="E47" s="22" t="s">
        <v>80</v>
      </c>
    </row>
    <row r="48" spans="3:5" s="7" customFormat="1" ht="12.75" x14ac:dyDescent="0.2">
      <c r="D48" s="17" t="s">
        <v>76</v>
      </c>
      <c r="E48" s="22" t="s">
        <v>76</v>
      </c>
    </row>
    <row r="49" spans="3:6" s="7" customFormat="1" ht="12.75" x14ac:dyDescent="0.2">
      <c r="D49" s="17" t="s">
        <v>94</v>
      </c>
      <c r="E49" s="22" t="s">
        <v>94</v>
      </c>
    </row>
    <row r="50" spans="3:6" s="7" customFormat="1" ht="12.75" x14ac:dyDescent="0.2">
      <c r="D50" s="17" t="s">
        <v>97</v>
      </c>
      <c r="E50" s="46" t="s">
        <v>98</v>
      </c>
    </row>
    <row r="51" spans="3:6" s="7" customFormat="1" ht="12.75" x14ac:dyDescent="0.2">
      <c r="D51" s="17" t="str">
        <f>NA</f>
        <v>N/A</v>
      </c>
      <c r="E51" s="22" t="s">
        <v>93</v>
      </c>
    </row>
    <row r="52" spans="3:6" s="7" customFormat="1" x14ac:dyDescent="0.2">
      <c r="E52" s="21"/>
    </row>
    <row r="53" spans="3:6" s="7" customFormat="1" ht="12.75" x14ac:dyDescent="0.2">
      <c r="C53" s="8" t="s">
        <v>69</v>
      </c>
      <c r="E53" s="20" t="s">
        <v>1</v>
      </c>
    </row>
    <row r="54" spans="3:6" s="7" customFormat="1" ht="12.75" x14ac:dyDescent="0.2">
      <c r="E54" s="22" t="s">
        <v>72</v>
      </c>
    </row>
    <row r="55" spans="3:6" s="7" customFormat="1" ht="12.75" x14ac:dyDescent="0.2">
      <c r="D55" s="17" t="s">
        <v>212</v>
      </c>
      <c r="E55" s="22" t="s">
        <v>211</v>
      </c>
    </row>
    <row r="56" spans="3:6" s="7" customFormat="1" ht="12.75" x14ac:dyDescent="0.2">
      <c r="D56" s="17" t="str">
        <f>NA</f>
        <v>N/A</v>
      </c>
      <c r="E56" s="22" t="s">
        <v>93</v>
      </c>
    </row>
    <row r="57" spans="3:6" s="7" customFormat="1" ht="12.75" x14ac:dyDescent="0.2">
      <c r="D57" s="17" t="s">
        <v>71</v>
      </c>
      <c r="E57" s="22" t="s">
        <v>71</v>
      </c>
    </row>
    <row r="58" spans="3:6" s="7" customFormat="1" x14ac:dyDescent="0.2">
      <c r="E58" s="21"/>
    </row>
    <row r="59" spans="3:6" s="7" customFormat="1" ht="12.75" x14ac:dyDescent="0.2">
      <c r="C59" s="8" t="s">
        <v>70</v>
      </c>
      <c r="E59" s="20"/>
      <c r="F59" s="20" t="s">
        <v>1</v>
      </c>
    </row>
    <row r="60" spans="3:6" s="7" customFormat="1" ht="12.75" x14ac:dyDescent="0.2">
      <c r="D60" s="22" t="s">
        <v>85</v>
      </c>
      <c r="E60" s="22" t="s">
        <v>86</v>
      </c>
    </row>
    <row r="61" spans="3:6" s="7" customFormat="1" ht="12.75" x14ac:dyDescent="0.2">
      <c r="D61" s="17" t="s">
        <v>82</v>
      </c>
      <c r="E61" s="17">
        <v>0</v>
      </c>
      <c r="F61" s="22" t="s">
        <v>89</v>
      </c>
    </row>
    <row r="62" spans="3:6" s="7" customFormat="1" ht="12.75" x14ac:dyDescent="0.2">
      <c r="D62" s="17" t="s">
        <v>83</v>
      </c>
      <c r="E62" s="17">
        <v>0.5</v>
      </c>
      <c r="F62" s="22" t="s">
        <v>88</v>
      </c>
    </row>
    <row r="63" spans="3:6" s="7" customFormat="1" ht="12.75" x14ac:dyDescent="0.2">
      <c r="D63" s="17" t="s">
        <v>84</v>
      </c>
      <c r="E63" s="17">
        <v>1</v>
      </c>
      <c r="F63" s="22" t="s">
        <v>87</v>
      </c>
    </row>
    <row r="64" spans="3:6" s="7" customFormat="1" ht="12.75" x14ac:dyDescent="0.2">
      <c r="D64" s="17" t="str">
        <f>NA</f>
        <v>N/A</v>
      </c>
      <c r="E64" s="17" t="str">
        <f>NA</f>
        <v>N/A</v>
      </c>
      <c r="F64" s="22"/>
    </row>
    <row r="65" spans="3:5" s="7" customFormat="1" x14ac:dyDescent="0.2">
      <c r="E65" s="21"/>
    </row>
    <row r="66" spans="3:5" x14ac:dyDescent="0.2">
      <c r="E66" s="7"/>
    </row>
    <row r="67" spans="3:5" s="13" customFormat="1" ht="15" x14ac:dyDescent="0.2">
      <c r="C67" s="13" t="s">
        <v>48</v>
      </c>
    </row>
    <row r="69" spans="3:5" ht="12.75" x14ac:dyDescent="0.2">
      <c r="C69" s="8" t="s">
        <v>111</v>
      </c>
      <c r="D69" s="7"/>
      <c r="E69" s="20" t="s">
        <v>1</v>
      </c>
    </row>
    <row r="70" spans="3:5" ht="12.75" x14ac:dyDescent="0.2">
      <c r="C70" s="7"/>
      <c r="D70" s="22" t="s">
        <v>112</v>
      </c>
      <c r="E70" s="22" t="s">
        <v>278</v>
      </c>
    </row>
    <row r="71" spans="3:5" ht="12.75" x14ac:dyDescent="0.2">
      <c r="C71" s="7"/>
      <c r="D71" s="17" t="s">
        <v>216</v>
      </c>
      <c r="E71" s="17" t="s">
        <v>216</v>
      </c>
    </row>
    <row r="72" spans="3:5" ht="12.75" x14ac:dyDescent="0.2">
      <c r="C72" s="7"/>
      <c r="D72" s="17" t="s">
        <v>217</v>
      </c>
      <c r="E72" s="17" t="s">
        <v>217</v>
      </c>
    </row>
    <row r="73" spans="3:5" ht="12.75" x14ac:dyDescent="0.2">
      <c r="C73" s="7"/>
      <c r="D73" s="17" t="s">
        <v>218</v>
      </c>
      <c r="E73" s="17" t="s">
        <v>218</v>
      </c>
    </row>
    <row r="74" spans="3:5" s="7" customFormat="1" ht="12.75" x14ac:dyDescent="0.2">
      <c r="D74" s="17" t="s">
        <v>219</v>
      </c>
      <c r="E74" s="17" t="s">
        <v>219</v>
      </c>
    </row>
    <row r="75" spans="3:5" s="7" customFormat="1" ht="12.75" x14ac:dyDescent="0.2">
      <c r="D75" s="17" t="s">
        <v>220</v>
      </c>
      <c r="E75" s="17" t="s">
        <v>220</v>
      </c>
    </row>
    <row r="76" spans="3:5" s="7" customFormat="1" ht="12.75" x14ac:dyDescent="0.2">
      <c r="D76" s="17" t="s">
        <v>221</v>
      </c>
      <c r="E76" s="17" t="s">
        <v>221</v>
      </c>
    </row>
    <row r="77" spans="3:5" s="7" customFormat="1" ht="12.75" x14ac:dyDescent="0.2">
      <c r="D77" s="17" t="s">
        <v>222</v>
      </c>
      <c r="E77" s="17" t="s">
        <v>222</v>
      </c>
    </row>
    <row r="78" spans="3:5" s="7" customFormat="1" ht="12.75" x14ac:dyDescent="0.2">
      <c r="D78" s="17" t="s">
        <v>223</v>
      </c>
      <c r="E78" s="17" t="s">
        <v>223</v>
      </c>
    </row>
    <row r="79" spans="3:5" s="7" customFormat="1" ht="12.75" x14ac:dyDescent="0.2">
      <c r="D79" s="17" t="s">
        <v>224</v>
      </c>
      <c r="E79" s="17" t="s">
        <v>224</v>
      </c>
    </row>
    <row r="80" spans="3:5" s="7" customFormat="1" ht="12.75" x14ac:dyDescent="0.2">
      <c r="D80" s="17" t="s">
        <v>225</v>
      </c>
      <c r="E80" s="17" t="s">
        <v>225</v>
      </c>
    </row>
    <row r="81" spans="4:5" s="7" customFormat="1" ht="12.75" x14ac:dyDescent="0.2">
      <c r="D81" s="17" t="s">
        <v>226</v>
      </c>
      <c r="E81" s="17" t="s">
        <v>226</v>
      </c>
    </row>
    <row r="82" spans="4:5" s="7" customFormat="1" ht="12.75" x14ac:dyDescent="0.2">
      <c r="D82" s="17" t="s">
        <v>227</v>
      </c>
      <c r="E82" s="17" t="s">
        <v>227</v>
      </c>
    </row>
    <row r="83" spans="4:5" s="7" customFormat="1" ht="12.75" x14ac:dyDescent="0.2">
      <c r="D83" s="17" t="s">
        <v>228</v>
      </c>
      <c r="E83" s="17" t="s">
        <v>228</v>
      </c>
    </row>
    <row r="84" spans="4:5" s="7" customFormat="1" ht="12.75" x14ac:dyDescent="0.2">
      <c r="D84" s="17" t="s">
        <v>229</v>
      </c>
      <c r="E84" s="17" t="s">
        <v>229</v>
      </c>
    </row>
    <row r="85" spans="4:5" s="7" customFormat="1" ht="12.75" x14ac:dyDescent="0.2">
      <c r="D85" s="17" t="s">
        <v>230</v>
      </c>
      <c r="E85" s="17" t="s">
        <v>230</v>
      </c>
    </row>
    <row r="86" spans="4:5" s="7" customFormat="1" ht="12.75" x14ac:dyDescent="0.2">
      <c r="D86" s="17" t="s">
        <v>231</v>
      </c>
      <c r="E86" s="17" t="s">
        <v>231</v>
      </c>
    </row>
    <row r="87" spans="4:5" s="7" customFormat="1" ht="12.75" x14ac:dyDescent="0.2">
      <c r="D87" s="17" t="s">
        <v>232</v>
      </c>
      <c r="E87" s="17" t="s">
        <v>232</v>
      </c>
    </row>
    <row r="88" spans="4:5" s="7" customFormat="1" ht="12.75" x14ac:dyDescent="0.2">
      <c r="D88" s="17" t="s">
        <v>233</v>
      </c>
      <c r="E88" s="17" t="s">
        <v>233</v>
      </c>
    </row>
    <row r="89" spans="4:5" s="7" customFormat="1" ht="12.75" x14ac:dyDescent="0.2">
      <c r="D89" s="17" t="s">
        <v>234</v>
      </c>
      <c r="E89" s="17" t="s">
        <v>234</v>
      </c>
    </row>
    <row r="90" spans="4:5" s="7" customFormat="1" ht="12.75" x14ac:dyDescent="0.2">
      <c r="D90" s="17" t="s">
        <v>235</v>
      </c>
      <c r="E90" s="17" t="s">
        <v>235</v>
      </c>
    </row>
    <row r="91" spans="4:5" s="7" customFormat="1" ht="12.75" x14ac:dyDescent="0.2">
      <c r="D91" s="17" t="s">
        <v>236</v>
      </c>
      <c r="E91" s="17" t="s">
        <v>236</v>
      </c>
    </row>
    <row r="92" spans="4:5" s="7" customFormat="1" ht="12.75" x14ac:dyDescent="0.2">
      <c r="D92" s="17" t="s">
        <v>269</v>
      </c>
      <c r="E92" s="17" t="s">
        <v>237</v>
      </c>
    </row>
    <row r="93" spans="4:5" s="7" customFormat="1" ht="12.75" x14ac:dyDescent="0.2">
      <c r="D93" s="17" t="s">
        <v>270</v>
      </c>
      <c r="E93" s="17" t="s">
        <v>238</v>
      </c>
    </row>
    <row r="94" spans="4:5" s="7" customFormat="1" ht="12.75" x14ac:dyDescent="0.2">
      <c r="D94" s="17" t="s">
        <v>271</v>
      </c>
      <c r="E94" s="17" t="s">
        <v>239</v>
      </c>
    </row>
    <row r="95" spans="4:5" s="7" customFormat="1" ht="12.75" x14ac:dyDescent="0.2">
      <c r="D95" s="17" t="s">
        <v>272</v>
      </c>
      <c r="E95" s="17" t="s">
        <v>240</v>
      </c>
    </row>
    <row r="96" spans="4:5" s="7" customFormat="1" ht="12.75" x14ac:dyDescent="0.2">
      <c r="D96" s="17" t="s">
        <v>273</v>
      </c>
      <c r="E96" s="17" t="s">
        <v>241</v>
      </c>
    </row>
    <row r="97" spans="4:5" s="7" customFormat="1" ht="12.75" x14ac:dyDescent="0.2">
      <c r="D97" s="17" t="s">
        <v>274</v>
      </c>
      <c r="E97" s="17" t="s">
        <v>242</v>
      </c>
    </row>
    <row r="98" spans="4:5" s="7" customFormat="1" ht="12.75" x14ac:dyDescent="0.2">
      <c r="D98" s="17" t="s">
        <v>275</v>
      </c>
      <c r="E98" s="17" t="s">
        <v>243</v>
      </c>
    </row>
    <row r="99" spans="4:5" s="7" customFormat="1" ht="12.75" x14ac:dyDescent="0.2">
      <c r="D99" s="17" t="s">
        <v>276</v>
      </c>
      <c r="E99" s="17" t="s">
        <v>244</v>
      </c>
    </row>
    <row r="100" spans="4:5" s="7" customFormat="1" ht="12.75" x14ac:dyDescent="0.2">
      <c r="D100" s="17" t="s">
        <v>245</v>
      </c>
      <c r="E100" s="17" t="s">
        <v>245</v>
      </c>
    </row>
    <row r="101" spans="4:5" s="7" customFormat="1" ht="12.75" x14ac:dyDescent="0.2">
      <c r="D101" s="17" t="s">
        <v>277</v>
      </c>
      <c r="E101" s="17" t="s">
        <v>268</v>
      </c>
    </row>
    <row r="102" spans="4:5" s="7" customFormat="1" ht="12.75" x14ac:dyDescent="0.2">
      <c r="D102" s="17" t="s">
        <v>285</v>
      </c>
      <c r="E102" s="17" t="s">
        <v>285</v>
      </c>
    </row>
    <row r="103" spans="4:5" s="7" customFormat="1" ht="12.75" x14ac:dyDescent="0.2">
      <c r="D103" s="17">
        <v>0</v>
      </c>
      <c r="E103" s="17">
        <v>0</v>
      </c>
    </row>
    <row r="104" spans="4:5" s="7" customFormat="1" ht="12.75" x14ac:dyDescent="0.2">
      <c r="D104" s="17">
        <v>0</v>
      </c>
      <c r="E104" s="17">
        <v>0</v>
      </c>
    </row>
    <row r="105" spans="4:5" s="7" customFormat="1" ht="12.75" x14ac:dyDescent="0.2">
      <c r="D105" s="17">
        <v>0</v>
      </c>
      <c r="E105" s="17">
        <v>0</v>
      </c>
    </row>
    <row r="106" spans="4:5" s="7" customFormat="1" ht="12.75" x14ac:dyDescent="0.2">
      <c r="D106" s="17">
        <v>0</v>
      </c>
      <c r="E106" s="17">
        <v>0</v>
      </c>
    </row>
    <row r="107" spans="4:5" s="7" customFormat="1" ht="12.75" x14ac:dyDescent="0.2">
      <c r="D107" s="17">
        <v>0</v>
      </c>
      <c r="E107" s="17">
        <v>0</v>
      </c>
    </row>
    <row r="108" spans="4:5" s="7" customFormat="1" ht="12.75" x14ac:dyDescent="0.2">
      <c r="D108" s="17">
        <v>0</v>
      </c>
      <c r="E108" s="17">
        <v>0</v>
      </c>
    </row>
    <row r="109" spans="4:5" s="7" customFormat="1" ht="12.75" x14ac:dyDescent="0.2">
      <c r="D109" s="17">
        <v>0</v>
      </c>
      <c r="E109" s="17">
        <v>0</v>
      </c>
    </row>
    <row r="110" spans="4:5" s="7" customFormat="1" ht="12.75" x14ac:dyDescent="0.2">
      <c r="D110" s="17">
        <v>0</v>
      </c>
      <c r="E110" s="17">
        <v>0</v>
      </c>
    </row>
    <row r="111" spans="4:5" s="7" customFormat="1" ht="12.75" x14ac:dyDescent="0.2">
      <c r="D111" s="17">
        <v>0</v>
      </c>
      <c r="E111" s="17">
        <v>0</v>
      </c>
    </row>
    <row r="112" spans="4:5" s="7" customFormat="1" ht="12.75" x14ac:dyDescent="0.2">
      <c r="D112" s="17">
        <v>0</v>
      </c>
      <c r="E112" s="17">
        <v>0</v>
      </c>
    </row>
    <row r="113" spans="3:5" s="7" customFormat="1" ht="12.75" x14ac:dyDescent="0.2">
      <c r="D113" s="17">
        <v>0</v>
      </c>
      <c r="E113" s="17">
        <v>0</v>
      </c>
    </row>
    <row r="114" spans="3:5" s="7" customFormat="1" ht="12.75" x14ac:dyDescent="0.2">
      <c r="D114" s="17">
        <v>0</v>
      </c>
      <c r="E114" s="17">
        <v>0</v>
      </c>
    </row>
    <row r="115" spans="3:5" s="7" customFormat="1" ht="12.75" x14ac:dyDescent="0.2">
      <c r="D115" s="17">
        <v>0</v>
      </c>
      <c r="E115" s="17">
        <v>0</v>
      </c>
    </row>
    <row r="116" spans="3:5" s="7" customFormat="1" ht="12.75" x14ac:dyDescent="0.2">
      <c r="D116" s="17">
        <v>0</v>
      </c>
      <c r="E116" s="17">
        <v>0</v>
      </c>
    </row>
    <row r="117" spans="3:5" s="7" customFormat="1" ht="12.75" x14ac:dyDescent="0.2">
      <c r="D117" s="17">
        <v>0</v>
      </c>
      <c r="E117" s="17">
        <v>0</v>
      </c>
    </row>
    <row r="118" spans="3:5" s="7" customFormat="1" ht="12.75" x14ac:dyDescent="0.2">
      <c r="D118" s="17" t="s">
        <v>258</v>
      </c>
      <c r="E118" s="17" t="s">
        <v>284</v>
      </c>
    </row>
    <row r="119" spans="3:5" s="7" customFormat="1" ht="12.75" x14ac:dyDescent="0.2">
      <c r="D119" s="17" t="s">
        <v>246</v>
      </c>
      <c r="E119" s="17" t="s">
        <v>246</v>
      </c>
    </row>
    <row r="120" spans="3:5" s="7" customFormat="1" ht="12.75" x14ac:dyDescent="0.2">
      <c r="D120" s="17" t="s">
        <v>247</v>
      </c>
      <c r="E120" s="17" t="s">
        <v>247</v>
      </c>
    </row>
    <row r="122" spans="3:5" s="13" customFormat="1" ht="15" x14ac:dyDescent="0.2">
      <c r="C122" s="13" t="s">
        <v>96</v>
      </c>
    </row>
    <row r="124" spans="3:5" s="7" customFormat="1" ht="12.75" x14ac:dyDescent="0.2">
      <c r="C124" s="8" t="s">
        <v>114</v>
      </c>
      <c r="E124" s="20" t="s">
        <v>1</v>
      </c>
    </row>
    <row r="125" spans="3:5" s="7" customFormat="1" ht="12.75" x14ac:dyDescent="0.2">
      <c r="E125" s="22" t="s">
        <v>115</v>
      </c>
    </row>
    <row r="126" spans="3:5" s="7" customFormat="1" ht="12.75" x14ac:dyDescent="0.2">
      <c r="D126" s="17" t="s">
        <v>213</v>
      </c>
    </row>
    <row r="127" spans="3:5" s="7" customFormat="1" ht="12.75" x14ac:dyDescent="0.2">
      <c r="D127" s="17" t="s">
        <v>214</v>
      </c>
    </row>
    <row r="128" spans="3:5" s="7" customFormat="1" ht="12.75" x14ac:dyDescent="0.2">
      <c r="D128" s="17" t="s">
        <v>215</v>
      </c>
    </row>
    <row r="129" spans="2:4" s="7" customFormat="1" ht="12.75" x14ac:dyDescent="0.2">
      <c r="D129" s="17" t="s">
        <v>101</v>
      </c>
    </row>
    <row r="130" spans="2:4" s="7" customFormat="1" ht="12.75" x14ac:dyDescent="0.2">
      <c r="D130" s="17" t="s">
        <v>103</v>
      </c>
    </row>
    <row r="131" spans="2:4" s="7" customFormat="1" ht="12.75" x14ac:dyDescent="0.2">
      <c r="D131" s="17" t="s">
        <v>102</v>
      </c>
    </row>
    <row r="132" spans="2:4" s="7" customFormat="1" x14ac:dyDescent="0.2"/>
    <row r="133" spans="2:4" s="4" customFormat="1" ht="15.75" x14ac:dyDescent="0.2">
      <c r="B133" s="4" t="s">
        <v>33</v>
      </c>
    </row>
  </sheetData>
  <conditionalFormatting sqref="B2">
    <cfRule type="cellIs" dxfId="4"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RowHeight="11.25" x14ac:dyDescent="0.2"/>
  <cols>
    <col min="1" max="3" width="2.83203125" customWidth="1"/>
    <col min="4" max="4" width="65.6640625" customWidth="1"/>
    <col min="5" max="7" width="3.83203125" customWidth="1"/>
  </cols>
  <sheetData>
    <row r="1" spans="1:9" ht="19.5" x14ac:dyDescent="0.2">
      <c r="A1" s="7"/>
      <c r="B1" s="5" t="s">
        <v>16</v>
      </c>
      <c r="C1" s="7"/>
      <c r="D1" s="7"/>
      <c r="E1" s="7"/>
      <c r="F1" s="7"/>
      <c r="G1" s="7"/>
      <c r="H1" s="7"/>
      <c r="I1" s="7"/>
    </row>
    <row r="2" spans="1:9" s="9" customFormat="1" x14ac:dyDescent="0.2">
      <c r="A2" s="7"/>
      <c r="B2" s="18" t="str">
        <f>Title_Msg</f>
        <v>No Errors Found</v>
      </c>
      <c r="C2" s="7"/>
      <c r="D2" s="7"/>
      <c r="E2" s="7"/>
      <c r="F2" s="7"/>
      <c r="G2" s="7"/>
      <c r="H2" s="7"/>
      <c r="I2" s="7"/>
    </row>
    <row r="3" spans="1:9" s="7" customFormat="1" x14ac:dyDescent="0.2">
      <c r="B3" s="35" t="str">
        <f>TOC!B1</f>
        <v>Table of Contents</v>
      </c>
      <c r="C3" s="34"/>
      <c r="D3" s="34"/>
      <c r="E3" s="34"/>
    </row>
    <row r="4" spans="1:9" s="7" customFormat="1" ht="12.75" x14ac:dyDescent="0.2">
      <c r="B4" s="33" t="str">
        <f>Model_Name</f>
        <v>TransGrid - EB RIN RAB Allocation</v>
      </c>
    </row>
    <row r="5" spans="1:9" s="9" customFormat="1" x14ac:dyDescent="0.2">
      <c r="A5" s="7"/>
      <c r="B5" s="18"/>
      <c r="C5" s="7"/>
      <c r="D5" s="7"/>
      <c r="E5" s="7"/>
      <c r="F5" s="7"/>
      <c r="G5" s="7"/>
      <c r="H5" s="7"/>
      <c r="I5" s="7"/>
    </row>
    <row r="6" spans="1:9" s="25" customFormat="1" ht="15.75" x14ac:dyDescent="0.2">
      <c r="B6" s="4" t="s">
        <v>18</v>
      </c>
    </row>
    <row r="7" spans="1:9" s="9" customFormat="1" x14ac:dyDescent="0.2">
      <c r="A7" s="7"/>
      <c r="B7" s="26"/>
      <c r="C7" s="7"/>
      <c r="D7" s="7"/>
      <c r="E7" s="7"/>
      <c r="F7" s="7"/>
      <c r="G7" s="7"/>
      <c r="H7" s="7"/>
      <c r="I7" s="7"/>
    </row>
    <row r="8" spans="1:9" s="9" customFormat="1" ht="12.75" x14ac:dyDescent="0.2">
      <c r="A8" s="7"/>
      <c r="D8" s="11" t="s">
        <v>17</v>
      </c>
      <c r="E8" s="7"/>
      <c r="F8" s="7"/>
      <c r="G8" s="7"/>
      <c r="H8" s="12" t="str">
        <f>IF(H25=0,"No Errors Found","Errors Found")</f>
        <v>No Errors Found</v>
      </c>
      <c r="I8" s="7"/>
    </row>
    <row r="9" spans="1:9" s="9" customFormat="1" ht="12.75" x14ac:dyDescent="0.2">
      <c r="A9" s="7"/>
      <c r="D9" s="11" t="s">
        <v>19</v>
      </c>
      <c r="E9" s="7"/>
      <c r="F9" s="7"/>
      <c r="G9" s="7"/>
      <c r="H9" s="11"/>
      <c r="I9" s="7"/>
    </row>
    <row r="10" spans="1:9" s="9" customFormat="1" ht="12.75" x14ac:dyDescent="0.2">
      <c r="A10" s="7"/>
      <c r="D10" s="11" t="s">
        <v>20</v>
      </c>
      <c r="E10" s="7"/>
      <c r="F10" s="7"/>
      <c r="G10" s="7"/>
      <c r="H10" s="31" t="str">
        <f>H8&amp;IF(H9="","",", " &amp;H9)</f>
        <v>No Errors Found</v>
      </c>
      <c r="I10" s="7"/>
    </row>
    <row r="11" spans="1:9" s="9" customFormat="1" x14ac:dyDescent="0.2">
      <c r="A11" s="7"/>
      <c r="B11" s="26"/>
      <c r="C11" s="7"/>
      <c r="D11" s="7"/>
      <c r="E11" s="7"/>
      <c r="F11" s="7"/>
      <c r="G11" s="7"/>
      <c r="H11" s="7"/>
      <c r="I11" s="7"/>
    </row>
    <row r="12" spans="1:9" s="25" customFormat="1" ht="15.75" x14ac:dyDescent="0.2">
      <c r="B12" s="4" t="s">
        <v>32</v>
      </c>
    </row>
    <row r="13" spans="1:9" s="9" customFormat="1" x14ac:dyDescent="0.2">
      <c r="A13" s="7"/>
      <c r="B13" s="26"/>
      <c r="C13" s="7"/>
      <c r="D13" s="7"/>
      <c r="E13" s="7"/>
      <c r="F13" s="7"/>
      <c r="G13" s="7"/>
      <c r="H13" s="7"/>
      <c r="I13" s="7"/>
    </row>
    <row r="14" spans="1:9" s="13" customFormat="1" ht="15" x14ac:dyDescent="0.2">
      <c r="C14" s="13" t="s">
        <v>12</v>
      </c>
    </row>
    <row r="15" spans="1:9" s="7" customFormat="1" x14ac:dyDescent="0.2"/>
    <row r="16" spans="1:9" s="7" customFormat="1" ht="12.75" x14ac:dyDescent="0.2">
      <c r="D16" s="11" t="str">
        <f>Input_Inflation!$B$1</f>
        <v>Inputs - CPI Assumptions and Associated Indexes</v>
      </c>
      <c r="H16" s="47">
        <f>Input_Inflation!$A$1</f>
        <v>0</v>
      </c>
    </row>
    <row r="17" spans="1:10" ht="12.75" x14ac:dyDescent="0.2">
      <c r="A17" s="7"/>
      <c r="D17" s="11" t="str">
        <f>Input_RAB!$B$1</f>
        <v>Inputs - RAB by RFM and PTRM asset categories</v>
      </c>
      <c r="E17" s="7"/>
      <c r="F17" s="7"/>
      <c r="G17" s="7"/>
      <c r="H17" s="47">
        <f>Input_RAB!$A$1</f>
        <v>0</v>
      </c>
      <c r="I17" s="7"/>
    </row>
    <row r="18" spans="1:10" s="9" customFormat="1" ht="12.75" x14ac:dyDescent="0.2">
      <c r="A18" s="7"/>
      <c r="D18" s="11" t="str">
        <f>Input_AssetLives!$B$1</f>
        <v>Inputs - Standard Lives by EB RIN asset class</v>
      </c>
      <c r="E18" s="7"/>
      <c r="F18" s="7"/>
      <c r="G18" s="7"/>
      <c r="H18" s="47">
        <f>Input_AssetLives!$A$1</f>
        <v>0</v>
      </c>
      <c r="I18" s="7"/>
    </row>
    <row r="19" spans="1:10" ht="12.75" x14ac:dyDescent="0.2">
      <c r="A19" s="7"/>
      <c r="D19" s="11" t="str">
        <f>Input_EB_Alloc!$B$1</f>
        <v>Inputs - Allocation from RAB asset classes to EB RIN categories</v>
      </c>
      <c r="E19" s="7"/>
      <c r="F19" s="7"/>
      <c r="G19" s="7"/>
      <c r="H19" s="47">
        <f>Input_EB_Alloc!$A$1</f>
        <v>0</v>
      </c>
      <c r="I19" s="7"/>
      <c r="J19" s="9"/>
    </row>
    <row r="20" spans="1:10" ht="12.75" x14ac:dyDescent="0.2">
      <c r="A20" s="7"/>
      <c r="D20" s="11" t="str">
        <f>Calc_EB!$B$1</f>
        <v>Calculation - RAB movements by EB RIN category</v>
      </c>
      <c r="E20" s="7"/>
      <c r="F20" s="7"/>
      <c r="G20" s="7"/>
      <c r="H20" s="47">
        <f>Calc_EB!$A$1</f>
        <v>0</v>
      </c>
      <c r="I20" s="7"/>
      <c r="J20" s="9"/>
    </row>
    <row r="21" spans="1:10" s="9" customFormat="1" ht="12.75" x14ac:dyDescent="0.2">
      <c r="A21" s="7"/>
      <c r="D21" s="11" t="str">
        <f>Output_EB_RIN!$B$1</f>
        <v>Outputs - EB RIN view</v>
      </c>
      <c r="E21" s="7"/>
      <c r="F21" s="7"/>
      <c r="G21" s="7"/>
      <c r="H21" s="47">
        <f>Output_EB_RIN!$A$1</f>
        <v>0</v>
      </c>
      <c r="I21" s="7"/>
    </row>
    <row r="22" spans="1:10" s="257" customFormat="1" ht="12.75" x14ac:dyDescent="0.2">
      <c r="A22" s="7"/>
      <c r="D22" s="258" t="str">
        <f>'3.3 Assets (RAB)_Hist'!$B$4</f>
        <v>3.3 Assets (Historical)</v>
      </c>
      <c r="E22" s="7"/>
      <c r="F22" s="7"/>
      <c r="G22" s="7"/>
      <c r="H22" s="47">
        <f>'3.3 Assets (RAB)_Hist'!$A$6</f>
        <v>0</v>
      </c>
      <c r="I22" s="7"/>
    </row>
    <row r="23" spans="1:10" s="9" customFormat="1" ht="12.75" x14ac:dyDescent="0.2">
      <c r="D23" s="11" t="str">
        <f>'3.3 Assets (RAB)_Fcst'!$B$4</f>
        <v>3.3 Assets (Forecast)</v>
      </c>
      <c r="E23" s="7"/>
      <c r="F23" s="7"/>
      <c r="G23" s="7"/>
      <c r="H23" s="47">
        <f>'3.3 Assets (RAB)_Fcst'!$A$6</f>
        <v>0</v>
      </c>
    </row>
    <row r="24" spans="1:10" s="9" customFormat="1" ht="12.75" x14ac:dyDescent="0.2">
      <c r="C24" s="27"/>
      <c r="D24" s="32"/>
      <c r="H24" s="29"/>
    </row>
    <row r="25" spans="1:10" ht="12.75" x14ac:dyDescent="0.2">
      <c r="C25" s="14" t="s">
        <v>49</v>
      </c>
      <c r="H25" s="30">
        <f>IF(SUM($H$16:$H$23)&lt;&gt;0,1,0)</f>
        <v>0</v>
      </c>
    </row>
    <row r="27" spans="1:10" s="25" customFormat="1" ht="15.75" x14ac:dyDescent="0.2">
      <c r="B27" s="4" t="s">
        <v>33</v>
      </c>
    </row>
  </sheetData>
  <conditionalFormatting sqref="B7 B11 B2 B5 B13">
    <cfRule type="cellIs" dxfId="3" priority="7" operator="notEqual">
      <formula>"No Errors Found"</formula>
    </cfRule>
  </conditionalFormatting>
  <conditionalFormatting sqref="H23 H19:H20">
    <cfRule type="cellIs" dxfId="2" priority="5" operator="equal">
      <formula>"Ok"</formula>
    </cfRule>
  </conditionalFormatting>
  <conditionalFormatting sqref="H21">
    <cfRule type="cellIs" dxfId="1" priority="4" operator="equal">
      <formula>"Ok"</formula>
    </cfRule>
  </conditionalFormatting>
  <conditionalFormatting sqref="H22">
    <cfRule type="cellIs" dxfId="0" priority="1" operator="equal">
      <formula>"Ok"</formula>
    </cfRule>
  </conditionalFormatting>
  <hyperlinks>
    <hyperlink ref="B3:E3" location="TOC!A1" display="TOC!A1"/>
  </hyperlinks>
  <pageMargins left="0.7" right="0.7" top="0.75" bottom="0.75" header="0.3" footer="0.3"/>
  <pageSetup paperSize="9" scale="9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6EA8250C83EF049A6081B6ABE2EC208" ma:contentTypeVersion="9" ma:contentTypeDescription="Create a new document." ma:contentTypeScope="" ma:versionID="5899300b55b32bfc167ba1cf97f31b4a">
  <xsd:schema xmlns:xsd="http://www.w3.org/2001/XMLSchema" xmlns:xs="http://www.w3.org/2001/XMLSchema" xmlns:p="http://schemas.microsoft.com/office/2006/metadata/properties" xmlns:ns2="219a03a1-7fe7-42f3-bdad-55ca8d66a738" xmlns:ns3="4eb6023d-658b-4527-be73-24b0518f0bf9" xmlns:ns4="97db55b7-6849-467b-a514-00ca68ee4ee0" targetNamespace="http://schemas.microsoft.com/office/2006/metadata/properties" ma:root="true" ma:fieldsID="968fcfc8334bfb21df38a6431dff2315" ns2:_="" ns3:_="" ns4:_="">
    <xsd:import namespace="219a03a1-7fe7-42f3-bdad-55ca8d66a738"/>
    <xsd:import namespace="4eb6023d-658b-4527-be73-24b0518f0bf9"/>
    <xsd:import namespace="97db55b7-6849-467b-a514-00ca68ee4e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b55b7-6849-467b-a514-00ca68ee4ee0"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DACFB1-D1F8-443E-8B7A-288926C1A30F}">
  <ds:schemaRefs>
    <ds:schemaRef ds:uri="http://schemas.microsoft.com/sharepoint/v3/contenttype/forms"/>
  </ds:schemaRefs>
</ds:datastoreItem>
</file>

<file path=customXml/itemProps2.xml><?xml version="1.0" encoding="utf-8"?>
<ds:datastoreItem xmlns:ds="http://schemas.openxmlformats.org/officeDocument/2006/customXml" ds:itemID="{10682CFC-97C1-47D5-A9C0-ADEC7C9B2179}">
  <ds:schemaRefs>
    <ds:schemaRef ds:uri="http://schemas.microsoft.com/PowerBIAddIn"/>
  </ds:schemaRefs>
</ds:datastoreItem>
</file>

<file path=customXml/itemProps3.xml><?xml version="1.0" encoding="utf-8"?>
<ds:datastoreItem xmlns:ds="http://schemas.openxmlformats.org/officeDocument/2006/customXml" ds:itemID="{6323E117-A906-4DC8-ACE9-59D395D59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97db55b7-6849-467b-a514-00ca68ee4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CC37B4-CBD1-4423-8192-3F73128BAC2F}">
  <ds:schemaRefs>
    <ds:schemaRef ds:uri="http://schemas.microsoft.com/office/2006/metadata/properties"/>
    <ds:schemaRef ds:uri="97db55b7-6849-467b-a514-00ca68ee4ee0"/>
    <ds:schemaRef ds:uri="http://purl.org/dc/elements/1.1/"/>
    <ds:schemaRef ds:uri="4eb6023d-658b-4527-be73-24b0518f0bf9"/>
    <ds:schemaRef ds:uri="http://schemas.openxmlformats.org/package/2006/metadata/core-properties"/>
    <ds:schemaRef ds:uri="219a03a1-7fe7-42f3-bdad-55ca8d66a738"/>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36</vt:i4>
      </vt:variant>
    </vt:vector>
  </HeadingPairs>
  <TitlesOfParts>
    <vt:vector size="48" baseType="lpstr">
      <vt:lpstr>Cover</vt:lpstr>
      <vt:lpstr>TOC</vt:lpstr>
      <vt:lpstr>Input_Inflation</vt:lpstr>
      <vt:lpstr>Input_RAB</vt:lpstr>
      <vt:lpstr>Input_AssetLives</vt:lpstr>
      <vt:lpstr>Input_EB_Alloc</vt:lpstr>
      <vt:lpstr>Calc_EB</vt:lpstr>
      <vt:lpstr>Output_EB_RIN</vt:lpstr>
      <vt:lpstr>3.3 Assets (RAB)_Hist</vt:lpstr>
      <vt:lpstr>3.3 Assets (RAB)_Fcst</vt:lpstr>
      <vt:lpstr>Lookup</vt:lpstr>
      <vt:lpstr>Checks</vt:lpstr>
      <vt:lpstr>Base_Year</vt:lpstr>
      <vt:lpstr>Days_In_Wk</vt:lpstr>
      <vt:lpstr>Days_In_Yr</vt:lpstr>
      <vt:lpstr>Dollars</vt:lpstr>
      <vt:lpstr>End_year</vt:lpstr>
      <vt:lpstr>Error</vt:lpstr>
      <vt:lpstr>Factor</vt:lpstr>
      <vt:lpstr>Half</vt:lpstr>
      <vt:lpstr>Kilometres</vt:lpstr>
      <vt:lpstr>LU_Basis</vt:lpstr>
      <vt:lpstr>LU_EB_RIN_Assets</vt:lpstr>
      <vt:lpstr>LU_RAB_Assets</vt:lpstr>
      <vt:lpstr>LU_RAB_Assets_RFM</vt:lpstr>
      <vt:lpstr>LU_Timing</vt:lpstr>
      <vt:lpstr>LU_Timing_Value</vt:lpstr>
      <vt:lpstr>LU_Units</vt:lpstr>
      <vt:lpstr>Mid_year</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Lim</dc:creator>
  <cp:lastModifiedBy>Sarah Lim</cp:lastModifiedBy>
  <dcterms:created xsi:type="dcterms:W3CDTF">2021-03-29T01:14:13Z</dcterms:created>
  <dcterms:modified xsi:type="dcterms:W3CDTF">2022-01-27T09:29:32Z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0x01010006EA8250C83EF049A6081B6ABE2EC208</vt:lpwstr>
  </property>
</Properties>
</file>