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evenue Strategy\REVENUE RESET\2023-28 Reset\0.01_Project Management\0.09a Revenue Proposal Document\0.08 Submission\3. Models\"/>
    </mc:Choice>
  </mc:AlternateContent>
  <bookViews>
    <workbookView xWindow="-120" yWindow="-120" windowWidth="29040" windowHeight="15720" tabRatio="764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P19" i="13"/>
  <c r="G19" i="13"/>
  <c r="N19" i="13"/>
  <c r="O19" i="13"/>
  <c r="H19" i="13"/>
  <c r="I19" i="13"/>
  <c r="J19" i="13"/>
  <c r="K19" i="13"/>
  <c r="H15" i="3" l="1"/>
  <c r="I15" i="3"/>
  <c r="L15" i="3"/>
  <c r="K15" i="3"/>
  <c r="J15" i="3"/>
  <c r="H8" i="4" l="1"/>
  <c r="C15" i="13" l="1"/>
  <c r="C10" i="13"/>
  <c r="G8" i="4"/>
  <c r="F8" i="4"/>
  <c r="E8" i="4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42" i="4" l="1"/>
  <c r="C44" i="4"/>
  <c r="B1" i="5"/>
  <c r="B1" i="3"/>
  <c r="B1" i="13"/>
  <c r="B1" i="4"/>
  <c r="I21" i="3" l="1"/>
  <c r="J21" i="3"/>
  <c r="G10" i="13" l="1"/>
  <c r="H10" i="13" s="1"/>
  <c r="I10" i="13" s="1"/>
  <c r="J10" i="13" s="1"/>
  <c r="K10" i="13" s="1"/>
  <c r="G13" i="13"/>
  <c r="K13" i="13"/>
  <c r="K22" i="13" s="1"/>
  <c r="H9" i="4" s="1"/>
  <c r="G19" i="4" s="1"/>
  <c r="I13" i="13"/>
  <c r="I22" i="13" s="1"/>
  <c r="F9" i="4" s="1"/>
  <c r="F11" i="4" s="1"/>
  <c r="H13" i="13"/>
  <c r="H22" i="13" s="1"/>
  <c r="E9" i="4" s="1"/>
  <c r="E11" i="4" s="1"/>
  <c r="J13" i="13"/>
  <c r="J22" i="13" s="1"/>
  <c r="G9" i="4" s="1"/>
  <c r="F19" i="4" l="1"/>
  <c r="E19" i="4" s="1"/>
  <c r="D19" i="4" s="1"/>
  <c r="D21" i="4" s="1"/>
  <c r="G15" i="13"/>
  <c r="G22" i="13"/>
  <c r="D9" i="4" s="1"/>
  <c r="H15" i="13" l="1"/>
  <c r="D10" i="4"/>
  <c r="I15" i="13" l="1"/>
  <c r="E10" i="4"/>
  <c r="E12" i="4" s="1"/>
  <c r="F14" i="4" l="1"/>
  <c r="H14" i="4"/>
  <c r="E20" i="4"/>
  <c r="G14" i="4"/>
  <c r="F10" i="4"/>
  <c r="F12" i="4" s="1"/>
  <c r="J15" i="13"/>
  <c r="G10" i="4" l="1"/>
  <c r="K15" i="13"/>
  <c r="G15" i="4"/>
  <c r="F20" i="4"/>
  <c r="H15" i="4"/>
  <c r="H10" i="4" l="1"/>
  <c r="H21" i="3" l="1"/>
  <c r="L21" i="3"/>
  <c r="K21" i="3"/>
  <c r="G11" i="4" l="1"/>
  <c r="G12" i="4" s="1"/>
  <c r="H11" i="4"/>
  <c r="H12" i="4" s="1"/>
  <c r="H20" i="4" s="1"/>
  <c r="D11" i="4"/>
  <c r="D12" i="4" s="1"/>
  <c r="H13" i="4" l="1"/>
  <c r="E13" i="4"/>
  <c r="E18" i="4" s="1"/>
  <c r="E21" i="4" s="1"/>
  <c r="F13" i="4"/>
  <c r="F18" i="4" s="1"/>
  <c r="F21" i="4" s="1"/>
  <c r="D20" i="4"/>
  <c r="G13" i="4"/>
  <c r="G18" i="4" s="1"/>
  <c r="G21" i="4" s="1"/>
  <c r="G20" i="4"/>
  <c r="H16" i="4"/>
  <c r="H18" i="4" l="1"/>
  <c r="H21" i="4" s="1"/>
  <c r="D35" i="4" s="1"/>
  <c r="M9" i="13" l="1"/>
  <c r="L14" i="13"/>
  <c r="H28" i="3"/>
  <c r="L10" i="13"/>
  <c r="N9" i="13" l="1"/>
  <c r="M14" i="13"/>
  <c r="L15" i="13"/>
  <c r="I28" i="3"/>
  <c r="M10" i="13"/>
  <c r="H29" i="3"/>
  <c r="D26" i="4" s="1"/>
  <c r="O9" i="13" l="1"/>
  <c r="M15" i="13"/>
  <c r="N10" i="13"/>
  <c r="J28" i="3"/>
  <c r="I29" i="3"/>
  <c r="E26" i="4" s="1"/>
  <c r="N14" i="13"/>
  <c r="L22" i="13" l="1"/>
  <c r="M22" i="13"/>
  <c r="P9" i="13"/>
  <c r="D41" i="4"/>
  <c r="E41" i="4" s="1"/>
  <c r="F41" i="4" s="1"/>
  <c r="G41" i="4" s="1"/>
  <c r="H41" i="4" s="1"/>
  <c r="N15" i="13"/>
  <c r="N22" i="13"/>
  <c r="O14" i="13"/>
  <c r="J29" i="3"/>
  <c r="F26" i="4" s="1"/>
  <c r="O10" i="13"/>
  <c r="K28" i="3"/>
  <c r="D25" i="4" l="1"/>
  <c r="D27" i="4" s="1"/>
  <c r="D28" i="4" s="1"/>
  <c r="E25" i="4"/>
  <c r="F25" i="4"/>
  <c r="O15" i="13"/>
  <c r="K29" i="3"/>
  <c r="G26" i="4" s="1"/>
  <c r="L28" i="3"/>
  <c r="P10" i="13"/>
  <c r="P14" i="13"/>
  <c r="P22" i="13" s="1"/>
  <c r="O22" i="13"/>
  <c r="F27" i="4" l="1"/>
  <c r="F28" i="4" s="1"/>
  <c r="E27" i="4"/>
  <c r="E28" i="4" s="1"/>
  <c r="G25" i="4"/>
  <c r="G27" i="4" s="1"/>
  <c r="G28" i="4" s="1"/>
  <c r="H25" i="4"/>
  <c r="L29" i="3"/>
  <c r="H26" i="4" s="1"/>
  <c r="P15" i="13"/>
  <c r="H27" i="4" l="1"/>
  <c r="H28" i="4" s="1"/>
  <c r="D31" i="4" s="1"/>
  <c r="D33" i="4" s="1"/>
  <c r="D34" i="4" l="1"/>
  <c r="D36" i="4" s="1"/>
  <c r="D42" i="4" s="1"/>
  <c r="J8" i="10" s="1"/>
  <c r="E42" i="4" l="1"/>
  <c r="F42" i="4" s="1"/>
  <c r="K8" i="10" l="1"/>
  <c r="G42" i="4"/>
  <c r="L8" i="10"/>
  <c r="M8" i="10" l="1"/>
  <c r="H42" i="4"/>
  <c r="N8" i="10" l="1"/>
  <c r="D44" i="4"/>
  <c r="O8" i="10" l="1"/>
</calcChain>
</file>

<file path=xl/sharedStrings.xml><?xml version="1.0" encoding="utf-8"?>
<sst xmlns="http://schemas.openxmlformats.org/spreadsheetml/2006/main" count="192" uniqueCount="104">
  <si>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</si>
  <si>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</si>
  <si>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</si>
  <si>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</si>
  <si>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</si>
  <si>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</si>
  <si>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</si>
  <si>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</si>
  <si>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</si>
  <si>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</si>
  <si>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</si>
  <si>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</si>
  <si>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</si>
  <si>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</si>
  <si>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</si>
  <si>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</si>
  <si>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</si>
  <si>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</si>
  <si>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</si>
  <si>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</si>
  <si>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</si>
  <si>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</si>
  <si>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</si>
  <si>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</si>
  <si>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</si>
  <si>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</si>
  <si>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</si>
  <si>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</si>
  <si>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</si>
  <si>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</si>
  <si>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</si>
  <si>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</si>
  <si>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</si>
  <si>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</si>
  <si>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</si>
  <si>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</si>
  <si>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</si>
  <si>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</si>
  <si>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</si>
  <si>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</si>
  <si>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</si>
  <si>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</si>
  <si>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</si>
  <si>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</si>
  <si>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</si>
  <si>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</si>
  <si>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</si>
  <si>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</si>
  <si>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</si>
  <si>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</si>
  <si>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</si>
  <si>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</si>
  <si>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</si>
  <si>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</si>
  <si>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</si>
  <si>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</si>
  <si>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</si>
  <si>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</si>
  <si>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</si>
  <si>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</si>
  <si>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</si>
  <si>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</si>
  <si>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</si>
  <si>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</si>
  <si>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</si>
  <si>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</si>
  <si>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</si>
  <si>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</si>
  <si>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</si>
  <si>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</si>
  <si>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</si>
  <si>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</si>
  <si>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</si>
  <si>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</si>
  <si>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</si>
  <si>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</si>
  <si>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</si>
  <si>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</si>
  <si>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</si>
  <si>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</si>
  <si>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</si>
  <si>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</si>
  <si>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</si>
  <si>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</si>
  <si>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</si>
  <si>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</si>
  <si>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</si>
  <si>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</si>
  <si>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</si>
  <si>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</si>
  <si>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</si>
  <si>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</si>
  <si>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</si>
  <si>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</si>
  <si>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</si>
  <si>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</si>
  <si>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</si>
  <si>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</si>
  <si>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</si>
  <si>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</si>
  <si>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</si>
  <si>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2023-24</t>
  </si>
  <si>
    <t>NSW TNSP</t>
  </si>
  <si>
    <t>Regulatory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</si>
</sst>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(&quot;$&quot;#,##0.0_);\(&quot;$&quot;#,##0.0\);_(&quot;-&quot;_)"/>
    <numFmt numFmtId="196" formatCode="_(#,##0.0\x_);\(#,##0.0\x\);_(&quot;-&quot;_)"/>
    <numFmt numFmtId="197" formatCode="_(#,##0.0%_);\(#,##0.0%\);_(&quot;-&quot;_)"/>
    <numFmt numFmtId="198" formatCode="#,##0.0_);[Red]\(#,##0.0\)"/>
    <numFmt numFmtId="199" formatCode="0.00_)"/>
    <numFmt numFmtId="200" formatCode="_-* 0.000;\(\ 0.000\)"/>
    <numFmt numFmtId="201" formatCode="d\-mmm\-yyyy"/>
    <numFmt numFmtId="202" formatCode="_(#,##0_);\(#,##0\);_(#,##0_)"/>
    <numFmt numFmtId="203" formatCode="_(###0_);\(###0\);_(&quot;-&quot;_)"/>
    <numFmt numFmtId="204" formatCode="_)d\-mmm\-yy_);_)d\-mmm\-yy_);_)&quot;-&quot;_)"/>
    <numFmt numFmtId="205" formatCode="dd/mm/yy"/>
    <numFmt numFmtId="206" formatCode="#,##0\x_);\(#,##0\x\);#,##0\x_)"/>
    <numFmt numFmtId="207" formatCode="#,##0%_);\(#,##0%\);#,##0%_)"/>
    <numFmt numFmtId="208" formatCode="###0_);\(###0\);###0_)"/>
    <numFmt numFmtId="209" formatCode="d/m/yy"/>
    <numFmt numFmtId="210" formatCode="_(* &quot;$&quot;#,##0_)_;;_(* \(&quot;$&quot;#,##0\)_;;_(* &quot;$&quot;#,##0_)_;"/>
    <numFmt numFmtId="211" formatCode="dd/mm/yy__;"/>
    <numFmt numFmtId="212" formatCode="_(* #,##0\x_)_;;_(* \(#,##0\x\)_;;_(* #,##0\x_)_;"/>
    <numFmt numFmtId="213" formatCode="_(* #,##0_)_;;_(* \(#,##0\)_;;_(* #,##0_)_;"/>
    <numFmt numFmtId="214" formatCode="_(* #,##0%_)_;;_(* \(#,##0%\)_;;_(* #,##0%_)_;"/>
    <numFmt numFmtId="215" formatCode="###0_)_;;\(###0\)_;;###0_)_;"/>
    <numFmt numFmtId="216" formatCode="#"/>
    <numFmt numFmtId="217" formatCode="_(* &quot;$&quot;#,##0_)_;;[Blue]_(* \(&quot;$&quot;#,##0\)_;;_(* &quot;$&quot;#,##0_)_;"/>
    <numFmt numFmtId="218" formatCode="_(* #,##0\x_)_;;[Blue]_(* \(#,##0\x\)_;;_(* #,##0\x_)_;"/>
    <numFmt numFmtId="219" formatCode="_(* #,##0_)_;;[Blue]_(* \(#,##0\)_;;_(* #,##0_)_;"/>
    <numFmt numFmtId="220" formatCode="_(* #,##0%_)_;;[Blue]_(* \(#,##0%\)_;;_(* #,##0%_)_;"/>
    <numFmt numFmtId="221" formatCode="_(* #,##0_);_(* \(#,##0\);_(* &quot; - &quot;??_);_(@_)"/>
    <numFmt numFmtId="222" formatCode="#,##0_);[Blue]\(#,##0\);#,##0_)"/>
    <numFmt numFmtId="223" formatCode="_(* #,##0_);[Red]_(* \(#,##0\);_(* &quot; - &quot;??_);_(@_)"/>
    <numFmt numFmtId="224" formatCode="#,##0_);\(#,##0\);\-;"/>
    <numFmt numFmtId="225" formatCode="#,##0.00;[Red]\(#,##0.00\)"/>
    <numFmt numFmtId="226" formatCode="_)d/m/yy_)"/>
  </numFmts>
  <fonts count="19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3" fillId="85" borderId="0">
      <alignment vertical="center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5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7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5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7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8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5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7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" fontId="23" fillId="87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6" fillId="7" borderId="0">
      <alignment horizontal="right"/>
    </xf>
    <xf numFmtId="0" fontId="127" fillId="7" borderId="0">
      <alignment horizontal="right"/>
    </xf>
    <xf numFmtId="0" fontId="128" fillId="7" borderId="35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5" fontId="130" fillId="0" borderId="0" applyFill="0" applyBorder="0">
      <alignment horizontal="right" vertical="center"/>
    </xf>
    <xf numFmtId="185" fontId="130" fillId="0" borderId="0" applyFill="0" applyBorder="0">
      <alignment horizontal="right" vertical="center"/>
    </xf>
    <xf numFmtId="0" fontId="131" fillId="0" borderId="0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0" fontId="130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</xf>
    <xf numFmtId="196" fontId="130" fillId="0" borderId="0" applyFill="0" applyBorder="0">
      <alignment horizontal="right" vertical="center"/>
    </xf>
    <xf numFmtId="0" fontId="130" fillId="0" borderId="0" applyFill="0" applyBorder="0">
      <alignment vertical="center"/>
    </xf>
    <xf numFmtId="186" fontId="130" fillId="0" borderId="0" applyFill="0" applyBorder="0">
      <alignment horizontal="right" vertical="center"/>
    </xf>
    <xf numFmtId="197" fontId="130" fillId="0" borderId="0" applyFill="0" applyBorder="0">
      <alignment horizontal="right" vertical="center"/>
    </xf>
    <xf numFmtId="0" fontId="133" fillId="0" borderId="0" applyFill="0" applyBorder="0">
      <alignment vertical="center"/>
    </xf>
    <xf numFmtId="186" fontId="136" fillId="0" borderId="0" applyFill="0" applyBorder="0">
      <alignment horizontal="left" vertical="center"/>
    </xf>
    <xf numFmtId="0" fontId="137" fillId="0" borderId="0" applyFill="0" applyBorder="0">
      <alignment horizontal="left" vertical="center"/>
    </xf>
    <xf numFmtId="187" fontId="130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197" fontId="24" fillId="0" borderId="0" applyFill="0" applyBorder="0">
      <alignment horizontal="right"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79" fillId="0" borderId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2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42" fillId="0" borderId="0" applyFont="0" applyFill="0" applyBorder="0" applyAlignment="0" applyProtection="0"/>
    <xf numFmtId="0" fontId="143" fillId="0" borderId="0" applyFill="0" applyBorder="0">
      <alignment vertical="center"/>
    </xf>
    <xf numFmtId="0" fontId="144" fillId="0" borderId="0" applyFill="0" applyBorder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1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0" fillId="0" borderId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42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6" fontId="23" fillId="28" borderId="0" applyNumberFormat="0" applyFont="0" applyBorder="0" applyAlignment="0">
      <alignment horizontal="right"/>
    </xf>
    <xf numFmtId="0" fontId="146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9" fontId="147" fillId="0" borderId="0">
      <alignment horizont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201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166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6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48" fillId="0" borderId="0"/>
    <xf numFmtId="200" fontId="149" fillId="0" borderId="54">
      <alignment horizontal="right"/>
      <protection locked="0"/>
    </xf>
    <xf numFmtId="199" fontId="15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23" fillId="0" borderId="0"/>
    <xf numFmtId="0" fontId="121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1" fillId="0" borderId="0"/>
    <xf numFmtId="0" fontId="79" fillId="0" borderId="0"/>
    <xf numFmtId="0" fontId="155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0" fillId="0" borderId="0" applyNumberFormat="0" applyFont="0" applyFill="0" applyBorder="0">
      <alignment horizontal="center" vertical="center"/>
      <protection locked="0"/>
    </xf>
    <xf numFmtId="167" fontId="24" fillId="0" borderId="0" applyFont="0" applyFill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  <protection locked="0"/>
    </xf>
    <xf numFmtId="203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3" fontId="24" fillId="0" borderId="0" applyFill="0" applyBorder="0">
      <alignment vertical="center"/>
    </xf>
    <xf numFmtId="167" fontId="79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23" fillId="0" borderId="0"/>
    <xf numFmtId="0" fontId="108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8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2" fillId="84" borderId="0" applyNumberFormat="0" applyBorder="0" applyAlignment="0" applyProtection="0"/>
    <xf numFmtId="0" fontId="118" fillId="84" borderId="0" applyNumberFormat="0" applyBorder="0" applyAlignment="0" applyProtection="0"/>
    <xf numFmtId="0" fontId="118" fillId="62" borderId="0" applyNumberFormat="0" applyBorder="0" applyAlignment="0" applyProtection="0"/>
    <xf numFmtId="0" fontId="118" fillId="65" borderId="0" applyNumberFormat="0" applyBorder="0" applyAlignment="0" applyProtection="0"/>
    <xf numFmtId="0" fontId="122" fillId="69" borderId="0" applyNumberFormat="0" applyBorder="0" applyAlignment="0" applyProtection="0"/>
    <xf numFmtId="0" fontId="118" fillId="69" borderId="0" applyNumberFormat="0" applyBorder="0" applyAlignment="0" applyProtection="0"/>
    <xf numFmtId="0" fontId="118" fillId="77" borderId="0" applyNumberFormat="0" applyBorder="0" applyAlignment="0" applyProtection="0"/>
    <xf numFmtId="0" fontId="122" fillId="81" borderId="0" applyNumberFormat="0" applyBorder="0" applyAlignment="0" applyProtection="0"/>
    <xf numFmtId="0" fontId="118" fillId="81" borderId="0" applyNumberFormat="0" applyBorder="0" applyAlignment="0" applyProtection="0"/>
    <xf numFmtId="16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8" fontId="163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10" fontId="163" fillId="0" borderId="56">
      <alignment horizontal="center" vertical="center"/>
      <protection locked="0"/>
    </xf>
    <xf numFmtId="211" fontId="163" fillId="0" borderId="56">
      <alignment horizontal="right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214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5" fontId="163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8" fontId="163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38" fontId="23" fillId="7" borderId="0" applyNumberFormat="0" applyFont="0" applyAlignment="0"/>
    <xf numFmtId="0" fontId="161" fillId="57" borderId="0" applyNumberFormat="0" applyBorder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8" fontId="79" fillId="0" borderId="0" applyFont="0" applyFill="0" applyBorder="0" applyAlignment="0" applyProtection="0"/>
    <xf numFmtId="0" fontId="164" fillId="0" borderId="0" applyFill="0" applyBorder="0">
      <alignment vertical="center"/>
    </xf>
    <xf numFmtId="0" fontId="165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10" fontId="163" fillId="0" borderId="56">
      <alignment horizontal="center" vertical="center"/>
      <protection locked="0"/>
    </xf>
    <xf numFmtId="211" fontId="163" fillId="0" borderId="56">
      <alignment horizontal="right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214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5" fontId="163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10" fontId="163" fillId="0" borderId="0" applyFill="0" applyBorder="0">
      <alignment horizontal="center" vertical="center"/>
    </xf>
    <xf numFmtId="211" fontId="163" fillId="0" borderId="0" applyFill="0" applyBorder="0">
      <alignment horizontal="right" vertical="center"/>
    </xf>
    <xf numFmtId="212" fontId="163" fillId="0" borderId="0" applyFill="0" applyBorder="0">
      <alignment horizontal="center" vertical="center"/>
    </xf>
    <xf numFmtId="213" fontId="163" fillId="0" borderId="0" applyFill="0" applyBorder="0">
      <alignment horizontal="center" vertical="center"/>
    </xf>
    <xf numFmtId="214" fontId="163" fillId="0" borderId="0" applyFill="0" applyBorder="0">
      <alignment horizontal="center" vertical="center"/>
    </xf>
    <xf numFmtId="0" fontId="166" fillId="0" borderId="0" applyFill="0" applyBorder="0">
      <alignment horizontal="right" vertical="center"/>
    </xf>
    <xf numFmtId="215" fontId="163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7" fillId="0" borderId="0" applyProtection="0">
      <alignment horizontal="right"/>
    </xf>
    <xf numFmtId="216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4" fillId="0" borderId="0" applyFill="0" applyBorder="0">
      <alignment vertical="center"/>
    </xf>
    <xf numFmtId="217" fontId="163" fillId="0" borderId="0" applyFill="0" applyBorder="0">
      <alignment horizontal="center" vertical="center"/>
    </xf>
    <xf numFmtId="211" fontId="163" fillId="0" borderId="0" applyFill="0" applyBorder="0">
      <alignment horizontal="right" vertical="center"/>
    </xf>
    <xf numFmtId="218" fontId="163" fillId="0" borderId="0" applyFill="0" applyBorder="0">
      <alignment horizontal="center" vertical="center"/>
    </xf>
    <xf numFmtId="219" fontId="163" fillId="0" borderId="0" applyFill="0" applyBorder="0">
      <alignment horizontal="center" vertical="center"/>
    </xf>
    <xf numFmtId="220" fontId="163" fillId="0" borderId="0" applyFill="0" applyBorder="0">
      <alignment horizontal="center" vertical="center"/>
    </xf>
    <xf numFmtId="215" fontId="163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166" fillId="0" borderId="0" applyFill="0" applyBorder="0">
      <alignment vertical="center"/>
    </xf>
    <xf numFmtId="0" fontId="163" fillId="0" borderId="0" applyFill="0" applyBorder="0">
      <alignment vertical="center"/>
    </xf>
    <xf numFmtId="16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8" fontId="163" fillId="0" borderId="0" applyFill="0" applyBorder="0">
      <alignment horizontal="center" vertical="center"/>
    </xf>
    <xf numFmtId="0" fontId="170" fillId="0" borderId="0" applyFill="0" applyBorder="0">
      <alignment vertical="center"/>
    </xf>
    <xf numFmtId="221" fontId="119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2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16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8" fontId="163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0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3" fontId="24" fillId="7" borderId="0"/>
    <xf numFmtId="223" fontId="24" fillId="89" borderId="54"/>
    <xf numFmtId="223" fontId="20" fillId="7" borderId="52"/>
    <xf numFmtId="224" fontId="119" fillId="0" borderId="0" applyBorder="0" applyAlignment="0">
      <protection locked="0"/>
    </xf>
    <xf numFmtId="225" fontId="121" fillId="11" borderId="0">
      <alignment horizontal="right"/>
    </xf>
    <xf numFmtId="0" fontId="171" fillId="0" borderId="0" applyFill="0" applyBorder="0">
      <alignment vertical="center"/>
    </xf>
    <xf numFmtId="210" fontId="17" fillId="0" borderId="0" applyFill="0" applyBorder="0">
      <alignment horizontal="center" vertical="center"/>
    </xf>
    <xf numFmtId="211" fontId="17" fillId="0" borderId="0" applyFill="0" applyBorder="0">
      <alignment horizontal="right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214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5" fontId="17" fillId="0" borderId="0" applyFill="0" applyBorder="0">
      <alignment horizontal="right" vertical="center"/>
    </xf>
    <xf numFmtId="0" fontId="172" fillId="0" borderId="0" applyFill="0" applyBorder="0">
      <alignment vertical="center"/>
    </xf>
    <xf numFmtId="0" fontId="173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8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4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195" fontId="175" fillId="0" borderId="0" applyFill="0" applyBorder="0">
      <alignment horizontal="right" vertical="center"/>
    </xf>
    <xf numFmtId="204" fontId="24" fillId="0" borderId="0" applyFill="0" applyBorder="0">
      <alignment vertical="center"/>
    </xf>
    <xf numFmtId="226" fontId="175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6" fillId="0" borderId="0" applyFill="0" applyBorder="0">
      <alignment vertical="center"/>
    </xf>
    <xf numFmtId="0" fontId="51" fillId="0" borderId="0" applyFill="0" applyBorder="0">
      <alignment vertical="center"/>
    </xf>
    <xf numFmtId="0" fontId="177" fillId="0" borderId="0" applyFill="0" applyBorder="0">
      <alignment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4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79" fillId="0" borderId="0" applyFill="0" applyBorder="0">
      <alignment horizontal="left" vertical="center"/>
    </xf>
    <xf numFmtId="196" fontId="24" fillId="0" borderId="0" applyFill="0" applyBorder="0">
      <alignment vertical="center"/>
    </xf>
    <xf numFmtId="196" fontId="175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186" fontId="24" fillId="0" borderId="0" applyFill="0" applyBorder="0">
      <alignment vertical="center"/>
    </xf>
    <xf numFmtId="172" fontId="175" fillId="0" borderId="0" applyFill="0" applyBorder="0">
      <alignment horizontal="right" vertical="center"/>
    </xf>
    <xf numFmtId="197" fontId="24" fillId="0" borderId="0" applyFill="0" applyBorder="0">
      <alignment vertical="center"/>
    </xf>
    <xf numFmtId="197" fontId="175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138" fillId="0" borderId="0" applyFill="0" applyBorder="0">
      <alignment vertical="center"/>
    </xf>
    <xf numFmtId="172" fontId="18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1" fillId="0" borderId="0" applyFill="0" applyBorder="0">
      <alignment horizontal="left" vertical="center"/>
    </xf>
    <xf numFmtId="203" fontId="24" fillId="0" borderId="0" applyFill="0" applyBorder="0">
      <alignment vertical="center"/>
    </xf>
    <xf numFmtId="187" fontId="175" fillId="0" borderId="0" applyFill="0" applyBorder="0">
      <alignment horizontal="right"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38" fontId="120" fillId="0" borderId="0" applyNumberForma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8" fillId="0" borderId="0" applyFont="0" applyFill="0" applyBorder="0" applyAlignment="0" applyProtection="0"/>
    <xf numFmtId="0" fontId="162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18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18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18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18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18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18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8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18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18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109" fillId="57" borderId="0" applyNumberFormat="0" applyBorder="0" applyAlignment="0" applyProtection="0"/>
    <xf numFmtId="0" fontId="29" fillId="27" borderId="0" applyNumberFormat="0" applyBorder="0" applyAlignment="0" applyProtection="0"/>
    <xf numFmtId="0" fontId="109" fillId="57" borderId="0" applyNumberFormat="0" applyBorder="0" applyAlignment="0" applyProtection="0"/>
    <xf numFmtId="0" fontId="33" fillId="13" borderId="58" applyNumberFormat="0" applyAlignment="0" applyProtection="0"/>
    <xf numFmtId="0" fontId="112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4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8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3" fillId="0" borderId="59" applyNumberFormat="0" applyFill="0" applyAlignment="0" applyProtection="0"/>
    <xf numFmtId="0" fontId="18" fillId="0" borderId="0" applyFill="0" applyBorder="0">
      <alignment vertical="center"/>
    </xf>
    <xf numFmtId="0" fontId="183" fillId="0" borderId="59" applyNumberFormat="0" applyFill="0" applyAlignment="0" applyProtection="0"/>
    <xf numFmtId="0" fontId="105" fillId="0" borderId="43" applyNumberFormat="0" applyFill="0" applyAlignment="0" applyProtection="0"/>
    <xf numFmtId="0" fontId="183" fillId="0" borderId="59" applyNumberFormat="0" applyFill="0" applyAlignment="0" applyProtection="0"/>
    <xf numFmtId="0" fontId="183" fillId="0" borderId="59" applyNumberFormat="0" applyFill="0" applyAlignment="0" applyProtection="0"/>
    <xf numFmtId="0" fontId="184" fillId="0" borderId="60" applyNumberFormat="0" applyFill="0" applyAlignment="0" applyProtection="0"/>
    <xf numFmtId="0" fontId="51" fillId="0" borderId="0" applyFill="0" applyBorder="0">
      <alignment vertical="center"/>
    </xf>
    <xf numFmtId="0" fontId="184" fillId="0" borderId="60" applyNumberFormat="0" applyFill="0" applyAlignment="0" applyProtection="0"/>
    <xf numFmtId="0" fontId="106" fillId="0" borderId="44" applyNumberFormat="0" applyFill="0" applyAlignment="0" applyProtection="0"/>
    <xf numFmtId="0" fontId="184" fillId="0" borderId="60" applyNumberFormat="0" applyFill="0" applyAlignment="0" applyProtection="0"/>
    <xf numFmtId="0" fontId="184" fillId="0" borderId="60" applyNumberFormat="0" applyFill="0" applyAlignment="0" applyProtection="0"/>
    <xf numFmtId="0" fontId="154" fillId="0" borderId="61" applyNumberFormat="0" applyFill="0" applyAlignment="0" applyProtection="0"/>
    <xf numFmtId="0" fontId="20" fillId="0" borderId="0" applyFill="0" applyBorder="0">
      <alignment vertical="center"/>
    </xf>
    <xf numFmtId="0" fontId="154" fillId="0" borderId="61" applyNumberFormat="0" applyFill="0" applyAlignment="0" applyProtection="0"/>
    <xf numFmtId="0" fontId="107" fillId="0" borderId="45" applyNumberFormat="0" applyFill="0" applyAlignment="0" applyProtection="0"/>
    <xf numFmtId="0" fontId="154" fillId="0" borderId="61" applyNumberFormat="0" applyFill="0" applyAlignment="0" applyProtection="0"/>
    <xf numFmtId="0" fontId="154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3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5" fillId="0" borderId="0"/>
    <xf numFmtId="0" fontId="37" fillId="0" borderId="0"/>
    <xf numFmtId="0" fontId="185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23" fillId="0" borderId="0"/>
    <xf numFmtId="0" fontId="121" fillId="0" borderId="0"/>
    <xf numFmtId="0" fontId="23" fillId="0" borderId="0"/>
    <xf numFmtId="0" fontId="25" fillId="0" borderId="0"/>
    <xf numFmtId="0" fontId="23" fillId="0" borderId="0"/>
    <xf numFmtId="0" fontId="12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1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1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1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8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7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160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0" fillId="0" borderId="0" applyFill="0" applyBorder="0">
      <alignment vertical="center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168" fontId="23" fillId="0" borderId="0" applyFont="0" applyFill="0" applyBorder="0" applyAlignment="0" applyProtection="0"/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2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39" fillId="0" borderId="0" applyFill="0" applyBorder="0">
      <alignment horizontal="left" vertical="center"/>
      <protection locked="0"/>
    </xf>
    <xf numFmtId="0" fontId="79" fillId="0" borderId="0"/>
    <xf numFmtId="0" fontId="190" fillId="0" borderId="0" applyFill="0" applyBorder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</cellStyleXfs>
  <cellXfs count="19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2" applyFont="1" applyFill="1" applyBorder="1" applyAlignment="1">
      <alignment horizontal="right" vertical="center"/>
    </xf>
    <xf numFmtId="168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4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CCCC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 fitToPage="1"/>
  </sheetPr>
  <dimension ref="A1:AB22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NSW TNSP 2023-28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7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7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34</v>
      </c>
      <c r="D13" s="7"/>
      <c r="E13" s="7"/>
    </row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NSW TNSP 2023-28 Regulatory Proposal - Capital expenditure sharing scheme model</v>
      </c>
      <c r="F1" s="103"/>
      <c r="G1" s="104" t="s">
        <v>47</v>
      </c>
      <c r="H1" s="155" t="s">
        <v>48</v>
      </c>
      <c r="I1" s="160" t="s">
        <v>36</v>
      </c>
      <c r="M1" s="105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6" t="s">
        <v>102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56" t="s">
        <v>103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6" t="s">
        <v>100</v>
      </c>
      <c r="J8" s="79"/>
      <c r="K8" s="79"/>
      <c r="L8" s="79"/>
      <c r="M8" s="79"/>
    </row>
    <row r="9" spans="1:13" s="70" customFormat="1" ht="11.25" customHeight="1">
      <c r="C9" s="186" t="s">
        <v>99</v>
      </c>
      <c r="D9" s="156" t="s">
        <v>101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3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5" t="str">
        <f>IF(LEN(E13)&gt;4,CONCATENATE(LEFT(E13,4)-1&amp;"–"&amp;IF(RIGHT(E13,2)="00","99",IF(RIGHT(E13,2)-1&lt;10,"0","")&amp;RIGHT(E13,2)-1)),E13-1)</f>
        <v>2018–19</v>
      </c>
      <c r="E13" s="185" t="str">
        <f t="shared" ref="E13:F13" si="0">IF(LEN(F13)&gt;4,CONCATENATE(LEFT(F13,4)-1&amp;"–"&amp;IF(RIGHT(F13,2)="00","99",IF(RIGHT(F13,2)-1&lt;10,"0","")&amp;RIGHT(F13,2)-1)),F13-1)</f>
        <v>2019–20</v>
      </c>
      <c r="F13" s="185" t="str">
        <f t="shared" si="0"/>
        <v>2020–21</v>
      </c>
      <c r="G13" s="185" t="str">
        <f>IF(LEN(H13)&gt;4,CONCATENATE(LEFT(H13,4)-1&amp;"–"&amp;IF(RIGHT(H13,2)="00","99",IF(RIGHT(H13,2)-1&lt;10,"0","")&amp;RIGHT(H13,2)-1)),H13-1)</f>
        <v>2021–22</v>
      </c>
      <c r="H13" s="185" t="str">
        <f>IF(LEN(D9)&gt;4,CONCATENATE(LEFT(D9,4)-1&amp;"–"&amp;IF(RIGHT(D9,2)="00","99",IF(RIGHT(D9,2)-1&lt;10,"0","")&amp;RIGHT(D9,2)-1)),D9-1)</f>
        <v>2022–23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6" t="s">
        <v>8</v>
      </c>
      <c r="E14" s="156" t="s">
        <v>8</v>
      </c>
      <c r="F14" s="156" t="s">
        <v>8</v>
      </c>
      <c r="G14" s="156" t="s">
        <v>8</v>
      </c>
      <c r="H14" s="156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6" t="s">
        <v>7</v>
      </c>
      <c r="E15" s="156" t="s">
        <v>7</v>
      </c>
      <c r="F15" s="156" t="s">
        <v>7</v>
      </c>
      <c r="G15" s="156" t="s">
        <v>29</v>
      </c>
      <c r="H15" s="156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5" t="str">
        <f>D9</f>
        <v>2023-24</v>
      </c>
      <c r="E18" s="185" t="str">
        <f>IF(LEN(D18)&gt;4,CONCATENATE(LEFT(D18,4)+1&amp;"–"&amp;IF(RIGHT(D18,2)+1&gt;9,"","0")&amp;RIGHT(D18,2)+1),D18+1)</f>
        <v>2024–25</v>
      </c>
      <c r="F18" s="185" t="str">
        <f t="shared" ref="F18:H18" si="1">IF(LEN(E18)&gt;4,CONCATENATE(LEFT(E18,4)+1&amp;"–"&amp;IF(RIGHT(E18,2)+1&gt;9,"","0")&amp;RIGHT(E18,2)+1),E18+1)</f>
        <v>2025–26</v>
      </c>
      <c r="G18" s="185" t="str">
        <f t="shared" si="1"/>
        <v>2026–27</v>
      </c>
      <c r="H18" s="185" t="str">
        <f t="shared" si="1"/>
        <v>2027–28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62" customFormat="1" ht="12.75" customHeight="1">
      <c r="A20" s="8"/>
      <c r="B20" s="29" t="s">
        <v>34</v>
      </c>
    </row>
    <row r="21" spans="1:13" ht="18" hidden="1" customHeight="1"/>
  </sheetData>
  <dataValidations disablePrompts="1"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F28"/>
  <sheetViews>
    <sheetView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NSW TNSP 2023-28 Regulatory Proposal - Capital expenditure sharing scheme model</v>
      </c>
      <c r="D1" s="12"/>
      <c r="E1" s="12"/>
      <c r="F1" s="12"/>
      <c r="G1" s="103"/>
      <c r="I1" s="104" t="s">
        <v>47</v>
      </c>
      <c r="J1" s="155" t="s">
        <v>48</v>
      </c>
      <c r="K1" s="160" t="s">
        <v>36</v>
      </c>
      <c r="L1" s="189"/>
      <c r="N1" s="105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2" t="str">
        <f>IF(LEN(G7)&gt;4,CONCATENATE(LEFT(G7,4)-1&amp;"–"&amp;IF(RIGHT(G7,2)="00","99",IF(RIGHT(G7,2)-1&lt;10,"0","")&amp;RIGHT(G7,2)-1)),G7-1)</f>
        <v>2017–18</v>
      </c>
      <c r="G7" s="171" t="str">
        <f>'Input | General'!D13</f>
        <v>2018–19</v>
      </c>
      <c r="H7" s="171" t="str">
        <f>'Input | General'!E13</f>
        <v>2019–20</v>
      </c>
      <c r="I7" s="171" t="str">
        <f>'Input | General'!F13</f>
        <v>2020–21</v>
      </c>
      <c r="J7" s="171" t="str">
        <f>'Input | General'!G13</f>
        <v>2021–22</v>
      </c>
      <c r="K7" s="171" t="str">
        <f>'Input | General'!H13</f>
        <v>2022–23</v>
      </c>
      <c r="L7" s="171" t="str">
        <f>'Input | General'!D18</f>
        <v>2023-24</v>
      </c>
      <c r="M7" s="171" t="str">
        <f>'Input | General'!E18</f>
        <v>2024–25</v>
      </c>
      <c r="N7" s="171" t="str">
        <f>'Input | General'!F18</f>
        <v>2025–26</v>
      </c>
      <c r="O7" s="171" t="str">
        <f>'Input | General'!G18</f>
        <v>2026–27</v>
      </c>
      <c r="P7" s="171" t="str">
        <f>'Input | General'!H18</f>
        <v>2027–28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188"/>
      <c r="G8" s="157">
        <v>1.9090909090909047E-2</v>
      </c>
      <c r="H8" s="157">
        <v>1.7841213202497874E-2</v>
      </c>
      <c r="I8" s="157">
        <v>1.8404907975460238E-2</v>
      </c>
      <c r="J8" s="157">
        <v>8.6058519793459354E-3</v>
      </c>
      <c r="K8" s="157">
        <v>3.2500000000000001E-2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28"/>
      <c r="H9" s="128"/>
      <c r="I9" s="128"/>
      <c r="J9" s="128"/>
      <c r="K9" s="128"/>
      <c r="L9" s="157">
        <v>2.349953872603594E-2</v>
      </c>
      <c r="M9" s="140">
        <f t="shared" ref="M9:P9" si="0">L9</f>
        <v>2.349953872603594E-2</v>
      </c>
      <c r="N9" s="140">
        <f t="shared" si="0"/>
        <v>2.349953872603594E-2</v>
      </c>
      <c r="O9" s="140">
        <f t="shared" si="0"/>
        <v>2.349953872603594E-2</v>
      </c>
      <c r="P9" s="140">
        <f t="shared" si="0"/>
        <v>2.349953872603594E-2</v>
      </c>
    </row>
    <row r="10" spans="1:20" ht="11.25" customHeight="1">
      <c r="A10" s="11"/>
      <c r="B10" s="11"/>
      <c r="C10" s="138" t="str">
        <f>"CPI Index (base year "&amp;F7&amp;")"</f>
        <v>CPI Index (base year 2017–18)</v>
      </c>
      <c r="D10" s="78" t="s">
        <v>86</v>
      </c>
      <c r="E10" s="78" t="s">
        <v>30</v>
      </c>
      <c r="F10" s="136">
        <v>1</v>
      </c>
      <c r="G10" s="121">
        <f>IF(G7&lt;&gt;"",(F10*(1+G8)),"")</f>
        <v>1.019090909090909</v>
      </c>
      <c r="H10" s="121">
        <f>IF(H7&lt;&gt;"",(G10*(1+H8)),"")</f>
        <v>1.0372727272727273</v>
      </c>
      <c r="I10" s="121">
        <f>IF(I7&lt;&gt;"",(H10*(1+I8)),"")</f>
        <v>1.0563636363636366</v>
      </c>
      <c r="J10" s="121">
        <f>IF(J7&lt;&gt;"",(I10*(1+J8)),"")</f>
        <v>1.0654545454545457</v>
      </c>
      <c r="K10" s="121">
        <f>IF(K7&lt;&gt;"",(J10*(1+K8)),"")</f>
        <v>1.1000818181818184</v>
      </c>
      <c r="L10" s="87">
        <f t="shared" ref="L10:P10" si="1">IF(L7&lt;&gt;"",(K10*(1+L9)),"")</f>
        <v>1.1259332334699901</v>
      </c>
      <c r="M10" s="87">
        <f t="shared" si="1"/>
        <v>1.1523921450928489</v>
      </c>
      <c r="N10" s="87">
        <f t="shared" si="1"/>
        <v>1.1794728289340379</v>
      </c>
      <c r="O10" s="87">
        <f t="shared" si="1"/>
        <v>1.2071898963538805</v>
      </c>
      <c r="P10" s="87">
        <f t="shared" si="1"/>
        <v>1.2355583020729279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9"/>
      <c r="L11" s="129"/>
      <c r="M11" s="129"/>
      <c r="N11" s="129"/>
      <c r="O11" s="129"/>
      <c r="P11" s="129"/>
    </row>
    <row r="12" spans="1:20" ht="11.25" customHeight="1">
      <c r="A12" s="11"/>
      <c r="B12" s="11"/>
      <c r="C12" s="80"/>
      <c r="D12" s="78"/>
      <c r="E12" s="78"/>
      <c r="F12" s="78"/>
      <c r="G12" s="125"/>
      <c r="H12" s="125"/>
      <c r="I12" s="125"/>
      <c r="J12" s="125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188"/>
      <c r="G13" s="157">
        <f t="shared" ref="G13:L14" si="2">G8</f>
        <v>1.9090909090909047E-2</v>
      </c>
      <c r="H13" s="157">
        <f t="shared" si="2"/>
        <v>1.7841213202497874E-2</v>
      </c>
      <c r="I13" s="157">
        <f t="shared" si="2"/>
        <v>1.8404907975460238E-2</v>
      </c>
      <c r="J13" s="157">
        <f t="shared" si="2"/>
        <v>8.6058519793459354E-3</v>
      </c>
      <c r="K13" s="157">
        <f t="shared" si="2"/>
        <v>3.2500000000000001E-2</v>
      </c>
      <c r="L13" s="125"/>
      <c r="M13" s="125"/>
      <c r="N13" s="125"/>
      <c r="O13" s="125"/>
      <c r="P13" s="125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57">
        <f t="shared" si="2"/>
        <v>2.349953872603594E-2</v>
      </c>
      <c r="M14" s="140">
        <f t="shared" ref="M14:P14" si="3">L14</f>
        <v>2.349953872603594E-2</v>
      </c>
      <c r="N14" s="140">
        <f t="shared" si="3"/>
        <v>2.349953872603594E-2</v>
      </c>
      <c r="O14" s="140">
        <f t="shared" si="3"/>
        <v>2.349953872603594E-2</v>
      </c>
      <c r="P14" s="140">
        <f t="shared" si="3"/>
        <v>2.349953872603594E-2</v>
      </c>
    </row>
    <row r="15" spans="1:20" ht="11.25" customHeight="1">
      <c r="A15" s="11"/>
      <c r="B15" s="11"/>
      <c r="C15" s="138" t="str">
        <f>"CPI Index (base year "&amp;F7&amp;")"</f>
        <v>CPI Index (base year 2017–18)</v>
      </c>
      <c r="D15" s="78" t="s">
        <v>49</v>
      </c>
      <c r="E15" s="78" t="s">
        <v>30</v>
      </c>
      <c r="F15" s="136">
        <v>1</v>
      </c>
      <c r="G15" s="121">
        <f>IF(G7&lt;&gt;"",(F15*(1+G13)),"")</f>
        <v>1.019090909090909</v>
      </c>
      <c r="H15" s="121">
        <f>IF(H7&lt;&gt;"",(G15*(1+H13)),"")</f>
        <v>1.0372727272727273</v>
      </c>
      <c r="I15" s="121">
        <f>IF(I7&lt;&gt;"",(H15*(1+I13)),"")</f>
        <v>1.0563636363636366</v>
      </c>
      <c r="J15" s="121">
        <f>IF(J7&lt;&gt;"",(I15*(1+J13)),"")</f>
        <v>1.0654545454545457</v>
      </c>
      <c r="K15" s="87">
        <f>IF(K7&lt;&gt;"",(J15*(1+K13)),"")</f>
        <v>1.1000818181818184</v>
      </c>
      <c r="L15" s="87">
        <f t="shared" ref="L15:P15" si="4">IF(L7&lt;&gt;"",(K15*(1+L14)),"")</f>
        <v>1.1259332334699901</v>
      </c>
      <c r="M15" s="87">
        <f t="shared" si="4"/>
        <v>1.1523921450928489</v>
      </c>
      <c r="N15" s="87">
        <f t="shared" si="4"/>
        <v>1.1794728289340379</v>
      </c>
      <c r="O15" s="87">
        <f t="shared" si="4"/>
        <v>1.2071898963538805</v>
      </c>
      <c r="P15" s="87">
        <f t="shared" si="4"/>
        <v>1.2355583020729279</v>
      </c>
    </row>
    <row r="16" spans="1:20" s="127" customFormat="1" ht="11.25" customHeight="1">
      <c r="A16" s="2"/>
      <c r="B16" s="2"/>
      <c r="C16" s="80"/>
      <c r="D16" s="126"/>
      <c r="E16" s="126"/>
      <c r="F16" s="126"/>
      <c r="G16" s="86"/>
      <c r="H16" s="86"/>
      <c r="I16" s="86"/>
      <c r="J16" s="86"/>
      <c r="K16" s="130"/>
      <c r="L16" s="130"/>
      <c r="M16" s="130"/>
      <c r="N16" s="130"/>
      <c r="O16" s="130"/>
      <c r="P16" s="130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1" t="str">
        <f>G7</f>
        <v>2018–19</v>
      </c>
      <c r="H19" s="171" t="str">
        <f t="shared" ref="H19:P19" si="5">H7</f>
        <v>2019–20</v>
      </c>
      <c r="I19" s="171" t="str">
        <f t="shared" si="5"/>
        <v>2020–21</v>
      </c>
      <c r="J19" s="171" t="str">
        <f t="shared" si="5"/>
        <v>2021–22</v>
      </c>
      <c r="K19" s="171" t="str">
        <f t="shared" si="5"/>
        <v>2022–23</v>
      </c>
      <c r="L19" s="171" t="str">
        <f t="shared" si="5"/>
        <v>2023-24</v>
      </c>
      <c r="M19" s="171" t="str">
        <f t="shared" si="5"/>
        <v>2024–25</v>
      </c>
      <c r="N19" s="171" t="str">
        <f t="shared" si="5"/>
        <v>2025–26</v>
      </c>
      <c r="O19" s="171" t="str">
        <f t="shared" si="5"/>
        <v>2026–27</v>
      </c>
      <c r="P19" s="171" t="str">
        <f t="shared" si="5"/>
        <v>2027–28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57">
        <v>3.993698958963017E-2</v>
      </c>
      <c r="H20" s="157">
        <v>3.8768911813005374E-2</v>
      </c>
      <c r="I20" s="157">
        <v>3.6676965385035398E-2</v>
      </c>
      <c r="J20" s="157">
        <v>3.4025171303287666E-2</v>
      </c>
      <c r="K20" s="157">
        <v>3.4025171303287666E-2</v>
      </c>
      <c r="L20" s="86"/>
      <c r="M20" s="86"/>
      <c r="N20" s="86"/>
      <c r="O20" s="86"/>
      <c r="P20" s="86"/>
    </row>
    <row r="21" spans="1:16" ht="11.25" customHeight="1">
      <c r="C21" s="151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57">
        <v>2.2993694731479095E-2</v>
      </c>
      <c r="M21" s="157">
        <v>2.2993694731479095E-2</v>
      </c>
      <c r="N21" s="157">
        <v>2.2993694731479095E-2</v>
      </c>
      <c r="O21" s="157">
        <v>2.2993694731479095E-2</v>
      </c>
      <c r="P21" s="157">
        <v>2.2993694731479095E-2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1">
        <f>IF(AND(G13&lt;&gt;"",G20&lt;&gt;""),((1+G20)*(1+G13)-1),"")</f>
        <v>5.9790332118159428E-2</v>
      </c>
      <c r="H22" s="141">
        <f>IF(AND(H13&lt;&gt;"",H20&lt;&gt;""),((1+H20)*(1+H13)-1),"")</f>
        <v>5.7301809436788087E-2</v>
      </c>
      <c r="I22" s="141">
        <f>IF(AND(I13&lt;&gt;"",I20&lt;&gt;""),((1+I20)*(1+I13)-1),"")</f>
        <v>5.5756909533226429E-2</v>
      </c>
      <c r="J22" s="141">
        <f>IF(AND(J13&lt;&gt;"",J20&lt;&gt;""),((1+J20)*(1+J13)-1),"")</f>
        <v>4.29238388704416E-2</v>
      </c>
      <c r="K22" s="141">
        <f>IF(AND(K13&lt;&gt;"",K20&lt;&gt;""),((1+K20)*(1+K13)-1),"")</f>
        <v>6.7630989370644601E-2</v>
      </c>
      <c r="L22" s="141">
        <f>IF(AND(L14&lt;&gt;"",L21&lt;&gt;""),((1+L21)*(1+L14)-1),"")</f>
        <v>4.7033574677312062E-2</v>
      </c>
      <c r="M22" s="141">
        <f t="shared" ref="M22:P22" si="6">IF(AND(M14&lt;&gt;"",M21&lt;&gt;""),((1+M21)*(1+M14)-1),"")</f>
        <v>4.7033574677312062E-2</v>
      </c>
      <c r="N22" s="141">
        <f t="shared" si="6"/>
        <v>4.7033574677312062E-2</v>
      </c>
      <c r="O22" s="141">
        <f t="shared" si="6"/>
        <v>4.7033574677312062E-2</v>
      </c>
      <c r="P22" s="141">
        <f t="shared" si="6"/>
        <v>4.7033574677312062E-2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</sheetData>
  <pageMargins left="0.7" right="0.7" top="0.75" bottom="0.75" header="0.3" footer="0.3"/>
  <pageSetup paperSize="9"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W66"/>
  <sheetViews>
    <sheetView zoomScaleNormal="100" workbookViewId="0">
      <selection activeCell="I18" sqref="I1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NSW TNSP 2023-28 Regulatory Proposal - Capital expenditure sharing scheme model</v>
      </c>
      <c r="D1" s="12"/>
      <c r="E1" s="12"/>
      <c r="F1" s="12"/>
      <c r="G1" s="12"/>
      <c r="H1" s="103"/>
      <c r="I1" s="104" t="s">
        <v>47</v>
      </c>
      <c r="J1" s="155" t="s">
        <v>48</v>
      </c>
      <c r="K1" s="160" t="s">
        <v>36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3" t="str">
        <f>IF('Input | General'!D14="Yes",'Input | General'!D13,"n/a")</f>
        <v>2018–19</v>
      </c>
      <c r="I6" s="173" t="str">
        <f>IF('Input | General'!E14="Yes",'Input | General'!E13,"n/a")</f>
        <v>2019–20</v>
      </c>
      <c r="J6" s="173" t="str">
        <f>IF('Input | General'!F14="Yes",'Input | General'!F13,"n/a")</f>
        <v>2020–21</v>
      </c>
      <c r="K6" s="173" t="str">
        <f>IF('Input | General'!G14="Yes",'Input | General'!G13,"n/a")</f>
        <v>2021–22</v>
      </c>
      <c r="L6" s="173" t="str">
        <f>IF('Input | General'!H14="Yes",'Input | General'!H13,"n/a")</f>
        <v>2022–23</v>
      </c>
      <c r="M6" s="106"/>
      <c r="N6" s="106"/>
    </row>
    <row r="7" spans="2:14" s="68" customFormat="1" ht="10.5" customHeight="1">
      <c r="M7" s="106"/>
      <c r="N7" s="106"/>
    </row>
    <row r="8" spans="2:14" ht="10.5" customHeight="1">
      <c r="C8" s="80" t="s">
        <v>3</v>
      </c>
      <c r="D8" s="78" t="s">
        <v>49</v>
      </c>
      <c r="E8" s="78" t="s">
        <v>50</v>
      </c>
      <c r="F8" s="176" t="str">
        <f>'Input | Inflation and Disc Rate'!$F$7</f>
        <v>2017–18</v>
      </c>
      <c r="G8" s="68"/>
      <c r="H8" s="158">
        <v>221.85620239677593</v>
      </c>
      <c r="I8" s="158">
        <v>359.86535298196645</v>
      </c>
      <c r="J8" s="158">
        <v>600.41313490425318</v>
      </c>
      <c r="K8" s="158">
        <v>1240.7562185115657</v>
      </c>
      <c r="L8" s="158">
        <v>907.67204607306189</v>
      </c>
      <c r="M8" s="2"/>
      <c r="N8" s="2"/>
    </row>
    <row r="9" spans="2:14" ht="10.5" customHeight="1">
      <c r="C9" s="80" t="s">
        <v>92</v>
      </c>
      <c r="D9" s="78" t="s">
        <v>49</v>
      </c>
      <c r="E9" s="78" t="s">
        <v>50</v>
      </c>
      <c r="F9" s="176" t="str">
        <f>'Input | Inflation and Disc Rate'!$F$7</f>
        <v>2017–18</v>
      </c>
      <c r="G9" s="68"/>
      <c r="H9" s="158">
        <v>2.5648828446675327</v>
      </c>
      <c r="I9" s="158">
        <v>2.5648828446675327</v>
      </c>
      <c r="J9" s="158">
        <v>2.5648828446675327</v>
      </c>
      <c r="K9" s="158">
        <v>2.8999624131099253</v>
      </c>
      <c r="L9" s="158">
        <v>2.5648828446675327</v>
      </c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6"/>
      <c r="N10" s="106"/>
    </row>
    <row r="11" spans="2:14" ht="10.5" customHeight="1">
      <c r="C11" s="77" t="s">
        <v>5</v>
      </c>
      <c r="D11" s="76" t="s">
        <v>60</v>
      </c>
      <c r="E11" s="174" t="s">
        <v>50</v>
      </c>
      <c r="F11" s="175" t="str">
        <f>'Input | Inflation and Disc Rate'!$F$7</f>
        <v>2017–18</v>
      </c>
      <c r="G11" s="68"/>
      <c r="H11" s="66">
        <f>IF(H6="", "", H8-H9)</f>
        <v>219.2913195521084</v>
      </c>
      <c r="I11" s="66">
        <f t="shared" ref="I11:L11" si="0">IF(I6="", "", I8-I9)</f>
        <v>357.30047013729893</v>
      </c>
      <c r="J11" s="66">
        <f t="shared" si="0"/>
        <v>597.84825205958566</v>
      </c>
      <c r="K11" s="66">
        <f t="shared" si="0"/>
        <v>1237.8562560984558</v>
      </c>
      <c r="L11" s="66">
        <f t="shared" si="0"/>
        <v>905.10716322839437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3" t="str">
        <f>H6</f>
        <v>2018–19</v>
      </c>
      <c r="I15" s="173" t="str">
        <f>I6</f>
        <v>2019–20</v>
      </c>
      <c r="J15" s="173" t="str">
        <f>J6</f>
        <v>2020–21</v>
      </c>
      <c r="K15" s="173" t="str">
        <f>K6</f>
        <v>2021–22</v>
      </c>
      <c r="L15" s="173" t="str">
        <f>L6</f>
        <v>2022–23</v>
      </c>
      <c r="M15" s="106"/>
      <c r="N15" s="106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6"/>
      <c r="N16" s="106"/>
    </row>
    <row r="17" spans="1:14" s="2" customFormat="1" ht="10.5" customHeight="1">
      <c r="B17" s="73"/>
      <c r="C17" s="80" t="s">
        <v>77</v>
      </c>
      <c r="D17" s="78" t="s">
        <v>49</v>
      </c>
      <c r="E17" s="78" t="s">
        <v>50</v>
      </c>
      <c r="F17" s="78" t="s">
        <v>53</v>
      </c>
      <c r="G17" s="68"/>
      <c r="H17" s="159">
        <v>216.54694857849694</v>
      </c>
      <c r="I17" s="159">
        <v>323.90478146958299</v>
      </c>
      <c r="J17" s="159">
        <v>781.53356055757752</v>
      </c>
      <c r="K17" s="159">
        <v>724.84168519302079</v>
      </c>
      <c r="L17" s="159">
        <v>941.23212496658039</v>
      </c>
    </row>
    <row r="18" spans="1:14" s="2" customFormat="1" ht="10.5" customHeight="1">
      <c r="B18" s="73"/>
      <c r="C18" s="80" t="s">
        <v>92</v>
      </c>
      <c r="D18" s="78" t="s">
        <v>49</v>
      </c>
      <c r="E18" s="78" t="s">
        <v>50</v>
      </c>
      <c r="F18" s="78" t="s">
        <v>53</v>
      </c>
      <c r="G18" s="139"/>
      <c r="H18" s="159">
        <v>4.1814481327272723</v>
      </c>
      <c r="I18" s="159">
        <v>2.1650702372727273</v>
      </c>
      <c r="J18" s="159">
        <v>3.82439741</v>
      </c>
      <c r="K18" s="159">
        <v>4.2515327252999997</v>
      </c>
      <c r="L18" s="159">
        <v>4.347192211619249</v>
      </c>
    </row>
    <row r="19" spans="1:14" s="2" customFormat="1" ht="10.5" customHeight="1">
      <c r="B19" s="73"/>
      <c r="C19" s="152" t="s">
        <v>97</v>
      </c>
      <c r="D19" s="78" t="s">
        <v>49</v>
      </c>
      <c r="E19" s="78" t="s">
        <v>50</v>
      </c>
      <c r="F19" s="78" t="s">
        <v>53</v>
      </c>
      <c r="G19" s="139"/>
      <c r="H19" s="159">
        <v>6.3319466300000009</v>
      </c>
      <c r="I19" s="159">
        <v>7.4530970400000003</v>
      </c>
      <c r="J19" s="159">
        <v>1.4042736299999996</v>
      </c>
      <c r="K19" s="159">
        <v>0</v>
      </c>
      <c r="L19" s="159">
        <v>0</v>
      </c>
    </row>
    <row r="20" spans="1:14" s="2" customFormat="1" ht="10.5" customHeight="1">
      <c r="B20" s="73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106"/>
      <c r="N20" s="106"/>
    </row>
    <row r="21" spans="1:14" s="2" customFormat="1" ht="10.5" customHeight="1">
      <c r="B21" s="73"/>
      <c r="C21" s="77" t="s">
        <v>76</v>
      </c>
      <c r="D21" s="76" t="s">
        <v>60</v>
      </c>
      <c r="E21" s="177" t="s">
        <v>50</v>
      </c>
      <c r="F21" s="177" t="s">
        <v>53</v>
      </c>
      <c r="G21" s="68"/>
      <c r="H21" s="66">
        <f>IF(H15="", "", H17-H18-H19)</f>
        <v>206.03355381576966</v>
      </c>
      <c r="I21" s="66">
        <f t="shared" ref="I21:L21" si="1">IF(I15="", "", I17-I18-I19)</f>
        <v>314.28661419231025</v>
      </c>
      <c r="J21" s="66">
        <f t="shared" si="1"/>
        <v>776.30488951757752</v>
      </c>
      <c r="K21" s="66">
        <f t="shared" si="1"/>
        <v>720.59015246772083</v>
      </c>
      <c r="L21" s="66">
        <f t="shared" si="1"/>
        <v>936.88493275496114</v>
      </c>
    </row>
    <row r="22" spans="1:14" s="2" customFormat="1" ht="10.5" customHeight="1">
      <c r="B22" s="73"/>
      <c r="D22" s="21"/>
      <c r="E22" s="21"/>
      <c r="F22" s="21"/>
      <c r="G22" s="21"/>
      <c r="M22" s="72"/>
      <c r="N22" s="72"/>
    </row>
    <row r="23" spans="1:14" s="8" customFormat="1" ht="12.75" customHeight="1">
      <c r="B23" s="74" t="s">
        <v>42</v>
      </c>
      <c r="D23" s="18"/>
      <c r="E23" s="18"/>
      <c r="F23" s="18"/>
      <c r="G23" s="18"/>
    </row>
    <row r="24" spans="1:14" ht="10.5" customHeight="1">
      <c r="D24" s="68"/>
      <c r="E24" s="68"/>
      <c r="F24" s="68"/>
      <c r="G24" s="68"/>
      <c r="M24" s="2"/>
      <c r="N24" s="2"/>
    </row>
    <row r="25" spans="1:14" ht="10.5" customHeight="1">
      <c r="D25" s="68"/>
      <c r="E25" s="68"/>
      <c r="F25" s="68"/>
      <c r="G25" s="68"/>
      <c r="H25" s="173" t="str">
        <f>'Input | General'!D18</f>
        <v>2023-24</v>
      </c>
      <c r="I25" s="173" t="str">
        <f>'Input | General'!E18</f>
        <v>2024–25</v>
      </c>
      <c r="J25" s="173" t="str">
        <f>'Input | General'!F18</f>
        <v>2025–26</v>
      </c>
      <c r="K25" s="173" t="str">
        <f>'Input | General'!G18</f>
        <v>2026–27</v>
      </c>
      <c r="L25" s="173" t="str">
        <f>'Input | General'!H18</f>
        <v>2027–28</v>
      </c>
      <c r="M25" s="2"/>
      <c r="N25" s="2"/>
    </row>
    <row r="26" spans="1:14" s="17" customFormat="1" ht="10.5" customHeight="1">
      <c r="C26" s="16"/>
      <c r="D26" s="68"/>
      <c r="E26" s="68"/>
      <c r="F26" s="68"/>
      <c r="G26" s="68"/>
      <c r="M26" s="19"/>
      <c r="N26" s="19"/>
    </row>
    <row r="27" spans="1:14" ht="11.25" customHeight="1">
      <c r="C27" s="84" t="s">
        <v>85</v>
      </c>
      <c r="D27" s="65" t="s">
        <v>86</v>
      </c>
      <c r="E27" s="78" t="s">
        <v>50</v>
      </c>
      <c r="F27" s="78" t="s">
        <v>53</v>
      </c>
      <c r="G27" s="68"/>
      <c r="H27" s="158">
        <v>462.57</v>
      </c>
      <c r="I27" s="158">
        <v>78.264788868324516</v>
      </c>
      <c r="J27" s="158">
        <v>0</v>
      </c>
      <c r="K27" s="158">
        <v>0</v>
      </c>
      <c r="L27" s="158">
        <v>0</v>
      </c>
      <c r="M27" s="2"/>
      <c r="N27" s="2"/>
    </row>
    <row r="28" spans="1:14" ht="11.25" customHeight="1">
      <c r="C28" s="84" t="s">
        <v>85</v>
      </c>
      <c r="D28" s="65" t="s">
        <v>60</v>
      </c>
      <c r="E28" s="78" t="s">
        <v>50</v>
      </c>
      <c r="F28" s="78" t="str">
        <f>'Input | Inflation and Disc Rate'!$F$7</f>
        <v>2017–18</v>
      </c>
      <c r="G28" s="68"/>
      <c r="H28" s="146">
        <f>IF(H27&lt;&gt;"",H27/('Input | Inflation and Disc Rate'!K10*(1+'Input | Inflation and Disc Rate'!L9)^0.5),"")</f>
        <v>415.63168767601701</v>
      </c>
      <c r="I28" s="146">
        <f>IF(I27&lt;&gt;"",I27/('Input | Inflation and Disc Rate'!L10*(1+'Input | Inflation and Disc Rate'!M9)^0.5),"")</f>
        <v>68.708418814510082</v>
      </c>
      <c r="J28" s="146">
        <f>IF(J27&lt;&gt;"",J27/('Input | Inflation and Disc Rate'!M10*(1+'Input | Inflation and Disc Rate'!N9)^0.5),"")</f>
        <v>0</v>
      </c>
      <c r="K28" s="146">
        <f>IF(K27&lt;&gt;"",K27/('Input | Inflation and Disc Rate'!N10*(1+'Input | Inflation and Disc Rate'!O9)^0.5),"")</f>
        <v>0</v>
      </c>
      <c r="L28" s="146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4" t="s">
        <v>85</v>
      </c>
      <c r="D29" s="65" t="s">
        <v>49</v>
      </c>
      <c r="E29" s="78" t="s">
        <v>50</v>
      </c>
      <c r="F29" s="78" t="s">
        <v>53</v>
      </c>
      <c r="G29" s="68"/>
      <c r="H29" s="146">
        <f>IF(H27&lt;&gt;"",H28*'Input | Inflation and Disc Rate'!K15*(1+'Input | Inflation and Disc Rate'!L14)^0.5,"")</f>
        <v>462.57000000000005</v>
      </c>
      <c r="I29" s="146">
        <f>IF(I27&lt;&gt;"",I28*'Input | Inflation and Disc Rate'!L15*(1+'Input | Inflation and Disc Rate'!M14)^0.5,"")</f>
        <v>78.26478886832453</v>
      </c>
      <c r="J29" s="146">
        <f>IF(J27&lt;&gt;"",J28*'Input | Inflation and Disc Rate'!M15*(1+'Input | Inflation and Disc Rate'!N14)^0.5,"")</f>
        <v>0</v>
      </c>
      <c r="K29" s="146">
        <f>IF(K27&lt;&gt;"",K28*'Input | Inflation and Disc Rate'!N15*(1+'Input | Inflation and Disc Rate'!O14)^0.5,"")</f>
        <v>0</v>
      </c>
      <c r="L29" s="146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8"/>
      <c r="E30" s="68"/>
      <c r="F30" s="68"/>
      <c r="G30" s="68"/>
      <c r="M30" s="72"/>
      <c r="N30" s="72"/>
    </row>
    <row r="31" spans="1:14" s="62" customFormat="1" ht="12.75" customHeight="1">
      <c r="A31" s="8"/>
      <c r="B31" s="29" t="s">
        <v>34</v>
      </c>
      <c r="D31" s="63"/>
      <c r="E31" s="63"/>
      <c r="F31" s="63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 fitToPage="1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NSW TNSP 2023-28 Regulatory Proposal - Capital expenditure sharing scheme model</v>
      </c>
      <c r="J1" s="120"/>
      <c r="K1" s="104" t="s">
        <v>47</v>
      </c>
      <c r="L1" s="155" t="s">
        <v>48</v>
      </c>
      <c r="M1" s="160" t="s">
        <v>36</v>
      </c>
      <c r="N1"/>
      <c r="Q1" s="105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5"/>
    </row>
    <row r="7" spans="2:23" ht="11.25" customHeight="1">
      <c r="C7" s="115" t="s">
        <v>9</v>
      </c>
      <c r="D7" s="173" t="str">
        <f>IF('Input | General'!D14="Yes",'Input | General'!D13,"n/a")</f>
        <v>2018–19</v>
      </c>
      <c r="E7" s="173" t="str">
        <f>IF('Input | General'!E14="Yes",'Input | General'!E13,"n/a")</f>
        <v>2019–20</v>
      </c>
      <c r="F7" s="173" t="str">
        <f>IF('Input | General'!F14="Yes",'Input | General'!F13,"n/a")</f>
        <v>2020–21</v>
      </c>
      <c r="G7" s="173" t="str">
        <f>IF('Input | General'!G14="Yes",'Input | General'!G13,"n/a")</f>
        <v>2021–22</v>
      </c>
      <c r="H7" s="178" t="str">
        <f>IF('Input | General'!H14="Yes",'Input | General'!H13,"n/a")</f>
        <v>2022–23</v>
      </c>
      <c r="I7" s="95"/>
    </row>
    <row r="8" spans="2:23" ht="11.25" customHeight="1">
      <c r="C8" s="142" t="s">
        <v>94</v>
      </c>
      <c r="D8" s="161">
        <f>'Input | Inflation and Disc Rate'!G20</f>
        <v>3.993698958963017E-2</v>
      </c>
      <c r="E8" s="162">
        <f>'Input | Inflation and Disc Rate'!H20</f>
        <v>3.8768911813005374E-2</v>
      </c>
      <c r="F8" s="162">
        <f>'Input | Inflation and Disc Rate'!I20</f>
        <v>3.6676965385035398E-2</v>
      </c>
      <c r="G8" s="162">
        <f>'Input | Inflation and Disc Rate'!J20</f>
        <v>3.4025171303287666E-2</v>
      </c>
      <c r="H8" s="163">
        <f>'Input | Inflation and Disc Rate'!K20</f>
        <v>3.4025171303287666E-2</v>
      </c>
      <c r="I8" s="95"/>
      <c r="J8" s="79"/>
      <c r="K8" s="79"/>
    </row>
    <row r="9" spans="2:23" ht="11.25" customHeight="1">
      <c r="C9" s="142" t="s">
        <v>95</v>
      </c>
      <c r="D9" s="161">
        <f>'Input | Inflation and Disc Rate'!G22</f>
        <v>5.9790332118159428E-2</v>
      </c>
      <c r="E9" s="162">
        <f>'Input | Inflation and Disc Rate'!H22</f>
        <v>5.7301809436788087E-2</v>
      </c>
      <c r="F9" s="162">
        <f>'Input | Inflation and Disc Rate'!I22</f>
        <v>5.5756909533226429E-2</v>
      </c>
      <c r="G9" s="162">
        <f>'Input | Inflation and Disc Rate'!J22</f>
        <v>4.29238388704416E-2</v>
      </c>
      <c r="H9" s="163">
        <f>'Input | Inflation and Disc Rate'!K22</f>
        <v>6.7630989370644601E-2</v>
      </c>
      <c r="I9" s="95"/>
      <c r="J9" s="79"/>
      <c r="K9" s="79"/>
    </row>
    <row r="10" spans="2:23" ht="11.25" customHeight="1">
      <c r="C10" s="111" t="s">
        <v>13</v>
      </c>
      <c r="D10" s="166">
        <f>'Input | Reported Capex'!H$11*'Input | Inflation and Disc Rate'!G$15*(1+'Input | Inflation and Disc Rate'!G$20)^0.5</f>
        <v>227.89661852263546</v>
      </c>
      <c r="E10" s="164">
        <f>'Input | Reported Capex'!I$11*'Input | Inflation and Disc Rate'!H$15*(1+'Input | Inflation and Disc Rate'!H$20)^0.5</f>
        <v>377.73394877147791</v>
      </c>
      <c r="F10" s="164">
        <f>'Input | Reported Capex'!J$11*'Input | Inflation and Disc Rate'!I$15*(1+'Input | Inflation and Disc Rate'!I$20)^0.5</f>
        <v>643.02244302245549</v>
      </c>
      <c r="G10" s="164">
        <f>'Input | Reported Capex'!K$11*'Input | Inflation and Disc Rate'!J$15*(1+'Input | Inflation and Disc Rate'!J$20)^0.5</f>
        <v>1341.1294456045382</v>
      </c>
      <c r="H10" s="165">
        <f>'Input | Reported Capex'!L$11*'Input | Inflation and Disc Rate'!K$15*(1+'Input | Inflation and Disc Rate'!K$20)^0.5</f>
        <v>1012.4895379165787</v>
      </c>
      <c r="I10" s="95"/>
      <c r="J10" s="79"/>
      <c r="K10" s="79"/>
      <c r="N10" s="137"/>
    </row>
    <row r="11" spans="2:23" ht="11.25" customHeight="1">
      <c r="C11" s="111" t="s">
        <v>15</v>
      </c>
      <c r="D11" s="166">
        <f>'Input | Reported Capex'!H21*(1+D$9)^0.5</f>
        <v>212.10354653064687</v>
      </c>
      <c r="E11" s="164">
        <f>'Input | Reported Capex'!I21*(1+E$9)^0.5</f>
        <v>323.16578367199742</v>
      </c>
      <c r="F11" s="164">
        <f>'Input | Reported Capex'!J21*(1+F$9)^0.5</f>
        <v>797.65352312713992</v>
      </c>
      <c r="G11" s="164">
        <f>'Input | Reported Capex'!K21*(1+G$9)^0.5</f>
        <v>735.89291229837647</v>
      </c>
      <c r="H11" s="165">
        <f>'Input | Reported Capex'!L21*(1+H$9)^0.5</f>
        <v>968.04788442943379</v>
      </c>
      <c r="I11" s="95"/>
      <c r="J11" s="79"/>
      <c r="K11" s="79"/>
    </row>
    <row r="12" spans="2:23" s="19" customFormat="1" ht="11.25" customHeight="1">
      <c r="C12" s="111" t="s">
        <v>17</v>
      </c>
      <c r="D12" s="154">
        <f>(D10-D11)</f>
        <v>15.793071991988597</v>
      </c>
      <c r="E12" s="143">
        <f>(E10-E11)</f>
        <v>54.568165099480495</v>
      </c>
      <c r="F12" s="143">
        <f t="shared" ref="F12:H12" si="0">(F10-F11)</f>
        <v>-154.63108010468443</v>
      </c>
      <c r="G12" s="143">
        <f t="shared" si="0"/>
        <v>605.23653330616173</v>
      </c>
      <c r="H12" s="147">
        <f t="shared" si="0"/>
        <v>44.44165348714489</v>
      </c>
      <c r="I12" s="95"/>
      <c r="J12" s="79"/>
      <c r="K12" s="79"/>
    </row>
    <row r="13" spans="2:23" ht="11.25" customHeight="1">
      <c r="C13" s="111" t="s">
        <v>71</v>
      </c>
      <c r="D13" s="154"/>
      <c r="E13" s="143">
        <f>$D$12*$E$8</f>
        <v>0.61228021531385102</v>
      </c>
      <c r="F13" s="143">
        <f>$D$12*$F$8*(1+'Input | Inflation and Disc Rate'!H13)</f>
        <v>0.58957633398448406</v>
      </c>
      <c r="G13" s="143">
        <f>$D$12*$G$8*(1+'Input | Inflation and Disc Rate'!H13)*(1+'Input | Inflation and Disc Rate'!I13)</f>
        <v>0.55701571871689792</v>
      </c>
      <c r="H13" s="147">
        <f>$D$12*$H$8*(1+'Input | Inflation and Disc Rate'!H13)*(1+'Input | Inflation and Disc Rate'!I13)*(1+'Input | Inflation and Disc Rate'!J13)</f>
        <v>0.56180931354234454</v>
      </c>
      <c r="I13" s="95"/>
      <c r="J13" s="79"/>
      <c r="K13" s="79"/>
      <c r="L13" s="94"/>
      <c r="M13" s="94"/>
      <c r="N13" s="94"/>
      <c r="O13" s="94"/>
    </row>
    <row r="14" spans="2:23" ht="11.25" customHeight="1">
      <c r="C14" s="111" t="s">
        <v>72</v>
      </c>
      <c r="D14" s="154"/>
      <c r="E14" s="144"/>
      <c r="F14" s="143">
        <f>$E$12*F$8</f>
        <v>2.0013947024785428</v>
      </c>
      <c r="G14" s="143">
        <f>$E$12*G$8*(1+'Input | Inflation and Disc Rate'!I13)</f>
        <v>1.890863395250556</v>
      </c>
      <c r="H14" s="147">
        <f>$E$12*H$8*(1+'Input | Inflation and Disc Rate'!I13)*(1+'Input | Inflation and Disc Rate'!J13)</f>
        <v>1.9071358857432459</v>
      </c>
      <c r="I14" s="95"/>
      <c r="J14" s="79"/>
      <c r="K14" s="79"/>
      <c r="L14" s="94"/>
      <c r="M14" s="94"/>
      <c r="N14" s="95"/>
      <c r="O14" s="95"/>
    </row>
    <row r="15" spans="2:23" ht="11.25" customHeight="1">
      <c r="C15" s="111" t="s">
        <v>73</v>
      </c>
      <c r="D15" s="154"/>
      <c r="E15" s="143"/>
      <c r="F15" s="143"/>
      <c r="G15" s="143">
        <f>$F$12*G$8</f>
        <v>-5.2613489893742846</v>
      </c>
      <c r="H15" s="147">
        <f>$F$12*$H$8*(1+'Input | Inflation and Disc Rate'!J13)</f>
        <v>-5.3066273799885213</v>
      </c>
      <c r="I15" s="95"/>
      <c r="J15" s="79"/>
      <c r="K15" s="79"/>
      <c r="L15" s="94"/>
      <c r="M15" s="94"/>
      <c r="N15" s="94"/>
      <c r="O15" s="94"/>
    </row>
    <row r="16" spans="2:23" ht="11.25" customHeight="1">
      <c r="C16" s="111" t="s">
        <v>74</v>
      </c>
      <c r="D16" s="154"/>
      <c r="E16" s="143"/>
      <c r="F16" s="143"/>
      <c r="G16" s="143"/>
      <c r="H16" s="147">
        <f>$G$12*$H$8</f>
        <v>20.593276724750122</v>
      </c>
      <c r="I16" s="95"/>
      <c r="J16" s="79"/>
      <c r="K16" s="79"/>
      <c r="L16" s="94"/>
      <c r="M16" s="94"/>
      <c r="N16" s="94"/>
      <c r="O16" s="94"/>
    </row>
    <row r="17" spans="3:15" ht="11.25" customHeight="1">
      <c r="C17" s="111" t="s">
        <v>75</v>
      </c>
      <c r="D17" s="154"/>
      <c r="E17" s="143"/>
      <c r="F17" s="143"/>
      <c r="G17" s="143"/>
      <c r="H17" s="147"/>
      <c r="I17" s="95"/>
      <c r="J17" s="79"/>
      <c r="K17" s="79"/>
      <c r="L17" s="94"/>
      <c r="M17" s="94"/>
      <c r="N17" s="94"/>
      <c r="O17" s="94"/>
    </row>
    <row r="18" spans="3:15" s="19" customFormat="1" ht="11.25" customHeight="1">
      <c r="C18" s="112" t="s">
        <v>19</v>
      </c>
      <c r="D18" s="124">
        <f>SUM(D13:D17)</f>
        <v>0</v>
      </c>
      <c r="E18" s="148">
        <f>SUM(E13:E17)</f>
        <v>0.61228021531385102</v>
      </c>
      <c r="F18" s="148">
        <f t="shared" ref="F18:H18" si="1">SUM(F13:F17)</f>
        <v>2.590971036463027</v>
      </c>
      <c r="G18" s="148">
        <f t="shared" si="1"/>
        <v>-2.8134698754068306</v>
      </c>
      <c r="H18" s="149">
        <f t="shared" si="1"/>
        <v>17.755594544047192</v>
      </c>
      <c r="I18" s="95"/>
      <c r="J18" s="79"/>
      <c r="K18" s="79"/>
      <c r="L18" s="94"/>
      <c r="M18" s="94"/>
      <c r="N18" s="94"/>
      <c r="O18" s="94"/>
    </row>
    <row r="19" spans="3:15" ht="11.25" customHeight="1">
      <c r="C19" s="113" t="s">
        <v>93</v>
      </c>
      <c r="D19" s="124">
        <f t="shared" ref="D19:E19" si="2">E19*(1+E$9)</f>
        <v>1.2429013898581205</v>
      </c>
      <c r="E19" s="148">
        <f t="shared" si="2"/>
        <v>1.1755407763088943</v>
      </c>
      <c r="F19" s="148">
        <f>G19*(1+G$9)</f>
        <v>1.1134578099314802</v>
      </c>
      <c r="G19" s="148">
        <f>H19*(1+H$9)</f>
        <v>1.0676309893706446</v>
      </c>
      <c r="H19" s="150">
        <v>1</v>
      </c>
      <c r="I19" s="95"/>
      <c r="J19" s="79"/>
      <c r="K19" s="79"/>
      <c r="L19" s="95"/>
      <c r="M19" s="95"/>
      <c r="N19" s="95"/>
      <c r="O19" s="95"/>
    </row>
    <row r="20" spans="3:15" s="19" customFormat="1" ht="11.25" customHeight="1">
      <c r="C20" s="111" t="s">
        <v>20</v>
      </c>
      <c r="D20" s="154">
        <f>D12*D19</f>
        <v>19.629231128971984</v>
      </c>
      <c r="E20" s="143">
        <f>E12*E19</f>
        <v>64.147103162795219</v>
      </c>
      <c r="F20" s="143">
        <f t="shared" ref="F20:H20" si="3">F12*F19</f>
        <v>-172.17518380070121</v>
      </c>
      <c r="G20" s="143">
        <f t="shared" si="3"/>
        <v>646.16927885691655</v>
      </c>
      <c r="H20" s="147">
        <f t="shared" si="3"/>
        <v>44.44165348714489</v>
      </c>
      <c r="I20" s="95"/>
      <c r="J20" s="79"/>
      <c r="K20" s="79"/>
      <c r="L20" s="95"/>
      <c r="M20" s="95"/>
      <c r="N20" s="95"/>
      <c r="O20" s="95"/>
    </row>
    <row r="21" spans="3:15" s="19" customFormat="1" ht="11.25" customHeight="1">
      <c r="C21" s="112" t="s">
        <v>21</v>
      </c>
      <c r="D21" s="124">
        <f>D18*D19</f>
        <v>0</v>
      </c>
      <c r="E21" s="148">
        <f>E18*E19</f>
        <v>0.71976035962862139</v>
      </c>
      <c r="F21" s="148">
        <f t="shared" ref="F21:H21" si="4">F18*F19</f>
        <v>2.8849369358560195</v>
      </c>
      <c r="G21" s="148">
        <f t="shared" si="4"/>
        <v>-3.0037476266450986</v>
      </c>
      <c r="H21" s="149">
        <f t="shared" si="4"/>
        <v>17.755594544047192</v>
      </c>
      <c r="I21" s="95"/>
      <c r="J21" s="79"/>
      <c r="K21" s="79"/>
      <c r="L21" s="95"/>
      <c r="M21" s="95"/>
      <c r="N21" s="95"/>
      <c r="O21" s="95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5"/>
      <c r="J23" s="79"/>
      <c r="K23" s="79"/>
      <c r="L23" s="95"/>
      <c r="M23" s="95"/>
      <c r="N23" s="95"/>
      <c r="O23" s="95"/>
    </row>
    <row r="24" spans="3:15" ht="11.25" customHeight="1">
      <c r="C24" s="110" t="s">
        <v>9</v>
      </c>
      <c r="D24" s="179" t="str">
        <f>'Input | General'!$D$18</f>
        <v>2023-24</v>
      </c>
      <c r="E24" s="179" t="str">
        <f>'Input | General'!$E$18</f>
        <v>2024–25</v>
      </c>
      <c r="F24" s="179" t="str">
        <f>'Input | General'!$F$18</f>
        <v>2025–26</v>
      </c>
      <c r="G24" s="179" t="str">
        <f>'Input | General'!$G$18</f>
        <v>2026–27</v>
      </c>
      <c r="H24" s="180" t="str">
        <f>'Input | General'!$H$18</f>
        <v>2027–28</v>
      </c>
      <c r="I24" s="95"/>
      <c r="J24" s="79"/>
      <c r="K24" s="79"/>
      <c r="L24" s="95"/>
      <c r="M24" s="95"/>
      <c r="N24" s="95"/>
      <c r="O24" s="95"/>
    </row>
    <row r="25" spans="3:15" ht="11.25" customHeight="1">
      <c r="C25" s="114" t="s">
        <v>70</v>
      </c>
      <c r="D25" s="167">
        <f>'Input | Inflation and Disc Rate'!L$22</f>
        <v>4.7033574677312062E-2</v>
      </c>
      <c r="E25" s="167">
        <f>'Input | Inflation and Disc Rate'!M$22</f>
        <v>4.7033574677312062E-2</v>
      </c>
      <c r="F25" s="167">
        <f>'Input | Inflation and Disc Rate'!N$22</f>
        <v>4.7033574677312062E-2</v>
      </c>
      <c r="G25" s="167">
        <f>'Input | Inflation and Disc Rate'!O$22</f>
        <v>4.7033574677312062E-2</v>
      </c>
      <c r="H25" s="168">
        <f>'Input | Inflation and Disc Rate'!P$22</f>
        <v>4.7033574677312062E-2</v>
      </c>
      <c r="I25" s="95"/>
      <c r="J25" s="79"/>
      <c r="K25" s="79"/>
      <c r="L25" s="95"/>
      <c r="M25" s="95"/>
      <c r="N25" s="95"/>
      <c r="O25" s="95"/>
    </row>
    <row r="26" spans="3:15" ht="11.25" customHeight="1">
      <c r="C26" s="115" t="s">
        <v>14</v>
      </c>
      <c r="D26" s="164">
        <f>'Input | Reported Capex'!H29</f>
        <v>462.57000000000005</v>
      </c>
      <c r="E26" s="164">
        <f>'Input | Reported Capex'!I29</f>
        <v>78.26478886832453</v>
      </c>
      <c r="F26" s="164">
        <f>'Input | Reported Capex'!J29</f>
        <v>0</v>
      </c>
      <c r="G26" s="164">
        <f>'Input | Reported Capex'!K29</f>
        <v>0</v>
      </c>
      <c r="H26" s="165">
        <f>'Input | Reported Capex'!L29</f>
        <v>0</v>
      </c>
      <c r="I26" s="95"/>
      <c r="J26" s="79"/>
      <c r="K26" s="79"/>
      <c r="L26" s="95"/>
      <c r="M26" s="95"/>
      <c r="N26" s="95"/>
      <c r="O26" s="95"/>
    </row>
    <row r="27" spans="3:15" ht="11.25" customHeight="1">
      <c r="C27" s="115" t="s">
        <v>16</v>
      </c>
      <c r="D27" s="122">
        <f>1/(1+D25)^(0.5)</f>
        <v>0.97728154112535626</v>
      </c>
      <c r="E27" s="122">
        <f>1/((1+E25)^(0.5)*(1+D25))</f>
        <v>0.93338128285575461</v>
      </c>
      <c r="F27" s="122">
        <f>1/((1+F25)^(0.5)*(1+E25)*(1+D25))</f>
        <v>0.89145305884141857</v>
      </c>
      <c r="G27" s="122">
        <f>1/((1+G25)^(0.5)*(1+F25)*(1+E25)*(1+D25))</f>
        <v>0.85140828374692545</v>
      </c>
      <c r="H27" s="123">
        <f>1/((1+H25)^(0.5)*(1+G25)*(1+F25)*(1+E25)*(1+D25))</f>
        <v>0.81316235156004724</v>
      </c>
      <c r="I27" s="95"/>
      <c r="J27" s="79"/>
      <c r="K27" s="79"/>
      <c r="L27" s="95"/>
      <c r="M27" s="95"/>
      <c r="N27" s="95"/>
      <c r="O27" s="95"/>
    </row>
    <row r="28" spans="3:15" ht="11.25" customHeight="1">
      <c r="C28" s="110" t="s">
        <v>18</v>
      </c>
      <c r="D28" s="89">
        <f>D26*D27</f>
        <v>452.06112247835608</v>
      </c>
      <c r="E28" s="89">
        <f t="shared" ref="E28:G28" si="5">E26*E27</f>
        <v>73.050889036351535</v>
      </c>
      <c r="F28" s="89">
        <f t="shared" si="5"/>
        <v>0</v>
      </c>
      <c r="G28" s="89">
        <f t="shared" si="5"/>
        <v>0</v>
      </c>
      <c r="H28" s="90">
        <f>H26*H27</f>
        <v>0</v>
      </c>
      <c r="I28" s="95"/>
      <c r="J28" s="79"/>
      <c r="K28" s="79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9"/>
      <c r="K29" s="79"/>
      <c r="L29" s="95"/>
      <c r="M29" s="95"/>
      <c r="N29" s="95"/>
      <c r="O29" s="95"/>
    </row>
    <row r="30" spans="3:15" ht="11.25" customHeight="1">
      <c r="C30" s="109" t="s">
        <v>22</v>
      </c>
      <c r="D30" s="119"/>
      <c r="E30" s="94"/>
      <c r="F30" s="94"/>
      <c r="G30" s="94"/>
      <c r="H30" s="94"/>
      <c r="I30" s="95"/>
      <c r="J30" s="79"/>
      <c r="K30" s="79"/>
      <c r="L30" s="95"/>
      <c r="M30" s="95"/>
      <c r="N30" s="95"/>
      <c r="O30" s="95"/>
    </row>
    <row r="31" spans="3:15" ht="11.25" customHeight="1">
      <c r="C31" s="111" t="s">
        <v>23</v>
      </c>
      <c r="D31" s="100">
        <f>SUM(D20:H20)-SUM(D28:H28)</f>
        <v>77.100071320419829</v>
      </c>
      <c r="E31" s="94"/>
      <c r="F31" s="94"/>
      <c r="G31" s="94"/>
      <c r="H31" s="94"/>
      <c r="I31" s="95"/>
      <c r="J31" s="79"/>
      <c r="K31" s="79"/>
      <c r="L31" s="95"/>
      <c r="M31" s="95"/>
      <c r="N31" s="95"/>
      <c r="O31" s="95"/>
    </row>
    <row r="32" spans="3:15" ht="11.25" customHeight="1">
      <c r="C32" s="111" t="s">
        <v>24</v>
      </c>
      <c r="D32" s="99">
        <v>0.3</v>
      </c>
      <c r="E32" s="94"/>
      <c r="F32" s="94"/>
      <c r="G32" s="94"/>
      <c r="H32" s="94"/>
      <c r="I32" s="95"/>
      <c r="J32" s="79"/>
      <c r="K32" s="79"/>
      <c r="L32" s="95"/>
      <c r="M32" s="95"/>
      <c r="N32" s="95"/>
      <c r="O32" s="95"/>
    </row>
    <row r="33" spans="1:16382" ht="11.25" customHeight="1">
      <c r="C33" s="111" t="s">
        <v>25</v>
      </c>
      <c r="D33" s="100">
        <f>(1-D32)*D31</f>
        <v>53.970049924293875</v>
      </c>
      <c r="E33" s="94"/>
      <c r="F33" s="94"/>
      <c r="G33" s="94"/>
      <c r="H33" s="94"/>
      <c r="I33" s="95"/>
      <c r="J33" s="79"/>
      <c r="K33" s="79"/>
      <c r="L33" s="95"/>
      <c r="M33" s="95"/>
      <c r="N33" s="95"/>
      <c r="O33" s="95"/>
    </row>
    <row r="34" spans="1:16382" ht="11.25" customHeight="1">
      <c r="C34" s="111" t="s">
        <v>26</v>
      </c>
      <c r="D34" s="100">
        <f>D32*D31</f>
        <v>23.130021396125947</v>
      </c>
      <c r="E34" s="94"/>
      <c r="F34" s="94"/>
      <c r="G34" s="94"/>
      <c r="H34" s="94"/>
      <c r="I34" s="95"/>
      <c r="J34" s="79"/>
      <c r="K34" s="79"/>
      <c r="L34" s="95"/>
      <c r="M34" s="95"/>
      <c r="N34" s="95"/>
      <c r="O34" s="95"/>
    </row>
    <row r="35" spans="1:16382" ht="11.25" customHeight="1">
      <c r="C35" s="111" t="s">
        <v>27</v>
      </c>
      <c r="D35" s="100">
        <f>SUM(D21:H21)</f>
        <v>18.356544212886735</v>
      </c>
      <c r="E35" s="94"/>
      <c r="F35" s="94"/>
      <c r="G35" s="94"/>
      <c r="H35" s="94"/>
      <c r="I35" s="95"/>
      <c r="J35" s="79"/>
      <c r="K35" s="79"/>
      <c r="L35" s="95"/>
      <c r="M35" s="95"/>
      <c r="N35" s="95"/>
      <c r="O35" s="95"/>
    </row>
    <row r="36" spans="1:16382" ht="11.25" customHeight="1">
      <c r="C36" s="112" t="s">
        <v>28</v>
      </c>
      <c r="D36" s="101">
        <f>D34-D35</f>
        <v>4.773477183239212</v>
      </c>
      <c r="E36" s="94"/>
      <c r="F36" s="94"/>
      <c r="G36" s="94"/>
      <c r="H36" s="94"/>
      <c r="I36" s="95"/>
      <c r="J36" s="79"/>
      <c r="K36" s="79"/>
      <c r="L36" s="95"/>
      <c r="M36" s="95"/>
      <c r="N36" s="95"/>
      <c r="O36" s="95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1"/>
      <c r="D40" s="181" t="str">
        <f>'Input | General'!D18</f>
        <v>2023-24</v>
      </c>
      <c r="E40" s="181" t="str">
        <f>'Input | General'!E18</f>
        <v>2024–25</v>
      </c>
      <c r="F40" s="181" t="str">
        <f>'Input | General'!F18</f>
        <v>2025–26</v>
      </c>
      <c r="G40" s="181" t="str">
        <f>'Input | General'!G18</f>
        <v>2026–27</v>
      </c>
      <c r="H40" s="181" t="str">
        <f>'Input | General'!H18</f>
        <v>2027–28</v>
      </c>
      <c r="I40" s="92"/>
      <c r="J40" s="92"/>
      <c r="K40" s="92"/>
      <c r="L40" s="92"/>
      <c r="M40" s="92"/>
      <c r="N40" s="92"/>
      <c r="O40" s="92"/>
    </row>
    <row r="41" spans="1:16382" s="30" customFormat="1" ht="11.25" customHeight="1">
      <c r="C41" s="98" t="s">
        <v>98</v>
      </c>
      <c r="D41" s="169">
        <f>1/(1+'Input | Inflation and Disc Rate'!L21)</f>
        <v>0.97752313152085013</v>
      </c>
      <c r="E41" s="169">
        <f>D41/(1+'Input | Inflation and Disc Rate'!M21)</f>
        <v>0.95555147265832929</v>
      </c>
      <c r="F41" s="169">
        <f>E41/(1+'Input | Inflation and Disc Rate'!N21)</f>
        <v>0.93407366788233004</v>
      </c>
      <c r="G41" s="169">
        <f>F41/(1+'Input | Inflation and Disc Rate'!O21)</f>
        <v>0.91307861689950176</v>
      </c>
      <c r="H41" s="170">
        <f>G41/(1+'Input | Inflation and Disc Rate'!P21)</f>
        <v>0.89255546891632753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187" t="str">
        <f>CONCATENATE("CESS Payment Per Year ($", 'Output | Models'!$F$8," million)")</f>
        <v>CESS Payment Per Year ($2022–23 million)</v>
      </c>
      <c r="D42" s="108">
        <f>D36/(SUM(D41:H41))</f>
        <v>1.0215492222085034</v>
      </c>
      <c r="E42" s="108">
        <f>D42</f>
        <v>1.0215492222085034</v>
      </c>
      <c r="F42" s="108">
        <f t="shared" ref="F42:H42" si="6">E42</f>
        <v>1.0215492222085034</v>
      </c>
      <c r="G42" s="108">
        <f t="shared" si="6"/>
        <v>1.0215492222085034</v>
      </c>
      <c r="H42" s="145">
        <f t="shared" si="6"/>
        <v>1.0215492222085034</v>
      </c>
      <c r="I42" s="92"/>
      <c r="J42" s="92"/>
      <c r="K42" s="92"/>
      <c r="L42" s="92"/>
      <c r="M42" s="92"/>
      <c r="N42" s="92"/>
      <c r="O42" s="92"/>
    </row>
    <row r="43" spans="1:16382" s="79" customFormat="1" ht="11.25" customHeight="1"/>
    <row r="44" spans="1:16382" s="30" customFormat="1" ht="11.25" customHeight="1">
      <c r="C44" s="187" t="str">
        <f>CONCATENATE("Total CESS Payment ($", 'Output | Models'!$F$8," million)")</f>
        <v>Total CESS Payment ($2022–23 million)</v>
      </c>
      <c r="D44" s="153">
        <f>SUM(D42:H42)</f>
        <v>5.1077461110425171</v>
      </c>
      <c r="E44" s="70"/>
      <c r="F44" s="70"/>
      <c r="G44" s="70"/>
      <c r="H44" s="70"/>
      <c r="I44" s="92"/>
      <c r="J44" s="92"/>
      <c r="K44" s="92"/>
      <c r="L44" s="92"/>
      <c r="M44" s="92"/>
      <c r="N44" s="92"/>
      <c r="O44" s="92"/>
    </row>
    <row r="45" spans="1:16382" s="30" customFormat="1" ht="11.25" customHeight="1">
      <c r="C45" s="69"/>
      <c r="D45" s="97"/>
      <c r="E45" s="70"/>
      <c r="F45" s="70"/>
      <c r="G45" s="70"/>
      <c r="H45" s="70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  <pageSetUpPr fitToPage="1"/>
  </sheetPr>
  <dimension ref="A1:AA17"/>
  <sheetViews>
    <sheetView showGridLines="0" zoomScaleNormal="100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NSW TNSP 2023-28 Regulatory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47</v>
      </c>
      <c r="L1" s="155" t="s">
        <v>48</v>
      </c>
      <c r="M1" s="160" t="s">
        <v>36</v>
      </c>
      <c r="R1" s="105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0"/>
      <c r="K3" s="190"/>
      <c r="L3" s="190"/>
      <c r="M3" s="42"/>
      <c r="N3" s="190"/>
      <c r="O3" s="190"/>
      <c r="P3" s="190"/>
      <c r="Q3" s="190"/>
      <c r="R3" s="190"/>
      <c r="S3" s="190"/>
      <c r="T3" s="190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2" t="str">
        <f>'Calc | CESS Revenue Increments'!D40</f>
        <v>2023-24</v>
      </c>
      <c r="K6" s="182" t="str">
        <f>'Calc | CESS Revenue Increments'!E40</f>
        <v>2024–25</v>
      </c>
      <c r="L6" s="182" t="str">
        <f>'Calc | CESS Revenue Increments'!F40</f>
        <v>2025–26</v>
      </c>
      <c r="M6" s="182" t="str">
        <f>'Calc | CESS Revenue Increments'!G40</f>
        <v>2026–27</v>
      </c>
      <c r="N6" s="182" t="str">
        <f>'Calc | CESS Revenue Increments'!H40</f>
        <v>2027–28</v>
      </c>
      <c r="O6" s="56" t="s">
        <v>87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4" t="s">
        <v>58</v>
      </c>
      <c r="E8" s="52" t="s">
        <v>50</v>
      </c>
      <c r="F8" s="183" t="str">
        <f>IF(LEN(J6)&gt;4,CONCATENATE(LEFT(J6,4)-1&amp;"–"&amp;IF(RIGHT(J6,2)="00","99",IF(RIGHT(J6,2)-1&lt;10,"0","")&amp;RIGHT(J6,2)-1)),J6-1)</f>
        <v>2022–23</v>
      </c>
      <c r="H8" s="55"/>
      <c r="I8" s="55"/>
      <c r="J8" s="131">
        <f>'Calc | CESS Revenue Increments'!D42</f>
        <v>1.0215492222085034</v>
      </c>
      <c r="K8" s="131">
        <f>'Calc | CESS Revenue Increments'!E42</f>
        <v>1.0215492222085034</v>
      </c>
      <c r="L8" s="131">
        <f>'Calc | CESS Revenue Increments'!F42</f>
        <v>1.0215492222085034</v>
      </c>
      <c r="M8" s="131">
        <f>'Calc | CESS Revenue Increments'!G42</f>
        <v>1.0215492222085034</v>
      </c>
      <c r="N8" s="131">
        <f>'Calc | CESS Revenue Increments'!H42</f>
        <v>1.0215492222085034</v>
      </c>
      <c r="O8" s="60">
        <f>SUM(J8:N8)</f>
        <v>5.1077461110425171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scale="56" fitToHeight="0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A8250C83EF049A6081B6ABE2EC208" ma:contentTypeVersion="9" ma:contentTypeDescription="Create a new document." ma:contentTypeScope="" ma:versionID="5899300b55b32bfc167ba1cf97f31b4a">
  <xsd:schema xmlns:xsd="http://www.w3.org/2001/XMLSchema" xmlns:xs="http://www.w3.org/2001/XMLSchema" xmlns:p="http://schemas.microsoft.com/office/2006/metadata/properties" xmlns:ns2="219a03a1-7fe7-42f3-bdad-55ca8d66a738" xmlns:ns3="4eb6023d-658b-4527-be73-24b0518f0bf9" xmlns:ns4="97db55b7-6849-467b-a514-00ca68ee4ee0" targetNamespace="http://schemas.microsoft.com/office/2006/metadata/properties" ma:root="true" ma:fieldsID="968fcfc8334bfb21df38a6431dff2315" ns2:_="" ns3:_="" ns4:_="">
    <xsd:import namespace="219a03a1-7fe7-42f3-bdad-55ca8d66a738"/>
    <xsd:import namespace="4eb6023d-658b-4527-be73-24b0518f0bf9"/>
    <xsd:import namespace="97db55b7-6849-467b-a514-00ca68ee4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b55b7-6849-467b-a514-00ca68ee4ee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D2DC3-061B-4EF7-AF3B-39961CF5C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97db55b7-6849-467b-a514-00ca68ee4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EBB4A-1E94-464B-9C4B-4DA67C9C5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A3885-453C-4B1B-A876-F0B869AB2CA6}">
  <ds:schemaRefs>
    <ds:schemaRef ds:uri="219a03a1-7fe7-42f3-bdad-55ca8d66a738"/>
    <ds:schemaRef ds:uri="http://schemas.microsoft.com/office/infopath/2007/PartnerControls"/>
    <ds:schemaRef ds:uri="http://purl.org/dc/elements/1.1/"/>
    <ds:schemaRef ds:uri="http://schemas.microsoft.com/office/2006/metadata/properties"/>
    <ds:schemaRef ds:uri="97db55b7-6849-467b-a514-00ca68ee4ee0"/>
    <ds:schemaRef ds:uri="http://purl.org/dc/terms/"/>
    <ds:schemaRef ds:uri="4eb6023d-658b-4527-be73-24b0518f0bf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Lim</dc:creator>
  <cp:keywords>TNSP; SA; NSW; 2024-28; CESS</cp:keywords>
  <cp:lastModifiedBy>Sarah Lim</cp:lastModifiedBy>
  <dcterms:created xsi:type="dcterms:W3CDTF">2017-09-22T02:00:05Z</dcterms:created>
  <dcterms:modified xsi:type="dcterms:W3CDTF">2022-01-27T07:33:48Z</dcterms:modified>
  <cp:category>TNSP;SA;NSW;2024-28;CESS</cp:category>
  <cp:contentStatus>20210726 - DRAFT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0x01010006EA8250C83EF049A6081B6ABE2EC208</vt:lpwstr>
  </property>
</Properties>
</file>