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759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2" l="1"/>
  <c r="R38" i="2"/>
  <c r="S38" i="2"/>
  <c r="T38" i="2"/>
  <c r="P38" i="2"/>
  <c r="G77" i="55" l="1"/>
  <c r="G78" i="55"/>
  <c r="G79" i="55"/>
  <c r="G80" i="55"/>
  <c r="T77" i="55"/>
  <c r="T78" i="55"/>
  <c r="T79" i="55"/>
  <c r="T80" i="55"/>
  <c r="G76" i="55" l="1"/>
  <c r="G75" i="55"/>
  <c r="G74" i="55"/>
  <c r="G73" i="55"/>
  <c r="G72" i="55"/>
  <c r="G71" i="55"/>
  <c r="G70" i="55"/>
  <c r="G69" i="55"/>
  <c r="G68" i="55"/>
  <c r="T65" i="55" l="1"/>
  <c r="T66" i="55"/>
  <c r="T67" i="55"/>
  <c r="T68" i="55"/>
  <c r="T70" i="55"/>
  <c r="T75" i="55"/>
  <c r="T76" i="55"/>
  <c r="T74" i="55"/>
  <c r="G65" i="55"/>
  <c r="G66" i="55"/>
  <c r="G67" i="55"/>
  <c r="T71" i="55" l="1"/>
  <c r="T72" i="55"/>
  <c r="T69" i="55" l="1"/>
  <c r="T73" i="55"/>
  <c r="G57" i="55" l="1"/>
  <c r="G62" i="55" l="1"/>
  <c r="G56" i="55"/>
  <c r="G58" i="55"/>
  <c r="G55" i="55"/>
  <c r="G61" i="55" l="1"/>
  <c r="G60" i="55"/>
  <c r="G59" i="55"/>
  <c r="C95" i="2" l="1" a="1"/>
  <c r="C98" i="2" s="1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W91" i="2" l="1"/>
  <c r="C95" i="2"/>
  <c r="C96" i="2"/>
  <c r="C97" i="2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5" i="58"/>
  <c r="E28" i="42" s="1"/>
  <c r="F35" i="42" l="1"/>
  <c r="E35" i="42"/>
  <c r="K53" i="58"/>
  <c r="M53" i="58"/>
  <c r="N53" i="58"/>
  <c r="O53" i="58"/>
  <c r="P53" i="58"/>
  <c r="Q53" i="58"/>
  <c r="R53" i="58"/>
  <c r="S53" i="58"/>
  <c r="J53" i="58"/>
  <c r="K44" i="58"/>
  <c r="M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S4" i="2"/>
  <c r="R4" i="2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R4" i="58"/>
  <c r="R34" i="58" s="1"/>
  <c r="Q4" i="58"/>
  <c r="P4" i="58"/>
  <c r="P57" i="58" s="1"/>
  <c r="O4" i="58"/>
  <c r="N4" i="58"/>
  <c r="N34" i="58" s="1"/>
  <c r="M4" i="58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R93" i="2" l="1"/>
  <c r="R96" i="2" s="1"/>
  <c r="R73" i="2"/>
  <c r="S93" i="2"/>
  <c r="S98" i="2" s="1"/>
  <c r="S73" i="2"/>
  <c r="T93" i="2"/>
  <c r="T95" i="2" s="1"/>
  <c r="T73" i="2"/>
  <c r="K97" i="2"/>
  <c r="K98" i="2"/>
  <c r="K95" i="2"/>
  <c r="K96" i="2"/>
  <c r="O97" i="2"/>
  <c r="O98" i="2"/>
  <c r="O96" i="2"/>
  <c r="O95" i="2"/>
  <c r="N96" i="2"/>
  <c r="N97" i="2"/>
  <c r="N98" i="2"/>
  <c r="N95" i="2"/>
  <c r="L98" i="2"/>
  <c r="L95" i="2"/>
  <c r="L97" i="2"/>
  <c r="L96" i="2"/>
  <c r="P98" i="2"/>
  <c r="P95" i="2"/>
  <c r="P96" i="2"/>
  <c r="P97" i="2"/>
  <c r="M95" i="2"/>
  <c r="M96" i="2"/>
  <c r="M97" i="2"/>
  <c r="M98" i="2"/>
  <c r="Q95" i="2"/>
  <c r="Q96" i="2"/>
  <c r="Q98" i="2"/>
  <c r="Q97" i="2"/>
  <c r="J96" i="2"/>
  <c r="J97" i="2"/>
  <c r="J95" i="2"/>
  <c r="J98" i="2"/>
  <c r="J35" i="42"/>
  <c r="J23" i="42"/>
  <c r="J21" i="42"/>
  <c r="J19" i="42"/>
  <c r="L35" i="42"/>
  <c r="L23" i="42"/>
  <c r="L21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J33" i="42"/>
  <c r="P33" i="42"/>
  <c r="R33" i="42"/>
  <c r="Q33" i="42"/>
  <c r="S33" i="42"/>
  <c r="L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O12" i="2" s="1"/>
  <c r="K10" i="2"/>
  <c r="K12" i="2" s="1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M10" i="2"/>
  <c r="M12" i="2" s="1"/>
  <c r="K14" i="2"/>
  <c r="O14" i="2"/>
  <c r="S14" i="2"/>
  <c r="J47" i="2"/>
  <c r="M73" i="2"/>
  <c r="Q73" i="2"/>
  <c r="J102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L12" i="2" s="1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R47" i="2"/>
  <c r="L102" i="2"/>
  <c r="P102" i="2"/>
  <c r="T102" i="2"/>
  <c r="L10" i="53"/>
  <c r="P26" i="53"/>
  <c r="K34" i="58"/>
  <c r="K10" i="58"/>
  <c r="Q57" i="58"/>
  <c r="Q34" i="58"/>
  <c r="Q10" i="58"/>
  <c r="N62" i="2"/>
  <c r="N73" i="2"/>
  <c r="N14" i="2"/>
  <c r="N10" i="2"/>
  <c r="N12" i="2" s="1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Q47" i="2"/>
  <c r="S47" i="2"/>
  <c r="J73" i="2"/>
  <c r="K102" i="2"/>
  <c r="M102" i="2"/>
  <c r="O102" i="2"/>
  <c r="Q102" i="2"/>
  <c r="S102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S96" i="2" l="1"/>
  <c r="R98" i="2"/>
  <c r="T97" i="2"/>
  <c r="R95" i="2"/>
  <c r="T98" i="2"/>
  <c r="T96" i="2"/>
  <c r="S95" i="2"/>
  <c r="S97" i="2"/>
  <c r="R97" i="2"/>
  <c r="Q28" i="42"/>
  <c r="M28" i="42"/>
  <c r="S28" i="42"/>
  <c r="R28" i="42"/>
  <c r="P28" i="42"/>
  <c r="J28" i="42"/>
  <c r="O28" i="42"/>
  <c r="N28" i="42"/>
  <c r="K28" i="42"/>
  <c r="L28" i="42"/>
  <c r="E63" i="58"/>
  <c r="E49" i="42" s="1"/>
  <c r="E62" i="58"/>
  <c r="E46" i="42" s="1"/>
  <c r="E61" i="58"/>
  <c r="E43" i="42" s="1"/>
  <c r="E60" i="58"/>
  <c r="E59" i="58"/>
  <c r="E37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L53" i="58" l="1"/>
  <c r="L19" i="42" s="1"/>
  <c r="F23" i="42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 l="1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Q40" i="53"/>
  <c r="O40" i="53"/>
  <c r="M40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J12" i="2" s="1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Q58" i="2"/>
  <c r="M58" i="2"/>
  <c r="K58" i="2"/>
  <c r="O58" i="2"/>
  <c r="S58" i="2"/>
  <c r="L58" i="2"/>
  <c r="L45" i="2"/>
  <c r="L106" i="2"/>
  <c r="L71" i="2"/>
  <c r="N58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R12" i="2"/>
  <c r="T12" i="2"/>
  <c r="P12" i="2"/>
  <c r="S12" i="2"/>
  <c r="Q12" i="2"/>
  <c r="S71" i="2"/>
  <c r="Q71" i="2"/>
  <c r="O71" i="2"/>
  <c r="M71" i="2"/>
  <c r="K71" i="2"/>
  <c r="K68" i="42" l="1" a="1"/>
  <c r="K68" i="42" s="1"/>
  <c r="K61" i="42"/>
  <c r="J68" i="42" a="1"/>
  <c r="J68" i="42" s="1"/>
  <c r="J61" i="42"/>
  <c r="W71" i="2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6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l="1" a="1"/>
  <c r="M68" i="42" s="1"/>
  <c r="L68" i="42" a="1"/>
  <c r="L68" i="42" s="1"/>
  <c r="N68" i="42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O20" i="2" s="1"/>
  <c r="J16" i="2"/>
  <c r="K16" i="2" s="1"/>
  <c r="K25" i="2" s="1"/>
  <c r="K17" i="2"/>
  <c r="L18" i="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R13" i="42" l="1"/>
  <c r="R26" i="42" s="1"/>
  <c r="L27" i="2"/>
  <c r="P13" i="42"/>
  <c r="P26" i="42" s="1"/>
  <c r="K26" i="2"/>
  <c r="J17" i="2"/>
  <c r="J26" i="2" s="1"/>
  <c r="J15" i="44"/>
  <c r="J16" i="44"/>
  <c r="K14" i="44"/>
  <c r="S13" i="42"/>
  <c r="S26" i="42" s="1"/>
  <c r="P20" i="42"/>
  <c r="S20" i="42"/>
  <c r="R20" i="42"/>
  <c r="Q20" i="42"/>
  <c r="M21" i="2"/>
  <c r="O29" i="2"/>
  <c r="K18" i="2"/>
  <c r="K27" i="2" s="1"/>
  <c r="O30" i="2"/>
  <c r="L19" i="2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L28" i="2"/>
  <c r="J25" i="2"/>
  <c r="N29" i="2"/>
  <c r="L14" i="44" l="1"/>
  <c r="K16" i="44"/>
  <c r="M16" i="2"/>
  <c r="M25" i="2" s="1"/>
  <c r="L21" i="2"/>
  <c r="L20" i="2"/>
  <c r="L29" i="2" s="1"/>
  <c r="M17" i="2"/>
  <c r="K19" i="2"/>
  <c r="K28" i="2" s="1"/>
  <c r="O19" i="2"/>
  <c r="O28" i="2" s="1"/>
  <c r="N18" i="2"/>
  <c r="N27" i="2" s="1"/>
  <c r="J18" i="2"/>
  <c r="P28" i="2"/>
  <c r="P26" i="2"/>
  <c r="P27" i="2"/>
  <c r="M30" i="2"/>
  <c r="M27" i="2"/>
  <c r="N16" i="2" l="1"/>
  <c r="O16" i="2" s="1"/>
  <c r="J27" i="2"/>
  <c r="L20" i="42"/>
  <c r="J101" i="42"/>
  <c r="J102" i="42" s="1"/>
  <c r="J100" i="42"/>
  <c r="J13" i="44" s="1"/>
  <c r="K100" i="42"/>
  <c r="K13" i="44" s="1"/>
  <c r="K101" i="42"/>
  <c r="K102" i="42" s="1"/>
  <c r="K21" i="2"/>
  <c r="O18" i="2"/>
  <c r="J19" i="2"/>
  <c r="J28" i="2" s="1"/>
  <c r="N17" i="2"/>
  <c r="M26" i="2"/>
  <c r="K20" i="2"/>
  <c r="K29" i="2" s="1"/>
  <c r="L30" i="2"/>
  <c r="N15" i="42" l="1"/>
  <c r="N24" i="42"/>
  <c r="O17" i="42"/>
  <c r="N25" i="2"/>
  <c r="M24" i="42"/>
  <c r="R15" i="42"/>
  <c r="J17" i="42"/>
  <c r="S22" i="42"/>
  <c r="J15" i="42"/>
  <c r="P22" i="42"/>
  <c r="S24" i="42"/>
  <c r="Q22" i="42"/>
  <c r="S17" i="42"/>
  <c r="L24" i="42"/>
  <c r="K17" i="42"/>
  <c r="L17" i="42"/>
  <c r="S15" i="42"/>
  <c r="R24" i="42"/>
  <c r="O15" i="42"/>
  <c r="N17" i="42"/>
  <c r="R22" i="42"/>
  <c r="Q24" i="42"/>
  <c r="J22" i="42"/>
  <c r="Q17" i="42"/>
  <c r="R17" i="42"/>
  <c r="L22" i="42"/>
  <c r="J24" i="42"/>
  <c r="N22" i="42"/>
  <c r="P17" i="42"/>
  <c r="P15" i="42"/>
  <c r="Q15" i="42"/>
  <c r="K24" i="42"/>
  <c r="K13" i="42"/>
  <c r="K26" i="42" s="1"/>
  <c r="K20" i="42"/>
  <c r="M20" i="42"/>
  <c r="M13" i="42"/>
  <c r="M26" i="42" s="1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N26" i="2"/>
  <c r="O27" i="2"/>
  <c r="P25" i="2"/>
  <c r="O25" i="2"/>
  <c r="K30" i="2"/>
  <c r="P41" i="42" l="1"/>
  <c r="J29" i="42"/>
  <c r="O76" i="42"/>
  <c r="Q81" i="42"/>
  <c r="R92" i="42"/>
  <c r="R16" i="44" s="1"/>
  <c r="Q41" i="42"/>
  <c r="K47" i="42"/>
  <c r="M82" i="42"/>
  <c r="J81" i="42"/>
  <c r="N91" i="42"/>
  <c r="N15" i="44" s="1"/>
  <c r="M75" i="42"/>
  <c r="K79" i="42"/>
  <c r="K74" i="42"/>
  <c r="O47" i="42"/>
  <c r="O80" i="42"/>
  <c r="R79" i="42"/>
  <c r="M76" i="42"/>
  <c r="J74" i="42"/>
  <c r="R50" i="42"/>
  <c r="S91" i="42"/>
  <c r="S15" i="44" s="1"/>
  <c r="L76" i="42"/>
  <c r="Q76" i="42"/>
  <c r="N76" i="42"/>
  <c r="P44" i="42"/>
  <c r="N79" i="42"/>
  <c r="P80" i="42"/>
  <c r="S90" i="42"/>
  <c r="K75" i="42"/>
  <c r="P77" i="42"/>
  <c r="L41" i="42"/>
  <c r="S47" i="42"/>
  <c r="S78" i="42"/>
  <c r="K91" i="42"/>
  <c r="K15" i="44" s="1"/>
  <c r="L82" i="42"/>
  <c r="M80" i="42"/>
  <c r="R91" i="42"/>
  <c r="R15" i="44" s="1"/>
  <c r="N78" i="42"/>
  <c r="N38" i="42"/>
  <c r="N44" i="42"/>
  <c r="J47" i="42"/>
  <c r="S44" i="42"/>
  <c r="P50" i="42"/>
  <c r="Q29" i="42"/>
  <c r="P29" i="42"/>
  <c r="M29" i="42"/>
  <c r="P92" i="42"/>
  <c r="P16" i="44" s="1"/>
  <c r="S77" i="42"/>
  <c r="K81" i="42"/>
  <c r="R78" i="42"/>
  <c r="K76" i="42"/>
  <c r="J44" i="42"/>
  <c r="S79" i="42"/>
  <c r="L91" i="42"/>
  <c r="L15" i="44" s="1"/>
  <c r="O77" i="42"/>
  <c r="L47" i="42"/>
  <c r="N92" i="42"/>
  <c r="N16" i="44" s="1"/>
  <c r="K41" i="42"/>
  <c r="K50" i="42"/>
  <c r="N29" i="42"/>
  <c r="K80" i="42"/>
  <c r="Q91" i="42"/>
  <c r="Q15" i="44" s="1"/>
  <c r="R80" i="42"/>
  <c r="J90" i="42"/>
  <c r="R81" i="42"/>
  <c r="S82" i="42"/>
  <c r="L81" i="42"/>
  <c r="S76" i="42"/>
  <c r="L77" i="42"/>
  <c r="L78" i="42"/>
  <c r="L38" i="42"/>
  <c r="Q50" i="42"/>
  <c r="J92" i="42"/>
  <c r="J75" i="42"/>
  <c r="P90" i="42"/>
  <c r="R38" i="42"/>
  <c r="Q90" i="42"/>
  <c r="M79" i="42"/>
  <c r="O92" i="42"/>
  <c r="O16" i="44" s="1"/>
  <c r="L92" i="42"/>
  <c r="L16" i="44" s="1"/>
  <c r="J38" i="42"/>
  <c r="N47" i="42"/>
  <c r="M81" i="42"/>
  <c r="O82" i="42"/>
  <c r="R77" i="42"/>
  <c r="O81" i="42"/>
  <c r="J91" i="42"/>
  <c r="R41" i="42"/>
  <c r="N50" i="42"/>
  <c r="S80" i="42"/>
  <c r="J79" i="42"/>
  <c r="K92" i="42"/>
  <c r="Q78" i="42"/>
  <c r="L90" i="42"/>
  <c r="R76" i="42"/>
  <c r="P38" i="42"/>
  <c r="O44" i="42"/>
  <c r="L50" i="42"/>
  <c r="Q47" i="42"/>
  <c r="S29" i="42"/>
  <c r="R29" i="42"/>
  <c r="L29" i="42"/>
  <c r="J50" i="42"/>
  <c r="J78" i="42"/>
  <c r="Q79" i="42"/>
  <c r="K90" i="42"/>
  <c r="J76" i="42"/>
  <c r="P78" i="42"/>
  <c r="P91" i="42"/>
  <c r="P15" i="44" s="1"/>
  <c r="P79" i="42"/>
  <c r="L80" i="42"/>
  <c r="S81" i="42"/>
  <c r="S50" i="42"/>
  <c r="P47" i="42"/>
  <c r="O41" i="42"/>
  <c r="O91" i="42"/>
  <c r="O15" i="44" s="1"/>
  <c r="M78" i="42"/>
  <c r="J77" i="42"/>
  <c r="Q92" i="42"/>
  <c r="Q16" i="44" s="1"/>
  <c r="Q44" i="42"/>
  <c r="P76" i="42"/>
  <c r="M38" i="42"/>
  <c r="R82" i="42"/>
  <c r="N41" i="42"/>
  <c r="M90" i="42"/>
  <c r="M91" i="42"/>
  <c r="M15" i="44" s="1"/>
  <c r="N80" i="42"/>
  <c r="S41" i="42"/>
  <c r="K78" i="42"/>
  <c r="R90" i="42"/>
  <c r="Q82" i="42"/>
  <c r="N82" i="42"/>
  <c r="S38" i="42"/>
  <c r="O50" i="42"/>
  <c r="M77" i="42"/>
  <c r="O78" i="42"/>
  <c r="N75" i="42"/>
  <c r="O79" i="42"/>
  <c r="J82" i="42"/>
  <c r="K38" i="42"/>
  <c r="L44" i="42"/>
  <c r="M92" i="42"/>
  <c r="M16" i="44" s="1"/>
  <c r="N90" i="42"/>
  <c r="Q77" i="42"/>
  <c r="N77" i="42"/>
  <c r="O90" i="42"/>
  <c r="K77" i="42"/>
  <c r="P81" i="42"/>
  <c r="L75" i="42"/>
  <c r="M41" i="42"/>
  <c r="R44" i="42"/>
  <c r="M50" i="42"/>
  <c r="R47" i="42"/>
  <c r="K29" i="42"/>
  <c r="O38" i="42"/>
  <c r="N81" i="42"/>
  <c r="K44" i="42"/>
  <c r="M44" i="42"/>
  <c r="Q80" i="42"/>
  <c r="P82" i="42"/>
  <c r="L79" i="42"/>
  <c r="J41" i="42"/>
  <c r="S92" i="42"/>
  <c r="S16" i="44" s="1"/>
  <c r="Q38" i="42"/>
  <c r="K82" i="42"/>
  <c r="J80" i="42"/>
  <c r="M47" i="42"/>
  <c r="O29" i="42"/>
  <c r="J13" i="42"/>
  <c r="J26" i="42" s="1"/>
  <c r="O33" i="42" s="1"/>
  <c r="J20" i="42"/>
  <c r="N20" i="42"/>
  <c r="N13" i="42"/>
  <c r="N26" i="42" s="1"/>
  <c r="O20" i="42"/>
  <c r="O13" i="42"/>
  <c r="O26" i="42" s="1"/>
  <c r="O26" i="2"/>
  <c r="O94" i="42" l="1"/>
  <c r="S52" i="42"/>
  <c r="S54" i="42" s="1"/>
  <c r="L94" i="42"/>
  <c r="M35" i="42"/>
  <c r="P52" i="42"/>
  <c r="P54" i="42" s="1"/>
  <c r="N35" i="42"/>
  <c r="L52" i="42"/>
  <c r="L54" i="42" s="1"/>
  <c r="R14" i="44"/>
  <c r="R94" i="42"/>
  <c r="M14" i="44"/>
  <c r="M94" i="42"/>
  <c r="J52" i="42"/>
  <c r="J54" i="42" s="1"/>
  <c r="Q14" i="44"/>
  <c r="Q94" i="42"/>
  <c r="S14" i="44"/>
  <c r="S94" i="42"/>
  <c r="O14" i="44"/>
  <c r="Q52" i="42"/>
  <c r="Q54" i="42" s="1"/>
  <c r="K94" i="42"/>
  <c r="R52" i="42"/>
  <c r="R54" i="42" s="1"/>
  <c r="J84" i="42"/>
  <c r="N14" i="44"/>
  <c r="N94" i="42"/>
  <c r="P14" i="44"/>
  <c r="P94" i="42"/>
  <c r="J14" i="44"/>
  <c r="J94" i="42"/>
  <c r="K84" i="42"/>
  <c r="O35" i="42"/>
  <c r="K35" i="42"/>
  <c r="O52" i="42"/>
  <c r="O54" i="42" l="1"/>
  <c r="M16" i="42"/>
  <c r="M17" i="42" s="1"/>
  <c r="L14" i="42"/>
  <c r="L15" i="42" s="1"/>
  <c r="N22" i="53" l="1"/>
  <c r="N74" i="42"/>
  <c r="N84" i="42" s="1"/>
  <c r="M22" i="53"/>
  <c r="M74" i="42"/>
  <c r="M84" i="42" s="1"/>
  <c r="L22" i="53"/>
  <c r="L74" i="42"/>
  <c r="L84" i="42" s="1"/>
  <c r="K31" i="42"/>
  <c r="N31" i="42"/>
  <c r="O31" i="42"/>
  <c r="M31" i="42"/>
  <c r="K33" i="42" l="1"/>
  <c r="K52" i="42" s="1"/>
  <c r="M33" i="42"/>
  <c r="K54" i="42" l="1"/>
  <c r="M52" i="42"/>
  <c r="M54" i="42" l="1"/>
  <c r="L100" i="42" l="1"/>
  <c r="L13" i="44" s="1"/>
  <c r="M101" i="42"/>
  <c r="M102" i="42" s="1"/>
  <c r="L101" i="42"/>
  <c r="L102" i="42" s="1"/>
  <c r="M100" i="42"/>
  <c r="M13" i="44" s="1"/>
  <c r="N100" i="42"/>
  <c r="N13" i="44" s="1"/>
  <c r="N101" i="42"/>
  <c r="N102" i="42" s="1"/>
  <c r="L44" i="58" l="1"/>
  <c r="L12" i="42" s="1"/>
  <c r="L13" i="42" s="1"/>
  <c r="L26" i="42" s="1"/>
  <c r="N33" i="42" s="1"/>
  <c r="N52" i="42" l="1"/>
  <c r="N54" i="42" s="1"/>
  <c r="S74" i="42" l="1"/>
  <c r="P74" i="42" l="1"/>
  <c r="O74" i="42"/>
  <c r="R75" i="42"/>
  <c r="Q75" i="42"/>
  <c r="R22" i="53"/>
  <c r="R74" i="42"/>
  <c r="O75" i="42"/>
  <c r="P75" i="42"/>
  <c r="Q74" i="42"/>
  <c r="R84" i="42" l="1"/>
  <c r="Q84" i="42"/>
  <c r="O22" i="53"/>
  <c r="O84" i="42"/>
  <c r="S75" i="42"/>
  <c r="S84" i="42" s="1"/>
  <c r="S22" i="53"/>
  <c r="Q101" i="42"/>
  <c r="Q102" i="42" s="1"/>
  <c r="Q100" i="42"/>
  <c r="Q13" i="44" s="1"/>
  <c r="P84" i="42"/>
  <c r="R100" i="42"/>
  <c r="R13" i="44" s="1"/>
  <c r="R101" i="42"/>
  <c r="R102" i="42" s="1"/>
  <c r="Q22" i="53"/>
  <c r="P22" i="53"/>
  <c r="W22" i="53" l="1"/>
  <c r="S1" i="53" s="1"/>
  <c r="G14" i="16" s="1"/>
  <c r="S1" i="16" s="1"/>
  <c r="W1" i="55" s="1"/>
  <c r="P101" i="42"/>
  <c r="P102" i="42" s="1"/>
  <c r="P100" i="42"/>
  <c r="P13" i="44" s="1"/>
  <c r="S101" i="42"/>
  <c r="S102" i="42" s="1"/>
  <c r="S100" i="42"/>
  <c r="S13" i="44" s="1"/>
  <c r="O100" i="42"/>
  <c r="O13" i="44" s="1"/>
  <c r="O101" i="42"/>
  <c r="O102" i="42" s="1"/>
  <c r="V1" i="4" l="1"/>
  <c r="V1" i="58"/>
  <c r="W1" i="2"/>
  <c r="V1" i="44"/>
  <c r="V1" i="53"/>
  <c r="V1" i="54"/>
  <c r="V1" i="42"/>
</calcChain>
</file>

<file path=xl/sharedStrings.xml><?xml version="1.0" encoding="utf-8"?>
<sst xmlns="http://schemas.openxmlformats.org/spreadsheetml/2006/main" count="700" uniqueCount="208">
  <si>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</si>
  <si>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</si>
  <si>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</si>
  <si>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</si>
  <si>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</si>
  <si>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</si>
  <si>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</si>
  <si>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</si>
  <si>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</si>
  <si>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</si>
  <si>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</si>
  <si>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</si>
  <si>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</si>
  <si>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</si>
  <si>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</si>
  <si>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</si>
  <si>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</si>
  <si>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</si>
  <si>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</si>
  <si>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</si>
  <si>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</si>
  <si>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</si>
  <si>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</si>
  <si>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</si>
  <si>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</si>
  <si>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</si>
  <si>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</si>
  <si>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</si>
  <si>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</si>
  <si>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</si>
  <si>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</si>
  <si>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</si>
  <si>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</si>
  <si>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</si>
  <si>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</si>
  <si>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</si>
  <si>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</si>
  <si>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</si>
  <si>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</si>
  <si>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</si>
  <si>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</si>
  <si>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</si>
  <si>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</si>
  <si>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</si>
  <si>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</si>
  <si>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</si>
  <si>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</si>
  <si>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</si>
  <si>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</si>
  <si>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</si>
  <si>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</si>
  <si>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</si>
  <si>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</si>
  <si>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</si>
  <si>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</si>
  <si>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</si>
  <si>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</si>
  <si>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</si>
  <si>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</si>
  <si>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</si>
  <si>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</si>
  <si>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</si>
  <si>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</si>
  <si>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</si>
  <si>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</si>
  <si>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</si>
  <si>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</si>
  <si>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</si>
  <si>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</si>
  <si>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</si>
  <si>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</si>
  <si>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</si>
  <si>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</si>
  <si>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</si>
  <si>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</si>
  <si>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</si>
  <si>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</si>
  <si>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</si>
  <si>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</si>
  <si>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</si>
  <si>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</si>
  <si>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</si>
  <si>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</si>
  <si>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</si>
  <si>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</si>
  <si>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</si>
  <si>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</si>
  <si>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</si>
  <si>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</si>
  <si>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</si>
  <si>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</si>
  <si>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</si>
  <si>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</si>
  <si>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</si>
  <si>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</si>
  <si>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</si>
  <si>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</si>
  <si>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</si>
  <si>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</si>
  <si>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</si>
  <si>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</si>
  <si>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</si>
  <si>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</si>
  <si>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</si>
  <si>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</si>
  <si>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</si>
  <si>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</si>
  <si>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</si>
  <si>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</si>
  <si>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</si>
  <si>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</si>
  <si>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</si>
  <si>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</si>
  <si>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</si>
  <si>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</si>
  <si>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</si>
  <si>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</si>
  <si>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</si>
  <si>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</si>
  <si>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</si>
  <si>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</si>
  <si>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</si>
  <si>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</si>
  <si>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</si>
  <si>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</si>
  <si>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</si>
  <si>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</si>
  <si>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</si>
  <si>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</si>
  <si>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</si>
  <si>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</si>
  <si>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</si>
  <si>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</si>
  <si>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</si>
  <si>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</si>
  <si>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</si>
  <si>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</si>
  <si>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</si>
  <si>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</si>
  <si>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</si>
  <si>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</si>
  <si>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</si>
  <si>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</si>
  <si>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</si>
  <si>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</si>
  <si>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</si>
  <si>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</si>
  <si>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</si>
  <si>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</si>
  <si>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</si>
  <si>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</si>
  <si>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</si>
  <si>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</si>
  <si>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</si>
  <si>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</si>
  <si>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</si>
  <si>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</si>
  <si>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</si>
  <si>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</si>
  <si>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</si>
  <si>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</si>
  <si>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</si>
  <si>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</si>
  <si>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</si>
  <si>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</si>
  <si>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</si>
  <si>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</si>
  <si>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</si>
  <si>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</si>
  <si>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</si>
  <si>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</si>
  <si>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</si>
  <si>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</si>
  <si>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</si>
  <si>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</si>
  <si>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</si>
  <si>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</si>
  <si>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</si>
  <si>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</si>
  <si>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</si>
  <si>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</si>
  <si>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</si>
  <si>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</si>
  <si>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TasNetworks Distribution</t>
  </si>
  <si>
    <t>Remove GSL payments</t>
  </si>
  <si>
    <t xml:space="preserve">Remove electrical safety levy </t>
  </si>
  <si>
    <t>Remove NEM levy</t>
  </si>
  <si>
    <t>Customer connection numbers</t>
  </si>
  <si>
    <t>GSL payments</t>
  </si>
  <si>
    <t>Electrical safety levy</t>
  </si>
  <si>
    <t>Nem Levy</t>
  </si>
  <si>
    <t>SFA CD</t>
  </si>
  <si>
    <t>LSE CD</t>
  </si>
  <si>
    <t>LSE TLG</t>
  </si>
  <si>
    <t>MPFP</t>
  </si>
  <si>
    <t>Forecast output growth</t>
  </si>
  <si>
    <t>Energy throughput</t>
  </si>
  <si>
    <t>Interpolated</t>
  </si>
  <si>
    <t>WPI - BIS Oxford</t>
  </si>
  <si>
    <t>draft</t>
  </si>
  <si>
    <t>Insurance Cost</t>
  </si>
  <si>
    <t>Cybersecurity</t>
  </si>
  <si>
    <t>GSL</t>
  </si>
  <si>
    <t>Electrical Safety Inspection Levy payments</t>
  </si>
  <si>
    <t>NEM Levy payments</t>
  </si>
  <si>
    <t>RBA statement of monetary policy inflation forecast, November 2022</t>
  </si>
  <si>
    <t>Superannuation guarantee increases</t>
  </si>
  <si>
    <t>WPI - BIS + superannuation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</si>
</sst>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_-* #,##0_-;[Red]\(#,##0\)_-;_-* &quot;-&quot;??_-;_-@_-"/>
    <numFmt numFmtId="206" formatCode="_-* #,##0.000_-;\-* #,##0.000_-;_-* &quot;-&quot;??_-;_-@_-"/>
    <numFmt numFmtId="207" formatCode="0.000%"/>
    <numFmt numFmtId="208" formatCode="0.0_ ;\-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6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8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278">
    <xf numFmtId="0" fontId="0" fillId="0" borderId="0"/>
    <xf numFmtId="166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7" fontId="17" fillId="0" borderId="5">
      <alignment horizontal="right" vertical="center"/>
      <protection locked="0"/>
    </xf>
    <xf numFmtId="43" fontId="1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4" fontId="17" fillId="0" borderId="0"/>
    <xf numFmtId="174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42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75" fontId="24" fillId="4" borderId="0" applyNumberFormat="0" applyFont="0" applyBorder="0" applyAlignment="0">
      <alignment horizontal="right"/>
    </xf>
    <xf numFmtId="175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41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78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75" fontId="24" fillId="36" borderId="0" applyFont="0" applyBorder="0" applyAlignment="0">
      <alignment horizontal="right"/>
      <protection locked="0"/>
    </xf>
    <xf numFmtId="175" fontId="24" fillId="36" borderId="0" applyFont="0" applyBorder="0" applyAlignment="0">
      <alignment horizontal="right"/>
      <protection locked="0"/>
    </xf>
    <xf numFmtId="181" fontId="24" fillId="6" borderId="0" applyFont="0" applyBorder="0">
      <alignment horizontal="right"/>
      <protection locked="0"/>
    </xf>
    <xf numFmtId="181" fontId="24" fillId="6" borderId="0" applyFont="0" applyBorder="0">
      <alignment horizontal="right"/>
      <protection locked="0"/>
    </xf>
    <xf numFmtId="175" fontId="24" fillId="10" borderId="0" applyFont="0" applyBorder="0">
      <alignment horizontal="right"/>
      <protection locked="0"/>
    </xf>
    <xf numFmtId="175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2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3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4" fontId="24" fillId="0" borderId="0" applyFill="0" applyBorder="0"/>
    <xf numFmtId="184" fontId="24" fillId="0" borderId="0" applyFill="0" applyBorder="0"/>
    <xf numFmtId="184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5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6" fontId="24" fillId="0" borderId="0"/>
    <xf numFmtId="186" fontId="24" fillId="0" borderId="0"/>
    <xf numFmtId="186" fontId="24" fillId="0" borderId="0"/>
    <xf numFmtId="187" fontId="17" fillId="0" borderId="0" applyFill="0" applyBorder="0">
      <alignment horizontal="right" vertical="center"/>
    </xf>
    <xf numFmtId="188" fontId="17" fillId="0" borderId="0" applyFill="0" applyBorder="0">
      <alignment horizontal="right" vertical="center"/>
    </xf>
    <xf numFmtId="189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2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0" fontId="24" fillId="0" borderId="7" applyBorder="0" applyProtection="0">
      <alignment horizontal="right"/>
    </xf>
    <xf numFmtId="190" fontId="24" fillId="0" borderId="7" applyBorder="0" applyProtection="0">
      <alignment horizontal="right"/>
    </xf>
    <xf numFmtId="190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42" borderId="0"/>
    <xf numFmtId="200" fontId="79" fillId="0" borderId="23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4" applyNumberFormat="0" applyFont="0" applyAlignment="0"/>
    <xf numFmtId="0" fontId="86" fillId="7" borderId="25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4" applyNumberFormat="0" applyAlignment="0"/>
    <xf numFmtId="0" fontId="79" fillId="0" borderId="0" applyNumberFormat="0" applyFill="0" applyBorder="0"/>
    <xf numFmtId="0" fontId="92" fillId="49" borderId="24" applyNumberFormat="0">
      <protection locked="0"/>
    </xf>
    <xf numFmtId="205" fontId="5" fillId="50" borderId="27" applyFont="0" applyFill="0" applyBorder="0" applyAlignment="0">
      <alignment horizontal="right" vertical="top" wrapText="1"/>
      <protection locked="0"/>
    </xf>
    <xf numFmtId="43" fontId="4" fillId="0" borderId="0" applyFont="0" applyFill="0" applyBorder="0" applyAlignment="0" applyProtection="0"/>
    <xf numFmtId="0" fontId="3" fillId="0" borderId="0"/>
    <xf numFmtId="0" fontId="94" fillId="51" borderId="0">
      <alignment horizontal="left" vertical="center"/>
      <protection locked="0"/>
    </xf>
    <xf numFmtId="0" fontId="95" fillId="0" borderId="0" applyNumberFormat="0" applyFill="0" applyBorder="0" applyAlignment="0" applyProtection="0"/>
    <xf numFmtId="205" fontId="96" fillId="50" borderId="29" applyBorder="0">
      <alignment horizontal="right"/>
      <protection locked="0"/>
    </xf>
    <xf numFmtId="0" fontId="3" fillId="0" borderId="0"/>
    <xf numFmtId="43" fontId="2" fillId="0" borderId="0" applyFont="0" applyFill="0" applyBorder="0" applyAlignment="0" applyProtection="0"/>
    <xf numFmtId="167" fontId="17" fillId="0" borderId="30">
      <alignment horizontal="right" vertical="center"/>
      <protection locked="0"/>
    </xf>
    <xf numFmtId="44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1" xfId="0" applyFont="1" applyFill="1" applyBorder="1"/>
    <xf numFmtId="164" fontId="8" fillId="3" borderId="0" xfId="0" applyNumberFormat="1" applyFont="1" applyFill="1"/>
    <xf numFmtId="164" fontId="9" fillId="0" borderId="0" xfId="0" applyNumberFormat="1" applyFont="1"/>
    <xf numFmtId="164" fontId="8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 applyAlignment="1" applyProtection="1"/>
    <xf numFmtId="0" fontId="8" fillId="5" borderId="0" xfId="0" applyFont="1" applyFill="1" applyBorder="1"/>
    <xf numFmtId="0" fontId="8" fillId="6" borderId="0" xfId="0" applyFont="1" applyFill="1" applyBorder="1"/>
    <xf numFmtId="164" fontId="14" fillId="0" borderId="0" xfId="0" applyNumberFormat="1" applyFont="1"/>
    <xf numFmtId="164" fontId="10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 indent="1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43" fontId="14" fillId="0" borderId="6" xfId="0" applyNumberFormat="1" applyFont="1" applyBorder="1" applyAlignment="1">
      <alignment horizontal="center"/>
    </xf>
    <xf numFmtId="164" fontId="19" fillId="0" borderId="0" xfId="3" applyNumberFormat="1" applyFont="1" applyAlignment="1" applyProtection="1"/>
    <xf numFmtId="164" fontId="9" fillId="3" borderId="0" xfId="0" applyNumberFormat="1" applyFont="1" applyFill="1"/>
    <xf numFmtId="164" fontId="20" fillId="0" borderId="0" xfId="0" applyNumberFormat="1" applyFont="1" applyAlignment="1">
      <alignment horizontal="center"/>
    </xf>
    <xf numFmtId="169" fontId="17" fillId="0" borderId="0" xfId="5" applyNumberFormat="1" applyFont="1" applyFill="1" applyBorder="1" applyAlignment="1" applyProtection="1">
      <alignment horizontal="center" vertical="center"/>
    </xf>
    <xf numFmtId="170" fontId="14" fillId="0" borderId="0" xfId="5" applyNumberFormat="1" applyFont="1" applyFill="1" applyBorder="1" applyAlignment="1" applyProtection="1">
      <alignment horizontal="center" vertical="center"/>
    </xf>
    <xf numFmtId="170" fontId="22" fillId="0" borderId="0" xfId="5" applyNumberFormat="1" applyFont="1" applyFill="1" applyBorder="1" applyAlignment="1" applyProtection="1">
      <alignment horizontal="center" vertical="center"/>
    </xf>
    <xf numFmtId="171" fontId="8" fillId="0" borderId="0" xfId="0" applyNumberFormat="1" applyFont="1"/>
    <xf numFmtId="173" fontId="17" fillId="0" borderId="0" xfId="5" applyNumberFormat="1" applyFont="1" applyFill="1" applyBorder="1" applyAlignment="1" applyProtection="1">
      <alignment horizontal="center" vertical="center"/>
    </xf>
    <xf numFmtId="164" fontId="8" fillId="3" borderId="0" xfId="0" applyNumberFormat="1" applyFont="1" applyFill="1" applyProtection="1"/>
    <xf numFmtId="164" fontId="9" fillId="3" borderId="0" xfId="0" applyNumberFormat="1" applyFont="1" applyFill="1" applyAlignment="1" applyProtection="1">
      <alignment horizontal="center"/>
    </xf>
    <xf numFmtId="164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14" fillId="0" borderId="0" xfId="0" applyNumberFormat="1" applyFont="1" applyProtection="1"/>
    <xf numFmtId="164" fontId="20" fillId="0" borderId="0" xfId="0" applyNumberFormat="1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164" fontId="19" fillId="0" borderId="0" xfId="3" applyNumberFormat="1" applyFont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73" fillId="38" borderId="0" xfId="0" applyFont="1" applyFill="1" applyBorder="1" applyAlignment="1">
      <alignment horizontal="left" indent="9"/>
    </xf>
    <xf numFmtId="0" fontId="74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5" fillId="38" borderId="0" xfId="0" applyNumberFormat="1" applyFont="1" applyFill="1" applyBorder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5" fillId="39" borderId="4" xfId="0" applyFont="1" applyFill="1" applyBorder="1"/>
    <xf numFmtId="165" fontId="8" fillId="41" borderId="3" xfId="0" applyNumberFormat="1" applyFont="1" applyFill="1" applyBorder="1" applyAlignment="1" applyProtection="1">
      <alignment horizontal="center"/>
      <protection locked="0"/>
    </xf>
    <xf numFmtId="0" fontId="75" fillId="38" borderId="0" xfId="0" applyFont="1" applyFill="1" applyBorder="1" applyAlignment="1">
      <alignment horizontal="left"/>
    </xf>
    <xf numFmtId="0" fontId="75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8" fillId="40" borderId="0" xfId="0" applyFont="1" applyFill="1" applyBorder="1" applyAlignment="1">
      <alignment horizontal="center"/>
    </xf>
    <xf numFmtId="10" fontId="8" fillId="41" borderId="3" xfId="2" applyNumberFormat="1" applyFont="1" applyFill="1" applyBorder="1" applyAlignment="1" applyProtection="1">
      <alignment horizontal="center"/>
      <protection locked="0"/>
    </xf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64" fontId="20" fillId="0" borderId="0" xfId="0" applyNumberFormat="1" applyFont="1" applyAlignment="1" applyProtection="1">
      <alignment horizontal="center" wrapText="1"/>
    </xf>
    <xf numFmtId="191" fontId="8" fillId="41" borderId="3" xfId="0" applyNumberFormat="1" applyFont="1" applyFill="1" applyBorder="1" applyAlignment="1" applyProtection="1">
      <alignment horizontal="center"/>
      <protection locked="0"/>
    </xf>
    <xf numFmtId="195" fontId="8" fillId="0" borderId="0" xfId="0" applyNumberFormat="1" applyFont="1" applyAlignment="1" applyProtection="1">
      <alignment horizontal="left"/>
    </xf>
    <xf numFmtId="193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 wrapText="1"/>
    </xf>
    <xf numFmtId="164" fontId="10" fillId="0" borderId="0" xfId="0" applyNumberFormat="1" applyFont="1" applyProtection="1"/>
    <xf numFmtId="164" fontId="21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3" fillId="38" borderId="0" xfId="0" applyFont="1" applyFill="1" applyBorder="1" applyAlignment="1" applyProtection="1">
      <alignment horizontal="left" vertical="center"/>
    </xf>
    <xf numFmtId="0" fontId="73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8" fillId="40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8" fillId="6" borderId="0" xfId="0" applyFont="1" applyFill="1" applyBorder="1" applyProtection="1"/>
    <xf numFmtId="43" fontId="25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5" fillId="38" borderId="1" xfId="0" applyFont="1" applyFill="1" applyBorder="1" applyAlignment="1" applyProtection="1">
      <alignment horizontal="left"/>
    </xf>
    <xf numFmtId="0" fontId="75" fillId="38" borderId="1" xfId="0" applyFont="1" applyFill="1" applyBorder="1" applyAlignment="1" applyProtection="1">
      <alignment horizontal="left" indent="9"/>
    </xf>
    <xf numFmtId="0" fontId="25" fillId="38" borderId="2" xfId="0" applyNumberFormat="1" applyFont="1" applyFill="1" applyBorder="1" applyProtection="1"/>
    <xf numFmtId="0" fontId="25" fillId="38" borderId="2" xfId="0" applyFont="1" applyFill="1" applyBorder="1" applyProtection="1"/>
    <xf numFmtId="0" fontId="76" fillId="38" borderId="2" xfId="0" applyNumberFormat="1" applyFont="1" applyFill="1" applyBorder="1" applyProtection="1"/>
    <xf numFmtId="0" fontId="76" fillId="39" borderId="4" xfId="0" applyFont="1" applyFill="1" applyBorder="1" applyProtection="1"/>
    <xf numFmtId="0" fontId="76" fillId="39" borderId="4" xfId="0" applyFont="1" applyFill="1" applyBorder="1" applyAlignment="1" applyProtection="1">
      <alignment horizontal="center"/>
    </xf>
    <xf numFmtId="0" fontId="21" fillId="39" borderId="4" xfId="0" applyFont="1" applyFill="1" applyBorder="1" applyAlignment="1" applyProtection="1">
      <alignment horizontal="center" vertical="center"/>
    </xf>
    <xf numFmtId="0" fontId="21" fillId="39" borderId="4" xfId="0" applyFont="1" applyFill="1" applyBorder="1" applyAlignment="1" applyProtection="1">
      <alignment vertical="center"/>
    </xf>
    <xf numFmtId="0" fontId="76" fillId="39" borderId="4" xfId="0" applyFont="1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76" fillId="3" borderId="0" xfId="0" applyFont="1" applyFill="1" applyBorder="1" applyAlignment="1" applyProtection="1">
      <alignment wrapText="1"/>
    </xf>
    <xf numFmtId="0" fontId="76" fillId="3" borderId="0" xfId="0" applyFont="1" applyFill="1" applyAlignment="1" applyProtection="1">
      <alignment wrapText="1"/>
    </xf>
    <xf numFmtId="0" fontId="76" fillId="3" borderId="0" xfId="0" applyFont="1" applyFill="1" applyProtection="1"/>
    <xf numFmtId="0" fontId="76" fillId="0" borderId="0" xfId="0" applyFont="1" applyFill="1" applyProtection="1"/>
    <xf numFmtId="0" fontId="76" fillId="0" borderId="0" xfId="0" applyFont="1" applyProtection="1"/>
    <xf numFmtId="0" fontId="0" fillId="39" borderId="4" xfId="0" applyFill="1" applyBorder="1" applyProtection="1"/>
    <xf numFmtId="0" fontId="25" fillId="39" borderId="4" xfId="0" applyFont="1" applyFill="1" applyBorder="1" applyProtection="1"/>
    <xf numFmtId="0" fontId="26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6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10" fillId="0" borderId="0" xfId="0" applyNumberFormat="1" applyFont="1" applyFill="1" applyBorder="1" applyProtection="1"/>
    <xf numFmtId="164" fontId="9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Alignment="1" applyProtection="1">
      <alignment horizontal="center"/>
    </xf>
    <xf numFmtId="164" fontId="19" fillId="0" borderId="0" xfId="3" applyNumberFormat="1" applyFont="1" applyFill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Alignment="1" applyProtection="1">
      <alignment horizontal="left" indent="1"/>
    </xf>
    <xf numFmtId="164" fontId="9" fillId="0" borderId="7" xfId="0" applyNumberFormat="1" applyFont="1" applyBorder="1" applyAlignment="1" applyProtection="1">
      <alignment horizontal="center"/>
    </xf>
    <xf numFmtId="164" fontId="10" fillId="0" borderId="8" xfId="0" applyNumberFormat="1" applyFont="1" applyBorder="1" applyAlignment="1" applyProtection="1">
      <alignment horizontal="left" indent="1"/>
    </xf>
    <xf numFmtId="164" fontId="9" fillId="0" borderId="8" xfId="0" applyNumberFormat="1" applyFont="1" applyBorder="1" applyAlignment="1" applyProtection="1">
      <alignment horizontal="center"/>
    </xf>
    <xf numFmtId="196" fontId="10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left"/>
    </xf>
    <xf numFmtId="10" fontId="8" fillId="0" borderId="0" xfId="2" applyNumberFormat="1" applyFont="1" applyAlignment="1" applyProtection="1">
      <alignment horizontal="center"/>
    </xf>
    <xf numFmtId="164" fontId="10" fillId="0" borderId="8" xfId="0" applyNumberFormat="1" applyFont="1" applyBorder="1" applyProtection="1"/>
    <xf numFmtId="172" fontId="8" fillId="0" borderId="0" xfId="0" applyNumberFormat="1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Fill="1" applyAlignment="1" applyProtection="1">
      <alignment horizontal="left" indent="2"/>
    </xf>
    <xf numFmtId="164" fontId="20" fillId="0" borderId="8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 indent="1"/>
    </xf>
    <xf numFmtId="164" fontId="10" fillId="0" borderId="0" xfId="0" applyNumberFormat="1" applyFont="1" applyBorder="1" applyProtection="1"/>
    <xf numFmtId="193" fontId="10" fillId="0" borderId="0" xfId="0" applyNumberFormat="1" applyFont="1" applyBorder="1" applyAlignment="1" applyProtection="1">
      <alignment horizontal="center"/>
    </xf>
    <xf numFmtId="164" fontId="20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9" fontId="10" fillId="0" borderId="0" xfId="0" applyNumberFormat="1" applyFont="1" applyAlignment="1" applyProtection="1">
      <alignment horizontal="center"/>
    </xf>
    <xf numFmtId="197" fontId="14" fillId="0" borderId="4" xfId="5" applyNumberFormat="1" applyFont="1" applyFill="1" applyBorder="1" applyAlignment="1" applyProtection="1">
      <alignment horizontal="center" vertical="center"/>
    </xf>
    <xf numFmtId="49" fontId="9" fillId="41" borderId="22" xfId="0" applyNumberFormat="1" applyFont="1" applyFill="1" applyBorder="1" applyAlignment="1" applyProtection="1">
      <alignment horizontal="center"/>
      <protection locked="0"/>
    </xf>
    <xf numFmtId="43" fontId="14" fillId="0" borderId="3" xfId="0" applyNumberFormat="1" applyFont="1" applyBorder="1" applyAlignment="1" applyProtection="1">
      <alignment horizontal="center"/>
    </xf>
    <xf numFmtId="43" fontId="14" fillId="0" borderId="0" xfId="0" applyNumberFormat="1" applyFont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0" fontId="12" fillId="38" borderId="2" xfId="0" applyFont="1" applyFill="1" applyBorder="1" applyProtection="1"/>
    <xf numFmtId="0" fontId="13" fillId="38" borderId="2" xfId="0" applyNumberFormat="1" applyFont="1" applyFill="1" applyBorder="1" applyAlignment="1" applyProtection="1">
      <alignment horizontal="center"/>
    </xf>
    <xf numFmtId="0" fontId="13" fillId="38" borderId="2" xfId="0" applyNumberFormat="1" applyFont="1" applyFill="1" applyBorder="1" applyProtection="1"/>
    <xf numFmtId="164" fontId="10" fillId="0" borderId="7" xfId="0" applyNumberFormat="1" applyFont="1" applyBorder="1" applyProtection="1"/>
    <xf numFmtId="164" fontId="8" fillId="0" borderId="7" xfId="0" applyNumberFormat="1" applyFont="1" applyBorder="1" applyProtection="1"/>
    <xf numFmtId="164" fontId="10" fillId="0" borderId="4" xfId="0" applyNumberFormat="1" applyFont="1" applyBorder="1" applyAlignment="1" applyProtection="1">
      <alignment horizontal="left"/>
    </xf>
    <xf numFmtId="164" fontId="9" fillId="0" borderId="4" xfId="0" applyNumberFormat="1" applyFont="1" applyBorder="1" applyAlignment="1" applyProtection="1">
      <alignment horizontal="center"/>
    </xf>
    <xf numFmtId="43" fontId="8" fillId="0" borderId="0" xfId="0" applyNumberFormat="1" applyFont="1" applyProtection="1"/>
    <xf numFmtId="164" fontId="8" fillId="0" borderId="0" xfId="0" applyNumberFormat="1" applyFont="1" applyBorder="1" applyProtection="1"/>
    <xf numFmtId="10" fontId="8" fillId="0" borderId="0" xfId="2" applyNumberFormat="1" applyFont="1" applyBorder="1" applyAlignment="1" applyProtection="1">
      <alignment horizontal="center"/>
    </xf>
    <xf numFmtId="164" fontId="9" fillId="0" borderId="0" xfId="6" applyNumberFormat="1" applyFont="1" applyAlignment="1" applyProtection="1">
      <alignment horizontal="center"/>
    </xf>
    <xf numFmtId="168" fontId="17" fillId="0" borderId="0" xfId="2" applyNumberFormat="1" applyFont="1" applyFill="1" applyBorder="1" applyAlignment="1" applyProtection="1">
      <alignment horizontal="center" vertical="center"/>
    </xf>
    <xf numFmtId="172" fontId="8" fillId="0" borderId="0" xfId="0" applyNumberFormat="1" applyFont="1" applyProtection="1"/>
    <xf numFmtId="164" fontId="8" fillId="0" borderId="0" xfId="0" applyNumberFormat="1" applyFont="1" applyAlignment="1" applyProtection="1">
      <alignment horizontal="left"/>
    </xf>
    <xf numFmtId="192" fontId="8" fillId="8" borderId="3" xfId="0" applyNumberFormat="1" applyFont="1" applyFill="1" applyBorder="1" applyAlignment="1" applyProtection="1">
      <alignment horizontal="left" indent="1"/>
    </xf>
    <xf numFmtId="0" fontId="77" fillId="39" borderId="4" xfId="0" applyFont="1" applyFill="1" applyBorder="1" applyAlignment="1" applyProtection="1"/>
    <xf numFmtId="194" fontId="9" fillId="41" borderId="3" xfId="2" applyNumberFormat="1" applyFont="1" applyFill="1" applyBorder="1" applyAlignment="1" applyProtection="1">
      <alignment horizontal="center"/>
      <protection locked="0"/>
    </xf>
    <xf numFmtId="198" fontId="10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Protection="1">
      <protection locked="0"/>
    </xf>
    <xf numFmtId="201" fontId="10" fillId="0" borderId="0" xfId="0" applyNumberFormat="1" applyFont="1" applyAlignment="1" applyProtection="1">
      <alignment horizontal="center"/>
    </xf>
    <xf numFmtId="202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3" fontId="76" fillId="39" borderId="4" xfId="0" applyNumberFormat="1" applyFont="1" applyFill="1" applyBorder="1" applyAlignment="1" applyProtection="1">
      <alignment horizontal="center" wrapText="1"/>
    </xf>
    <xf numFmtId="203" fontId="93" fillId="38" borderId="2" xfId="0" applyNumberFormat="1" applyFont="1" applyFill="1" applyBorder="1" applyAlignment="1" applyProtection="1">
      <alignment horizontal="center"/>
    </xf>
    <xf numFmtId="203" fontId="76" fillId="38" borderId="2" xfId="0" applyNumberFormat="1" applyFont="1" applyFill="1" applyBorder="1" applyAlignment="1" applyProtection="1">
      <alignment horizontal="left"/>
    </xf>
    <xf numFmtId="203" fontId="10" fillId="0" borderId="7" xfId="0" applyNumberFormat="1" applyFont="1" applyBorder="1" applyAlignment="1" applyProtection="1">
      <alignment horizontal="center"/>
    </xf>
    <xf numFmtId="203" fontId="8" fillId="0" borderId="0" xfId="0" applyNumberFormat="1" applyFont="1" applyAlignment="1">
      <alignment horizontal="left" indent="1"/>
    </xf>
    <xf numFmtId="203" fontId="9" fillId="0" borderId="0" xfId="0" applyNumberFormat="1" applyFont="1" applyAlignment="1" applyProtection="1">
      <alignment horizontal="center"/>
    </xf>
    <xf numFmtId="203" fontId="9" fillId="41" borderId="22" xfId="0" applyNumberFormat="1" applyFont="1" applyFill="1" applyBorder="1" applyAlignment="1" applyProtection="1">
      <alignment horizontal="center"/>
      <protection locked="0"/>
    </xf>
    <xf numFmtId="203" fontId="10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Protection="1"/>
    <xf numFmtId="203" fontId="8" fillId="0" borderId="0" xfId="0" applyNumberFormat="1" applyFont="1" applyAlignment="1" applyProtection="1">
      <alignment horizontal="left" indent="1"/>
    </xf>
    <xf numFmtId="164" fontId="16" fillId="0" borderId="0" xfId="3" applyNumberFormat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194" fontId="8" fillId="0" borderId="0" xfId="2" applyNumberFormat="1" applyFont="1" applyFill="1" applyBorder="1" applyAlignment="1" applyProtection="1">
      <alignment horizontal="center"/>
      <protection locked="0"/>
    </xf>
    <xf numFmtId="203" fontId="8" fillId="41" borderId="3" xfId="2" applyNumberFormat="1" applyFont="1" applyFill="1" applyBorder="1" applyAlignment="1" applyProtection="1">
      <alignment horizontal="center"/>
      <protection locked="0"/>
    </xf>
    <xf numFmtId="0" fontId="76" fillId="38" borderId="26" xfId="0" applyNumberFormat="1" applyFont="1" applyFill="1" applyBorder="1" applyAlignment="1" applyProtection="1"/>
    <xf numFmtId="164" fontId="8" fillId="0" borderId="0" xfId="0" applyNumberFormat="1" applyFont="1" applyBorder="1" applyAlignment="1" applyProtection="1">
      <alignment horizontal="center"/>
    </xf>
    <xf numFmtId="203" fontId="20" fillId="0" borderId="0" xfId="0" applyNumberFormat="1" applyFont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9" fontId="10" fillId="0" borderId="0" xfId="0" applyNumberFormat="1" applyFont="1" applyBorder="1" applyAlignment="1" applyProtection="1">
      <alignment horizontal="center"/>
    </xf>
    <xf numFmtId="196" fontId="10" fillId="0" borderId="0" xfId="0" applyNumberFormat="1" applyFont="1" applyBorder="1" applyAlignment="1" applyProtection="1">
      <alignment horizontal="center"/>
    </xf>
    <xf numFmtId="164" fontId="10" fillId="0" borderId="7" xfId="0" applyNumberFormat="1" applyFont="1" applyBorder="1" applyAlignment="1" applyProtection="1">
      <alignment horizontal="left" indent="1"/>
    </xf>
    <xf numFmtId="203" fontId="9" fillId="0" borderId="7" xfId="0" applyNumberFormat="1" applyFont="1" applyBorder="1" applyAlignment="1" applyProtection="1">
      <alignment horizontal="center"/>
    </xf>
    <xf numFmtId="204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1" fontId="8" fillId="0" borderId="3" xfId="0" applyNumberFormat="1" applyFont="1" applyFill="1" applyBorder="1" applyAlignment="1" applyProtection="1">
      <alignment horizontal="center"/>
      <protection locked="0"/>
    </xf>
    <xf numFmtId="203" fontId="8" fillId="0" borderId="3" xfId="0" applyNumberFormat="1" applyFont="1" applyFill="1" applyBorder="1" applyAlignment="1" applyProtection="1">
      <alignment horizontal="center"/>
      <protection locked="0"/>
    </xf>
    <xf numFmtId="2" fontId="14" fillId="0" borderId="4" xfId="5" applyNumberFormat="1" applyFont="1" applyFill="1" applyBorder="1" applyAlignment="1" applyProtection="1">
      <alignment horizontal="center" vertical="center"/>
    </xf>
    <xf numFmtId="0" fontId="16" fillId="38" borderId="0" xfId="3" applyFill="1" applyBorder="1" applyAlignment="1" applyProtection="1">
      <alignment horizontal="right"/>
    </xf>
    <xf numFmtId="193" fontId="8" fillId="0" borderId="0" xfId="0" applyNumberFormat="1" applyFont="1" applyProtection="1">
      <protection locked="0"/>
    </xf>
    <xf numFmtId="193" fontId="10" fillId="0" borderId="0" xfId="0" applyNumberFormat="1" applyFont="1" applyProtection="1">
      <protection locked="0"/>
    </xf>
    <xf numFmtId="49" fontId="9" fillId="0" borderId="22" xfId="0" applyNumberFormat="1" applyFont="1" applyFill="1" applyBorder="1" applyAlignment="1" applyProtection="1">
      <alignment horizontal="center"/>
    </xf>
    <xf numFmtId="203" fontId="9" fillId="0" borderId="22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</xf>
    <xf numFmtId="180" fontId="8" fillId="0" borderId="0" xfId="2" applyNumberFormat="1" applyFont="1" applyAlignment="1" applyProtection="1">
      <alignment horizontal="center"/>
      <protection locked="0"/>
    </xf>
    <xf numFmtId="170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17" fillId="0" borderId="0" xfId="5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Fill="1" applyProtection="1"/>
    <xf numFmtId="49" fontId="8" fillId="0" borderId="3" xfId="0" applyNumberFormat="1" applyFont="1" applyFill="1" applyBorder="1" applyAlignment="1" applyProtection="1">
      <alignment horizontal="left" indent="1"/>
      <protection locked="0"/>
    </xf>
    <xf numFmtId="203" fontId="8" fillId="0" borderId="0" xfId="2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80" fontId="8" fillId="0" borderId="0" xfId="2" applyNumberFormat="1" applyFont="1" applyFill="1" applyBorder="1" applyAlignment="1" applyProtection="1">
      <alignment horizontal="center"/>
      <protection locked="0"/>
    </xf>
    <xf numFmtId="203" fontId="9" fillId="0" borderId="2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203" fontId="21" fillId="8" borderId="9" xfId="0" applyNumberFormat="1" applyFont="1" applyFill="1" applyBorder="1" applyAlignment="1" applyProtection="1">
      <alignment horizontal="center"/>
      <protection locked="0"/>
    </xf>
    <xf numFmtId="10" fontId="17" fillId="0" borderId="0" xfId="2" applyNumberFormat="1" applyFont="1" applyFill="1" applyBorder="1" applyAlignment="1" applyProtection="1">
      <alignment horizontal="center" vertical="center"/>
    </xf>
    <xf numFmtId="10" fontId="8" fillId="0" borderId="0" xfId="2" applyNumberFormat="1" applyFont="1" applyProtection="1"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Protection="1">
      <protection locked="0"/>
    </xf>
    <xf numFmtId="10" fontId="8" fillId="41" borderId="3" xfId="2" applyNumberFormat="1" applyFont="1" applyFill="1" applyBorder="1" applyAlignment="1" applyProtection="1">
      <alignment horizontal="right"/>
      <protection locked="0"/>
    </xf>
    <xf numFmtId="10" fontId="17" fillId="0" borderId="0" xfId="5" applyNumberFormat="1" applyFont="1" applyFill="1" applyBorder="1" applyAlignment="1" applyProtection="1">
      <alignment horizontal="center" vertical="center"/>
      <protection locked="0"/>
    </xf>
    <xf numFmtId="43" fontId="8" fillId="0" borderId="0" xfId="0" applyNumberFormat="1" applyFont="1" applyProtection="1">
      <protection locked="0"/>
    </xf>
    <xf numFmtId="10" fontId="8" fillId="0" borderId="0" xfId="0" applyNumberFormat="1" applyFont="1" applyAlignment="1" applyProtection="1">
      <alignment horizontal="right"/>
      <protection locked="0"/>
    </xf>
    <xf numFmtId="193" fontId="8" fillId="0" borderId="0" xfId="0" applyNumberFormat="1" applyFont="1" applyFill="1" applyProtection="1">
      <protection locked="0"/>
    </xf>
    <xf numFmtId="206" fontId="8" fillId="0" borderId="0" xfId="0" applyNumberFormat="1" applyFont="1" applyProtection="1"/>
    <xf numFmtId="192" fontId="10" fillId="8" borderId="28" xfId="0" applyNumberFormat="1" applyFont="1" applyFill="1" applyBorder="1" applyAlignment="1" applyProtection="1">
      <alignment horizontal="center"/>
      <protection locked="0"/>
    </xf>
    <xf numFmtId="10" fontId="8" fillId="0" borderId="0" xfId="2" applyNumberFormat="1" applyFont="1" applyProtection="1"/>
    <xf numFmtId="207" fontId="8" fillId="0" borderId="0" xfId="2" applyNumberFormat="1" applyFont="1" applyProtection="1"/>
    <xf numFmtId="172" fontId="8" fillId="0" borderId="0" xfId="6" applyNumberFormat="1" applyFont="1" applyProtection="1"/>
    <xf numFmtId="193" fontId="8" fillId="0" borderId="0" xfId="6" applyNumberFormat="1" applyFont="1" applyProtection="1"/>
    <xf numFmtId="208" fontId="8" fillId="0" borderId="0" xfId="2" applyNumberFormat="1" applyFont="1" applyFill="1" applyBorder="1" applyAlignment="1" applyProtection="1">
      <alignment horizontal="center"/>
    </xf>
    <xf numFmtId="0" fontId="97" fillId="38" borderId="0" xfId="3" applyFont="1" applyFill="1" applyBorder="1" applyAlignment="1" applyProtection="1"/>
    <xf numFmtId="44" fontId="8" fillId="0" borderId="0" xfId="273" applyFont="1" applyProtection="1"/>
    <xf numFmtId="44" fontId="10" fillId="0" borderId="0" xfId="273" applyFont="1" applyBorder="1" applyAlignment="1" applyProtection="1">
      <alignment horizontal="center"/>
    </xf>
    <xf numFmtId="176" fontId="0" fillId="40" borderId="0" xfId="77" applyFont="1" applyFill="1" applyBorder="1"/>
    <xf numFmtId="43" fontId="8" fillId="0" borderId="0" xfId="0" applyNumberFormat="1" applyFont="1" applyFill="1" applyProtection="1">
      <protection locked="0"/>
    </xf>
    <xf numFmtId="0" fontId="76" fillId="38" borderId="2" xfId="0" applyNumberFormat="1" applyFont="1" applyFill="1" applyBorder="1" applyAlignment="1" applyProtection="1">
      <alignment horizontal="center"/>
    </xf>
  </cellXfs>
  <cellStyles count="278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72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75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 9 2" xfId="271"/>
    <cellStyle name="Comma0" xfId="86"/>
    <cellStyle name="Currency" xfId="273" builtinId="4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77"/>
    <cellStyle name="D4_B8B1_005004B79812_.wvu.PrintTitlest" xfId="95"/>
    <cellStyle name="Date" xfId="96"/>
    <cellStyle name="Date 2" xfId="97"/>
    <cellStyle name="dms_NUM" xfId="269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3" xfId="268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6"/>
    <cellStyle name="Normal 12" xfId="274"/>
    <cellStyle name="Normal 13" xfId="137"/>
    <cellStyle name="Normal 13 2" xfId="7"/>
    <cellStyle name="Normal 13_29(d) - Gas extensions -tariffs" xfId="138"/>
    <cellStyle name="Normal 14" xfId="270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6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2" xfId="267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1"/>
  <sheetViews>
    <sheetView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181</v>
      </c>
    </row>
    <row r="13" spans="1:47">
      <c r="C13" s="19" t="s">
        <v>55</v>
      </c>
      <c r="D13" s="7" t="s">
        <v>182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workbookViewId="0"/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183</v>
      </c>
      <c r="H7" s="29"/>
      <c r="I7" s="29"/>
      <c r="S7" s="131" t="str">
        <f>IF(COUNTBLANK($G7),"Check","Ok")</f>
        <v>Ok</v>
      </c>
    </row>
    <row r="8" spans="1:47" ht="10.5">
      <c r="C8" s="29" t="s">
        <v>146</v>
      </c>
      <c r="D8" s="30" t="s">
        <v>73</v>
      </c>
      <c r="E8" s="29"/>
      <c r="F8" s="29"/>
      <c r="G8" s="52" t="s">
        <v>199</v>
      </c>
      <c r="H8" s="29"/>
      <c r="I8" s="29"/>
      <c r="S8" s="131" t="str">
        <f>IF(COUNTBLANK($G8),"Check","Ok")</f>
        <v>Ok</v>
      </c>
    </row>
    <row r="9" spans="1:47" ht="10.5">
      <c r="C9" s="29" t="s">
        <v>130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160</v>
      </c>
      <c r="D10" s="30" t="s">
        <v>72</v>
      </c>
      <c r="E10" s="29"/>
      <c r="F10" s="29"/>
      <c r="G10" s="155">
        <v>2020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5">
        <v>2022</v>
      </c>
      <c r="H11" s="29"/>
      <c r="I11" s="29"/>
      <c r="S11" s="131" t="str">
        <f t="shared" si="0"/>
        <v>Ok</v>
      </c>
    </row>
    <row r="12" spans="1:47" ht="10.5">
      <c r="C12" s="29" t="s">
        <v>161</v>
      </c>
      <c r="D12" s="30" t="s">
        <v>72</v>
      </c>
      <c r="E12" s="29"/>
      <c r="F12" s="29"/>
      <c r="G12" s="155">
        <v>2024</v>
      </c>
      <c r="H12" s="29"/>
      <c r="I12" s="29"/>
      <c r="S12" s="131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5">
        <v>2025</v>
      </c>
      <c r="H13" s="29"/>
      <c r="I13" s="29"/>
      <c r="S13" s="131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5">
        <v>2029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3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0" priority="13" operator="equal">
      <formula>"Check"</formula>
    </cfRule>
    <cfRule type="cellIs" dxfId="209" priority="14" operator="equal">
      <formula>"Ok"</formula>
    </cfRule>
  </conditionalFormatting>
  <conditionalFormatting sqref="V1">
    <cfRule type="cellIs" dxfId="208" priority="3" operator="equal">
      <formula>"Check"</formula>
    </cfRule>
    <cfRule type="cellIs" dxfId="207" priority="4" operator="equal">
      <formula>"Ok"</formula>
    </cfRule>
  </conditionalFormatting>
  <conditionalFormatting sqref="S7:S14">
    <cfRule type="cellIs" dxfId="206" priority="5" operator="equal">
      <formula>"Check"</formula>
    </cfRule>
    <cfRule type="cellIs" dxfId="205" priority="6" operator="equal">
      <formula>"Ok"</formula>
    </cfRule>
  </conditionalFormatting>
  <conditionalFormatting sqref="S1">
    <cfRule type="cellIs" dxfId="204" priority="1" operator="equal">
      <formula>"Check"</formula>
    </cfRule>
    <cfRule type="cellIs" dxfId="203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92"/>
  <sheetViews>
    <sheetView workbookViewId="0"/>
  </sheetViews>
  <sheetFormatPr defaultColWidth="0" defaultRowHeight="11.25" custom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9" width="15" style="30" customWidth="1"/>
    <col min="10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IF(COUNTA($T$5:$T$81)=COUNTIF($T5:$T82,"OK"),"OK","Check")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6" spans="1:48" ht="50">
      <c r="D6" s="62" t="s">
        <v>102</v>
      </c>
      <c r="E6" s="62" t="s">
        <v>144</v>
      </c>
      <c r="F6" s="62" t="s">
        <v>102</v>
      </c>
      <c r="G6" s="62" t="s">
        <v>144</v>
      </c>
      <c r="H6" s="62"/>
      <c r="I6" s="29"/>
      <c r="J6" s="29"/>
    </row>
    <row r="7" spans="1:48" ht="10.5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0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18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L54" s="216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5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215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8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215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8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215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8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 ht="10.5">
      <c r="C65" s="64">
        <v>44286</v>
      </c>
      <c r="D65" s="29"/>
      <c r="E65" s="29"/>
      <c r="F65" s="63">
        <v>117.9</v>
      </c>
      <c r="G65" s="117">
        <f t="shared" si="1"/>
        <v>1.1149228130360234E-2</v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 ht="10.5">
      <c r="C66" s="64">
        <v>44377</v>
      </c>
      <c r="D66" s="29"/>
      <c r="E66" s="29"/>
      <c r="F66" s="63">
        <v>118.8</v>
      </c>
      <c r="G66" s="117">
        <f t="shared" si="1"/>
        <v>3.8461538461538325E-2</v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 ht="10.5">
      <c r="C67" s="64">
        <v>44469</v>
      </c>
      <c r="D67" s="29"/>
      <c r="E67" s="29"/>
      <c r="F67" s="63">
        <v>119.7</v>
      </c>
      <c r="G67" s="117">
        <f t="shared" si="1"/>
        <v>3.0120481927710774E-2</v>
      </c>
      <c r="H67" s="188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 ht="10.5">
      <c r="C68" s="64">
        <v>44561</v>
      </c>
      <c r="D68" s="29"/>
      <c r="E68" s="29"/>
      <c r="F68" s="63">
        <v>121.3</v>
      </c>
      <c r="G68" s="117">
        <f t="shared" si="1"/>
        <v>3.4982935153583528E-2</v>
      </c>
      <c r="H68" s="188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 ht="10.5">
      <c r="C69" s="64">
        <v>44651</v>
      </c>
      <c r="D69" s="29"/>
      <c r="E69" s="29"/>
      <c r="F69" s="63">
        <v>123.9</v>
      </c>
      <c r="G69" s="117">
        <f t="shared" si="1"/>
        <v>5.0890585241730291E-2</v>
      </c>
      <c r="H69" s="215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 ht="10.5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8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 ht="10.5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215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 ht="10.5">
      <c r="C72" s="64">
        <v>44926</v>
      </c>
      <c r="D72" s="29"/>
      <c r="E72" s="29"/>
      <c r="F72" s="63">
        <v>131.00400000000002</v>
      </c>
      <c r="G72" s="117">
        <f t="shared" si="1"/>
        <v>8.0000000000000293E-2</v>
      </c>
      <c r="H72" s="188" t="s">
        <v>205</v>
      </c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 ht="10.5">
      <c r="C73" s="64">
        <v>45016</v>
      </c>
      <c r="D73" s="29"/>
      <c r="E73" s="29"/>
      <c r="F73" s="63">
        <v>132.52415000000002</v>
      </c>
      <c r="G73" s="117">
        <f t="shared" si="1"/>
        <v>6.9605730427764412E-2</v>
      </c>
      <c r="H73" s="188" t="s">
        <v>197</v>
      </c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 ht="10.5">
      <c r="C74" s="64">
        <v>45107</v>
      </c>
      <c r="D74" s="29"/>
      <c r="E74" s="29"/>
      <c r="F74" s="63">
        <v>134.04429999999999</v>
      </c>
      <c r="G74" s="117">
        <f t="shared" si="1"/>
        <v>6.2999999999999945E-2</v>
      </c>
      <c r="H74" s="188" t="s">
        <v>205</v>
      </c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 ht="10.5">
      <c r="C75" s="64">
        <v>45199</v>
      </c>
      <c r="D75" s="29"/>
      <c r="E75" s="29"/>
      <c r="F75" s="63">
        <v>135.602744</v>
      </c>
      <c r="G75" s="117">
        <f t="shared" si="1"/>
        <v>5.6096137071651064E-2</v>
      </c>
      <c r="H75" s="188" t="s">
        <v>197</v>
      </c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 ht="10.5">
      <c r="C76" s="64">
        <v>45291</v>
      </c>
      <c r="D76" s="29"/>
      <c r="E76" s="29"/>
      <c r="F76" s="63">
        <v>137.16118800000001</v>
      </c>
      <c r="G76" s="117">
        <f t="shared" si="1"/>
        <v>4.6999999999999931E-2</v>
      </c>
      <c r="H76" s="188" t="s">
        <v>205</v>
      </c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 ht="10.5">
      <c r="C77" s="64">
        <v>45382</v>
      </c>
      <c r="D77" s="29"/>
      <c r="E77" s="29"/>
      <c r="F77" s="63">
        <v>138.41767429999999</v>
      </c>
      <c r="G77" s="117">
        <f t="shared" si="1"/>
        <v>4.4471323151289432E-2</v>
      </c>
      <c r="H77" s="188" t="s">
        <v>197</v>
      </c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 ht="10.5">
      <c r="C78" s="64">
        <v>45473</v>
      </c>
      <c r="D78" s="29"/>
      <c r="E78" s="29"/>
      <c r="F78" s="63">
        <v>139.67416059999999</v>
      </c>
      <c r="G78" s="117">
        <f t="shared" si="1"/>
        <v>4.2000000000000037E-2</v>
      </c>
      <c r="H78" s="188" t="s">
        <v>205</v>
      </c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 ht="10.5">
      <c r="C79" s="64">
        <v>45565</v>
      </c>
      <c r="D79" s="29"/>
      <c r="E79" s="29"/>
      <c r="F79" s="63">
        <v>140.61225330799999</v>
      </c>
      <c r="G79" s="117">
        <f t="shared" si="1"/>
        <v>3.6942536413569815E-2</v>
      </c>
      <c r="H79" s="188" t="s">
        <v>197</v>
      </c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 ht="10.5">
      <c r="C80" s="64">
        <v>45657</v>
      </c>
      <c r="D80" s="29"/>
      <c r="E80" s="29"/>
      <c r="F80" s="63">
        <v>141.55034601600002</v>
      </c>
      <c r="G80" s="117">
        <f t="shared" si="1"/>
        <v>3.2000000000000028E-2</v>
      </c>
      <c r="H80" s="188" t="s">
        <v>205</v>
      </c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 ht="10.5">
      <c r="C81" s="64"/>
      <c r="D81" s="29"/>
      <c r="E81" s="29"/>
      <c r="F81" s="117"/>
      <c r="G81" s="117"/>
      <c r="H81" s="188"/>
      <c r="I81" s="29"/>
      <c r="J81" s="29"/>
      <c r="T81" s="132"/>
    </row>
    <row r="82" spans="1:48" s="103" customFormat="1" ht="13">
      <c r="A82" s="94"/>
      <c r="B82" s="95" t="s">
        <v>21</v>
      </c>
      <c r="C82" s="94"/>
      <c r="D82" s="94"/>
      <c r="E82" s="94"/>
      <c r="F82" s="94"/>
      <c r="G82" s="96"/>
      <c r="H82" s="96"/>
      <c r="I82" s="96"/>
      <c r="J82" s="96"/>
      <c r="K82" s="97"/>
      <c r="L82" s="98"/>
      <c r="M82" s="97"/>
      <c r="N82" s="98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9"/>
      <c r="Z82" s="99"/>
      <c r="AA82" s="99"/>
      <c r="AB82" s="99"/>
      <c r="AC82" s="100"/>
      <c r="AD82" s="101"/>
      <c r="AE82" s="101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</row>
    <row r="83" spans="1:48" ht="10">
      <c r="H83" s="32"/>
      <c r="I83" s="32"/>
    </row>
    <row r="84" spans="1:48" ht="10">
      <c r="H84" s="32"/>
      <c r="I84" s="32"/>
    </row>
    <row r="85" spans="1:48" s="30" customFormat="1" ht="10">
      <c r="A85" s="29"/>
      <c r="B85" s="29"/>
      <c r="C85" s="29"/>
      <c r="H85" s="32"/>
      <c r="I85" s="32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1:48" s="30" customFormat="1" ht="10">
      <c r="A86" s="29"/>
      <c r="B86" s="29"/>
      <c r="C86" s="29"/>
      <c r="H86" s="32"/>
      <c r="I86" s="32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</row>
    <row r="87" spans="1:48" s="30" customFormat="1" ht="10">
      <c r="A87" s="29"/>
      <c r="B87" s="29"/>
      <c r="C87" s="29"/>
      <c r="H87" s="32"/>
      <c r="I87" s="32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</row>
    <row r="88" spans="1:48" s="30" customFormat="1" ht="10">
      <c r="A88" s="29"/>
      <c r="B88" s="29"/>
      <c r="C88" s="29"/>
      <c r="H88" s="32"/>
      <c r="I88" s="32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</row>
    <row r="89" spans="1:48" s="30" customFormat="1" ht="10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</sheetData>
  <conditionalFormatting sqref="X14:X50 X63:X81">
    <cfRule type="cellIs" dxfId="202" priority="11" operator="equal">
      <formula>"Check"</formula>
    </cfRule>
    <cfRule type="cellIs" dxfId="201" priority="12" operator="equal">
      <formula>"Ok"</formula>
    </cfRule>
  </conditionalFormatting>
  <conditionalFormatting sqref="W1">
    <cfRule type="cellIs" dxfId="200" priority="7" operator="equal">
      <formula>"Check"</formula>
    </cfRule>
    <cfRule type="cellIs" dxfId="199" priority="8" operator="equal">
      <formula>"Ok"</formula>
    </cfRule>
  </conditionalFormatting>
  <conditionalFormatting sqref="T1">
    <cfRule type="cellIs" dxfId="198" priority="5" operator="equal">
      <formula>"Check"</formula>
    </cfRule>
    <cfRule type="cellIs" dxfId="197" priority="6" operator="equal">
      <formula>"Ok"</formula>
    </cfRule>
  </conditionalFormatting>
  <conditionalFormatting sqref="X51:X57">
    <cfRule type="cellIs" dxfId="196" priority="3" operator="equal">
      <formula>"Check"</formula>
    </cfRule>
    <cfRule type="cellIs" dxfId="195" priority="4" operator="equal">
      <formula>"Ok"</formula>
    </cfRule>
  </conditionalFormatting>
  <conditionalFormatting sqref="X58:X62 T9:T81">
    <cfRule type="cellIs" dxfId="194" priority="1" operator="equal">
      <formula>"Check"</formula>
    </cfRule>
    <cfRule type="cellIs" dxfId="193" priority="2" operator="equal">
      <formula>"Ok"</formula>
    </cfRule>
  </conditionalFormatting>
  <dataValidations count="1">
    <dataValidation type="list" allowBlank="1" showInputMessage="1" showErrorMessage="1" sqref="J12:J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/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11" width="10.77734375" style="103" customWidth="1"/>
    <col min="12" max="12" width="9.6640625" style="103" bestFit="1" customWidth="1"/>
    <col min="13" max="13" width="13.109375" style="103" bestFit="1" customWidth="1"/>
    <col min="14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23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130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43983</v>
      </c>
      <c r="K10" s="159">
        <f t="shared" si="0"/>
        <v>44348</v>
      </c>
      <c r="L10" s="159">
        <f t="shared" si="0"/>
        <v>44713</v>
      </c>
      <c r="M10" s="159">
        <f t="shared" si="0"/>
        <v>45078</v>
      </c>
      <c r="N10" s="159">
        <f t="shared" si="0"/>
        <v>45444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1" t="s">
        <v>15</v>
      </c>
      <c r="F13" s="171">
        <v>43617</v>
      </c>
      <c r="G13" s="32"/>
      <c r="H13" s="32"/>
      <c r="I13" s="30"/>
      <c r="J13" s="164">
        <v>90.735251806335029</v>
      </c>
      <c r="K13" s="164">
        <v>90.318148289402885</v>
      </c>
      <c r="L13" s="164">
        <v>89.452514615635749</v>
      </c>
      <c r="M13" s="164">
        <v>88.58656569446056</v>
      </c>
      <c r="N13" s="164">
        <v>87.733734262187028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9" t="s">
        <v>77</v>
      </c>
      <c r="D15" s="140" t="str">
        <f>D13</f>
        <v>AER</v>
      </c>
      <c r="E15" s="203" t="str">
        <f>E13</f>
        <v>$millions</v>
      </c>
      <c r="F15" s="203">
        <f>F13</f>
        <v>43617</v>
      </c>
      <c r="G15" s="32"/>
      <c r="H15" s="32"/>
      <c r="I15" s="30"/>
      <c r="J15" s="129">
        <f>J13</f>
        <v>90.735251806335029</v>
      </c>
      <c r="K15" s="129">
        <f t="shared" ref="K15:S15" si="1">K13</f>
        <v>90.318148289402885</v>
      </c>
      <c r="L15" s="129">
        <f t="shared" si="1"/>
        <v>89.452514615635749</v>
      </c>
      <c r="M15" s="129">
        <f t="shared" si="1"/>
        <v>88.58656569446056</v>
      </c>
      <c r="N15" s="129">
        <f t="shared" si="1"/>
        <v>87.733734262187028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171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43617</v>
      </c>
      <c r="G19" s="32"/>
      <c r="H19" s="32"/>
      <c r="I19" s="30"/>
      <c r="J19" s="164">
        <v>-0.87125725660506126</v>
      </c>
      <c r="K19" s="164">
        <v>-0.90069860106457922</v>
      </c>
      <c r="L19" s="164">
        <v>-0.92435604763870849</v>
      </c>
      <c r="M19" s="164">
        <v>-0.93872366592447565</v>
      </c>
      <c r="N19" s="164">
        <v>-0.9572578644812415</v>
      </c>
      <c r="O19" s="152"/>
      <c r="P19" s="152"/>
      <c r="Q19" s="152"/>
      <c r="R19" s="152"/>
      <c r="S19" s="152"/>
      <c r="T19" s="152"/>
      <c r="U19" s="29"/>
      <c r="V19" s="29"/>
      <c r="W19" s="29"/>
    </row>
    <row r="20" spans="1:23">
      <c r="A20" s="29"/>
      <c r="B20" s="29"/>
      <c r="C20" s="61" t="s">
        <v>172</v>
      </c>
      <c r="D20" s="30" t="s">
        <v>73</v>
      </c>
      <c r="E20" s="30" t="str">
        <f t="shared" ref="E20:E27" si="3">$E$15</f>
        <v>$millions</v>
      </c>
      <c r="F20" s="161">
        <f t="shared" si="2"/>
        <v>43617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152"/>
      <c r="U20" s="29"/>
      <c r="V20" s="29"/>
      <c r="W20" s="29"/>
    </row>
    <row r="21" spans="1:23">
      <c r="A21" s="29"/>
      <c r="B21" s="29"/>
      <c r="C21" s="61" t="s">
        <v>202</v>
      </c>
      <c r="D21" s="30" t="s">
        <v>73</v>
      </c>
      <c r="E21" s="30" t="str">
        <f t="shared" si="3"/>
        <v>$millions</v>
      </c>
      <c r="F21" s="161">
        <f t="shared" si="2"/>
        <v>43617</v>
      </c>
      <c r="G21" s="32"/>
      <c r="H21" s="32"/>
      <c r="I21" s="30"/>
      <c r="J21" s="164">
        <v>-3.1400102372787031</v>
      </c>
      <c r="K21" s="164">
        <v>-3.1400102372787031</v>
      </c>
      <c r="L21" s="164">
        <v>-3.1400102372787031</v>
      </c>
      <c r="M21" s="164">
        <v>-3.1400102372787031</v>
      </c>
      <c r="N21" s="164">
        <v>-3.1400102372787031</v>
      </c>
      <c r="O21" s="152"/>
      <c r="P21" s="152"/>
      <c r="Q21" s="152"/>
      <c r="R21" s="152"/>
      <c r="S21" s="152"/>
      <c r="T21" s="152"/>
      <c r="U21" s="29"/>
      <c r="V21" s="29"/>
      <c r="W21" s="29"/>
    </row>
    <row r="22" spans="1:23">
      <c r="A22" s="29"/>
      <c r="B22" s="29"/>
      <c r="C22" s="61" t="s">
        <v>203</v>
      </c>
      <c r="D22" s="30" t="s">
        <v>73</v>
      </c>
      <c r="E22" s="30" t="str">
        <f t="shared" si="3"/>
        <v>$millions</v>
      </c>
      <c r="F22" s="161">
        <f t="shared" si="2"/>
        <v>43617</v>
      </c>
      <c r="G22" s="32"/>
      <c r="H22" s="32"/>
      <c r="I22" s="30"/>
      <c r="J22" s="164">
        <v>-3.9896079011741969</v>
      </c>
      <c r="K22" s="164">
        <v>-3.9896079011741969</v>
      </c>
      <c r="L22" s="164">
        <v>-3.9896079011741969</v>
      </c>
      <c r="M22" s="164">
        <v>-3.9896079011741969</v>
      </c>
      <c r="N22" s="164">
        <v>-3.9896079011741969</v>
      </c>
      <c r="O22" s="152"/>
      <c r="P22" s="152"/>
      <c r="Q22" s="152"/>
      <c r="R22" s="152"/>
      <c r="S22" s="152"/>
      <c r="T22" s="152"/>
      <c r="U22" s="29"/>
      <c r="V22" s="29"/>
      <c r="W22" s="29"/>
    </row>
    <row r="23" spans="1:23">
      <c r="A23" s="29"/>
      <c r="B23" s="29"/>
      <c r="C23" s="61" t="s">
        <v>204</v>
      </c>
      <c r="D23" s="30" t="s">
        <v>73</v>
      </c>
      <c r="E23" s="30" t="str">
        <f t="shared" si="3"/>
        <v>$millions</v>
      </c>
      <c r="F23" s="161">
        <f t="shared" si="2"/>
        <v>43617</v>
      </c>
      <c r="G23" s="32"/>
      <c r="H23" s="32"/>
      <c r="I23" s="30"/>
      <c r="J23" s="164">
        <v>-0.66659682594259917</v>
      </c>
      <c r="K23" s="164">
        <v>-0.66659682594259917</v>
      </c>
      <c r="L23" s="164">
        <v>-0.66659682594259917</v>
      </c>
      <c r="M23" s="164">
        <v>-0.66659682594259917</v>
      </c>
      <c r="N23" s="164">
        <v>-0.66659682594259917</v>
      </c>
      <c r="O23" s="152"/>
      <c r="P23" s="152"/>
      <c r="Q23" s="152"/>
      <c r="R23" s="152"/>
      <c r="S23" s="152"/>
      <c r="T23" s="152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43617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43617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43617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43617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9" t="s">
        <v>168</v>
      </c>
      <c r="D29" s="140" t="s">
        <v>30</v>
      </c>
      <c r="E29" s="130" t="s">
        <v>15</v>
      </c>
      <c r="F29" s="162">
        <f>F27</f>
        <v>43617</v>
      </c>
      <c r="G29" s="32"/>
      <c r="H29" s="32"/>
      <c r="I29" s="30"/>
      <c r="J29" s="129">
        <f>SUM(J19:J27)</f>
        <v>-8.6674722210005601</v>
      </c>
      <c r="K29" s="129">
        <f t="shared" ref="K29:S29" si="4">SUM(K19:K27)</f>
        <v>-8.6969135654600791</v>
      </c>
      <c r="L29" s="129">
        <f t="shared" si="4"/>
        <v>-8.7205710120342079</v>
      </c>
      <c r="M29" s="129">
        <f t="shared" si="4"/>
        <v>-8.7349386303199754</v>
      </c>
      <c r="N29" s="129">
        <f t="shared" si="4"/>
        <v>-8.7534728288767401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43983</v>
      </c>
      <c r="K34" s="159">
        <f t="shared" si="5"/>
        <v>44348</v>
      </c>
      <c r="L34" s="159">
        <f t="shared" si="5"/>
        <v>44713</v>
      </c>
      <c r="M34" s="159">
        <f t="shared" si="5"/>
        <v>45078</v>
      </c>
      <c r="N34" s="159">
        <f t="shared" si="5"/>
        <v>45444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82.673057705970109</v>
      </c>
      <c r="K37" s="164">
        <v>89.966613204571317</v>
      </c>
      <c r="L37" s="164">
        <v>91.390233242584898</v>
      </c>
      <c r="M37" s="164"/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/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/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118</v>
      </c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10.5">
      <c r="A44" s="29"/>
      <c r="B44" s="29"/>
      <c r="C44" s="139" t="s">
        <v>77</v>
      </c>
      <c r="D44" s="140" t="s">
        <v>30</v>
      </c>
      <c r="E44" s="190" t="str">
        <f>$E$53</f>
        <v>$millions</v>
      </c>
      <c r="F44" s="191" t="str">
        <f t="shared" ref="F44" si="8">$F$53</f>
        <v>nominal</v>
      </c>
      <c r="G44" s="32"/>
      <c r="H44" s="32"/>
      <c r="I44" s="30"/>
      <c r="J44" s="129">
        <f>SUM(J37:J42)</f>
        <v>82.673057705970109</v>
      </c>
      <c r="K44" s="129">
        <f t="shared" ref="K44:S44" si="9">SUM(K37:K42)</f>
        <v>89.966613204571317</v>
      </c>
      <c r="L44" s="129">
        <f>SUM(L37:L42)</f>
        <v>91.390233242584898</v>
      </c>
      <c r="M44" s="129">
        <f t="shared" si="9"/>
        <v>0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184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226">
        <v>-1.07306868</v>
      </c>
      <c r="K49" s="226">
        <v>-1.4656899355084048</v>
      </c>
      <c r="L49" s="226">
        <v>-3.0835789560805935</v>
      </c>
      <c r="M49" s="226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185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226">
        <v>-4.3514939999999998</v>
      </c>
      <c r="K50" s="226">
        <v>-4.3855194500000003</v>
      </c>
      <c r="L50" s="226">
        <v>-4.4644896599999999</v>
      </c>
      <c r="M50" s="226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186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226">
        <v>-0.71924399999999999</v>
      </c>
      <c r="K51" s="226">
        <v>-0.69060036000000002</v>
      </c>
      <c r="L51" s="226">
        <v>-0.70846913</v>
      </c>
      <c r="M51" s="226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10.5">
      <c r="A53" s="29"/>
      <c r="B53" s="29"/>
      <c r="C53" s="139" t="s">
        <v>168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6">
        <f>SUM(J48:J51)</f>
        <v>-6.1438066799999991</v>
      </c>
      <c r="K53" s="186">
        <f t="shared" ref="K53:S53" si="11">SUM(K48:K51)</f>
        <v>-6.541809745508405</v>
      </c>
      <c r="L53" s="186">
        <f t="shared" si="11"/>
        <v>-8.2565377460805927</v>
      </c>
      <c r="M53" s="186">
        <f t="shared" si="11"/>
        <v>0</v>
      </c>
      <c r="N53" s="186">
        <f t="shared" si="11"/>
        <v>0</v>
      </c>
      <c r="O53" s="186">
        <f t="shared" si="11"/>
        <v>0</v>
      </c>
      <c r="P53" s="186">
        <f t="shared" si="11"/>
        <v>0</v>
      </c>
      <c r="Q53" s="186">
        <f t="shared" si="11"/>
        <v>0</v>
      </c>
      <c r="R53" s="186">
        <f t="shared" si="11"/>
        <v>0</v>
      </c>
      <c r="S53" s="186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3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45444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 ht="10.5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 ht="10.5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1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 ht="10.5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1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 ht="10.5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1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ht="10.5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1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 ht="10.5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1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 ht="10.5">
      <c r="A64" s="197"/>
      <c r="B64" s="197"/>
      <c r="C64" s="198"/>
      <c r="D64" s="105"/>
      <c r="E64" s="105"/>
      <c r="F64" s="199"/>
      <c r="G64" s="200"/>
      <c r="H64" s="200"/>
      <c r="I64" s="200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04"/>
      <c r="U64" s="165"/>
      <c r="V64" s="165"/>
      <c r="W64" s="197"/>
    </row>
    <row r="65" spans="1:23" ht="10.5">
      <c r="A65" s="29"/>
      <c r="B65" s="29"/>
      <c r="C65" s="61" t="s">
        <v>169</v>
      </c>
      <c r="D65" s="30" t="s">
        <v>34</v>
      </c>
      <c r="E65" s="30" t="str">
        <f t="shared" si="13"/>
        <v>$millions</v>
      </c>
      <c r="F65" s="171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 ht="10.5">
      <c r="A66" s="197"/>
      <c r="B66" s="197"/>
      <c r="C66" s="198"/>
      <c r="D66" s="105"/>
      <c r="E66" s="105"/>
      <c r="F66" s="199"/>
      <c r="G66" s="200"/>
      <c r="H66" s="200"/>
      <c r="I66" s="200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04"/>
      <c r="U66" s="165"/>
      <c r="V66" s="165"/>
      <c r="W66" s="197"/>
    </row>
    <row r="67" spans="1:23" ht="10.5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3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2" priority="34" operator="equal">
      <formula>"Check"</formula>
    </cfRule>
    <cfRule type="cellIs" dxfId="191" priority="35" operator="equal">
      <formula>"Ok"</formula>
    </cfRule>
  </conditionalFormatting>
  <conditionalFormatting sqref="W53">
    <cfRule type="cellIs" dxfId="190" priority="32" operator="equal">
      <formula>"Check"</formula>
    </cfRule>
    <cfRule type="cellIs" dxfId="189" priority="33" operator="equal">
      <formula>"Ok"</formula>
    </cfRule>
  </conditionalFormatting>
  <conditionalFormatting sqref="W15">
    <cfRule type="cellIs" dxfId="188" priority="30" operator="equal">
      <formula>"Check"</formula>
    </cfRule>
    <cfRule type="cellIs" dxfId="187" priority="31" operator="equal">
      <formula>"Ok"</formula>
    </cfRule>
  </conditionalFormatting>
  <conditionalFormatting sqref="V1">
    <cfRule type="cellIs" dxfId="186" priority="28" operator="equal">
      <formula>"Check"</formula>
    </cfRule>
    <cfRule type="cellIs" dxfId="185" priority="29" operator="equal">
      <formula>"Ok"</formula>
    </cfRule>
  </conditionalFormatting>
  <conditionalFormatting sqref="S1">
    <cfRule type="cellIs" dxfId="184" priority="26" operator="equal">
      <formula>"Check"</formula>
    </cfRule>
    <cfRule type="cellIs" dxfId="183" priority="27" operator="equal">
      <formula>"Ok"</formula>
    </cfRule>
  </conditionalFormatting>
  <conditionalFormatting sqref="J15:S15">
    <cfRule type="cellIs" dxfId="182" priority="25" operator="equal">
      <formula>0</formula>
    </cfRule>
  </conditionalFormatting>
  <conditionalFormatting sqref="J53:S53">
    <cfRule type="cellIs" dxfId="181" priority="24" operator="equal">
      <formula>0</formula>
    </cfRule>
  </conditionalFormatting>
  <conditionalFormatting sqref="W45:W47">
    <cfRule type="cellIs" dxfId="180" priority="22" operator="equal">
      <formula>"Check"</formula>
    </cfRule>
    <cfRule type="cellIs" dxfId="179" priority="23" operator="equal">
      <formula>"Ok"</formula>
    </cfRule>
  </conditionalFormatting>
  <conditionalFormatting sqref="J38:S42 N37:S37 J48:S48 J33:S33 L49:S51">
    <cfRule type="expression" dxfId="178" priority="20">
      <formula>J$34=J$4</formula>
    </cfRule>
  </conditionalFormatting>
  <conditionalFormatting sqref="L13:S13 J24:S27 L19:T19 J20:T23">
    <cfRule type="expression" dxfId="177" priority="19">
      <formula>J$10=J$4</formula>
    </cfRule>
  </conditionalFormatting>
  <conditionalFormatting sqref="K37:M37">
    <cfRule type="expression" dxfId="176" priority="16">
      <formula>K$10=K$4</formula>
    </cfRule>
  </conditionalFormatting>
  <conditionalFormatting sqref="W44">
    <cfRule type="cellIs" dxfId="175" priority="14" operator="equal">
      <formula>"Check"</formula>
    </cfRule>
    <cfRule type="cellIs" dxfId="174" priority="15" operator="equal">
      <formula>"Ok"</formula>
    </cfRule>
  </conditionalFormatting>
  <conditionalFormatting sqref="J44:S44">
    <cfRule type="cellIs" dxfId="173" priority="12" operator="equal">
      <formula>0</formula>
    </cfRule>
  </conditionalFormatting>
  <conditionalFormatting sqref="J59:S63 J65:S65 J67:S67">
    <cfRule type="expression" dxfId="172" priority="11">
      <formula>J$57=J$4</formula>
    </cfRule>
  </conditionalFormatting>
  <conditionalFormatting sqref="W29">
    <cfRule type="cellIs" dxfId="171" priority="7" operator="equal">
      <formula>"Check"</formula>
    </cfRule>
    <cfRule type="cellIs" dxfId="170" priority="8" operator="equal">
      <formula>"Ok"</formula>
    </cfRule>
  </conditionalFormatting>
  <conditionalFormatting sqref="J29:S29">
    <cfRule type="cellIs" dxfId="169" priority="6" operator="equal">
      <formula>0</formula>
    </cfRule>
  </conditionalFormatting>
  <conditionalFormatting sqref="J13:K13">
    <cfRule type="expression" dxfId="168" priority="5">
      <formula>J$10=J$4</formula>
    </cfRule>
  </conditionalFormatting>
  <conditionalFormatting sqref="J19:K19">
    <cfRule type="expression" dxfId="167" priority="4">
      <formula>J$10=J$4</formula>
    </cfRule>
  </conditionalFormatting>
  <conditionalFormatting sqref="J37">
    <cfRule type="expression" dxfId="166" priority="3">
      <formula>J$10=J$4</formula>
    </cfRule>
  </conditionalFormatting>
  <conditionalFormatting sqref="J49:K51">
    <cfRule type="expression" dxfId="165" priority="1">
      <formula>J$34=J$4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08"/>
  <sheetViews>
    <sheetView workbookViewId="0"/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2"/>
      <c r="E3" s="182"/>
      <c r="F3" s="182"/>
      <c r="G3" s="182"/>
      <c r="H3" s="182"/>
      <c r="I3" s="182"/>
      <c r="J3" s="158" t="s">
        <v>130</v>
      </c>
      <c r="K3" s="228"/>
      <c r="L3" s="228"/>
      <c r="M3" s="228"/>
      <c r="N3" s="182"/>
      <c r="O3" s="228"/>
      <c r="P3" s="228"/>
      <c r="Q3" s="228"/>
      <c r="R3" s="228"/>
      <c r="S3" s="228"/>
      <c r="T3" s="228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43617</v>
      </c>
      <c r="K4" s="156">
        <f>DATE(PPFirstYear,MONTH('Input|General'!$G$9),1)</f>
        <v>43983</v>
      </c>
      <c r="L4" s="156">
        <f>DATE(PPFirstYear+1,MONTH('Input|General'!$G$9),1)</f>
        <v>44348</v>
      </c>
      <c r="M4" s="156">
        <f>DATE(PPFirstYear+2,MONTH('Input|General'!$G$9),1)</f>
        <v>44713</v>
      </c>
      <c r="N4" s="156">
        <f>DATE(PPFirstYear+3,MONTH('Input|General'!$G$9),1)</f>
        <v>45078</v>
      </c>
      <c r="O4" s="156">
        <f>DATE(PPFirstYear+4,MONTH('Input|General'!$G$9),1)</f>
        <v>45444</v>
      </c>
      <c r="P4" s="156">
        <f>DATE(PPFirstYear+5,MONTH('Input|General'!$G$9),1)</f>
        <v>45809</v>
      </c>
      <c r="Q4" s="156">
        <f>DATE(PPFirstYear+6,MONTH('Input|General'!$G$9),1)</f>
        <v>46174</v>
      </c>
      <c r="R4" s="156">
        <f>DATE(PPFirstYear+7,MONTH('Input|General'!$G$9),1)</f>
        <v>46539</v>
      </c>
      <c r="S4" s="156">
        <f>DATE(PPFirstYear+8,MONTH('Input|General'!$G$9),1)</f>
        <v>46905</v>
      </c>
      <c r="T4" s="156">
        <f>DATE(PPFirstYear+9,MONTH('Input|General'!$G$9),1)</f>
        <v>47270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43617</v>
      </c>
      <c r="K10" s="159">
        <f t="shared" si="0"/>
        <v>43983</v>
      </c>
      <c r="L10" s="159">
        <f t="shared" si="0"/>
        <v>44348</v>
      </c>
      <c r="M10" s="159">
        <f t="shared" si="0"/>
        <v>44713</v>
      </c>
      <c r="N10" s="159">
        <f t="shared" si="0"/>
        <v>45078</v>
      </c>
      <c r="O10" s="159">
        <f t="shared" si="0"/>
        <v>45444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IF(J10=J4,LOOKUP(EOMONTH(J4,0),'Input|Inflation'!$C$9:$C$103,'Input|Inflation'!$G$9:$G$103),"")</f>
        <v>1.5929203539823078E-2</v>
      </c>
      <c r="K12" s="143">
        <f>IF(K10=K4,LOOKUP(EOMONTH(K4,0),'Input|Inflation'!$C$9:$C$103,'Input|Inflation'!$G$9:$G$103),"")</f>
        <v>-3.4843205574912606E-3</v>
      </c>
      <c r="L12" s="143">
        <f>IF(L10=L4,LOOKUP(EOMONTH(L4,0),'Input|Inflation'!$C$9:$C$103,'Input|Inflation'!$G$9:$G$103),"")</f>
        <v>3.8461538461538325E-2</v>
      </c>
      <c r="M12" s="143">
        <f>IF(M10=M4,LOOKUP(EOMONTH(M4,0),'Input|Inflation'!$C$9:$C$103,'Input|Inflation'!$G$9:$G$103),"")</f>
        <v>6.1447811447811418E-2</v>
      </c>
      <c r="N12" s="143">
        <f>IF(N10=N4,LOOKUP(EOMONTH(N4,0),'Input|Inflation'!$C$9:$C$103,'Input|Inflation'!$G$9:$G$103),"")</f>
        <v>6.2999999999999945E-2</v>
      </c>
      <c r="O12" s="143">
        <f>IF(O10=O4,LOOKUP(EOMONTH(O4,0),'Input|Inflation'!$C$9:$C$103,'Input|Inflation'!$G$9:$G$103),"")</f>
        <v>4.2000000000000037E-2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43617</v>
      </c>
      <c r="K14" s="159">
        <f t="shared" si="1"/>
        <v>43983</v>
      </c>
      <c r="L14" s="159">
        <f t="shared" si="1"/>
        <v>44348</v>
      </c>
      <c r="M14" s="159">
        <f t="shared" si="1"/>
        <v>44713</v>
      </c>
      <c r="N14" s="159">
        <f t="shared" si="1"/>
        <v>45078</v>
      </c>
      <c r="O14" s="159">
        <f t="shared" si="1"/>
        <v>45444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43617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0.99651567944250874</v>
      </c>
      <c r="L16" s="22">
        <f t="shared" si="3"/>
        <v>1.0348432055749128</v>
      </c>
      <c r="M16" s="22">
        <f t="shared" si="3"/>
        <v>1.0984320557491287</v>
      </c>
      <c r="N16" s="22">
        <f t="shared" si="3"/>
        <v>1.1676332752613239</v>
      </c>
      <c r="O16" s="22">
        <f t="shared" ref="O16" si="4">IF(AND($C16&gt;O$14,ISNONTEXT($C16)),P16/(1+O$12),IF(AND($C16=O$14,O$14=O$4),1,IF(AND($C16&lt;O$14,O$14=O$4),N16*(1+O$12),0)))</f>
        <v>1.2166738728222994</v>
      </c>
      <c r="P16" s="207"/>
      <c r="Q16" s="207"/>
      <c r="R16" s="207"/>
      <c r="S16" s="207"/>
      <c r="T16" s="207"/>
    </row>
    <row r="17" spans="1:50" ht="11.25" customHeight="1" outlineLevel="1">
      <c r="C17" s="166">
        <v>43983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1.0034965034965035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1.0384615384615383</v>
      </c>
      <c r="M17" s="22">
        <f t="shared" si="6"/>
        <v>1.1022727272727271</v>
      </c>
      <c r="N17" s="22">
        <f t="shared" si="6"/>
        <v>1.1717159090909088</v>
      </c>
      <c r="O17" s="22">
        <f t="shared" ref="O17" si="7">IF(AND($C17&gt;O$14,ISNONTEXT($C17)),P17/(1+O$12),IF(AND($C17=O$14,O$14=O$4),1,IF(AND($C17&lt;O$14,O$14=O$4),N17*(1+O$12),0)))</f>
        <v>1.2209279772727271</v>
      </c>
      <c r="P17" s="207"/>
      <c r="Q17" s="207"/>
      <c r="R17" s="207"/>
      <c r="S17" s="207"/>
      <c r="T17" s="207"/>
    </row>
    <row r="18" spans="1:50" ht="11.25" customHeight="1" outlineLevel="1">
      <c r="C18" s="166">
        <v>44348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0.96632996632996648</v>
      </c>
      <c r="K18" s="22">
        <f t="shared" si="8"/>
        <v>0.96296296296296313</v>
      </c>
      <c r="L18" s="22">
        <f t="shared" si="8"/>
        <v>1</v>
      </c>
      <c r="M18" s="22">
        <f t="shared" si="8"/>
        <v>1.0614478114478114</v>
      </c>
      <c r="N18" s="22">
        <f t="shared" si="8"/>
        <v>1.1283190235690235</v>
      </c>
      <c r="O18" s="22">
        <f t="shared" ref="O18" si="9">IF(AND($C18&gt;O$14,ISNONTEXT($C18)),P18/(1+O$12),IF(AND($C18=O$14,O$14=O$4),1,IF(AND($C18&lt;O$14,O$14=O$4),N18*(1+O$12),0)))</f>
        <v>1.1757084225589225</v>
      </c>
      <c r="P18" s="207"/>
      <c r="Q18" s="207"/>
      <c r="R18" s="207"/>
      <c r="S18" s="207"/>
      <c r="T18" s="207"/>
    </row>
    <row r="19" spans="1:50" ht="11.25" customHeight="1" outlineLevel="1">
      <c r="C19" s="166">
        <v>44713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0.91038858049167337</v>
      </c>
      <c r="K19" s="22">
        <f t="shared" si="10"/>
        <v>0.90721649484536093</v>
      </c>
      <c r="L19" s="22">
        <f t="shared" si="10"/>
        <v>0.94210943695479776</v>
      </c>
      <c r="M19" s="22">
        <f t="shared" si="10"/>
        <v>1</v>
      </c>
      <c r="N19" s="22">
        <f t="shared" si="10"/>
        <v>1.0629999999999999</v>
      </c>
      <c r="O19" s="22">
        <f t="shared" ref="O19" si="11">IF(AND($C19&gt;O$14,ISNONTEXT($C19)),P19/(1+O$12),IF(AND($C19=O$14,O$14=O$4),1,IF(AND($C19&lt;O$14,O$14=O$4),N19*(1+O$12),0)))</f>
        <v>1.1076459999999999</v>
      </c>
      <c r="P19" s="207"/>
      <c r="Q19" s="207"/>
      <c r="R19" s="207"/>
      <c r="S19" s="207"/>
      <c r="T19" s="207"/>
    </row>
    <row r="20" spans="1:50" ht="11.25" customHeight="1" outlineLevel="1">
      <c r="C20" s="166">
        <v>45078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0.85643328362339932</v>
      </c>
      <c r="K20" s="22">
        <f t="shared" ref="K20:N20" si="12">IF(AND($C20&gt;K$14,ISNONTEXT($C20)),L20/(1+L$12),IF(AND($C20=K$14,K$14=K$4),1,IF(AND($C20&lt;K$14,K$14=K$4),J20*(1+K$12),0)))</f>
        <v>0.85344919552715059</v>
      </c>
      <c r="L20" s="22">
        <f t="shared" si="12"/>
        <v>0.88627416458588704</v>
      </c>
      <c r="M20" s="22">
        <f t="shared" si="12"/>
        <v>0.94073377234242717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1.042</v>
      </c>
      <c r="P20" s="207"/>
      <c r="Q20" s="207"/>
      <c r="R20" s="207"/>
      <c r="S20" s="207"/>
      <c r="T20" s="207"/>
    </row>
    <row r="21" spans="1:50" ht="11.25" customHeight="1" outlineLevel="1">
      <c r="C21" s="166">
        <v>45444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0.82191294013761929</v>
      </c>
      <c r="K21" s="22">
        <f t="shared" ref="K21" si="14">IF(AND($C21&gt;K$14,ISNONTEXT($C21)),L21/(1+L$12),IF(AND($C21=K$14,K$14=K$4),1,IF(AND($C21&lt;K$14,K$14=K$4),J21*(1+K$12),0)))</f>
        <v>0.81904913198382967</v>
      </c>
      <c r="L21" s="22">
        <f t="shared" ref="L21" si="15">IF(AND($C21&gt;L$14,ISNONTEXT($C21)),M21/(1+M$12),IF(AND($C21=L$14,L$14=L$4),1,IF(AND($C21&lt;L$14,L$14=L$4),K21*(1+L$12),0)))</f>
        <v>0.85055102167551533</v>
      </c>
      <c r="M21" s="22">
        <f t="shared" ref="M21" si="16">IF(AND($C21&gt;M$14,ISNONTEXT($C21)),N21/(1+N$12),IF(AND($C21=M$14,M$14=M$4),1,IF(AND($C21&lt;M$14,M$14=M$4),L21*(1+M$12),0)))</f>
        <v>0.90281552048217573</v>
      </c>
      <c r="N21" s="22">
        <f t="shared" ref="N21" si="17">IF(AND($C21&gt;N$14,ISNONTEXT($C21)),O21/(1+O$12),IF(AND($C21=N$14,N$14=N$4),1,IF(AND($C21&lt;N$14,N$14=N$4),M21*(1+N$12),0)))</f>
        <v>0.95969289827255277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43617</v>
      </c>
      <c r="K23" s="159">
        <f t="shared" si="19"/>
        <v>43983</v>
      </c>
      <c r="L23" s="159">
        <f t="shared" si="19"/>
        <v>44348</v>
      </c>
      <c r="M23" s="159">
        <f t="shared" si="19"/>
        <v>44713</v>
      </c>
      <c r="N23" s="159">
        <f t="shared" si="19"/>
        <v>45078</v>
      </c>
      <c r="O23" s="159">
        <f t="shared" si="19"/>
        <v>45444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43617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1.0079331344587412</v>
      </c>
      <c r="K25" s="22">
        <f t="shared" ref="K25:T25" si="21">IF(AND(K$23=K$4,ISNONTEXT($C25)),1/K16*(1+K$12)^0.5,0)</f>
        <v>1.0017467262220046</v>
      </c>
      <c r="L25" s="22">
        <f t="shared" si="21"/>
        <v>0.98473790545302708</v>
      </c>
      <c r="M25" s="22">
        <f t="shared" si="21"/>
        <v>0.93794230437362447</v>
      </c>
      <c r="N25" s="22">
        <f t="shared" si="21"/>
        <v>0.88299891356882709</v>
      </c>
      <c r="O25" s="22">
        <f t="shared" si="21"/>
        <v>0.83899558888865655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43983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1.0044211723177698</v>
      </c>
      <c r="K26" s="22">
        <f t="shared" si="23"/>
        <v>0.99825631951042948</v>
      </c>
      <c r="L26" s="22">
        <f t="shared" si="23"/>
        <v>0.98130676292531638</v>
      </c>
      <c r="M26" s="22">
        <f t="shared" si="23"/>
        <v>0.93467421272075479</v>
      </c>
      <c r="N26" s="22">
        <f t="shared" si="23"/>
        <v>0.87992226230203685</v>
      </c>
      <c r="O26" s="22">
        <f t="shared" si="23"/>
        <v>0.83607225931064733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44348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1.0430527558684535</v>
      </c>
      <c r="K27" s="22">
        <f t="shared" si="24"/>
        <v>1.0366507933377536</v>
      </c>
      <c r="L27" s="22">
        <f t="shared" si="24"/>
        <v>1.019049330730136</v>
      </c>
      <c r="M27" s="22">
        <f t="shared" si="24"/>
        <v>0.970623220902322</v>
      </c>
      <c r="N27" s="22">
        <f t="shared" si="24"/>
        <v>0.91376542623673052</v>
      </c>
      <c r="O27" s="22">
        <f t="shared" si="24"/>
        <v>0.86822888466874903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44713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1.1071460649411782</v>
      </c>
      <c r="K28" s="22">
        <f t="shared" si="25"/>
        <v>1.100350715823996</v>
      </c>
      <c r="L28" s="22">
        <f t="shared" si="25"/>
        <v>1.0816676818608599</v>
      </c>
      <c r="M28" s="22">
        <f t="shared" si="25"/>
        <v>1.0302658935671953</v>
      </c>
      <c r="N28" s="22">
        <f t="shared" si="25"/>
        <v>0.96991431185565413</v>
      </c>
      <c r="O28" s="22">
        <f t="shared" si="25"/>
        <v>0.92157964946741799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45078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1.1768962670324723</v>
      </c>
      <c r="K29" s="22">
        <f t="shared" si="26"/>
        <v>1.1696728109209076</v>
      </c>
      <c r="L29" s="22">
        <f t="shared" si="26"/>
        <v>1.149812745818094</v>
      </c>
      <c r="M29" s="22">
        <f t="shared" si="26"/>
        <v>1.0951726448619286</v>
      </c>
      <c r="N29" s="22">
        <f t="shared" si="26"/>
        <v>1.0310189135025603</v>
      </c>
      <c r="O29" s="22">
        <f t="shared" si="26"/>
        <v>0.97963916738386514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45444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1.2263259102478361</v>
      </c>
      <c r="K30" s="22">
        <f t="shared" si="27"/>
        <v>1.2187990689795858</v>
      </c>
      <c r="L30" s="22">
        <f t="shared" si="27"/>
        <v>1.1981048811424539</v>
      </c>
      <c r="M30" s="22">
        <f t="shared" si="27"/>
        <v>1.1411698959461296</v>
      </c>
      <c r="N30" s="22">
        <f t="shared" si="27"/>
        <v>1.0743217078696679</v>
      </c>
      <c r="O30" s="22">
        <f t="shared" si="27"/>
        <v>1.0207840124139875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45809</v>
      </c>
      <c r="Q34" s="163">
        <f t="shared" si="28"/>
        <v>46174</v>
      </c>
      <c r="R34" s="163">
        <f t="shared" si="28"/>
        <v>46539</v>
      </c>
      <c r="S34" s="163">
        <f t="shared" si="28"/>
        <v>46905</v>
      </c>
      <c r="T34" s="163">
        <f t="shared" si="28"/>
        <v>47270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198</v>
      </c>
      <c r="D36" s="30" t="s">
        <v>106</v>
      </c>
      <c r="E36" s="30" t="str">
        <f t="shared" ref="E36:E43" si="29">percent</f>
        <v>Per cent</v>
      </c>
      <c r="J36" s="208"/>
      <c r="K36" s="208"/>
      <c r="L36" s="208"/>
      <c r="M36" s="208"/>
      <c r="N36" s="208"/>
      <c r="O36" s="208"/>
      <c r="P36" s="208">
        <v>8.1552613528985858E-3</v>
      </c>
      <c r="Q36" s="208">
        <v>7.1743500243457966E-3</v>
      </c>
      <c r="R36" s="208">
        <v>6.0183555984282752E-3</v>
      </c>
      <c r="S36" s="208">
        <v>2.7779527663757708E-3</v>
      </c>
      <c r="T36" s="208">
        <v>5.0643688183282043E-3</v>
      </c>
    </row>
    <row r="37" spans="3:23" ht="11.25" customHeight="1" outlineLevel="1">
      <c r="C37" s="61" t="s">
        <v>206</v>
      </c>
      <c r="D37" s="30" t="s">
        <v>106</v>
      </c>
      <c r="E37" s="30" t="str">
        <f t="shared" si="29"/>
        <v>Per cent</v>
      </c>
      <c r="J37" s="208"/>
      <c r="K37" s="208"/>
      <c r="L37" s="208"/>
      <c r="M37" s="208"/>
      <c r="N37" s="208"/>
      <c r="O37" s="208"/>
      <c r="P37" s="208">
        <v>5.0000000000000001E-3</v>
      </c>
      <c r="Q37" s="208">
        <v>5.0000000000000001E-3</v>
      </c>
      <c r="R37" s="208">
        <v>0</v>
      </c>
      <c r="S37" s="208">
        <v>0</v>
      </c>
      <c r="T37" s="208">
        <v>0</v>
      </c>
    </row>
    <row r="38" spans="3:23" ht="11.25" customHeight="1" outlineLevel="1">
      <c r="C38" s="61" t="s">
        <v>207</v>
      </c>
      <c r="D38" s="30" t="s">
        <v>106</v>
      </c>
      <c r="E38" s="30" t="str">
        <f t="shared" si="29"/>
        <v>Per cent</v>
      </c>
      <c r="J38" s="208"/>
      <c r="K38" s="208"/>
      <c r="L38" s="208"/>
      <c r="M38" s="208"/>
      <c r="N38" s="208"/>
      <c r="O38" s="208"/>
      <c r="P38" s="208">
        <f>P36+P37</f>
        <v>1.3155261352898587E-2</v>
      </c>
      <c r="Q38" s="208">
        <f t="shared" ref="Q38:T38" si="30">Q36+Q37</f>
        <v>1.2174350024345797E-2</v>
      </c>
      <c r="R38" s="208">
        <f t="shared" si="30"/>
        <v>6.0183555984282752E-3</v>
      </c>
      <c r="S38" s="208">
        <f t="shared" si="30"/>
        <v>2.7779527663757708E-3</v>
      </c>
      <c r="T38" s="208">
        <f t="shared" si="30"/>
        <v>5.0643688183282043E-3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8"/>
      <c r="K43" s="208"/>
      <c r="L43" s="208"/>
      <c r="M43" s="208"/>
      <c r="N43" s="208"/>
      <c r="O43" s="208"/>
      <c r="P43" s="208">
        <v>0</v>
      </c>
      <c r="Q43" s="208">
        <v>0</v>
      </c>
      <c r="R43" s="208">
        <v>0</v>
      </c>
      <c r="S43" s="208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/>
      <c r="N45" s="132"/>
      <c r="O45" s="132"/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/>
      <c r="N47" s="163"/>
      <c r="O47" s="163"/>
      <c r="P47" s="163">
        <f t="shared" si="32"/>
        <v>45809</v>
      </c>
      <c r="Q47" s="163">
        <f t="shared" si="32"/>
        <v>46174</v>
      </c>
      <c r="R47" s="163">
        <f t="shared" si="32"/>
        <v>46539</v>
      </c>
      <c r="S47" s="163">
        <f t="shared" si="32"/>
        <v>46905</v>
      </c>
      <c r="T47" s="163">
        <f t="shared" si="32"/>
        <v>47270</v>
      </c>
    </row>
    <row r="48" spans="3:23" ht="11.25" customHeight="1" outlineLevel="1"/>
    <row r="49" spans="1:50" ht="11.25" customHeight="1" outlineLevel="1">
      <c r="C49" s="148" t="s">
        <v>198</v>
      </c>
      <c r="D49" s="30" t="s">
        <v>106</v>
      </c>
      <c r="E49" s="30" t="str">
        <f t="shared" ref="E49:E56" si="33">percent</f>
        <v>Per cent</v>
      </c>
      <c r="J49" s="204"/>
      <c r="K49" s="152"/>
      <c r="L49" s="152"/>
      <c r="M49" s="210"/>
      <c r="N49" s="210"/>
      <c r="O49" s="210"/>
      <c r="P49" s="211"/>
      <c r="Q49" s="211"/>
      <c r="R49" s="211"/>
      <c r="S49" s="211"/>
      <c r="T49" s="208"/>
    </row>
    <row r="50" spans="1:50" ht="11.25" customHeight="1" outlineLevel="1">
      <c r="C50" s="148" t="s">
        <v>206</v>
      </c>
      <c r="D50" s="30" t="s">
        <v>106</v>
      </c>
      <c r="E50" s="30" t="str">
        <f t="shared" si="33"/>
        <v>Per cent</v>
      </c>
      <c r="J50" s="204"/>
      <c r="K50" s="152"/>
      <c r="L50" s="152"/>
      <c r="M50" s="210"/>
      <c r="N50" s="210"/>
      <c r="O50" s="210"/>
      <c r="P50" s="211"/>
      <c r="Q50" s="211"/>
      <c r="R50" s="211"/>
      <c r="S50" s="211"/>
      <c r="T50" s="208"/>
    </row>
    <row r="51" spans="1:50" ht="11.25" customHeight="1" outlineLevel="1">
      <c r="C51" s="148" t="s">
        <v>207</v>
      </c>
      <c r="D51" s="30" t="s">
        <v>106</v>
      </c>
      <c r="E51" s="30" t="str">
        <f t="shared" si="33"/>
        <v>Per cent</v>
      </c>
      <c r="J51" s="204"/>
      <c r="K51" s="152"/>
      <c r="L51" s="152"/>
      <c r="M51" s="210"/>
      <c r="N51" s="210"/>
      <c r="O51" s="210"/>
      <c r="P51" s="210">
        <v>0.59199999999999997</v>
      </c>
      <c r="Q51" s="214">
        <v>0.59199999999999997</v>
      </c>
      <c r="R51" s="214">
        <v>0.59199999999999997</v>
      </c>
      <c r="S51" s="214">
        <v>0.59199999999999997</v>
      </c>
      <c r="T51" s="208">
        <v>0.59199999999999997</v>
      </c>
    </row>
    <row r="52" spans="1:50" ht="11.25" customHeight="1" outlineLevel="1">
      <c r="C52" s="148"/>
      <c r="D52" s="30" t="s">
        <v>106</v>
      </c>
      <c r="E52" s="30" t="str">
        <f t="shared" si="33"/>
        <v>Per cent</v>
      </c>
      <c r="J52" s="204"/>
      <c r="K52" s="152"/>
      <c r="L52" s="152"/>
      <c r="M52" s="152"/>
      <c r="N52" s="152"/>
      <c r="O52" s="152"/>
      <c r="P52" s="60"/>
      <c r="Q52" s="211"/>
      <c r="R52" s="152"/>
      <c r="S52" s="152"/>
      <c r="T52" s="208"/>
      <c r="U52" s="147"/>
    </row>
    <row r="53" spans="1:50" ht="11.25" customHeight="1" outlineLevel="1">
      <c r="C53" s="148"/>
      <c r="D53" s="30" t="s">
        <v>106</v>
      </c>
      <c r="E53" s="30" t="str">
        <f t="shared" si="33"/>
        <v>Per cent</v>
      </c>
      <c r="J53" s="204"/>
      <c r="K53" s="152"/>
      <c r="L53" s="152"/>
      <c r="M53" s="152"/>
      <c r="N53" s="152"/>
      <c r="O53" s="152"/>
      <c r="P53" s="60"/>
      <c r="Q53" s="211"/>
      <c r="R53" s="152"/>
      <c r="S53" s="152"/>
      <c r="T53" s="208"/>
    </row>
    <row r="54" spans="1:50" ht="11.25" customHeight="1" outlineLevel="1">
      <c r="C54" s="148"/>
      <c r="D54" s="30" t="s">
        <v>106</v>
      </c>
      <c r="E54" s="30" t="str">
        <f t="shared" si="33"/>
        <v>Per cent</v>
      </c>
      <c r="J54" s="204"/>
      <c r="K54" s="152"/>
      <c r="L54" s="152"/>
      <c r="M54" s="152"/>
      <c r="N54" s="152"/>
      <c r="O54" s="152"/>
      <c r="P54" s="60"/>
      <c r="Q54" s="211"/>
      <c r="R54" s="152"/>
      <c r="S54" s="152"/>
      <c r="T54" s="208"/>
    </row>
    <row r="55" spans="1:50" ht="11.25" customHeight="1" outlineLevel="1">
      <c r="C55" s="148"/>
      <c r="D55" s="30" t="s">
        <v>106</v>
      </c>
      <c r="E55" s="30" t="str">
        <f t="shared" si="33"/>
        <v>Per cent</v>
      </c>
      <c r="J55" s="204"/>
      <c r="K55" s="152"/>
      <c r="L55" s="152"/>
      <c r="M55" s="152"/>
      <c r="N55" s="152"/>
      <c r="O55" s="152"/>
      <c r="P55" s="60"/>
      <c r="Q55" s="211"/>
      <c r="R55" s="152"/>
      <c r="S55" s="152"/>
      <c r="T55" s="208"/>
    </row>
    <row r="56" spans="1:50" ht="11.25" customHeight="1" outlineLevel="1">
      <c r="C56" s="148" t="str">
        <f t="shared" ref="C56" si="34">C43</f>
        <v>CPI</v>
      </c>
      <c r="D56" s="30" t="s">
        <v>106</v>
      </c>
      <c r="E56" s="30" t="str">
        <f t="shared" si="33"/>
        <v>Per cent</v>
      </c>
      <c r="J56" s="204"/>
      <c r="K56" s="152"/>
      <c r="L56" s="152"/>
      <c r="M56" s="210"/>
      <c r="N56" s="210"/>
      <c r="O56" s="210"/>
      <c r="P56" s="210">
        <v>0.40800000000000003</v>
      </c>
      <c r="Q56" s="210">
        <v>0.40800000000000003</v>
      </c>
      <c r="R56" s="210">
        <v>0.40800000000000003</v>
      </c>
      <c r="S56" s="210">
        <v>0.40800000000000003</v>
      </c>
      <c r="T56" s="210">
        <v>0.40800000000000003</v>
      </c>
    </row>
    <row r="57" spans="1:50" ht="11.25" customHeight="1" outlineLevel="1"/>
    <row r="58" spans="1:50" ht="10.5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ht="10.5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45444</v>
      </c>
      <c r="P62" s="163">
        <f t="shared" si="36"/>
        <v>45809</v>
      </c>
      <c r="Q62" s="163">
        <f t="shared" si="36"/>
        <v>46174</v>
      </c>
      <c r="R62" s="163">
        <f t="shared" si="36"/>
        <v>46539</v>
      </c>
      <c r="S62" s="163">
        <f t="shared" si="36"/>
        <v>46905</v>
      </c>
      <c r="T62" s="163">
        <f t="shared" si="36"/>
        <v>47270</v>
      </c>
    </row>
    <row r="63" spans="1:50" ht="10.5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187</v>
      </c>
      <c r="D64" s="30" t="s">
        <v>106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195"/>
      <c r="O64" s="196">
        <v>307262</v>
      </c>
      <c r="P64" s="196">
        <v>310355</v>
      </c>
      <c r="Q64" s="196">
        <v>313448</v>
      </c>
      <c r="R64" s="196">
        <v>316541</v>
      </c>
      <c r="S64" s="196">
        <v>319634</v>
      </c>
      <c r="T64" s="196">
        <v>322727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5"/>
      <c r="O65" s="195">
        <v>22753.673931921337</v>
      </c>
      <c r="P65" s="195">
        <v>22859.419608765234</v>
      </c>
      <c r="Q65" s="195">
        <v>22966.15882836219</v>
      </c>
      <c r="R65" s="196">
        <v>23073.903956110727</v>
      </c>
      <c r="S65" s="196">
        <v>23182.667549403228</v>
      </c>
      <c r="T65" s="196">
        <v>23292.462360892532</v>
      </c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>
        <v>1154</v>
      </c>
      <c r="P66" s="196">
        <v>1154</v>
      </c>
      <c r="Q66" s="196">
        <v>1154</v>
      </c>
      <c r="R66" s="196">
        <v>1154</v>
      </c>
      <c r="S66" s="196">
        <v>1154</v>
      </c>
      <c r="T66" s="196">
        <v>1154</v>
      </c>
    </row>
    <row r="67" spans="3:23" outlineLevel="1">
      <c r="C67" s="61" t="s">
        <v>196</v>
      </c>
      <c r="D67" s="30" t="s">
        <v>106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>
        <v>4675</v>
      </c>
      <c r="P67" s="196">
        <v>4710</v>
      </c>
      <c r="Q67" s="196">
        <v>4745</v>
      </c>
      <c r="R67" s="196">
        <v>4777</v>
      </c>
      <c r="S67" s="196">
        <v>4810</v>
      </c>
      <c r="T67" s="196">
        <v>4839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ht="10.5" outlineLevel="1">
      <c r="C70" s="111"/>
      <c r="G70" s="32"/>
      <c r="H70" s="32"/>
      <c r="K70" s="23"/>
      <c r="L70" s="23"/>
      <c r="M70" s="23"/>
      <c r="N70" s="23"/>
      <c r="O70" s="23"/>
    </row>
    <row r="71" spans="3:23" ht="10.5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45809</v>
      </c>
      <c r="Q73" s="163">
        <f t="shared" si="38"/>
        <v>46174</v>
      </c>
      <c r="R73" s="163">
        <f t="shared" si="38"/>
        <v>46539</v>
      </c>
      <c r="S73" s="163">
        <f t="shared" si="38"/>
        <v>46905</v>
      </c>
      <c r="T73" s="163">
        <f t="shared" si="38"/>
        <v>47270</v>
      </c>
      <c r="U73" s="29" t="str">
        <f>IF(RIGHT(U$4,2)&gt;=RIGHT('Input|General'!$G$13,2),IF(RIGHT(U$4,2)&lt;='Input|General'!$G$14,'Input|Reported opex'!T$4,""),"")</f>
        <v/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1.0015999745801807E-2</v>
      </c>
      <c r="Q75" s="117">
        <f t="shared" si="40"/>
        <v>9.9166735241738024E-3</v>
      </c>
      <c r="R75" s="117">
        <f t="shared" si="40"/>
        <v>9.8192979618936249E-3</v>
      </c>
      <c r="S75" s="117">
        <f t="shared" si="40"/>
        <v>9.7238161540271761E-3</v>
      </c>
      <c r="T75" s="117">
        <f t="shared" si="40"/>
        <v>9.630173387735752E-3</v>
      </c>
    </row>
    <row r="76" spans="3:23" outlineLevel="1">
      <c r="C76" s="148" t="str">
        <f t="shared" ref="C76:C80" si="41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4.6366452298229888E-3</v>
      </c>
      <c r="Q76" s="117">
        <f t="shared" si="42"/>
        <v>4.6585080329535344E-3</v>
      </c>
      <c r="R76" s="117">
        <f t="shared" si="42"/>
        <v>4.6805029329153314E-3</v>
      </c>
      <c r="S76" s="117">
        <f t="shared" si="42"/>
        <v>4.7026310075448663E-3</v>
      </c>
      <c r="T76" s="117">
        <f t="shared" si="42"/>
        <v>4.7248933337797894E-3</v>
      </c>
    </row>
    <row r="77" spans="3:23" outlineLevel="1">
      <c r="C77" s="148" t="str">
        <f t="shared" si="41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7.4587452876766491E-3</v>
      </c>
      <c r="Q78" s="117">
        <f t="shared" si="44"/>
        <v>7.4035240335650343E-3</v>
      </c>
      <c r="R78" s="117">
        <f t="shared" si="44"/>
        <v>6.7213023459338217E-3</v>
      </c>
      <c r="S78" s="117">
        <f t="shared" si="44"/>
        <v>6.8843497098445283E-3</v>
      </c>
      <c r="T78" s="117">
        <f t="shared" si="44"/>
        <v>6.0110036935121514E-3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ht="10.5" outlineLevel="1">
      <c r="C81" s="111"/>
      <c r="G81" s="32"/>
      <c r="H81" s="32"/>
      <c r="K81" s="23"/>
      <c r="L81" s="23"/>
      <c r="M81" s="23"/>
      <c r="N81" s="23"/>
      <c r="O81" s="23"/>
    </row>
    <row r="82" spans="3:23" ht="10.5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7" t="s">
        <v>191</v>
      </c>
      <c r="K82" s="217" t="s">
        <v>192</v>
      </c>
      <c r="L82" s="217" t="s">
        <v>193</v>
      </c>
      <c r="M82" s="217" t="s">
        <v>194</v>
      </c>
      <c r="N82" s="163"/>
      <c r="O82" s="163"/>
      <c r="P82" s="163"/>
      <c r="Q82" s="163"/>
      <c r="R82" s="163"/>
      <c r="S82" s="163"/>
      <c r="T82" s="163"/>
    </row>
    <row r="83" spans="3:23" ht="10.5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0.50870000000000004</v>
      </c>
      <c r="K84" s="60">
        <v>0.6331</v>
      </c>
      <c r="L84" s="60">
        <v>0.49480000000000002</v>
      </c>
      <c r="M84" s="60">
        <v>0.1875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47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0.14940000000000001</v>
      </c>
      <c r="K85" s="60">
        <v>0.1636</v>
      </c>
      <c r="L85" s="60">
        <v>0.16600000000000001</v>
      </c>
      <c r="M85" s="60">
        <v>0.38750000000000001</v>
      </c>
      <c r="N85" s="193"/>
      <c r="O85" s="193"/>
      <c r="P85" s="193"/>
      <c r="Q85" s="193"/>
      <c r="R85" s="193"/>
      <c r="S85" s="193"/>
      <c r="T85" s="193"/>
    </row>
    <row r="86" spans="3:23" outlineLevel="1">
      <c r="C86" s="148" t="str">
        <f t="shared" si="47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0.34189999999999998</v>
      </c>
      <c r="K86" s="60">
        <v>0.20330000000000001</v>
      </c>
      <c r="L86" s="60">
        <v>0.3392</v>
      </c>
      <c r="M86" s="60">
        <v>0.33750000000000002</v>
      </c>
      <c r="N86" s="193"/>
      <c r="O86" s="193"/>
      <c r="P86" s="193"/>
      <c r="Q86" s="193"/>
      <c r="R86" s="193"/>
      <c r="S86" s="193"/>
      <c r="T86" s="193"/>
    </row>
    <row r="87" spans="3:23" outlineLevel="1">
      <c r="C87" s="148" t="str">
        <f t="shared" si="47"/>
        <v>Energy throughput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8.7499999999999994E-2</v>
      </c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ht="10.5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ht="10.5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ht="10.5" outlineLevel="1">
      <c r="C93" s="67" t="s">
        <v>195</v>
      </c>
      <c r="D93" s="32" t="s">
        <v>7</v>
      </c>
      <c r="E93" s="32" t="s">
        <v>8</v>
      </c>
      <c r="F93" s="32" t="s">
        <v>22</v>
      </c>
      <c r="J93" s="163" t="str">
        <f t="shared" ref="J93:Q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45809</v>
      </c>
      <c r="Q93" s="163">
        <f t="shared" si="48"/>
        <v>46174</v>
      </c>
      <c r="R93" s="163">
        <f t="shared" ref="R93:T93" si="49">IF(YEAR(R$4)&gt;BaseYear,IF(YEAR(R$4)&lt;=FPLastYear,R$4,""),"")</f>
        <v>46539</v>
      </c>
      <c r="S93" s="163">
        <f t="shared" si="49"/>
        <v>46905</v>
      </c>
      <c r="T93" s="163">
        <f t="shared" si="49"/>
        <v>47270</v>
      </c>
      <c r="U93" s="24"/>
      <c r="W93" s="132"/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 t="str">
        <f t="shared" si="50"/>
        <v/>
      </c>
      <c r="P95" s="117">
        <f t="shared" si="50"/>
        <v>5.7878538680249348E-3</v>
      </c>
      <c r="Q95" s="117">
        <f t="shared" si="50"/>
        <v>5.7405929218704715E-3</v>
      </c>
      <c r="R95" s="117">
        <f t="shared" si="50"/>
        <v>5.6943440113928386E-3</v>
      </c>
      <c r="S95" s="117">
        <f t="shared" si="50"/>
        <v>5.6490783500808273E-3</v>
      </c>
      <c r="T95" s="117">
        <f>IF(T$93=T$4,SUMPRODUCT(T$75:T$80,$J$84:$J$89),"")</f>
        <v>5.604768266407878E-3</v>
      </c>
      <c r="U95" s="24"/>
      <c r="W95" s="132"/>
    </row>
    <row r="96" spans="3:23" ht="10.5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 t="str">
        <f t="shared" si="51"/>
        <v/>
      </c>
      <c r="P96" s="117">
        <f t="shared" si="51"/>
        <v>7.0996845986661646E-3</v>
      </c>
      <c r="Q96" s="117">
        <f t="shared" si="51"/>
        <v>7.0403779223456326E-3</v>
      </c>
      <c r="R96" s="117">
        <f t="shared" si="51"/>
        <v>6.9823278194998022E-3</v>
      </c>
      <c r="S96" s="117">
        <f t="shared" si="51"/>
        <v>6.9254984399489449E-3</v>
      </c>
      <c r="T96" s="117">
        <f>IF(T$93=T$4,SUMPRODUCT(T$75:T$80,$K$84:$K$89),"")</f>
        <v>6.8698553211818782E-3</v>
      </c>
      <c r="U96" s="24"/>
      <c r="W96" s="132"/>
    </row>
    <row r="97" spans="1:50" ht="10.5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 t="str">
        <f t="shared" si="52"/>
        <v/>
      </c>
      <c r="P97" s="117">
        <f t="shared" si="52"/>
        <v>5.7255997823733506E-3</v>
      </c>
      <c r="Q97" s="117">
        <f t="shared" si="52"/>
        <v>5.6800823932314842E-3</v>
      </c>
      <c r="R97" s="117">
        <f t="shared" si="52"/>
        <v>5.6355521184089114E-3</v>
      </c>
      <c r="S97" s="117">
        <f t="shared" si="52"/>
        <v>5.5919809802650947E-3</v>
      </c>
      <c r="T97" s="117">
        <f>IF(T$93=T$4,SUMPRODUCT(T$75:T$80,$L$84:$L$89),"")</f>
        <v>5.5493420856590949E-3</v>
      </c>
      <c r="U97" s="24"/>
      <c r="W97" s="132"/>
    </row>
    <row r="98" spans="1:50" ht="10.5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 t="str">
        <f t="shared" si="53"/>
        <v/>
      </c>
      <c r="P98" s="117">
        <f t="shared" si="53"/>
        <v>4.3273401915659539E-3</v>
      </c>
      <c r="Q98" s="117">
        <f t="shared" si="53"/>
        <v>4.3123565014890229E-3</v>
      </c>
      <c r="R98" s="117">
        <f t="shared" si="53"/>
        <v>4.2429272096289553E-3</v>
      </c>
      <c r="S98" s="117">
        <f t="shared" si="53"/>
        <v>4.2478656439151278E-3</v>
      </c>
      <c r="T98" s="117">
        <f>IF(T$93=T$4,SUMPRODUCT(T$75:T$80,$M$84:$M$89),"")</f>
        <v>4.1625165002224344E-3</v>
      </c>
      <c r="U98" s="24"/>
      <c r="W98" s="132"/>
    </row>
    <row r="99" spans="1:50"/>
    <row r="100" spans="1:50" s="103" customFormat="1" ht="13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ht="10.5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IF(YEAR(J$4)&gt;=FPFirstYear,IF(YEAR(J$4)&lt;=FPLastYear,J$4,""),"")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 t="str">
        <f t="shared" si="54"/>
        <v/>
      </c>
      <c r="P102" s="163">
        <f t="shared" si="54"/>
        <v>45809</v>
      </c>
      <c r="Q102" s="163">
        <f t="shared" si="54"/>
        <v>46174</v>
      </c>
      <c r="R102" s="163">
        <f t="shared" si="54"/>
        <v>46539</v>
      </c>
      <c r="S102" s="163">
        <f t="shared" si="54"/>
        <v>46905</v>
      </c>
      <c r="T102" s="163">
        <f t="shared" si="54"/>
        <v>47270</v>
      </c>
    </row>
    <row r="103" spans="1:50" ht="10.5" outlineLevel="1">
      <c r="C103" s="111"/>
      <c r="G103" s="32"/>
      <c r="H103" s="32"/>
      <c r="K103" s="23"/>
      <c r="L103" s="23"/>
      <c r="M103" s="23"/>
      <c r="N103" s="23"/>
      <c r="O103" s="23"/>
    </row>
    <row r="104" spans="1:50" ht="10.5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212"/>
      <c r="N104" s="212"/>
      <c r="O104" s="212"/>
      <c r="P104" s="212">
        <v>0.03</v>
      </c>
      <c r="Q104" s="212">
        <v>5.0000000000000001E-3</v>
      </c>
      <c r="R104" s="169">
        <v>5.0000000000000001E-3</v>
      </c>
      <c r="S104" s="169">
        <v>5.0000000000000001E-3</v>
      </c>
      <c r="T104" s="169">
        <v>5.0000000000000001E-3</v>
      </c>
    </row>
    <row r="105" spans="1:50" ht="10.5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ht="10.5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ht="10.5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3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</sheetData>
  <mergeCells count="2">
    <mergeCell ref="K3:M3"/>
    <mergeCell ref="O3:T3"/>
  </mergeCells>
  <conditionalFormatting sqref="W1">
    <cfRule type="cellIs" dxfId="164" priority="119" operator="equal">
      <formula>"Check"</formula>
    </cfRule>
    <cfRule type="cellIs" dxfId="163" priority="120" operator="equal">
      <formula>"Ok"</formula>
    </cfRule>
  </conditionalFormatting>
  <conditionalFormatting sqref="T1">
    <cfRule type="cellIs" dxfId="162" priority="83" operator="equal">
      <formula>"Check"</formula>
    </cfRule>
    <cfRule type="cellIs" dxfId="161" priority="84" operator="equal">
      <formula>"Ok"</formula>
    </cfRule>
  </conditionalFormatting>
  <conditionalFormatting sqref="W58">
    <cfRule type="cellIs" dxfId="160" priority="71" operator="equal">
      <formula>"Check"</formula>
    </cfRule>
    <cfRule type="cellIs" dxfId="159" priority="72" operator="equal">
      <formula>"Ok"</formula>
    </cfRule>
  </conditionalFormatting>
  <conditionalFormatting sqref="J58:T58">
    <cfRule type="cellIs" dxfId="158" priority="63" operator="equal">
      <formula>"Check"</formula>
    </cfRule>
    <cfRule type="cellIs" dxfId="157" priority="64" operator="equal">
      <formula>"Ok"</formula>
    </cfRule>
  </conditionalFormatting>
  <conditionalFormatting sqref="J34:T34">
    <cfRule type="expression" dxfId="156" priority="54">
      <formula>J$34=J$4</formula>
    </cfRule>
  </conditionalFormatting>
  <conditionalFormatting sqref="J36:T43">
    <cfRule type="expression" dxfId="155" priority="52">
      <formula>J$34=J$4</formula>
    </cfRule>
  </conditionalFormatting>
  <conditionalFormatting sqref="J104:L104 R104:T104">
    <cfRule type="expression" dxfId="154" priority="47">
      <formula>J$102=J$4</formula>
    </cfRule>
  </conditionalFormatting>
  <conditionalFormatting sqref="W106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J106:T106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W45">
    <cfRule type="cellIs" dxfId="149" priority="41" operator="equal">
      <formula>"Check"</formula>
    </cfRule>
    <cfRule type="cellIs" dxfId="148" priority="42" operator="equal">
      <formula>"Ok"</formula>
    </cfRule>
  </conditionalFormatting>
  <conditionalFormatting sqref="J45:T45">
    <cfRule type="cellIs" dxfId="147" priority="39" operator="equal">
      <formula>"Check"</formula>
    </cfRule>
    <cfRule type="cellIs" dxfId="146" priority="40" operator="equal">
      <formula>"Ok"</formula>
    </cfRule>
  </conditionalFormatting>
  <conditionalFormatting sqref="W71">
    <cfRule type="cellIs" dxfId="145" priority="37" operator="equal">
      <formula>"Check"</formula>
    </cfRule>
    <cfRule type="cellIs" dxfId="144" priority="38" operator="equal">
      <formula>"Ok"</formula>
    </cfRule>
  </conditionalFormatting>
  <conditionalFormatting sqref="J71:T71">
    <cfRule type="cellIs" dxfId="143" priority="35" operator="equal">
      <formula>"Check"</formula>
    </cfRule>
    <cfRule type="cellIs" dxfId="142" priority="36" operator="equal">
      <formula>"Ok"</formula>
    </cfRule>
  </conditionalFormatting>
  <conditionalFormatting sqref="J62:T62">
    <cfRule type="expression" dxfId="141" priority="29">
      <formula>J$62=J$4</formula>
    </cfRule>
  </conditionalFormatting>
  <conditionalFormatting sqref="J67:T69 J64:K66 R64:T66">
    <cfRule type="expression" dxfId="140" priority="27">
      <formula>J$62=J$4</formula>
    </cfRule>
  </conditionalFormatting>
  <conditionalFormatting sqref="J47:T47">
    <cfRule type="expression" dxfId="139" priority="24">
      <formula>J$34=J$4</formula>
    </cfRule>
  </conditionalFormatting>
  <conditionalFormatting sqref="J73:T73">
    <cfRule type="expression" dxfId="138" priority="23">
      <formula>J$34=J$4</formula>
    </cfRule>
  </conditionalFormatting>
  <conditionalFormatting sqref="J102:T102">
    <cfRule type="expression" dxfId="137" priority="22">
      <formula>J$34=J$4</formula>
    </cfRule>
  </conditionalFormatting>
  <conditionalFormatting sqref="J25:T30">
    <cfRule type="cellIs" dxfId="136" priority="20" operator="equal">
      <formula>0</formula>
    </cfRule>
  </conditionalFormatting>
  <conditionalFormatting sqref="J16:T21">
    <cfRule type="cellIs" dxfId="135" priority="19" operator="equal">
      <formula>0</formula>
    </cfRule>
  </conditionalFormatting>
  <conditionalFormatting sqref="M36:Q38 Q38:T38">
    <cfRule type="expression" dxfId="134" priority="16">
      <formula>M$34=M$4</formula>
    </cfRule>
  </conditionalFormatting>
  <conditionalFormatting sqref="M43:Q43">
    <cfRule type="expression" dxfId="133" priority="15">
      <formula>M$34=M$4</formula>
    </cfRule>
  </conditionalFormatting>
  <conditionalFormatting sqref="J49:T56">
    <cfRule type="expression" dxfId="132" priority="14">
      <formula>J$47=J$4</formula>
    </cfRule>
  </conditionalFormatting>
  <conditionalFormatting sqref="L64:Q65 M66:Q66">
    <cfRule type="expression" dxfId="131" priority="13">
      <formula>L$62=L$4</formula>
    </cfRule>
  </conditionalFormatting>
  <conditionalFormatting sqref="M104:Q104">
    <cfRule type="expression" dxfId="130" priority="12">
      <formula>M$102=M$4</formula>
    </cfRule>
  </conditionalFormatting>
  <conditionalFormatting sqref="W91">
    <cfRule type="cellIs" dxfId="129" priority="10" operator="equal">
      <formula>"Check"</formula>
    </cfRule>
    <cfRule type="cellIs" dxfId="128" priority="11" operator="equal">
      <formula>"Ok"</formula>
    </cfRule>
  </conditionalFormatting>
  <conditionalFormatting sqref="K88:M89 K87:L87">
    <cfRule type="expression" dxfId="127" priority="9">
      <formula>K$82=K$4</formula>
    </cfRule>
  </conditionalFormatting>
  <conditionalFormatting sqref="J91:T91">
    <cfRule type="cellIs" dxfId="126" priority="7" operator="equal">
      <formula>"Check"</formula>
    </cfRule>
    <cfRule type="cellIs" dxfId="125" priority="8" operator="equal">
      <formula>"Ok"</formula>
    </cfRule>
  </conditionalFormatting>
  <conditionalFormatting sqref="W92:W98">
    <cfRule type="cellIs" dxfId="124" priority="5" operator="equal">
      <formula>"Check"</formula>
    </cfRule>
    <cfRule type="cellIs" dxfId="123" priority="6" operator="equal">
      <formula>"Ok"</formula>
    </cfRule>
  </conditionalFormatting>
  <conditionalFormatting sqref="J92:T92 J94:T94">
    <cfRule type="cellIs" dxfId="122" priority="3" operator="equal">
      <formula>"Check"</formula>
    </cfRule>
    <cfRule type="cellIs" dxfId="121" priority="4" operator="equal">
      <formula>"Ok"</formula>
    </cfRule>
  </conditionalFormatting>
  <conditionalFormatting sqref="J93:T93">
    <cfRule type="expression" dxfId="120" priority="2">
      <formula>J$93=J$4</formula>
    </cfRule>
  </conditionalFormatting>
  <conditionalFormatting sqref="L66">
    <cfRule type="expression" dxfId="119" priority="1">
      <formula>L$62=L$4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workbookViewId="0"/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2"/>
      <c r="E3" s="182"/>
      <c r="F3" s="182"/>
      <c r="G3" s="182"/>
      <c r="H3" s="182"/>
      <c r="I3" s="182"/>
      <c r="J3" s="158" t="s">
        <v>130</v>
      </c>
      <c r="K3" s="172"/>
      <c r="L3" s="172"/>
      <c r="M3" s="182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45809</v>
      </c>
      <c r="P10" s="163">
        <f t="shared" si="0"/>
        <v>46174</v>
      </c>
      <c r="Q10" s="163">
        <f t="shared" si="0"/>
        <v>46539</v>
      </c>
      <c r="R10" s="163">
        <f t="shared" si="0"/>
        <v>46905</v>
      </c>
      <c r="S10" s="163">
        <f t="shared" si="0"/>
        <v>47270</v>
      </c>
    </row>
    <row r="11" spans="1:47" outlineLevel="1">
      <c r="G11" s="32"/>
      <c r="H11" s="32"/>
    </row>
    <row r="12" spans="1:47" outlineLevel="1">
      <c r="C12" s="61" t="s">
        <v>200</v>
      </c>
      <c r="D12" s="30" t="s">
        <v>73</v>
      </c>
      <c r="E12" s="150" t="s">
        <v>15</v>
      </c>
      <c r="F12" s="171">
        <v>45078</v>
      </c>
      <c r="G12" s="32"/>
      <c r="H12" s="32"/>
      <c r="J12" s="152"/>
      <c r="K12" s="152"/>
      <c r="L12" s="213"/>
      <c r="M12" s="213"/>
      <c r="N12" s="213"/>
      <c r="O12" s="227">
        <v>2.6735527620345221</v>
      </c>
      <c r="P12" s="213">
        <v>3.3514072426074701</v>
      </c>
      <c r="Q12" s="213">
        <v>3.9412812476258852</v>
      </c>
      <c r="R12" s="213">
        <v>4.1656741543311657</v>
      </c>
      <c r="S12" s="213">
        <v>4.2115503018124434</v>
      </c>
    </row>
    <row r="13" spans="1:47" outlineLevel="1">
      <c r="C13" s="61" t="s">
        <v>201</v>
      </c>
      <c r="D13" s="30" t="s">
        <v>73</v>
      </c>
      <c r="E13" s="150" t="s">
        <v>15</v>
      </c>
      <c r="F13" s="171">
        <v>45078</v>
      </c>
      <c r="G13" s="32"/>
      <c r="H13" s="32"/>
      <c r="J13" s="152"/>
      <c r="K13" s="152"/>
      <c r="L13" s="213"/>
      <c r="M13" s="213"/>
      <c r="N13" s="213"/>
      <c r="O13" s="213">
        <v>0.39844782547269619</v>
      </c>
      <c r="P13" s="213">
        <v>0.70183742649232084</v>
      </c>
      <c r="Q13" s="213">
        <v>0.85133913873208189</v>
      </c>
      <c r="R13" s="213">
        <v>0.87438515106143333</v>
      </c>
      <c r="S13" s="213">
        <v>0.87958908932935154</v>
      </c>
    </row>
    <row r="14" spans="1:47" outlineLevel="1">
      <c r="C14" s="61"/>
      <c r="D14" s="30" t="s">
        <v>73</v>
      </c>
      <c r="E14" s="150" t="s">
        <v>15</v>
      </c>
      <c r="F14" s="171">
        <v>45078</v>
      </c>
      <c r="G14" s="32"/>
      <c r="H14" s="32"/>
      <c r="J14" s="152"/>
      <c r="K14" s="152"/>
      <c r="L14" s="213"/>
      <c r="M14" s="213"/>
      <c r="N14" s="213"/>
      <c r="O14" s="213"/>
      <c r="P14" s="213"/>
      <c r="Q14" s="213"/>
      <c r="R14" s="213"/>
      <c r="S14" s="213"/>
    </row>
    <row r="15" spans="1:47" outlineLevel="1">
      <c r="C15" s="61"/>
      <c r="D15" s="30" t="s">
        <v>73</v>
      </c>
      <c r="E15" s="150" t="s">
        <v>15</v>
      </c>
      <c r="F15" s="171">
        <v>43617</v>
      </c>
      <c r="G15" s="32"/>
      <c r="H15" s="32"/>
      <c r="J15" s="152"/>
      <c r="K15" s="152"/>
      <c r="L15" s="213"/>
      <c r="M15" s="213"/>
      <c r="N15" s="213"/>
      <c r="O15" s="213"/>
      <c r="P15" s="213"/>
      <c r="Q15" s="170"/>
      <c r="R15" s="170"/>
      <c r="S15" s="170"/>
    </row>
    <row r="16" spans="1:47" outlineLevel="1">
      <c r="C16" s="61"/>
      <c r="D16" s="30" t="s">
        <v>73</v>
      </c>
      <c r="E16" s="150" t="s">
        <v>15</v>
      </c>
      <c r="F16" s="171">
        <v>43617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73</v>
      </c>
      <c r="E17" s="150" t="s">
        <v>15</v>
      </c>
      <c r="F17" s="171">
        <v>43617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73</v>
      </c>
      <c r="E18" s="150" t="s">
        <v>15</v>
      </c>
      <c r="F18" s="171">
        <v>43617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73</v>
      </c>
      <c r="E19" s="150" t="s">
        <v>15</v>
      </c>
      <c r="F19" s="171">
        <v>43617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73</v>
      </c>
      <c r="E20" s="150" t="s">
        <v>15</v>
      </c>
      <c r="F20" s="171">
        <v>43617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45809</v>
      </c>
      <c r="P26" s="163">
        <f t="shared" si="2"/>
        <v>46174</v>
      </c>
      <c r="Q26" s="163">
        <f t="shared" si="2"/>
        <v>46539</v>
      </c>
      <c r="R26" s="163">
        <f t="shared" si="2"/>
        <v>46905</v>
      </c>
      <c r="S26" s="163">
        <f t="shared" si="2"/>
        <v>47270</v>
      </c>
    </row>
    <row r="27" spans="1:47" outlineLevel="1">
      <c r="G27" s="32"/>
      <c r="H27" s="32"/>
    </row>
    <row r="28" spans="1:47" outlineLevel="1">
      <c r="C28" s="61" t="s">
        <v>188</v>
      </c>
      <c r="D28" s="30" t="s">
        <v>73</v>
      </c>
      <c r="E28" s="150" t="s">
        <v>15</v>
      </c>
      <c r="F28" s="171">
        <v>45078</v>
      </c>
      <c r="G28" s="32"/>
      <c r="H28" s="32"/>
      <c r="J28" s="152"/>
      <c r="K28" s="152"/>
      <c r="L28" s="213"/>
      <c r="M28" s="213"/>
      <c r="N28" s="213"/>
      <c r="O28" s="227">
        <v>3.8073168425007227</v>
      </c>
      <c r="P28" s="213">
        <v>3.8073168425007227</v>
      </c>
      <c r="Q28" s="170">
        <v>3.8073168425007227</v>
      </c>
      <c r="R28" s="170">
        <v>3.8073168425007227</v>
      </c>
      <c r="S28" s="170">
        <v>3.8073168425007227</v>
      </c>
    </row>
    <row r="29" spans="1:47" outlineLevel="1">
      <c r="C29" s="61" t="s">
        <v>189</v>
      </c>
      <c r="D29" s="30" t="s">
        <v>73</v>
      </c>
      <c r="E29" s="150" t="s">
        <v>15</v>
      </c>
      <c r="F29" s="171">
        <v>45078</v>
      </c>
      <c r="G29" s="32"/>
      <c r="H29" s="32"/>
      <c r="J29" s="152"/>
      <c r="K29" s="152"/>
      <c r="L29" s="213"/>
      <c r="M29" s="213"/>
      <c r="N29" s="213"/>
      <c r="O29" s="213">
        <v>4.8857191518260032</v>
      </c>
      <c r="P29" s="213">
        <v>4.8857191518260032</v>
      </c>
      <c r="Q29" s="170">
        <v>4.8857191518260032</v>
      </c>
      <c r="R29" s="170">
        <v>4.8857191518260032</v>
      </c>
      <c r="S29" s="170">
        <v>4.8857191518260032</v>
      </c>
    </row>
    <row r="30" spans="1:47" outlineLevel="1">
      <c r="C30" s="61" t="s">
        <v>190</v>
      </c>
      <c r="D30" s="30" t="s">
        <v>73</v>
      </c>
      <c r="E30" s="150" t="s">
        <v>15</v>
      </c>
      <c r="F30" s="171">
        <v>45078</v>
      </c>
      <c r="G30" s="32"/>
      <c r="H30" s="32"/>
      <c r="J30" s="152"/>
      <c r="K30" s="152"/>
      <c r="L30" s="213"/>
      <c r="M30" s="213"/>
      <c r="N30" s="213"/>
      <c r="O30" s="213">
        <v>1.4114757349767868</v>
      </c>
      <c r="P30" s="213">
        <v>1.4107548587076466</v>
      </c>
      <c r="Q30" s="170">
        <v>1.3098321810279989</v>
      </c>
      <c r="R30" s="170">
        <v>1.1224043510515105</v>
      </c>
      <c r="S30" s="170">
        <v>1.1224043510515105</v>
      </c>
    </row>
    <row r="31" spans="1:47" outlineLevel="1">
      <c r="G31" s="32"/>
      <c r="H31" s="32"/>
    </row>
    <row r="32" spans="1:47" ht="10.5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45809</v>
      </c>
      <c r="P36" s="163">
        <f t="shared" si="4"/>
        <v>46174</v>
      </c>
      <c r="Q36" s="163">
        <f t="shared" si="4"/>
        <v>46539</v>
      </c>
      <c r="R36" s="163">
        <f t="shared" si="4"/>
        <v>46905</v>
      </c>
      <c r="S36" s="163">
        <f t="shared" si="4"/>
        <v>47270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45444</v>
      </c>
      <c r="G38" s="32"/>
      <c r="H38" s="32"/>
      <c r="J38" s="170"/>
      <c r="K38" s="170"/>
      <c r="L38" s="170"/>
      <c r="M38" s="170"/>
      <c r="N38" s="170"/>
      <c r="O38" s="170">
        <v>1.0803998192129276</v>
      </c>
      <c r="P38" s="170">
        <v>1.0926538667588725</v>
      </c>
      <c r="Q38" s="170">
        <v>1.1053360024740186</v>
      </c>
      <c r="R38" s="170">
        <v>1.1058295069624551</v>
      </c>
      <c r="S38" s="170">
        <v>1.1033750514603582</v>
      </c>
    </row>
    <row r="39" spans="1:47" outlineLevel="1">
      <c r="G39" s="32"/>
      <c r="H39" s="32"/>
    </row>
    <row r="40" spans="1:47" ht="10.5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8" priority="31" operator="equal">
      <formula>"Check"</formula>
    </cfRule>
    <cfRule type="cellIs" dxfId="117" priority="32" operator="equal">
      <formula>"Ok"</formula>
    </cfRule>
  </conditionalFormatting>
  <conditionalFormatting sqref="V1">
    <cfRule type="cellIs" dxfId="116" priority="33" operator="equal">
      <formula>"Check"</formula>
    </cfRule>
    <cfRule type="cellIs" dxfId="115" priority="34" operator="equal">
      <formula>"Ok"</formula>
    </cfRule>
  </conditionalFormatting>
  <conditionalFormatting sqref="J10:S10">
    <cfRule type="expression" dxfId="114" priority="29">
      <formula>J$10=J$4</formula>
    </cfRule>
  </conditionalFormatting>
  <conditionalFormatting sqref="J16:S20 J12:K15 Q15:S15">
    <cfRule type="expression" dxfId="113" priority="28">
      <formula>J$10=J$4</formula>
    </cfRule>
  </conditionalFormatting>
  <conditionalFormatting sqref="W22">
    <cfRule type="cellIs" dxfId="112" priority="24" operator="equal">
      <formula>"Check"</formula>
    </cfRule>
    <cfRule type="cellIs" dxfId="111" priority="25" operator="equal">
      <formula>"Ok"</formula>
    </cfRule>
  </conditionalFormatting>
  <conditionalFormatting sqref="J22:T22">
    <cfRule type="cellIs" dxfId="110" priority="22" operator="equal">
      <formula>"Check"</formula>
    </cfRule>
    <cfRule type="cellIs" dxfId="109" priority="23" operator="equal">
      <formula>"Ok"</formula>
    </cfRule>
  </conditionalFormatting>
  <conditionalFormatting sqref="W32">
    <cfRule type="cellIs" dxfId="108" priority="20" operator="equal">
      <formula>"Check"</formula>
    </cfRule>
    <cfRule type="cellIs" dxfId="107" priority="21" operator="equal">
      <formula>"Ok"</formula>
    </cfRule>
  </conditionalFormatting>
  <conditionalFormatting sqref="J32:T32">
    <cfRule type="cellIs" dxfId="106" priority="18" operator="equal">
      <formula>"Check"</formula>
    </cfRule>
    <cfRule type="cellIs" dxfId="105" priority="19" operator="equal">
      <formula>"Ok"</formula>
    </cfRule>
  </conditionalFormatting>
  <conditionalFormatting sqref="J28:K30 Q29:S30">
    <cfRule type="expression" dxfId="104" priority="17">
      <formula>J$26=J$4</formula>
    </cfRule>
  </conditionalFormatting>
  <conditionalFormatting sqref="W40">
    <cfRule type="cellIs" dxfId="103" priority="15" operator="equal">
      <formula>"Check"</formula>
    </cfRule>
    <cfRule type="cellIs" dxfId="102" priority="16" operator="equal">
      <formula>"Ok"</formula>
    </cfRule>
  </conditionalFormatting>
  <conditionalFormatting sqref="J40:T40">
    <cfRule type="cellIs" dxfId="101" priority="13" operator="equal">
      <formula>"Check"</formula>
    </cfRule>
    <cfRule type="cellIs" dxfId="100" priority="14" operator="equal">
      <formula>"Ok"</formula>
    </cfRule>
  </conditionalFormatting>
  <conditionalFormatting sqref="Q28:S28">
    <cfRule type="expression" dxfId="99" priority="12">
      <formula>Q$10=Q$4</formula>
    </cfRule>
  </conditionalFormatting>
  <conditionalFormatting sqref="J38:K38 Q38:S38">
    <cfRule type="expression" dxfId="98" priority="8">
      <formula>J$36=J$4</formula>
    </cfRule>
  </conditionalFormatting>
  <conditionalFormatting sqref="J26:S26">
    <cfRule type="expression" dxfId="97" priority="7">
      <formula>J$10=J$4</formula>
    </cfRule>
  </conditionalFormatting>
  <conditionalFormatting sqref="J36:S36">
    <cfRule type="expression" dxfId="96" priority="6">
      <formula>J$10=J$4</formula>
    </cfRule>
  </conditionalFormatting>
  <conditionalFormatting sqref="L15:P15 L12:S14">
    <cfRule type="expression" dxfId="95" priority="5">
      <formula>L$10=L$4</formula>
    </cfRule>
  </conditionalFormatting>
  <conditionalFormatting sqref="L28:P30">
    <cfRule type="expression" dxfId="94" priority="4">
      <formula>L$26=L$4</formula>
    </cfRule>
  </conditionalFormatting>
  <conditionalFormatting sqref="L38:P38">
    <cfRule type="expression" dxfId="93" priority="1">
      <formula>L$36=L$4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9"/>
  <sheetViews>
    <sheetView workbookViewId="0"/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2"/>
      <c r="E3" s="182"/>
      <c r="F3" s="182"/>
      <c r="G3" s="182"/>
      <c r="H3" s="182"/>
      <c r="I3" s="182"/>
      <c r="J3" s="172" t="s">
        <v>130</v>
      </c>
      <c r="K3" s="172"/>
      <c r="L3" s="172"/>
      <c r="M3" s="182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90</v>
      </c>
      <c r="C8" s="94"/>
      <c r="D8" s="94"/>
      <c r="E8" s="68" t="s">
        <v>15</v>
      </c>
      <c r="F8" s="206">
        <f>DATE(PPLastYear,MONTH('Input|General'!$G$9),1)</f>
        <v>45444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43983</v>
      </c>
      <c r="K10" s="163">
        <f t="shared" si="0"/>
        <v>44348</v>
      </c>
      <c r="L10" s="163">
        <f t="shared" si="0"/>
        <v>44713</v>
      </c>
      <c r="M10" s="163">
        <f t="shared" si="0"/>
        <v>45078</v>
      </c>
      <c r="N10" s="163">
        <f t="shared" si="0"/>
        <v>45444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173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91.390233242584898</v>
      </c>
      <c r="M12" s="109">
        <f>IF(YEAR(M$4)=BaseYear,'Input|Reported opex'!M44,0)</f>
        <v>0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  <c r="W12" s="220"/>
    </row>
    <row r="13" spans="1:47" outlineLevel="1">
      <c r="C13" s="106" t="s">
        <v>173</v>
      </c>
      <c r="D13" s="110" t="s">
        <v>30</v>
      </c>
      <c r="E13" s="30" t="str">
        <f>$E$8</f>
        <v>$millions</v>
      </c>
      <c r="F13" s="161">
        <f>$F$8</f>
        <v>45444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104.29178295993313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W13" s="219"/>
    </row>
    <row r="14" spans="1:47" outlineLevel="1">
      <c r="C14" s="111" t="s">
        <v>174</v>
      </c>
      <c r="D14" s="108" t="s">
        <v>96</v>
      </c>
      <c r="E14" s="30" t="str">
        <f>'Input|Reported opex'!E15</f>
        <v>$millions</v>
      </c>
      <c r="F14" s="161">
        <f>'Input|Reported opex'!F15</f>
        <v>43617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89.452514615635749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174</v>
      </c>
      <c r="D15" s="110" t="s">
        <v>30</v>
      </c>
      <c r="E15" s="30" t="str">
        <f>$E$8</f>
        <v>$millions</v>
      </c>
      <c r="F15" s="161">
        <f>$F$8</f>
        <v>45444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108.83453739109889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175</v>
      </c>
      <c r="D16" s="108" t="s">
        <v>96</v>
      </c>
      <c r="E16" s="30" t="str">
        <f>'Input|Reported opex'!E15</f>
        <v>$millions</v>
      </c>
      <c r="F16" s="161">
        <f>'Input|Reported opex'!F15</f>
        <v>43617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87.733734262187028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175</v>
      </c>
      <c r="D17" s="110" t="s">
        <v>30</v>
      </c>
      <c r="E17" s="30" t="str">
        <f>$E$8</f>
        <v>$millions</v>
      </c>
      <c r="F17" s="161">
        <f>$F$8</f>
        <v>45444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106.74334224193755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176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-8.2565377460805927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176</v>
      </c>
      <c r="D20" s="110" t="s">
        <v>30</v>
      </c>
      <c r="E20" s="30" t="str">
        <f>$E$8</f>
        <v>$millions</v>
      </c>
      <c r="F20" s="161">
        <f>$F$8</f>
        <v>45444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-9.422112320570081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177</v>
      </c>
      <c r="D21" s="108" t="s">
        <v>96</v>
      </c>
      <c r="E21" s="30" t="str">
        <f>'Input|Reported opex'!E22</f>
        <v>$millions</v>
      </c>
      <c r="F21" s="161">
        <f>'Input|Reported opex'!F29</f>
        <v>43617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-8.7205710120342079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177</v>
      </c>
      <c r="D22" s="110" t="s">
        <v>30</v>
      </c>
      <c r="E22" s="30" t="str">
        <f>$E$8</f>
        <v>$millions</v>
      </c>
      <c r="F22" s="161">
        <f>$F$8</f>
        <v>45444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-10.610090906433539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178</v>
      </c>
      <c r="D23" s="108" t="s">
        <v>96</v>
      </c>
      <c r="E23" s="30" t="str">
        <f>'Input|Reported opex'!E22</f>
        <v>$millions</v>
      </c>
      <c r="F23" s="161">
        <f>'Input|Reported opex'!F29</f>
        <v>43617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-8.7534728288767401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178</v>
      </c>
      <c r="D24" s="110" t="s">
        <v>30</v>
      </c>
      <c r="E24" s="30" t="str">
        <f>$E$8</f>
        <v>$millions</v>
      </c>
      <c r="F24" s="161">
        <f>$F$8</f>
        <v>45444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-10.650121687354233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ht="10.5" outlineLevel="1">
      <c r="C26" s="113" t="s">
        <v>147</v>
      </c>
      <c r="D26" s="114" t="s">
        <v>30</v>
      </c>
      <c r="E26" s="114" t="str">
        <f>$E$8</f>
        <v>$millions</v>
      </c>
      <c r="F26" s="161">
        <f>$F$8</f>
        <v>45444</v>
      </c>
      <c r="J26" s="115">
        <f>J13</f>
        <v>0</v>
      </c>
      <c r="K26" s="115">
        <f t="shared" ref="K26:S26" si="1">K13</f>
        <v>0</v>
      </c>
      <c r="L26" s="115">
        <f t="shared" si="1"/>
        <v>104.29178295993313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ht="10.5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170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45444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167</v>
      </c>
      <c r="D31" s="110" t="s">
        <v>30</v>
      </c>
      <c r="E31" s="110" t="str">
        <f>$E$8</f>
        <v>$millions</v>
      </c>
      <c r="F31" s="161">
        <f>$F$8</f>
        <v>45444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-2.0911951491613365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ht="10.5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ht="10.5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45444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102.20058781077179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ht="10.5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ht="10.5" outlineLevel="1">
      <c r="C35" s="123" t="s">
        <v>179</v>
      </c>
      <c r="D35" s="110" t="s">
        <v>30</v>
      </c>
      <c r="E35" s="110" t="str">
        <f>$E$8</f>
        <v>$millions</v>
      </c>
      <c r="F35" s="161">
        <f>$F$8</f>
        <v>45444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-9.4621431014907742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ht="10.5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45444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45444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45444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45444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45444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45444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ht="10.5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8" t="s">
        <v>180</v>
      </c>
      <c r="D54" s="112" t="s">
        <v>103</v>
      </c>
      <c r="E54" s="112" t="str">
        <f>$E$8</f>
        <v>$millions</v>
      </c>
      <c r="F54" s="179">
        <f>$F$8</f>
        <v>45444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92.738444709281026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45809</v>
      </c>
      <c r="P58" s="163">
        <f>IF(YEAR(P$4)&gt;='Input|General'!$G$13,IF(YEAR(P$4)&lt;='Input|General'!$G$14,P$4,""),"")</f>
        <v>46174</v>
      </c>
      <c r="Q58" s="163">
        <f>IF(YEAR(Q$4)&gt;='Input|General'!$G$13,IF(YEAR(Q$4)&lt;='Input|General'!$G$14,Q$4,""),"")</f>
        <v>46539</v>
      </c>
      <c r="R58" s="163">
        <f>IF(YEAR(R$4)&gt;='Input|General'!$G$13,IF(YEAR(R$4)&lt;='Input|General'!$G$14,R$4,""),"")</f>
        <v>46905</v>
      </c>
      <c r="S58" s="163">
        <f>IF(YEAR(S$4)&gt;='Input|General'!$G$13,IF(YEAR(S$4)&lt;='Input|General'!$G$14,S$4,""),"")</f>
        <v>47270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5.735119610157601E-3</v>
      </c>
      <c r="P61" s="117">
        <f>IF(P58=P4,AVERAGE('Input|Rate of change'!Q95:Q98),0)</f>
        <v>5.6933524347341528E-3</v>
      </c>
      <c r="Q61" s="117">
        <f>IF(Q58=Q4,AVERAGE('Input|Rate of change'!R95:R98),0)</f>
        <v>5.6387877897326258E-3</v>
      </c>
      <c r="R61" s="117">
        <f>IF(R58=R4,AVERAGE('Input|Rate of change'!S95:S98),0)</f>
        <v>5.6036058535524989E-3</v>
      </c>
      <c r="S61" s="117">
        <f>IF(S58=S4,AVERAGE('Input|Rate of change'!T95:T98),0)</f>
        <v>5.5466205433678207E-3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7.7879147209159632E-3</v>
      </c>
      <c r="P63" s="117">
        <f>SUMPRODUCT('Input|Rate of change'!Q36:Q43,'Input|Rate of change'!Q49:Q56)</f>
        <v>7.207215214412711E-3</v>
      </c>
      <c r="Q63" s="117">
        <f>SUMPRODUCT('Input|Rate of change'!R36:R43,'Input|Rate of change'!R49:R56)</f>
        <v>3.5628665142695389E-3</v>
      </c>
      <c r="R63" s="117">
        <f>SUMPRODUCT('Input|Rate of change'!S36:S43,'Input|Rate of change'!S49:S56)</f>
        <v>1.6445480376944563E-3</v>
      </c>
      <c r="S63" s="117">
        <f>SUMPRODUCT('Input|Rate of change'!T36:T43,'Input|Rate of change'!T49:T56)</f>
        <v>2.9981063404502968E-3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0.03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ht="10.5" outlineLevel="1">
      <c r="C67" s="118" t="s">
        <v>148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-1.68393320150938E-2</v>
      </c>
      <c r="P67" s="143">
        <f t="shared" si="6"/>
        <v>7.8768928611083755E-3</v>
      </c>
      <c r="Q67" s="143">
        <f t="shared" si="6"/>
        <v>4.1756358294382512E-3</v>
      </c>
      <c r="R67" s="143">
        <f t="shared" si="6"/>
        <v>2.2210824438062549E-3</v>
      </c>
      <c r="S67" s="143">
        <f t="shared" si="6"/>
        <v>3.5185494608269696E-3</v>
      </c>
    </row>
    <row r="68" spans="1:47" ht="10.5" outlineLevel="1">
      <c r="C68" s="124" t="s">
        <v>149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-1.68393320150938E-2</v>
      </c>
      <c r="P68" s="117">
        <f t="array" ref="P68">IF(P$58=P$4,PRODUCT(1+$J67:P67)-1,"")</f>
        <v>-9.0950807681209334E-3</v>
      </c>
      <c r="Q68" s="117">
        <f t="array" ref="Q68">IF(Q$58=Q$4,PRODUCT(1+$J67:Q67)-1,"")</f>
        <v>-4.9574226838097202E-3</v>
      </c>
      <c r="R68" s="117">
        <f t="array" ref="R68">IF(R$58=R$4,PRODUCT(1+$J67:R67)-1,"")</f>
        <v>-2.7473510844929772E-3</v>
      </c>
      <c r="S68" s="117">
        <f t="array" ref="S68">IF(S$58=S$4,PRODUCT(1+$J67:S67)-1,"")</f>
        <v>7.6153168565684659E-4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3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ht="10.5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45809</v>
      </c>
      <c r="P72" s="163">
        <f>IF(YEAR(P$4)&gt;='Input|General'!$G$13,IF(YEAR(P$4)&lt;='Input|General'!$G$14,P$4,""),"")</f>
        <v>46174</v>
      </c>
      <c r="Q72" s="163">
        <f>IF(YEAR(Q$4)&gt;='Input|General'!$G$13,IF(YEAR(Q$4)&lt;='Input|General'!$G$14,Q$4,""),"")</f>
        <v>46539</v>
      </c>
      <c r="R72" s="163">
        <f>IF(YEAR(R$4)&gt;='Input|General'!$G$13,IF(YEAR(R$4)&lt;='Input|General'!$G$14,R$4,""),"")</f>
        <v>46905</v>
      </c>
      <c r="S72" s="163">
        <f>IF(YEAR(S$4)&gt;='Input|General'!$G$13,IF(YEAR(S$4)&lt;='Input|General'!$G$14,S$4,""),"")</f>
        <v>47270</v>
      </c>
    </row>
    <row r="73" spans="1:47" ht="10.5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Insurance Cost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45444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2.7858419780399721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3.4921663467969841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4.1068150600261726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4.3406324688130749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4.3884354144885664</v>
      </c>
    </row>
    <row r="75" spans="1:47" outlineLevel="1">
      <c r="C75" s="121" t="str">
        <f>'Input|Step changes'!C13</f>
        <v>Cybersecurity</v>
      </c>
      <c r="D75" s="110" t="s">
        <v>30</v>
      </c>
      <c r="E75" s="30" t="str">
        <f t="shared" si="7"/>
        <v>$millions</v>
      </c>
      <c r="F75" s="161">
        <f t="shared" si="8"/>
        <v>45444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0.41518263414254947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0.73131459840499835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0.88709538255882936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0.91110932740601358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0.9165318310811843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45444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45444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45444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45444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45444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45444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45444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ht="10.5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45444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3.2010246121825214</v>
      </c>
      <c r="P84" s="176">
        <f t="shared" si="9"/>
        <v>4.2234809452019828</v>
      </c>
      <c r="Q84" s="176">
        <f t="shared" si="9"/>
        <v>4.9939104425850021</v>
      </c>
      <c r="R84" s="176">
        <f t="shared" si="9"/>
        <v>5.251741796219088</v>
      </c>
      <c r="S84" s="176">
        <f t="shared" si="9"/>
        <v>5.3049672455697507</v>
      </c>
    </row>
    <row r="85" spans="1:47" ht="10.5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3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ht="10.5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45809</v>
      </c>
      <c r="P88" s="163">
        <f>IF(YEAR(P$4)&gt;='Input|General'!$G$13,IF(YEAR(P$4)&lt;='Input|General'!$G$14,P$4,""),"")</f>
        <v>46174</v>
      </c>
      <c r="Q88" s="163">
        <f>IF(YEAR(Q$4)&gt;='Input|General'!$G$13,IF(YEAR(Q$4)&lt;='Input|General'!$G$14,Q$4,""),"")</f>
        <v>46539</v>
      </c>
      <c r="R88" s="163">
        <f>IF(YEAR(R$4)&gt;='Input|General'!$G$13,IF(YEAR(R$4)&lt;='Input|General'!$G$14,R$4,""),"")</f>
        <v>46905</v>
      </c>
      <c r="S88" s="163">
        <f>IF(YEAR(S$4)&gt;='Input|General'!$G$13,IF(YEAR(S$4)&lt;='Input|General'!$G$14,S$4,""),"")</f>
        <v>47270</v>
      </c>
    </row>
    <row r="89" spans="1:47" ht="10.5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GSL payments</v>
      </c>
      <c r="D90" s="110" t="s">
        <v>30</v>
      </c>
      <c r="E90" s="30" t="str">
        <f t="shared" si="7"/>
        <v>$millions</v>
      </c>
      <c r="F90" s="161">
        <f t="shared" ref="F90:F92" si="10">$F$8</f>
        <v>45444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3.967224149885753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3.967224149885753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3.967224149885753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3.967224149885753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3.967224149885753</v>
      </c>
    </row>
    <row r="91" spans="1:47" outlineLevel="1">
      <c r="C91" s="121" t="str">
        <f>'Input|Step changes'!C29</f>
        <v>Electrical safety levy</v>
      </c>
      <c r="D91" s="110" t="s">
        <v>30</v>
      </c>
      <c r="E91" s="30" t="str">
        <f t="shared" si="7"/>
        <v>$millions</v>
      </c>
      <c r="F91" s="161">
        <f t="shared" si="10"/>
        <v>45444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5.0909193562026953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5.0909193562026953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5.0909193562026953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5.0909193562026953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5.0909193562026953</v>
      </c>
    </row>
    <row r="92" spans="1:47" outlineLevel="1">
      <c r="C92" s="121" t="str">
        <f>'Input|Step changes'!C30</f>
        <v>Nem Levy</v>
      </c>
      <c r="D92" s="110" t="s">
        <v>30</v>
      </c>
      <c r="E92" s="30" t="str">
        <f t="shared" si="7"/>
        <v>$millions</v>
      </c>
      <c r="F92" s="161">
        <f t="shared" si="10"/>
        <v>45444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1.4707577158458118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1.4700065627733678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1.364845132631175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1.169545333795674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1.169545333795674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ht="10.5" outlineLevel="1">
      <c r="C94" s="113" t="s">
        <v>129</v>
      </c>
      <c r="D94" s="122" t="s">
        <v>30</v>
      </c>
      <c r="E94" s="122" t="str">
        <f>$E$8</f>
        <v>$millions</v>
      </c>
      <c r="F94" s="174">
        <f t="shared" ref="F94" si="11">$F$8</f>
        <v>45444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10.528901221934261</v>
      </c>
      <c r="P94" s="128">
        <f t="shared" si="12"/>
        <v>10.528150068861816</v>
      </c>
      <c r="Q94" s="128">
        <f t="shared" si="12"/>
        <v>10.422988638719623</v>
      </c>
      <c r="R94" s="128">
        <f t="shared" si="12"/>
        <v>10.227688839884124</v>
      </c>
      <c r="S94" s="128">
        <f t="shared" si="12"/>
        <v>10.227688839884124</v>
      </c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45809</v>
      </c>
      <c r="P98" s="163">
        <f>IF(YEAR(P$4)&gt;='Input|General'!$G$13,IF(YEAR(P$4)&lt;='Input|General'!$G$14,P$4,""),"")</f>
        <v>46174</v>
      </c>
      <c r="Q98" s="163">
        <f>IF(YEAR(Q$4)&gt;='Input|General'!$G$13,IF(YEAR(Q$4)&lt;='Input|General'!$G$14,Q$4,""),"")</f>
        <v>46539</v>
      </c>
      <c r="R98" s="163">
        <f>IF(YEAR(R$4)&gt;='Input|General'!$G$13,IF(YEAR(R$4)&lt;='Input|General'!$G$14,R$4,""),"")</f>
        <v>46905</v>
      </c>
      <c r="S98" s="163">
        <f>IF(YEAR(S$4)&gt;='Input|General'!$G$13,IF(YEAR(S$4)&lt;='Input|General'!$G$14,S$4,""),"")</f>
        <v>47270</v>
      </c>
    </row>
    <row r="99" spans="1:47" ht="10.5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ht="10.5" outlineLevel="1">
      <c r="C100" s="123" t="s">
        <v>145</v>
      </c>
      <c r="D100" s="126" t="s">
        <v>30</v>
      </c>
      <c r="E100" s="126" t="str">
        <f>$E$8</f>
        <v>$millions</v>
      </c>
      <c r="F100" s="174">
        <f t="shared" ref="F100:F102" si="13">$F$8</f>
        <v>45444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94.377815860440549</v>
      </c>
      <c r="P100" s="151">
        <f t="shared" si="14"/>
        <v>96.118462009542185</v>
      </c>
      <c r="Q100" s="151">
        <f t="shared" si="14"/>
        <v>97.272611482403008</v>
      </c>
      <c r="R100" s="151">
        <f t="shared" si="14"/>
        <v>97.735401438853884</v>
      </c>
      <c r="S100" s="151">
        <f t="shared" si="14"/>
        <v>98.114035218975431</v>
      </c>
    </row>
    <row r="101" spans="1:47" ht="10.5" outlineLevel="1">
      <c r="C101" s="123" t="s">
        <v>113</v>
      </c>
      <c r="D101" s="126" t="s">
        <v>30</v>
      </c>
      <c r="E101" s="126" t="str">
        <f>$E$8</f>
        <v>$millions</v>
      </c>
      <c r="F101" s="174">
        <f t="shared" si="13"/>
        <v>45444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104.90671708237481</v>
      </c>
      <c r="P101" s="151">
        <f t="shared" si="15"/>
        <v>106.646612078404</v>
      </c>
      <c r="Q101" s="151">
        <f t="shared" si="15"/>
        <v>107.69560012112262</v>
      </c>
      <c r="R101" s="151">
        <f t="shared" si="15"/>
        <v>107.96309027873801</v>
      </c>
      <c r="S101" s="151">
        <f t="shared" si="15"/>
        <v>108.34172405885955</v>
      </c>
    </row>
    <row r="102" spans="1:47" ht="10.5" outlineLevel="1">
      <c r="C102" s="123" t="s">
        <v>114</v>
      </c>
      <c r="D102" s="126" t="s">
        <v>30</v>
      </c>
      <c r="E102" s="126" t="str">
        <f>$E$8</f>
        <v>$millions</v>
      </c>
      <c r="F102" s="174">
        <f t="shared" si="13"/>
        <v>45444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105.98711690158774</v>
      </c>
      <c r="P102" s="151">
        <f>IF(YEAR(P$4)&gt;=FPFirstYear,IF(YEAR(P$4)&lt;=FPLastYear,P101+'Input|Step changes'!P38,""),"")</f>
        <v>107.73926594516287</v>
      </c>
      <c r="Q102" s="151">
        <f>IF(YEAR(Q$4)&gt;=FPFirstYear,IF(YEAR(Q$4)&lt;=FPLastYear,Q101+'Input|Step changes'!Q38,""),"")</f>
        <v>108.80093612359664</v>
      </c>
      <c r="R102" s="151">
        <f>IF(YEAR(R$4)&gt;=FPFirstYear,IF(YEAR(R$4)&lt;=FPLastYear,R101+'Input|Step changes'!R38,""),"")</f>
        <v>109.06891978570046</v>
      </c>
      <c r="S102" s="151">
        <f>IF(YEAR(S$4)&gt;=FPFirstYear,IF(YEAR(S$4)&lt;=FPLastYear,S101+'Input|Step changes'!S38,""),"")</f>
        <v>109.44509911031992</v>
      </c>
    </row>
    <row r="103" spans="1:47" ht="10.5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3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13" s="29" customFormat="1" hidden="1"/>
    <row r="114" s="29" customFormat="1" hidden="1"/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</sheetData>
  <mergeCells count="1">
    <mergeCell ref="N3:S3"/>
  </mergeCells>
  <conditionalFormatting sqref="S1">
    <cfRule type="cellIs" dxfId="92" priority="100" operator="equal">
      <formula>"Check"</formula>
    </cfRule>
    <cfRule type="cellIs" dxfId="91" priority="101" operator="equal">
      <formula>"Ok"</formula>
    </cfRule>
  </conditionalFormatting>
  <conditionalFormatting sqref="V1">
    <cfRule type="cellIs" dxfId="90" priority="102" operator="equal">
      <formula>"Check"</formula>
    </cfRule>
    <cfRule type="cellIs" dxfId="89" priority="103" operator="equal">
      <formula>"Ok"</formula>
    </cfRule>
  </conditionalFormatting>
  <conditionalFormatting sqref="R39:S39 R42:S42 R45:S45 R48:S48 J12:S18">
    <cfRule type="cellIs" dxfId="88" priority="99" operator="equal">
      <formula>0</formula>
    </cfRule>
  </conditionalFormatting>
  <conditionalFormatting sqref="J13:S13">
    <cfRule type="cellIs" dxfId="87" priority="98" operator="equal">
      <formula>0</formula>
    </cfRule>
  </conditionalFormatting>
  <conditionalFormatting sqref="J14:S14">
    <cfRule type="cellIs" dxfId="86" priority="97" operator="equal">
      <formula>0</formula>
    </cfRule>
  </conditionalFormatting>
  <conditionalFormatting sqref="J15:S15">
    <cfRule type="cellIs" dxfId="85" priority="96" operator="equal">
      <formula>0</formula>
    </cfRule>
  </conditionalFormatting>
  <conditionalFormatting sqref="J16:S16">
    <cfRule type="cellIs" dxfId="84" priority="95" operator="equal">
      <formula>0</formula>
    </cfRule>
  </conditionalFormatting>
  <conditionalFormatting sqref="J17:S18">
    <cfRule type="cellIs" dxfId="83" priority="94" operator="equal">
      <formula>0</formula>
    </cfRule>
  </conditionalFormatting>
  <conditionalFormatting sqref="J62:S65">
    <cfRule type="cellIs" dxfId="82" priority="93" operator="equal">
      <formula>0</formula>
    </cfRule>
  </conditionalFormatting>
  <conditionalFormatting sqref="J74:S82 J90:S92">
    <cfRule type="cellIs" dxfId="81" priority="91" operator="equal">
      <formula>0</formula>
    </cfRule>
  </conditionalFormatting>
  <conditionalFormatting sqref="J36:S36 J33:S34 J51:S54">
    <cfRule type="cellIs" dxfId="80" priority="88" operator="equal">
      <formula>0</formula>
    </cfRule>
  </conditionalFormatting>
  <conditionalFormatting sqref="J101:S102">
    <cfRule type="cellIs" dxfId="79" priority="87" operator="equal">
      <formula>0</formula>
    </cfRule>
  </conditionalFormatting>
  <conditionalFormatting sqref="J101:S102">
    <cfRule type="cellIs" dxfId="78" priority="86" operator="equal">
      <formula>0</formula>
    </cfRule>
  </conditionalFormatting>
  <conditionalFormatting sqref="J46:S46">
    <cfRule type="cellIs" dxfId="77" priority="49" operator="equal">
      <formula>0</formula>
    </cfRule>
  </conditionalFormatting>
  <conditionalFormatting sqref="J39:Q39 J42:Q42 J45:Q45">
    <cfRule type="cellIs" dxfId="76" priority="67" operator="equal">
      <formula>0</formula>
    </cfRule>
  </conditionalFormatting>
  <conditionalFormatting sqref="J39:Q39 J42:Q42 J45:Q45">
    <cfRule type="cellIs" dxfId="75" priority="66" operator="equal">
      <formula>0</formula>
    </cfRule>
  </conditionalFormatting>
  <conditionalFormatting sqref="J37:S37">
    <cfRule type="cellIs" dxfId="74" priority="62" operator="equal">
      <formula>0</formula>
    </cfRule>
  </conditionalFormatting>
  <conditionalFormatting sqref="J37:S37">
    <cfRule type="cellIs" dxfId="73" priority="61" operator="equal">
      <formula>0</formula>
    </cfRule>
  </conditionalFormatting>
  <conditionalFormatting sqref="J48:Q48">
    <cfRule type="cellIs" dxfId="72" priority="52" operator="equal">
      <formula>0</formula>
    </cfRule>
  </conditionalFormatting>
  <conditionalFormatting sqref="J48:Q48">
    <cfRule type="cellIs" dxfId="71" priority="51" operator="equal">
      <formula>0</formula>
    </cfRule>
  </conditionalFormatting>
  <conditionalFormatting sqref="J40:S40">
    <cfRule type="cellIs" dxfId="70" priority="58" operator="equal">
      <formula>0</formula>
    </cfRule>
  </conditionalFormatting>
  <conditionalFormatting sqref="J40:S40">
    <cfRule type="cellIs" dxfId="69" priority="57" operator="equal">
      <formula>0</formula>
    </cfRule>
  </conditionalFormatting>
  <conditionalFormatting sqref="J46:S46">
    <cfRule type="cellIs" dxfId="68" priority="50" operator="equal">
      <formula>0</formula>
    </cfRule>
  </conditionalFormatting>
  <conditionalFormatting sqref="J43:S43">
    <cfRule type="cellIs" dxfId="67" priority="54" operator="equal">
      <formula>0</formula>
    </cfRule>
  </conditionalFormatting>
  <conditionalFormatting sqref="J43:S43">
    <cfRule type="cellIs" dxfId="66" priority="53" operator="equal">
      <formula>0</formula>
    </cfRule>
  </conditionalFormatting>
  <conditionalFormatting sqref="J49:S49">
    <cfRule type="cellIs" dxfId="65" priority="44" operator="equal">
      <formula>0</formula>
    </cfRule>
  </conditionalFormatting>
  <conditionalFormatting sqref="J49:S49">
    <cfRule type="cellIs" dxfId="64" priority="45" operator="equal">
      <formula>0</formula>
    </cfRule>
  </conditionalFormatting>
  <conditionalFormatting sqref="J38:S38">
    <cfRule type="cellIs" dxfId="63" priority="43" operator="equal">
      <formula>0</formula>
    </cfRule>
  </conditionalFormatting>
  <conditionalFormatting sqref="J38:S38">
    <cfRule type="cellIs" dxfId="62" priority="42" operator="equal">
      <formula>0</formula>
    </cfRule>
  </conditionalFormatting>
  <conditionalFormatting sqref="J41:S41">
    <cfRule type="cellIs" dxfId="61" priority="41" operator="equal">
      <formula>0</formula>
    </cfRule>
  </conditionalFormatting>
  <conditionalFormatting sqref="J41:S41">
    <cfRule type="cellIs" dxfId="60" priority="40" operator="equal">
      <formula>0</formula>
    </cfRule>
  </conditionalFormatting>
  <conditionalFormatting sqref="J44:S44">
    <cfRule type="cellIs" dxfId="59" priority="39" operator="equal">
      <formula>0</formula>
    </cfRule>
  </conditionalFormatting>
  <conditionalFormatting sqref="J44:S44">
    <cfRule type="cellIs" dxfId="58" priority="38" operator="equal">
      <formula>0</formula>
    </cfRule>
  </conditionalFormatting>
  <conditionalFormatting sqref="J47:S47">
    <cfRule type="cellIs" dxfId="57" priority="37" operator="equal">
      <formula>0</formula>
    </cfRule>
  </conditionalFormatting>
  <conditionalFormatting sqref="J47:S47">
    <cfRule type="cellIs" dxfId="56" priority="36" operator="equal">
      <formula>0</formula>
    </cfRule>
  </conditionalFormatting>
  <conditionalFormatting sqref="J50:S50">
    <cfRule type="cellIs" dxfId="55" priority="35" operator="equal">
      <formula>0</formula>
    </cfRule>
  </conditionalFormatting>
  <conditionalFormatting sqref="J50:S50">
    <cfRule type="cellIs" dxfId="54" priority="34" operator="equal">
      <formula>0</formula>
    </cfRule>
  </conditionalFormatting>
  <conditionalFormatting sqref="J100:S100">
    <cfRule type="cellIs" dxfId="53" priority="23" operator="equal">
      <formula>0</formula>
    </cfRule>
  </conditionalFormatting>
  <conditionalFormatting sqref="J100:S100">
    <cfRule type="cellIs" dxfId="52" priority="22" operator="equal">
      <formula>0</formula>
    </cfRule>
  </conditionalFormatting>
  <conditionalFormatting sqref="J10:S10">
    <cfRule type="expression" dxfId="51" priority="21">
      <formula>J$10=J$4</formula>
    </cfRule>
  </conditionalFormatting>
  <conditionalFormatting sqref="J25:S25">
    <cfRule type="expression" dxfId="50" priority="20">
      <formula>J$10=J$4</formula>
    </cfRule>
  </conditionalFormatting>
  <conditionalFormatting sqref="J54:S54">
    <cfRule type="expression" dxfId="49" priority="19">
      <formula>J$10=J$4</formula>
    </cfRule>
  </conditionalFormatting>
  <conditionalFormatting sqref="J26:S28 J30:S30">
    <cfRule type="cellIs" dxfId="48" priority="16" operator="equal">
      <formula>0</formula>
    </cfRule>
  </conditionalFormatting>
  <conditionalFormatting sqref="J31:S32">
    <cfRule type="cellIs" dxfId="47" priority="15" operator="equal">
      <formula>0</formula>
    </cfRule>
  </conditionalFormatting>
  <conditionalFormatting sqref="J68:S68">
    <cfRule type="cellIs" dxfId="46" priority="12" operator="equal">
      <formula>0</formula>
    </cfRule>
  </conditionalFormatting>
  <conditionalFormatting sqref="J35:S35">
    <cfRule type="cellIs" dxfId="45" priority="11" operator="equal">
      <formula>0</formula>
    </cfRule>
  </conditionalFormatting>
  <conditionalFormatting sqref="J35:S35">
    <cfRule type="cellIs" dxfId="44" priority="10" operator="equal">
      <formula>0</formula>
    </cfRule>
  </conditionalFormatting>
  <conditionalFormatting sqref="J29:S29">
    <cfRule type="cellIs" dxfId="43" priority="9" operator="equal">
      <formula>0</formula>
    </cfRule>
  </conditionalFormatting>
  <conditionalFormatting sqref="J29:S29">
    <cfRule type="cellIs" dxfId="42" priority="8" operator="equal">
      <formula>0</formula>
    </cfRule>
  </conditionalFormatting>
  <conditionalFormatting sqref="J19:S24">
    <cfRule type="cellIs" dxfId="41" priority="7" operator="equal">
      <formula>0</formula>
    </cfRule>
  </conditionalFormatting>
  <conditionalFormatting sqref="J20:S20">
    <cfRule type="cellIs" dxfId="40" priority="6" operator="equal">
      <formula>0</formula>
    </cfRule>
  </conditionalFormatting>
  <conditionalFormatting sqref="J21:S21">
    <cfRule type="cellIs" dxfId="39" priority="5" operator="equal">
      <formula>0</formula>
    </cfRule>
  </conditionalFormatting>
  <conditionalFormatting sqref="J22:S22">
    <cfRule type="cellIs" dxfId="38" priority="4" operator="equal">
      <formula>0</formula>
    </cfRule>
  </conditionalFormatting>
  <conditionalFormatting sqref="J23:S23">
    <cfRule type="cellIs" dxfId="37" priority="3" operator="equal">
      <formula>0</formula>
    </cfRule>
  </conditionalFormatting>
  <conditionalFormatting sqref="J24:S24">
    <cfRule type="cellIs" dxfId="36" priority="2" operator="equal">
      <formula>0</formula>
    </cfRule>
  </conditionalFormatting>
  <conditionalFormatting sqref="J67:S67">
    <cfRule type="expression" dxfId="35" priority="105">
      <formula>J$58=J$4</formula>
    </cfRule>
    <cfRule type="cellIs" dxfId="34" priority="106" operator="equal">
      <formula>0</formula>
    </cfRule>
  </conditionalFormatting>
  <conditionalFormatting sqref="J94:S94">
    <cfRule type="expression" dxfId="33" priority="107">
      <formula>J$88=J$4</formula>
    </cfRule>
    <cfRule type="cellIs" dxfId="32" priority="108" operator="equal">
      <formula>0</formula>
    </cfRule>
  </conditionalFormatting>
  <conditionalFormatting sqref="J84:S84">
    <cfRule type="expression" dxfId="31" priority="109">
      <formula>J$72=J$4</formula>
    </cfRule>
    <cfRule type="cellIs" dxfId="30" priority="110" operator="equal">
      <formula>0</formula>
    </cfRule>
  </conditionalFormatting>
  <conditionalFormatting sqref="J58:S58 J72:S72 J88:S88">
    <cfRule type="expression" dxfId="29" priority="111">
      <formula>J$58=J$4</formula>
    </cfRule>
  </conditionalFormatting>
  <conditionalFormatting sqref="J98:S98">
    <cfRule type="expression" dxfId="28" priority="114">
      <formula>J$98=J$4</formula>
    </cfRule>
  </conditionalFormatting>
  <conditionalFormatting sqref="J61:S61">
    <cfRule type="cellIs" dxfId="27" priority="1" operator="equal">
      <formula>0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24"/>
  <sheetViews>
    <sheetView workbookViewId="0">
      <selection activeCell="O13" sqref="O13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82"/>
      <c r="E3" s="182"/>
      <c r="F3" s="182"/>
      <c r="G3" s="182"/>
      <c r="H3" s="182"/>
      <c r="I3" s="182"/>
      <c r="J3" s="172" t="s">
        <v>130</v>
      </c>
      <c r="K3" s="172"/>
      <c r="L3" s="172"/>
      <c r="M3" s="182"/>
      <c r="N3" s="228"/>
      <c r="O3" s="228"/>
      <c r="P3" s="228"/>
      <c r="Q3" s="228"/>
      <c r="R3" s="228"/>
      <c r="S3" s="228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43983</v>
      </c>
      <c r="K4" s="156">
        <f>DATE(PPFirstYear+1,MONTH('Input|General'!$G$9),1)</f>
        <v>44348</v>
      </c>
      <c r="L4" s="156">
        <f>DATE(PPFirstYear+2,MONTH('Input|General'!$G$9),1)</f>
        <v>44713</v>
      </c>
      <c r="M4" s="156">
        <f>DATE(PPFirstYear+3,MONTH('Input|General'!$G$9),1)</f>
        <v>45078</v>
      </c>
      <c r="N4" s="156">
        <f>DATE(PPFirstYear+4,MONTH('Input|General'!$G$9),1)</f>
        <v>45444</v>
      </c>
      <c r="O4" s="156">
        <f>DATE(PPFirstYear+5,MONTH('Input|General'!$G$9),1)</f>
        <v>45809</v>
      </c>
      <c r="P4" s="156">
        <f>DATE(PPFirstYear+6,MONTH('Input|General'!$G$9),1)</f>
        <v>46174</v>
      </c>
      <c r="Q4" s="156">
        <f>DATE(PPFirstYear+7,MONTH('Input|General'!$G$9),1)</f>
        <v>46539</v>
      </c>
      <c r="R4" s="156">
        <f>DATE(PPFirstYear+8,MONTH('Input|General'!$G$9),1)</f>
        <v>46905</v>
      </c>
      <c r="S4" s="156">
        <f>DATE(PPFirstYear+9,MONTH('Input|General'!$G$9),1)</f>
        <v>47270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">
        <v>15</v>
      </c>
      <c r="F8" s="206">
        <f>DATE(PPLastYear,MONTH('Input|General'!$G$9),1)</f>
        <v>45444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45809</v>
      </c>
      <c r="P11" s="163">
        <f>IF(YEAR(P$4)&gt;='Input|General'!$G$13,IF(YEAR(P$4)&lt;='Input|General'!$G$14,P$4,""),"")</f>
        <v>46174</v>
      </c>
      <c r="Q11" s="163">
        <f>IF(YEAR(Q$4)&gt;='Input|General'!$G$13,IF(YEAR(Q$4)&lt;='Input|General'!$G$14,Q$4,""),"")</f>
        <v>46539</v>
      </c>
      <c r="R11" s="163">
        <f>IF(YEAR(R$4)&gt;='Input|General'!$G$13,IF(YEAR(R$4)&lt;='Input|General'!$G$14,R$4,""),"")</f>
        <v>46905</v>
      </c>
      <c r="S11" s="163">
        <f>IF(YEAR(S$4)&gt;='Input|General'!$G$13,IF(YEAR(S$4)&lt;='Input|General'!$G$14,S$4,""),"")</f>
        <v>47270</v>
      </c>
      <c r="U11" s="137" t="s">
        <v>57</v>
      </c>
      <c r="V11" s="138"/>
      <c r="W11" s="138"/>
    </row>
    <row r="12" spans="1:26" ht="10.5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225"/>
      <c r="P12" s="225"/>
      <c r="Q12" s="225"/>
      <c r="R12" s="225"/>
      <c r="S12" s="225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45444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222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222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222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222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94.377815860440549</v>
      </c>
      <c r="P13" s="222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96.118462009542185</v>
      </c>
      <c r="Q13" s="180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97.272611482403008</v>
      </c>
      <c r="R13" s="180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97.735401438853884</v>
      </c>
      <c r="S13" s="180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98.114035218975431</v>
      </c>
      <c r="T13" s="111"/>
      <c r="U13" s="188"/>
      <c r="V13" s="65"/>
      <c r="W13" s="224"/>
    </row>
    <row r="14" spans="1:26">
      <c r="C14" s="111" t="str">
        <f>'Input|Step changes'!C28</f>
        <v>GSL payments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45444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3.967224149885753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3.967224149885753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3.967224149885753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3.967224149885753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3.967224149885753</v>
      </c>
      <c r="T14" s="111"/>
      <c r="U14" s="188"/>
    </row>
    <row r="15" spans="1:26">
      <c r="C15" s="111" t="str">
        <f>'Input|Step changes'!C29</f>
        <v>Electrical safety levy</v>
      </c>
      <c r="D15" s="34" t="s">
        <v>109</v>
      </c>
      <c r="E15" s="30" t="str">
        <f t="shared" si="0"/>
        <v>$millions</v>
      </c>
      <c r="F15" s="161">
        <f t="shared" si="1"/>
        <v>45444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5.0909193562026953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5.0909193562026953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5.0909193562026953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5.0909193562026953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5.0909193562026953</v>
      </c>
      <c r="T15" s="111"/>
      <c r="U15" s="188"/>
    </row>
    <row r="16" spans="1:26">
      <c r="C16" s="111" t="str">
        <f>'Input|Step changes'!C30</f>
        <v>Nem Levy</v>
      </c>
      <c r="D16" s="34" t="s">
        <v>109</v>
      </c>
      <c r="E16" s="30" t="str">
        <f t="shared" si="0"/>
        <v>$millions</v>
      </c>
      <c r="F16" s="161">
        <f t="shared" si="1"/>
        <v>45444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1.4707577158458118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1.4700065627733678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1.364845132631175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1.169545333795674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1.169545333795674</v>
      </c>
      <c r="T16" s="111"/>
      <c r="U16" s="188"/>
    </row>
    <row r="17" spans="1:23" ht="10.5">
      <c r="D17" s="34"/>
      <c r="H17" s="32"/>
      <c r="I17" s="32"/>
      <c r="L17" s="221"/>
      <c r="M17" s="221"/>
      <c r="N17" s="221"/>
      <c r="O17" s="221"/>
      <c r="P17" s="221"/>
      <c r="Q17" s="65"/>
      <c r="S17" s="23"/>
      <c r="U17" s="188"/>
    </row>
    <row r="18" spans="1:23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24" spans="1:23" hidden="1">
      <c r="M24" s="146"/>
      <c r="N24" s="146"/>
      <c r="O24" s="146"/>
      <c r="P24" s="146"/>
      <c r="Q24" s="146"/>
      <c r="R24" s="146"/>
      <c r="S24" s="146"/>
    </row>
  </sheetData>
  <mergeCells count="1">
    <mergeCell ref="N3:S3"/>
  </mergeCells>
  <conditionalFormatting sqref="V1">
    <cfRule type="cellIs" dxfId="26" priority="20" operator="equal">
      <formula>"Check"</formula>
    </cfRule>
    <cfRule type="cellIs" dxfId="25" priority="21" operator="equal">
      <formula>"Ok"</formula>
    </cfRule>
  </conditionalFormatting>
  <conditionalFormatting sqref="J13:S16">
    <cfRule type="expression" dxfId="24" priority="10">
      <formula>AND($C13=0,J$11=J$4)</formula>
    </cfRule>
    <cfRule type="expression" dxfId="23" priority="11">
      <formula>NOT(J$11=J$4)</formula>
    </cfRule>
    <cfRule type="expression" dxfId="22" priority="12">
      <formula>J$11=J$4</formula>
    </cfRule>
  </conditionalFormatting>
  <conditionalFormatting sqref="J11:S11">
    <cfRule type="expression" dxfId="21" priority="14">
      <formula>J$11=J$4</formula>
    </cfRule>
  </conditionalFormatting>
  <conditionalFormatting sqref="S1">
    <cfRule type="cellIs" dxfId="20" priority="8" operator="equal">
      <formula>"Check"</formula>
    </cfRule>
    <cfRule type="cellIs" dxfId="19" priority="9" operator="equal">
      <formula>"Ok"</formula>
    </cfRule>
  </conditionalFormatting>
  <conditionalFormatting sqref="O12:S12">
    <cfRule type="expression" dxfId="18" priority="1">
      <formula>O$11=O$4</formula>
    </cfRule>
  </conditionalFormatting>
  <dataValidations disablePrompts="1"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76"/>
  <sheetViews>
    <sheetView topLeftCell="A16" workbookViewId="0">
      <selection activeCell="W50" sqref="W5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131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132</v>
      </c>
      <c r="D25" s="16" t="s">
        <v>73</v>
      </c>
      <c r="E25" s="16"/>
      <c r="F25" s="16"/>
      <c r="G25" s="154">
        <v>36526</v>
      </c>
      <c r="H25" s="14"/>
    </row>
    <row r="26" spans="1:47" ht="10.5">
      <c r="C26" s="15" t="s">
        <v>133</v>
      </c>
      <c r="D26" s="16" t="s">
        <v>73</v>
      </c>
      <c r="E26" s="16"/>
      <c r="F26" s="16"/>
      <c r="G26" s="154">
        <v>36557</v>
      </c>
      <c r="H26" s="14"/>
    </row>
    <row r="27" spans="1:47" ht="10.5">
      <c r="C27" s="15" t="s">
        <v>134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135</v>
      </c>
      <c r="D28" s="16" t="s">
        <v>73</v>
      </c>
      <c r="E28" s="16"/>
      <c r="F28" s="16"/>
      <c r="G28" s="154">
        <v>36617</v>
      </c>
    </row>
    <row r="29" spans="1:47">
      <c r="C29" s="15" t="s">
        <v>136</v>
      </c>
      <c r="D29" s="16" t="s">
        <v>73</v>
      </c>
      <c r="E29" s="16"/>
      <c r="F29" s="16"/>
      <c r="G29" s="154">
        <v>36647</v>
      </c>
    </row>
    <row r="30" spans="1:47">
      <c r="C30" s="15" t="s">
        <v>137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138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139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140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141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142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143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166</v>
      </c>
      <c r="H40" s="14" t="s">
        <v>164</v>
      </c>
      <c r="I40" s="14" t="s">
        <v>165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3">
      <c r="A62" s="43"/>
      <c r="B62" s="51" t="s">
        <v>162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163</v>
      </c>
      <c r="H64" s="14" t="s">
        <v>130</v>
      </c>
    </row>
    <row r="65" spans="1:47">
      <c r="C65" s="15" t="s">
        <v>150</v>
      </c>
      <c r="D65" s="16" t="s">
        <v>103</v>
      </c>
      <c r="E65" s="16"/>
      <c r="F65" s="16"/>
      <c r="G65" s="183" t="str">
        <f>IF(MONTH('Input|General'!$G$9)=12,PPFirstYear,PPFirstYear-1&amp;"–"&amp;RIGHT(PPFirstYear,2))</f>
        <v>2019–20</v>
      </c>
      <c r="H65" s="185">
        <f>DATE(PPFirstYear,MONTH('Input|General'!$G$9),1)</f>
        <v>43983</v>
      </c>
    </row>
    <row r="66" spans="1:47">
      <c r="C66" s="15" t="s">
        <v>151</v>
      </c>
      <c r="D66" s="16" t="s">
        <v>103</v>
      </c>
      <c r="E66" s="16"/>
      <c r="F66" s="16"/>
      <c r="G66" s="184" t="str">
        <f>IF(PPLastYear-PPFirstYear&lt;1,"",LEFT(G65,4)+1&amp;"–"&amp;RIGHT(G65,2)+1)</f>
        <v>2020–21</v>
      </c>
      <c r="H66" s="185">
        <f>IF(PPLastYear-PPFirstYear&lt;1,"",DATE(PPFirstYear+1,MONTH('Input|General'!$G$9),1))</f>
        <v>44348</v>
      </c>
    </row>
    <row r="67" spans="1:47">
      <c r="C67" s="15" t="s">
        <v>152</v>
      </c>
      <c r="D67" s="16" t="s">
        <v>103</v>
      </c>
      <c r="E67" s="16"/>
      <c r="F67" s="16"/>
      <c r="G67" s="184" t="str">
        <f>IF(PPLastYear-PPFirstYear&lt;2,"",LEFT(G66,4)+1&amp;"–"&amp;RIGHT(G66,2)+1)</f>
        <v>2021–22</v>
      </c>
      <c r="H67" s="185">
        <f>IF(PPLastYear-PPFirstYear&lt;2,"",DATE(PPFirstYear+2,MONTH('Input|General'!$G$9),1))</f>
        <v>44713</v>
      </c>
    </row>
    <row r="68" spans="1:47">
      <c r="C68" s="15" t="s">
        <v>153</v>
      </c>
      <c r="D68" s="16" t="s">
        <v>103</v>
      </c>
      <c r="E68" s="16"/>
      <c r="F68" s="16"/>
      <c r="G68" s="184" t="str">
        <f>IF(PPLastYear-PPFirstYear&lt;3,"",LEFT(G67,4)+1&amp;"–"&amp;RIGHT(G67,2)+1)</f>
        <v>2022–23</v>
      </c>
      <c r="H68" s="185">
        <f>IF(PPLastYear-PPFirstYear&lt;3,"",DATE(PPFirstYear+3,MONTH('Input|General'!$G$9),1))</f>
        <v>45078</v>
      </c>
    </row>
    <row r="69" spans="1:47">
      <c r="C69" s="15" t="s">
        <v>154</v>
      </c>
      <c r="D69" s="16" t="s">
        <v>103</v>
      </c>
      <c r="E69" s="16"/>
      <c r="F69" s="16"/>
      <c r="G69" s="184" t="str">
        <f>IF(PPLastYear-PPFirstYear&lt;4,"",LEFT(G68,4)+1&amp;"–"&amp;RIGHT(G68,2)+1)</f>
        <v>2023–24</v>
      </c>
      <c r="H69" s="185">
        <f>IF(PPLastYear-PPFirstYear&lt;4,"",DATE(PPFirstYear+4,MONTH('Input|General'!$G$9),1))</f>
        <v>45444</v>
      </c>
    </row>
    <row r="70" spans="1:47">
      <c r="C70" s="15" t="s">
        <v>155</v>
      </c>
      <c r="D70" s="16" t="s">
        <v>103</v>
      </c>
      <c r="E70" s="16"/>
      <c r="F70" s="16"/>
      <c r="G70" s="184" t="str">
        <f>IF(MONTH('Input|General'!$G$9)=12,FPFirstYear,FPFirstYear-1&amp;"–"&amp;RIGHT(FPFirstYear,2))</f>
        <v>2024–25</v>
      </c>
      <c r="H70" s="185">
        <f>DATE(FPFirstYear,MONTH('Input|General'!$G$9),1)</f>
        <v>45809</v>
      </c>
      <c r="T70" s="17"/>
    </row>
    <row r="71" spans="1:47">
      <c r="C71" s="15" t="s">
        <v>156</v>
      </c>
      <c r="D71" s="16" t="s">
        <v>103</v>
      </c>
      <c r="E71" s="16"/>
      <c r="F71" s="16"/>
      <c r="G71" s="184" t="str">
        <f>IF(FPLastYear-FPFirstYear&lt;1,"",LEFT(G70,4)+1&amp;"–"&amp;RIGHT(G70,2)+1)</f>
        <v>2025–26</v>
      </c>
      <c r="H71" s="185">
        <f>IF(FPLastYear-FPFirstYear&lt;1,"",DATE(FPFirstYear+1,MONTH('Input|General'!$G$9),1))</f>
        <v>46174</v>
      </c>
      <c r="T71" s="17"/>
    </row>
    <row r="72" spans="1:47">
      <c r="C72" s="15" t="s">
        <v>157</v>
      </c>
      <c r="D72" s="16" t="s">
        <v>103</v>
      </c>
      <c r="E72" s="16"/>
      <c r="F72" s="16"/>
      <c r="G72" s="184" t="str">
        <f>IF(FPLastYear-FPFirstYear&lt;2,"",LEFT(G71,4)+1&amp;"–"&amp;RIGHT(G71,2)+1)</f>
        <v>2026–27</v>
      </c>
      <c r="H72" s="185">
        <f>IF(FPLastYear-FPFirstYear&lt;2,"",DATE(FPFirstYear+2,MONTH('Input|General'!$G$9),1))</f>
        <v>46539</v>
      </c>
      <c r="T72" s="17"/>
    </row>
    <row r="73" spans="1:47">
      <c r="C73" s="15" t="s">
        <v>158</v>
      </c>
      <c r="D73" s="16" t="s">
        <v>103</v>
      </c>
      <c r="E73" s="16"/>
      <c r="F73" s="16"/>
      <c r="G73" s="184" t="str">
        <f>IF(FPLastYear-FPFirstYear&lt;3,"",LEFT(G72,4)+1&amp;"–"&amp;RIGHT(G72,2)+1)</f>
        <v>2027–28</v>
      </c>
      <c r="H73" s="185">
        <f>IF(FPLastYear-FPFirstYear&lt;3,"",DATE(FPFirstYear+3,MONTH('Input|General'!$G$9),1))</f>
        <v>46905</v>
      </c>
      <c r="T73" s="17"/>
    </row>
    <row r="74" spans="1:47">
      <c r="C74" s="15" t="s">
        <v>159</v>
      </c>
      <c r="D74" s="16" t="s">
        <v>103</v>
      </c>
      <c r="E74" s="16"/>
      <c r="F74" s="16"/>
      <c r="G74" s="184" t="str">
        <f>IF(FPLastYear-FPFirstYear&lt;4,"",LEFT(G73,4)+1&amp;"–"&amp;RIGHT(G73,2)+1)</f>
        <v>2028–29</v>
      </c>
      <c r="H74" s="185">
        <f>IF(FPLastYear-FPFirstYear&lt;4,"",DATE(FPFirstYear+4,MONTH('Input|General'!$G$9),1))</f>
        <v>47270</v>
      </c>
      <c r="T74" s="17"/>
    </row>
    <row r="75" spans="1:47"/>
    <row r="76" spans="1:47" customFormat="1" ht="13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2"/>
  <sheetViews>
    <sheetView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Finance</Business_x0020_Groups>
    <TaxCatchAll xmlns="8f493e50-f4fa-4672-bec5-6587e791f720">
      <Value>59</Value>
      <Value>16</Value>
      <Value>64</Value>
    </TaxCatchAll>
    <Person_x0020_or_x0020_Group xmlns="cdf0dde9-ebef-4e0b-9cde-c91850d92f2d">
      <UserInfo>
        <DisplayName>Kim Frankcombe</DisplayName>
        <AccountId>5441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Record_x0020_Number xmlns="8f493e50-f4fa-4672-bec5-6587e791f720">R0002365084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Distribution</TermName>
          <TermId xmlns="http://schemas.microsoft.com/office/infopath/2007/PartnerControls">288a0529-be6b-41c1-b0c2-a8aa572a898a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E17406E9-4C56-41E8-B274-3484AE6E659C}"/>
</file>

<file path=customXml/itemProps2.xml><?xml version="1.0" encoding="utf-8"?>
<ds:datastoreItem xmlns:ds="http://schemas.openxmlformats.org/officeDocument/2006/customXml" ds:itemID="{61B33643-329B-4381-9EAF-73DB71FF066B}"/>
</file>

<file path=customXml/itemProps3.xml><?xml version="1.0" encoding="utf-8"?>
<ds:datastoreItem xmlns:ds="http://schemas.openxmlformats.org/officeDocument/2006/customXml" ds:itemID="{64BC92A0-3B20-4C1A-93A3-4D4E67D4B18A}"/>
</file>

<file path=customXml/itemProps4.xml><?xml version="1.0" encoding="utf-8"?>
<ds:datastoreItem xmlns:ds="http://schemas.openxmlformats.org/officeDocument/2006/customXml" ds:itemID="{08587866-B163-4015-B166-11FAE52299A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2019-04-17T05:58:26Z</dcterms:created>
  <dcterms:modified xsi:type="dcterms:W3CDTF">2023-01-20T03:46:54Z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Determination Category">
    <vt:lpwstr>59;#Models and Pricing Tariffs|2d578944-a888-48cf-9157-a3f07df87eae</vt:lpwstr>
  </property>
  <property fmtid="{D5CDD505-2E9C-101B-9397-08002B2CF9AE}" pid="4" name="Determination Activity">
    <vt:lpwstr>16;#Revenue Proposal|f3980111-814c-44b7-9aa4-fe076fe6d80d</vt:lpwstr>
  </property>
  <property fmtid="{D5CDD505-2E9C-101B-9397-08002B2CF9AE}" pid="5" name="Network">
    <vt:lpwstr>64;#Distribution|288a0529-be6b-41c1-b0c2-a8aa572a898a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ListId">
    <vt:lpwstr>{cdf0dde9-ebef-4e0b-9cde-c91850d92f2d}</vt:lpwstr>
  </property>
  <property fmtid="{D5CDD505-2E9C-101B-9397-08002B2CF9AE}" pid="8" name="RecordPoint_ActiveItemUniqueId">
    <vt:lpwstr>{5c52a905-06de-45f5-b1e8-d0876f77b3f1}</vt:lpwstr>
  </property>
  <property fmtid="{D5CDD505-2E9C-101B-9397-08002B2CF9AE}" pid="9" name="RecordPoint_ActiveItemWebId">
    <vt:lpwstr>{0e6c1e0d-ce9b-4acb-bd7f-e21f20d4c138}</vt:lpwstr>
  </property>
  <property fmtid="{D5CDD505-2E9C-101B-9397-08002B2CF9AE}" pid="10" name="RecordPoint_ActiveItemSiteId">
    <vt:lpwstr>{813152b7-69c2-464f-b7a1-05afac6a8a9a}</vt:lpwstr>
  </property>
  <property fmtid="{D5CDD505-2E9C-101B-9397-08002B2CF9AE}" pid="11" name="RecordPoint_RecordNumberSubmitted">
    <vt:lpwstr>R0002365084</vt:lpwstr>
  </property>
  <property fmtid="{D5CDD505-2E9C-101B-9397-08002B2CF9AE}" pid="12" name="RecordPoint_SubmissionCompleted">
    <vt:lpwstr>2023-01-24T08:41:04.8693506+11:00</vt:lpwstr>
  </property>
</Properties>
</file>