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8680" yWindow="-120" windowWidth="29040" windowHeight="15840" tabRatio="799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 hidden="1">'Input|General'!$G$6:$G$15</definedName>
    <definedName name="_xlnm._FilterDatabase" localSheetId="3" hidden="1">'Input|Reported opex'!$C$37:$F$37</definedName>
    <definedName name="abba" hidden="1">{"Ownership",#N/A,FALSE,"Ownership";"Contents",#N/A,FALSE,"Contents"}</definedName>
    <definedName name="anscount" hidden="1">1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wrn.App._.Custodians." hidden="1">{"Ownership",#N/A,FALSE,"Ownership";"Contents",#N/A,FALSE,"Contents"}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8" i="2" l="1"/>
  <c r="S38" i="2"/>
  <c r="R38" i="2"/>
  <c r="Q38" i="2"/>
  <c r="P38" i="2"/>
  <c r="T79" i="55" l="1"/>
  <c r="T77" i="55" l="1"/>
  <c r="T78" i="55"/>
  <c r="T80" i="55"/>
  <c r="G77" i="55"/>
  <c r="G78" i="55"/>
  <c r="G79" i="55"/>
  <c r="G80" i="55"/>
  <c r="G68" i="55" l="1"/>
  <c r="G69" i="55"/>
  <c r="G70" i="55"/>
  <c r="G71" i="55"/>
  <c r="G72" i="55"/>
  <c r="G73" i="55"/>
  <c r="G74" i="55"/>
  <c r="G75" i="55"/>
  <c r="G76" i="55"/>
  <c r="T76" i="55"/>
  <c r="T65" i="55"/>
  <c r="T66" i="55"/>
  <c r="T67" i="55"/>
  <c r="T68" i="55"/>
  <c r="T69" i="55"/>
  <c r="T70" i="55"/>
  <c r="T71" i="55"/>
  <c r="T72" i="55"/>
  <c r="T73" i="55"/>
  <c r="T74" i="55"/>
  <c r="T75" i="55"/>
  <c r="G65" i="55"/>
  <c r="G66" i="55"/>
  <c r="G67" i="55"/>
  <c r="M47" i="58" l="1"/>
  <c r="G57" i="55"/>
  <c r="G54" i="55"/>
  <c r="G58" i="55"/>
  <c r="O63" i="42"/>
  <c r="P63" i="42"/>
  <c r="Q63" i="42"/>
  <c r="R63" i="42"/>
  <c r="S63" i="42"/>
  <c r="C95" i="2"/>
  <c r="F47" i="58"/>
  <c r="F42" i="58"/>
  <c r="F43" i="58"/>
  <c r="F44" i="58"/>
  <c r="F45" i="58"/>
  <c r="F41" i="58"/>
  <c r="C78" i="4"/>
  <c r="K47" i="58"/>
  <c r="N47" i="58"/>
  <c r="O47" i="58"/>
  <c r="P47" i="58"/>
  <c r="Q47" i="58"/>
  <c r="R47" i="58"/>
  <c r="S47" i="58"/>
  <c r="J47" i="58"/>
  <c r="W56" i="58"/>
  <c r="W29" i="58"/>
  <c r="T91" i="2" a="1"/>
  <c r="T91" i="2" s="1"/>
  <c r="S91" i="2" a="1"/>
  <c r="S91" i="2" s="1"/>
  <c r="R91" i="2" a="1"/>
  <c r="R91" i="2" s="1"/>
  <c r="Q91" i="2" a="1"/>
  <c r="Q91" i="2" s="1"/>
  <c r="P91" i="2" a="1"/>
  <c r="P91" i="2" s="1"/>
  <c r="O91" i="2" a="1"/>
  <c r="O91" i="2" s="1"/>
  <c r="N91" i="2" a="1"/>
  <c r="N91" i="2" s="1"/>
  <c r="M91" i="2" a="1"/>
  <c r="M91" i="2" s="1"/>
  <c r="L91" i="2" a="1"/>
  <c r="L91" i="2" s="1"/>
  <c r="K91" i="2" a="1"/>
  <c r="K91" i="2" s="1"/>
  <c r="J91" i="2" a="1"/>
  <c r="J91" i="2" s="1"/>
  <c r="C89" i="2"/>
  <c r="C88" i="2"/>
  <c r="C87" i="2"/>
  <c r="C86" i="2"/>
  <c r="C85" i="2"/>
  <c r="C84" i="2"/>
  <c r="F19" i="42"/>
  <c r="F8" i="42"/>
  <c r="F29" i="42" s="1"/>
  <c r="F8" i="44"/>
  <c r="F16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K15" i="58"/>
  <c r="L15" i="58"/>
  <c r="M15" i="58"/>
  <c r="N15" i="58"/>
  <c r="O15" i="58"/>
  <c r="P15" i="58"/>
  <c r="Q15" i="58"/>
  <c r="R15" i="58"/>
  <c r="S15" i="58"/>
  <c r="J15" i="58"/>
  <c r="E29" i="42"/>
  <c r="F28" i="42"/>
  <c r="C29" i="42"/>
  <c r="E68" i="58"/>
  <c r="E28" i="42" s="1"/>
  <c r="E35" i="42"/>
  <c r="K56" i="58"/>
  <c r="L56" i="58"/>
  <c r="M56" i="58"/>
  <c r="N56" i="58"/>
  <c r="O56" i="58"/>
  <c r="P56" i="58"/>
  <c r="Q56" i="58"/>
  <c r="R56" i="58"/>
  <c r="S56" i="58"/>
  <c r="J56" i="58"/>
  <c r="E47" i="58"/>
  <c r="G70" i="4"/>
  <c r="G71" i="4" s="1"/>
  <c r="G72" i="4" s="1"/>
  <c r="G73" i="4" s="1"/>
  <c r="G74" i="4" s="1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E31" i="42"/>
  <c r="E26" i="42"/>
  <c r="S4" i="44"/>
  <c r="S11" i="44" s="1"/>
  <c r="R4" i="44"/>
  <c r="R11" i="44" s="1"/>
  <c r="Q4" i="44"/>
  <c r="P4" i="44"/>
  <c r="P11" i="44" s="1"/>
  <c r="O4" i="44"/>
  <c r="O11" i="44" s="1"/>
  <c r="N4" i="44"/>
  <c r="N11" i="44" s="1"/>
  <c r="M4" i="44"/>
  <c r="L4" i="44"/>
  <c r="L11" i="44" s="1"/>
  <c r="K4" i="44"/>
  <c r="K11" i="44" s="1"/>
  <c r="J4" i="44"/>
  <c r="J11" i="44" s="1"/>
  <c r="S4" i="42"/>
  <c r="S31" i="42" s="1"/>
  <c r="R4" i="42"/>
  <c r="R33" i="42" s="1"/>
  <c r="Q4" i="42"/>
  <c r="Q12" i="42" s="1"/>
  <c r="P4" i="42"/>
  <c r="P31" i="42" s="1"/>
  <c r="O4" i="42"/>
  <c r="O46" i="42" s="1"/>
  <c r="N4" i="42"/>
  <c r="N19" i="42" s="1"/>
  <c r="M4" i="42"/>
  <c r="M49" i="42" s="1"/>
  <c r="L4" i="42"/>
  <c r="L33" i="42" s="1"/>
  <c r="K4" i="42"/>
  <c r="K35" i="42" s="1"/>
  <c r="J4" i="42"/>
  <c r="J31" i="42" s="1"/>
  <c r="S4" i="53"/>
  <c r="R4" i="53"/>
  <c r="R26" i="53" s="1"/>
  <c r="R32" i="53" s="1"/>
  <c r="Q4" i="53"/>
  <c r="Q36" i="53" s="1"/>
  <c r="Q40" i="53" s="1"/>
  <c r="P4" i="53"/>
  <c r="P26" i="53" s="1"/>
  <c r="P32" i="53" s="1"/>
  <c r="O4" i="53"/>
  <c r="O36" i="53" s="1"/>
  <c r="O40" i="53" s="1"/>
  <c r="N4" i="53"/>
  <c r="N36" i="53" s="1"/>
  <c r="N40" i="53" s="1"/>
  <c r="M4" i="53"/>
  <c r="M26" i="53" s="1"/>
  <c r="M32" i="53" s="1"/>
  <c r="L4" i="53"/>
  <c r="L36" i="53" s="1"/>
  <c r="L40" i="53" s="1"/>
  <c r="K4" i="53"/>
  <c r="K10" i="53" s="1"/>
  <c r="K22" i="53" s="1"/>
  <c r="J4" i="53"/>
  <c r="J10" i="53" s="1"/>
  <c r="J22" i="53" s="1"/>
  <c r="J4" i="2"/>
  <c r="J93" i="2" s="1"/>
  <c r="J95" i="2" s="1"/>
  <c r="T4" i="2"/>
  <c r="T73" i="2" s="1"/>
  <c r="S4" i="2"/>
  <c r="S93" i="2" s="1"/>
  <c r="R4" i="2"/>
  <c r="R62" i="2" s="1"/>
  <c r="R71" i="2" s="1"/>
  <c r="Q4" i="2"/>
  <c r="Q93" i="2" s="1"/>
  <c r="P4" i="2"/>
  <c r="P99" i="2" s="1"/>
  <c r="P103" i="2" s="1"/>
  <c r="O4" i="2"/>
  <c r="O93" i="2" s="1"/>
  <c r="O95" i="2" s="1"/>
  <c r="N4" i="2"/>
  <c r="N10" i="2" s="1"/>
  <c r="N12" i="2" s="1"/>
  <c r="M4" i="2"/>
  <c r="M93" i="2" s="1"/>
  <c r="M95" i="2" s="1"/>
  <c r="L4" i="2"/>
  <c r="L73" i="2" s="1"/>
  <c r="K4" i="2"/>
  <c r="K93" i="2" s="1"/>
  <c r="K95" i="2" s="1"/>
  <c r="S4" i="58"/>
  <c r="R4" i="58"/>
  <c r="R60" i="58" s="1"/>
  <c r="Q4" i="58"/>
  <c r="Q60" i="58" s="1"/>
  <c r="P4" i="58"/>
  <c r="P34" i="58" s="1"/>
  <c r="O4" i="58"/>
  <c r="O60" i="58" s="1"/>
  <c r="N4" i="58"/>
  <c r="N60" i="58" s="1"/>
  <c r="M4" i="58"/>
  <c r="L4" i="58"/>
  <c r="L60" i="58" s="1"/>
  <c r="K4" i="58"/>
  <c r="K60" i="58" s="1"/>
  <c r="J4" i="58"/>
  <c r="J60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P19" i="42"/>
  <c r="R21" i="42"/>
  <c r="K23" i="42"/>
  <c r="K21" i="42"/>
  <c r="K19" i="42"/>
  <c r="S23" i="42"/>
  <c r="S21" i="42"/>
  <c r="S19" i="42"/>
  <c r="J12" i="42"/>
  <c r="K12" i="42"/>
  <c r="S12" i="42"/>
  <c r="O10" i="2"/>
  <c r="O12" i="2" s="1"/>
  <c r="Q14" i="2"/>
  <c r="Q62" i="2"/>
  <c r="Q71" i="2" s="1"/>
  <c r="Q10" i="2"/>
  <c r="Q12" i="2" s="1"/>
  <c r="Q73" i="2"/>
  <c r="J26" i="53"/>
  <c r="J32" i="53" s="1"/>
  <c r="R34" i="2"/>
  <c r="R45" i="2" s="1"/>
  <c r="N62" i="2"/>
  <c r="N71" i="2" s="1"/>
  <c r="N23" i="2"/>
  <c r="M36" i="53"/>
  <c r="M40" i="53" s="1"/>
  <c r="M10" i="53"/>
  <c r="M22" i="53" s="1"/>
  <c r="O10" i="53"/>
  <c r="O22" i="53" s="1"/>
  <c r="Q10" i="53"/>
  <c r="Q22" i="53" s="1"/>
  <c r="K49" i="42"/>
  <c r="S49" i="42"/>
  <c r="Q23" i="2"/>
  <c r="Q34" i="2"/>
  <c r="Q45" i="2" s="1"/>
  <c r="Q47" i="2"/>
  <c r="Q58" i="2" s="1"/>
  <c r="K99" i="2"/>
  <c r="K103" i="2" s="1"/>
  <c r="Q99" i="2"/>
  <c r="Q103" i="2" s="1"/>
  <c r="N10" i="42"/>
  <c r="L10" i="42"/>
  <c r="J37" i="42"/>
  <c r="L40" i="42"/>
  <c r="J43" i="42"/>
  <c r="N43" i="42"/>
  <c r="S10" i="42"/>
  <c r="O10" i="42"/>
  <c r="K10" i="42"/>
  <c r="S16" i="42"/>
  <c r="K16" i="42"/>
  <c r="K37" i="42"/>
  <c r="O37" i="42"/>
  <c r="S37" i="42"/>
  <c r="K40" i="42"/>
  <c r="S40" i="42"/>
  <c r="K43" i="42"/>
  <c r="S43" i="42"/>
  <c r="K46" i="42"/>
  <c r="S46" i="42"/>
  <c r="S8" i="54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E66" i="58"/>
  <c r="E49" i="42"/>
  <c r="E65" i="58"/>
  <c r="E46" i="42" s="1"/>
  <c r="E64" i="58"/>
  <c r="E43" i="42" s="1"/>
  <c r="E63" i="58"/>
  <c r="E40" i="42" s="1"/>
  <c r="E62" i="58"/>
  <c r="E37" i="42" s="1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 s="1"/>
  <c r="F23" i="42" s="1"/>
  <c r="E27" i="58"/>
  <c r="F26" i="58"/>
  <c r="E26" i="58"/>
  <c r="F25" i="58"/>
  <c r="E25" i="58"/>
  <c r="F24" i="58"/>
  <c r="E24" i="58"/>
  <c r="F23" i="58"/>
  <c r="E23" i="58"/>
  <c r="F22" i="58"/>
  <c r="E22" i="58"/>
  <c r="E23" i="42" s="1"/>
  <c r="F21" i="58"/>
  <c r="E21" i="58"/>
  <c r="F20" i="58"/>
  <c r="E20" i="58"/>
  <c r="F19" i="58"/>
  <c r="C2" i="58"/>
  <c r="C1" i="58"/>
  <c r="E21" i="42"/>
  <c r="E16" i="44"/>
  <c r="E15" i="44"/>
  <c r="E14" i="44"/>
  <c r="C15" i="44"/>
  <c r="C16" i="44"/>
  <c r="C13" i="44"/>
  <c r="C14" i="44"/>
  <c r="Q11" i="44"/>
  <c r="M11" i="44"/>
  <c r="E100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5" i="55"/>
  <c r="G56" i="55"/>
  <c r="G59" i="55"/>
  <c r="G60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24" i="4"/>
  <c r="S9" i="54"/>
  <c r="K14" i="42"/>
  <c r="O14" i="42"/>
  <c r="S14" i="42"/>
  <c r="R14" i="42"/>
  <c r="K98" i="42"/>
  <c r="S98" i="42"/>
  <c r="J72" i="42"/>
  <c r="J58" i="42"/>
  <c r="L58" i="42"/>
  <c r="P88" i="42"/>
  <c r="R72" i="42"/>
  <c r="R58" i="42"/>
  <c r="K58" i="42"/>
  <c r="S58" i="42"/>
  <c r="K72" i="42"/>
  <c r="O72" i="42"/>
  <c r="S72" i="42"/>
  <c r="K88" i="42"/>
  <c r="Q88" i="42"/>
  <c r="S88" i="42"/>
  <c r="C50" i="42"/>
  <c r="E50" i="42"/>
  <c r="C47" i="42"/>
  <c r="C44" i="42"/>
  <c r="C41" i="42"/>
  <c r="C38" i="42"/>
  <c r="E47" i="42"/>
  <c r="E44" i="42"/>
  <c r="E41" i="42"/>
  <c r="F38" i="42"/>
  <c r="E38" i="42"/>
  <c r="E84" i="42"/>
  <c r="E102" i="42"/>
  <c r="C75" i="42"/>
  <c r="C76" i="42"/>
  <c r="C77" i="42"/>
  <c r="C78" i="42"/>
  <c r="C79" i="42"/>
  <c r="C80" i="42"/>
  <c r="C81" i="42"/>
  <c r="C82" i="42"/>
  <c r="C90" i="42"/>
  <c r="C91" i="42"/>
  <c r="C92" i="42"/>
  <c r="E54" i="42"/>
  <c r="E52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G16" i="16"/>
  <c r="B1" i="55"/>
  <c r="E12" i="2"/>
  <c r="O65" i="42"/>
  <c r="J63" i="42"/>
  <c r="J65" i="42"/>
  <c r="K63" i="42"/>
  <c r="K65" i="42"/>
  <c r="L63" i="42"/>
  <c r="L65" i="42"/>
  <c r="M63" i="42"/>
  <c r="M65" i="42"/>
  <c r="N63" i="42"/>
  <c r="N65" i="42"/>
  <c r="C74" i="42"/>
  <c r="P65" i="42"/>
  <c r="Q65" i="42"/>
  <c r="R65" i="42"/>
  <c r="S65" i="42"/>
  <c r="C76" i="2"/>
  <c r="C77" i="2"/>
  <c r="C78" i="2"/>
  <c r="C79" i="2"/>
  <c r="C80" i="2"/>
  <c r="C75" i="2"/>
  <c r="S7" i="54"/>
  <c r="S10" i="54"/>
  <c r="S12" i="54"/>
  <c r="S13" i="54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1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N58" i="42" l="1"/>
  <c r="N61" i="42" s="1"/>
  <c r="N98" i="42"/>
  <c r="P62" i="2"/>
  <c r="P71" i="2" s="1"/>
  <c r="P49" i="42"/>
  <c r="E19" i="42"/>
  <c r="R36" i="53"/>
  <c r="R40" i="53" s="1"/>
  <c r="L62" i="2"/>
  <c r="L71" i="2" s="1"/>
  <c r="N88" i="42"/>
  <c r="P14" i="42"/>
  <c r="J36" i="53"/>
  <c r="J40" i="53" s="1"/>
  <c r="O34" i="58"/>
  <c r="N49" i="42"/>
  <c r="N40" i="42"/>
  <c r="T62" i="2"/>
  <c r="T71" i="2" s="1"/>
  <c r="N21" i="42"/>
  <c r="N72" i="42"/>
  <c r="N34" i="2"/>
  <c r="N45" i="2" s="1"/>
  <c r="N14" i="42"/>
  <c r="P46" i="42"/>
  <c r="N16" i="42"/>
  <c r="N99" i="2"/>
  <c r="N103" i="2" s="1"/>
  <c r="R10" i="53"/>
  <c r="R22" i="53" s="1"/>
  <c r="N37" i="42"/>
  <c r="N12" i="42"/>
  <c r="N46" i="42"/>
  <c r="L47" i="2"/>
  <c r="L58" i="2" s="1"/>
  <c r="S1" i="58"/>
  <c r="G12" i="16" s="1"/>
  <c r="R12" i="42"/>
  <c r="R23" i="42"/>
  <c r="R88" i="42"/>
  <c r="J88" i="42"/>
  <c r="R40" i="42"/>
  <c r="R16" i="42"/>
  <c r="J49" i="42"/>
  <c r="R49" i="42"/>
  <c r="J14" i="42"/>
  <c r="R46" i="42"/>
  <c r="J16" i="42"/>
  <c r="Q72" i="42"/>
  <c r="F77" i="42"/>
  <c r="F50" i="42"/>
  <c r="R98" i="42"/>
  <c r="F81" i="42"/>
  <c r="F14" i="44"/>
  <c r="J40" i="42"/>
  <c r="L26" i="53"/>
  <c r="L32" i="53" s="1"/>
  <c r="Q34" i="58"/>
  <c r="J19" i="42"/>
  <c r="F44" i="42"/>
  <c r="F91" i="42"/>
  <c r="F15" i="44"/>
  <c r="J46" i="42"/>
  <c r="R37" i="42"/>
  <c r="R10" i="42"/>
  <c r="R99" i="2"/>
  <c r="R103" i="2" s="1"/>
  <c r="K10" i="58"/>
  <c r="K28" i="42" s="1"/>
  <c r="K73" i="2"/>
  <c r="J21" i="42"/>
  <c r="F13" i="44"/>
  <c r="F17" i="42"/>
  <c r="J98" i="42"/>
  <c r="F102" i="42"/>
  <c r="R43" i="42"/>
  <c r="J10" i="42"/>
  <c r="R73" i="2"/>
  <c r="R19" i="42"/>
  <c r="J23" i="42"/>
  <c r="F31" i="42"/>
  <c r="W91" i="2"/>
  <c r="N67" i="42"/>
  <c r="S95" i="2"/>
  <c r="R23" i="2"/>
  <c r="O73" i="2"/>
  <c r="K62" i="2"/>
  <c r="K71" i="2" s="1"/>
  <c r="Q95" i="2"/>
  <c r="O58" i="42"/>
  <c r="K47" i="2"/>
  <c r="K58" i="2" s="1"/>
  <c r="Q26" i="53"/>
  <c r="Q32" i="53" s="1"/>
  <c r="J99" i="2"/>
  <c r="J103" i="2" s="1"/>
  <c r="O88" i="42"/>
  <c r="O43" i="42"/>
  <c r="K34" i="2"/>
  <c r="K45" i="2" s="1"/>
  <c r="K10" i="2"/>
  <c r="F22" i="42"/>
  <c r="O16" i="42"/>
  <c r="K14" i="2"/>
  <c r="O19" i="42"/>
  <c r="N10" i="58"/>
  <c r="N28" i="42" s="1"/>
  <c r="O12" i="42"/>
  <c r="O21" i="42"/>
  <c r="O40" i="42"/>
  <c r="K23" i="2"/>
  <c r="J34" i="58"/>
  <c r="J10" i="58"/>
  <c r="J28" i="42" s="1"/>
  <c r="O49" i="42"/>
  <c r="O23" i="42"/>
  <c r="O98" i="42"/>
  <c r="J73" i="2"/>
  <c r="F13" i="42"/>
  <c r="F52" i="42"/>
  <c r="F74" i="42"/>
  <c r="F78" i="42"/>
  <c r="F82" i="42"/>
  <c r="F92" i="42"/>
  <c r="F54" i="42"/>
  <c r="F41" i="42"/>
  <c r="F47" i="42"/>
  <c r="F75" i="42"/>
  <c r="F79" i="42"/>
  <c r="F84" i="42"/>
  <c r="F94" i="42"/>
  <c r="F100" i="42"/>
  <c r="F26" i="42"/>
  <c r="F20" i="42"/>
  <c r="F24" i="42"/>
  <c r="F33" i="42"/>
  <c r="F15" i="42"/>
  <c r="F76" i="42"/>
  <c r="F80" i="42"/>
  <c r="F90" i="42"/>
  <c r="F101" i="42"/>
  <c r="F35" i="42"/>
  <c r="M14" i="42"/>
  <c r="O23" i="2"/>
  <c r="L34" i="2"/>
  <c r="L45" i="2" s="1"/>
  <c r="N23" i="42"/>
  <c r="O34" i="2"/>
  <c r="O45" i="2" s="1"/>
  <c r="L23" i="2"/>
  <c r="O14" i="2"/>
  <c r="M98" i="42"/>
  <c r="M46" i="42"/>
  <c r="M43" i="42"/>
  <c r="O99" i="2"/>
  <c r="O103" i="2" s="1"/>
  <c r="O47" i="2"/>
  <c r="O58" i="2" s="1"/>
  <c r="Q10" i="58"/>
  <c r="Q28" i="42" s="1"/>
  <c r="L99" i="2"/>
  <c r="L103" i="2" s="1"/>
  <c r="O62" i="2"/>
  <c r="O71" i="2" s="1"/>
  <c r="S73" i="2"/>
  <c r="F21" i="42"/>
  <c r="L72" i="42"/>
  <c r="L98" i="42"/>
  <c r="P43" i="42"/>
  <c r="L37" i="42"/>
  <c r="P16" i="42"/>
  <c r="S99" i="2"/>
  <c r="S103" i="2" s="1"/>
  <c r="M47" i="2"/>
  <c r="M58" i="2" s="1"/>
  <c r="K34" i="58"/>
  <c r="P21" i="42"/>
  <c r="L23" i="42"/>
  <c r="P58" i="42"/>
  <c r="L88" i="42"/>
  <c r="L46" i="42"/>
  <c r="P40" i="42"/>
  <c r="P10" i="42"/>
  <c r="S47" i="2"/>
  <c r="S58" i="2" s="1"/>
  <c r="S34" i="2"/>
  <c r="S45" i="2" s="1"/>
  <c r="N10" i="53"/>
  <c r="N22" i="53" s="1"/>
  <c r="S14" i="2"/>
  <c r="S10" i="2"/>
  <c r="S12" i="2" s="1"/>
  <c r="L14" i="42"/>
  <c r="P72" i="42"/>
  <c r="P98" i="42"/>
  <c r="L43" i="42"/>
  <c r="P37" i="42"/>
  <c r="L16" i="42"/>
  <c r="S23" i="2"/>
  <c r="N26" i="53"/>
  <c r="N32" i="53" s="1"/>
  <c r="L49" i="42"/>
  <c r="O10" i="58"/>
  <c r="O28" i="42" s="1"/>
  <c r="S62" i="2"/>
  <c r="S71" i="2" s="1"/>
  <c r="L34" i="58"/>
  <c r="L61" i="42"/>
  <c r="L67" i="42" s="1"/>
  <c r="M58" i="42"/>
  <c r="J14" i="2"/>
  <c r="O26" i="53"/>
  <c r="O32" i="53" s="1"/>
  <c r="L10" i="53"/>
  <c r="L22" i="53" s="1"/>
  <c r="J10" i="2"/>
  <c r="J12" i="2" s="1"/>
  <c r="J62" i="2"/>
  <c r="J71" i="2" s="1"/>
  <c r="J23" i="2"/>
  <c r="Q49" i="42"/>
  <c r="Q23" i="42"/>
  <c r="M19" i="42"/>
  <c r="N34" i="58"/>
  <c r="M99" i="2"/>
  <c r="M103" i="2" s="1"/>
  <c r="M73" i="2"/>
  <c r="M23" i="42"/>
  <c r="M16" i="42"/>
  <c r="J61" i="42"/>
  <c r="J67" i="42" s="1"/>
  <c r="J68" i="42" s="1" a="1"/>
  <c r="J68" i="42" s="1"/>
  <c r="Q40" i="42"/>
  <c r="Q37" i="42"/>
  <c r="Q10" i="42"/>
  <c r="M34" i="2"/>
  <c r="M45" i="2" s="1"/>
  <c r="J34" i="2"/>
  <c r="J45" i="2" s="1"/>
  <c r="M23" i="2"/>
  <c r="P73" i="2"/>
  <c r="J47" i="2"/>
  <c r="J58" i="2" s="1"/>
  <c r="M10" i="2"/>
  <c r="M12" i="2" s="1"/>
  <c r="M62" i="2"/>
  <c r="M71" i="2" s="1"/>
  <c r="M14" i="2"/>
  <c r="S1" i="54"/>
  <c r="G10" i="16" s="1"/>
  <c r="L93" i="2"/>
  <c r="L95" i="2" s="1"/>
  <c r="L14" i="2"/>
  <c r="L10" i="2"/>
  <c r="T93" i="2"/>
  <c r="T95" i="2" s="1"/>
  <c r="S61" i="42" s="1"/>
  <c r="S67" i="42" s="1"/>
  <c r="T14" i="2"/>
  <c r="T99" i="2"/>
  <c r="T103" i="2" s="1"/>
  <c r="T34" i="2"/>
  <c r="T45" i="2" s="1"/>
  <c r="T10" i="2"/>
  <c r="T12" i="2" s="1"/>
  <c r="T23" i="2"/>
  <c r="T47" i="2"/>
  <c r="T58" i="2" s="1"/>
  <c r="K36" i="53"/>
  <c r="K40" i="53" s="1"/>
  <c r="K26" i="53"/>
  <c r="K32" i="53" s="1"/>
  <c r="K61" i="42"/>
  <c r="K67" i="42" s="1"/>
  <c r="S60" i="58"/>
  <c r="S34" i="58"/>
  <c r="S10" i="58"/>
  <c r="R93" i="2"/>
  <c r="R95" i="2" s="1"/>
  <c r="R14" i="2"/>
  <c r="R10" i="2"/>
  <c r="R12" i="2" s="1"/>
  <c r="R47" i="2"/>
  <c r="R58" i="2" s="1"/>
  <c r="M34" i="58"/>
  <c r="M60" i="58"/>
  <c r="M10" i="58"/>
  <c r="P60" i="58"/>
  <c r="P10" i="58"/>
  <c r="P93" i="2"/>
  <c r="P95" i="2" s="1"/>
  <c r="P14" i="2"/>
  <c r="P23" i="2"/>
  <c r="P47" i="2"/>
  <c r="P58" i="2" s="1"/>
  <c r="P10" i="2"/>
  <c r="P12" i="2" s="1"/>
  <c r="P34" i="2"/>
  <c r="P45" i="2" s="1"/>
  <c r="S10" i="53"/>
  <c r="S22" i="53" s="1"/>
  <c r="S36" i="53"/>
  <c r="S40" i="53" s="1"/>
  <c r="S26" i="53"/>
  <c r="S32" i="53" s="1"/>
  <c r="M12" i="42"/>
  <c r="M37" i="42"/>
  <c r="M72" i="42"/>
  <c r="M10" i="42"/>
  <c r="M40" i="42"/>
  <c r="M88" i="42"/>
  <c r="Q33" i="42"/>
  <c r="Q35" i="42"/>
  <c r="Q31" i="42"/>
  <c r="Q21" i="42"/>
  <c r="Q16" i="42"/>
  <c r="Q43" i="42"/>
  <c r="Q14" i="42"/>
  <c r="Q19" i="42"/>
  <c r="Q46" i="42"/>
  <c r="Q98" i="42"/>
  <c r="Q58" i="42"/>
  <c r="N93" i="2"/>
  <c r="N95" i="2" s="1"/>
  <c r="M61" i="42" s="1"/>
  <c r="M67" i="42" s="1"/>
  <c r="N47" i="2"/>
  <c r="N58" i="2" s="1"/>
  <c r="N73" i="2"/>
  <c r="N14" i="2"/>
  <c r="P36" i="53"/>
  <c r="P40" i="53" s="1"/>
  <c r="P10" i="53"/>
  <c r="P22" i="53" s="1"/>
  <c r="R10" i="58"/>
  <c r="R28" i="42" s="1"/>
  <c r="P23" i="42"/>
  <c r="L19" i="42"/>
  <c r="R61" i="42"/>
  <c r="R67" i="42" s="1"/>
  <c r="R31" i="42"/>
  <c r="P33" i="42"/>
  <c r="K33" i="42"/>
  <c r="L10" i="58"/>
  <c r="L28" i="42" s="1"/>
  <c r="P12" i="42"/>
  <c r="L21" i="42"/>
  <c r="R34" i="58"/>
  <c r="M21" i="42"/>
  <c r="R35" i="42"/>
  <c r="P35" i="42"/>
  <c r="L31" i="42"/>
  <c r="L35" i="42"/>
  <c r="J35" i="42"/>
  <c r="S33" i="42"/>
  <c r="J33" i="42"/>
  <c r="K31" i="42"/>
  <c r="S35" i="42"/>
  <c r="G63" i="55"/>
  <c r="G61" i="55"/>
  <c r="G62" i="55"/>
  <c r="T1" i="55"/>
  <c r="G11" i="16" s="1"/>
  <c r="K12" i="2" l="1"/>
  <c r="O61" i="42"/>
  <c r="O67" i="42" s="1"/>
  <c r="L12" i="2"/>
  <c r="P61" i="42"/>
  <c r="P67" i="42" s="1"/>
  <c r="W22" i="53"/>
  <c r="W71" i="2"/>
  <c r="W58" i="2"/>
  <c r="W103" i="2"/>
  <c r="O68" i="42" a="1"/>
  <c r="O68" i="42" s="1"/>
  <c r="W40" i="53"/>
  <c r="W45" i="2"/>
  <c r="W32" i="53"/>
  <c r="M28" i="42"/>
  <c r="Q61" i="42"/>
  <c r="Q67" i="42" s="1"/>
  <c r="K68" i="42" a="1"/>
  <c r="K68" i="42" s="1"/>
  <c r="N68" i="42" a="1"/>
  <c r="N68" i="42" s="1"/>
  <c r="L68" i="42" a="1"/>
  <c r="L68" i="42" s="1"/>
  <c r="C16" i="2" a="1"/>
  <c r="C25" i="2" a="1"/>
  <c r="P28" i="42"/>
  <c r="S28" i="42"/>
  <c r="M68" i="42" a="1"/>
  <c r="M68" i="42" s="1"/>
  <c r="P68" i="42" l="1" a="1"/>
  <c r="P68" i="42" s="1"/>
  <c r="R68" i="42" a="1"/>
  <c r="R68" i="42" s="1"/>
  <c r="S1" i="53"/>
  <c r="G14" i="16" s="1"/>
  <c r="T1" i="2"/>
  <c r="G13" i="16" s="1"/>
  <c r="Q68" i="42" a="1"/>
  <c r="Q68" i="42" s="1"/>
  <c r="S68" i="42" a="1"/>
  <c r="S68" i="42" s="1"/>
  <c r="C25" i="2"/>
  <c r="C28" i="2"/>
  <c r="C26" i="2"/>
  <c r="C27" i="2"/>
  <c r="C30" i="2"/>
  <c r="C29" i="2"/>
  <c r="C20" i="2"/>
  <c r="C18" i="2"/>
  <c r="C21" i="2"/>
  <c r="C17" i="2"/>
  <c r="C16" i="2"/>
  <c r="C19" i="2"/>
  <c r="S1" i="16" l="1"/>
  <c r="W1" i="55" s="1"/>
  <c r="M19" i="2"/>
  <c r="N19" i="2" s="1"/>
  <c r="E19" i="2"/>
  <c r="D19" i="2"/>
  <c r="L18" i="2"/>
  <c r="M18" i="2" s="1"/>
  <c r="N18" i="2" s="1"/>
  <c r="N27" i="2" s="1"/>
  <c r="E18" i="2"/>
  <c r="D18" i="2"/>
  <c r="E29" i="2"/>
  <c r="R29" i="2"/>
  <c r="D29" i="2"/>
  <c r="Q29" i="2"/>
  <c r="S29" i="2"/>
  <c r="P29" i="2"/>
  <c r="T29" i="2"/>
  <c r="Q28" i="2"/>
  <c r="D28" i="2"/>
  <c r="R28" i="2"/>
  <c r="E28" i="2"/>
  <c r="S28" i="2"/>
  <c r="P28" i="2"/>
  <c r="T28" i="2"/>
  <c r="J16" i="2"/>
  <c r="K16" i="2" s="1"/>
  <c r="E16" i="2"/>
  <c r="D16" i="2"/>
  <c r="D20" i="2"/>
  <c r="N20" i="2"/>
  <c r="M20" i="2" s="1"/>
  <c r="M29" i="2" s="1"/>
  <c r="E20" i="2"/>
  <c r="D30" i="2"/>
  <c r="E30" i="2"/>
  <c r="S30" i="2"/>
  <c r="R13" i="42" s="1"/>
  <c r="R26" i="42" s="1"/>
  <c r="Q30" i="2"/>
  <c r="P20" i="42" s="1"/>
  <c r="R30" i="2"/>
  <c r="T30" i="2"/>
  <c r="S13" i="42" s="1"/>
  <c r="S26" i="42" s="1"/>
  <c r="P30" i="2"/>
  <c r="O20" i="42" s="1"/>
  <c r="E25" i="2"/>
  <c r="R25" i="2"/>
  <c r="D25" i="2"/>
  <c r="S25" i="2"/>
  <c r="Q25" i="2"/>
  <c r="T25" i="2"/>
  <c r="P25" i="2"/>
  <c r="E17" i="2"/>
  <c r="K17" i="2"/>
  <c r="L17" i="2" s="1"/>
  <c r="D17" i="2"/>
  <c r="Q27" i="2"/>
  <c r="R27" i="2"/>
  <c r="E27" i="2"/>
  <c r="D27" i="2"/>
  <c r="S27" i="2"/>
  <c r="T27" i="2"/>
  <c r="P27" i="2"/>
  <c r="O21" i="2"/>
  <c r="N21" i="2" s="1"/>
  <c r="D21" i="2"/>
  <c r="E21" i="2"/>
  <c r="R26" i="2"/>
  <c r="S26" i="2"/>
  <c r="E26" i="2"/>
  <c r="Q26" i="2"/>
  <c r="D26" i="2"/>
  <c r="P26" i="2"/>
  <c r="T26" i="2"/>
  <c r="Q20" i="42" l="1"/>
  <c r="O18" i="2"/>
  <c r="O27" i="2" s="1"/>
  <c r="K91" i="42"/>
  <c r="Q76" i="42"/>
  <c r="J25" i="2"/>
  <c r="M79" i="42"/>
  <c r="O77" i="42"/>
  <c r="O78" i="42"/>
  <c r="O92" i="42"/>
  <c r="O16" i="44" s="1"/>
  <c r="Q77" i="42"/>
  <c r="R75" i="42"/>
  <c r="V1" i="42"/>
  <c r="V1" i="53"/>
  <c r="V1" i="54"/>
  <c r="V1" i="4"/>
  <c r="W1" i="2"/>
  <c r="V1" i="44"/>
  <c r="V1" i="58"/>
  <c r="O13" i="42"/>
  <c r="O26" i="42" s="1"/>
  <c r="K18" i="2"/>
  <c r="K27" i="2" s="1"/>
  <c r="L20" i="2"/>
  <c r="K20" i="2" s="1"/>
  <c r="K29" i="2" s="1"/>
  <c r="O20" i="2"/>
  <c r="O29" i="2" s="1"/>
  <c r="R20" i="42"/>
  <c r="L16" i="2"/>
  <c r="K25" i="2"/>
  <c r="K26" i="2"/>
  <c r="J17" i="2"/>
  <c r="J26" i="2" s="1"/>
  <c r="L19" i="2"/>
  <c r="M28" i="2"/>
  <c r="L27" i="2"/>
  <c r="M27" i="2"/>
  <c r="M31" i="42"/>
  <c r="L26" i="2"/>
  <c r="M17" i="2"/>
  <c r="M21" i="2"/>
  <c r="N30" i="2"/>
  <c r="N28" i="2"/>
  <c r="O19" i="2"/>
  <c r="O28" i="2" s="1"/>
  <c r="P13" i="42"/>
  <c r="P26" i="42" s="1"/>
  <c r="O30" i="2"/>
  <c r="K16" i="44"/>
  <c r="N29" i="2"/>
  <c r="S20" i="42"/>
  <c r="N16" i="44"/>
  <c r="M14" i="44"/>
  <c r="Q13" i="42"/>
  <c r="Q26" i="42" s="1"/>
  <c r="K14" i="44"/>
  <c r="J15" i="44"/>
  <c r="L15" i="44"/>
  <c r="L14" i="44"/>
  <c r="M16" i="44"/>
  <c r="N15" i="44"/>
  <c r="L16" i="44"/>
  <c r="J16" i="44"/>
  <c r="N14" i="44"/>
  <c r="J14" i="44"/>
  <c r="K15" i="44"/>
  <c r="M15" i="44"/>
  <c r="R78" i="42" l="1"/>
  <c r="S76" i="42"/>
  <c r="K78" i="42"/>
  <c r="S91" i="42"/>
  <c r="S15" i="44" s="1"/>
  <c r="Q81" i="42"/>
  <c r="N92" i="42"/>
  <c r="O81" i="42"/>
  <c r="R79" i="42"/>
  <c r="R91" i="42"/>
  <c r="R15" i="44" s="1"/>
  <c r="S82" i="42"/>
  <c r="R81" i="42"/>
  <c r="L77" i="42"/>
  <c r="K82" i="42"/>
  <c r="M80" i="42"/>
  <c r="N75" i="42"/>
  <c r="L78" i="42"/>
  <c r="P82" i="42"/>
  <c r="O82" i="42"/>
  <c r="K79" i="42"/>
  <c r="N77" i="42"/>
  <c r="N78" i="42"/>
  <c r="M75" i="42"/>
  <c r="L81" i="42"/>
  <c r="N76" i="42"/>
  <c r="P92" i="42"/>
  <c r="P16" i="44" s="1"/>
  <c r="M77" i="42"/>
  <c r="P77" i="42"/>
  <c r="P81" i="42"/>
  <c r="S81" i="42"/>
  <c r="O91" i="42"/>
  <c r="L82" i="42"/>
  <c r="R82" i="42"/>
  <c r="S78" i="42"/>
  <c r="L76" i="42"/>
  <c r="L80" i="42"/>
  <c r="L91" i="42"/>
  <c r="N81" i="42"/>
  <c r="N82" i="42"/>
  <c r="L75" i="42"/>
  <c r="P78" i="42"/>
  <c r="Q75" i="42"/>
  <c r="J79" i="42"/>
  <c r="K75" i="42"/>
  <c r="Q79" i="42"/>
  <c r="J76" i="42"/>
  <c r="M92" i="42"/>
  <c r="P80" i="42"/>
  <c r="Q78" i="42"/>
  <c r="R80" i="42"/>
  <c r="P91" i="42"/>
  <c r="N91" i="42"/>
  <c r="J91" i="42"/>
  <c r="M82" i="42"/>
  <c r="Q92" i="42"/>
  <c r="Q16" i="44" s="1"/>
  <c r="P75" i="42"/>
  <c r="S80" i="42"/>
  <c r="S79" i="42"/>
  <c r="J81" i="42"/>
  <c r="R92" i="42"/>
  <c r="M78" i="42"/>
  <c r="Q80" i="42"/>
  <c r="J77" i="42"/>
  <c r="K77" i="42"/>
  <c r="P79" i="42"/>
  <c r="M91" i="42"/>
  <c r="S77" i="42"/>
  <c r="O76" i="42"/>
  <c r="S92" i="42"/>
  <c r="S16" i="44" s="1"/>
  <c r="N79" i="42"/>
  <c r="J80" i="42"/>
  <c r="L92" i="42"/>
  <c r="P76" i="42"/>
  <c r="K80" i="42"/>
  <c r="L79" i="42"/>
  <c r="Q91" i="42"/>
  <c r="O79" i="42"/>
  <c r="R77" i="42"/>
  <c r="K76" i="42"/>
  <c r="K81" i="42"/>
  <c r="O75" i="42"/>
  <c r="Q82" i="42"/>
  <c r="M76" i="42"/>
  <c r="R76" i="42"/>
  <c r="J75" i="42"/>
  <c r="J78" i="42"/>
  <c r="K92" i="42"/>
  <c r="S75" i="42"/>
  <c r="M81" i="42"/>
  <c r="J82" i="42"/>
  <c r="N80" i="42"/>
  <c r="J92" i="42"/>
  <c r="O80" i="42"/>
  <c r="M90" i="42"/>
  <c r="M94" i="42" s="1"/>
  <c r="R90" i="42"/>
  <c r="R14" i="44" s="1"/>
  <c r="O90" i="42"/>
  <c r="O14" i="44" s="1"/>
  <c r="P90" i="42"/>
  <c r="P14" i="44" s="1"/>
  <c r="S90" i="42"/>
  <c r="K90" i="42"/>
  <c r="J90" i="42"/>
  <c r="J94" i="42" s="1"/>
  <c r="Q90" i="42"/>
  <c r="Q14" i="44" s="1"/>
  <c r="N90" i="42"/>
  <c r="N94" i="42" s="1"/>
  <c r="L90" i="42"/>
  <c r="L29" i="2"/>
  <c r="Q15" i="44"/>
  <c r="O15" i="44"/>
  <c r="P15" i="44"/>
  <c r="R16" i="44"/>
  <c r="J20" i="2"/>
  <c r="J29" i="2" s="1"/>
  <c r="J18" i="2"/>
  <c r="J27" i="2" s="1"/>
  <c r="K19" i="2"/>
  <c r="L28" i="2"/>
  <c r="M16" i="2"/>
  <c r="L25" i="2"/>
  <c r="N13" i="42"/>
  <c r="N26" i="42" s="1"/>
  <c r="N20" i="42"/>
  <c r="M20" i="42"/>
  <c r="M13" i="42"/>
  <c r="M26" i="42" s="1"/>
  <c r="M26" i="2"/>
  <c r="N17" i="2"/>
  <c r="M30" i="2"/>
  <c r="L21" i="2"/>
  <c r="K94" i="42" l="1"/>
  <c r="L94" i="42"/>
  <c r="S94" i="42"/>
  <c r="O94" i="42"/>
  <c r="R94" i="42"/>
  <c r="P94" i="42"/>
  <c r="S14" i="44"/>
  <c r="Q94" i="42"/>
  <c r="N16" i="2"/>
  <c r="M25" i="2"/>
  <c r="J19" i="2"/>
  <c r="J28" i="2" s="1"/>
  <c r="K28" i="2"/>
  <c r="L20" i="42"/>
  <c r="N26" i="2"/>
  <c r="O17" i="2"/>
  <c r="K21" i="2"/>
  <c r="L30" i="2"/>
  <c r="J100" i="42"/>
  <c r="J13" i="44" s="1"/>
  <c r="J101" i="42"/>
  <c r="J102" i="42" s="1"/>
  <c r="M100" i="42"/>
  <c r="M13" i="44" s="1"/>
  <c r="L101" i="42"/>
  <c r="L102" i="42" s="1"/>
  <c r="N101" i="42"/>
  <c r="N102" i="42" s="1"/>
  <c r="K101" i="42"/>
  <c r="K102" i="42" s="1"/>
  <c r="M101" i="42"/>
  <c r="M102" i="42" s="1"/>
  <c r="N100" i="42"/>
  <c r="N13" i="44" s="1"/>
  <c r="K100" i="42"/>
  <c r="K13" i="44" s="1"/>
  <c r="L100" i="42"/>
  <c r="L13" i="44" s="1"/>
  <c r="O26" i="2" l="1"/>
  <c r="K47" i="42"/>
  <c r="S17" i="42"/>
  <c r="R41" i="42"/>
  <c r="P29" i="42"/>
  <c r="Q22" i="42"/>
  <c r="O16" i="2"/>
  <c r="N47" i="42" s="1"/>
  <c r="N25" i="2"/>
  <c r="K13" i="42"/>
  <c r="K26" i="42" s="1"/>
  <c r="K20" i="42"/>
  <c r="K30" i="2"/>
  <c r="J21" i="2"/>
  <c r="J30" i="2" s="1"/>
  <c r="M50" i="42" l="1"/>
  <c r="R17" i="42"/>
  <c r="L15" i="42"/>
  <c r="K50" i="42"/>
  <c r="J15" i="42"/>
  <c r="M24" i="42"/>
  <c r="Q47" i="42"/>
  <c r="P50" i="42"/>
  <c r="P47" i="42"/>
  <c r="Q24" i="42"/>
  <c r="J47" i="42"/>
  <c r="J44" i="42"/>
  <c r="K22" i="42"/>
  <c r="L50" i="42"/>
  <c r="J22" i="42"/>
  <c r="S22" i="42"/>
  <c r="O15" i="42"/>
  <c r="R22" i="42"/>
  <c r="K24" i="42"/>
  <c r="P44" i="42"/>
  <c r="L29" i="42"/>
  <c r="S41" i="42"/>
  <c r="Q15" i="42"/>
  <c r="O17" i="42"/>
  <c r="O41" i="42"/>
  <c r="L22" i="42"/>
  <c r="Q50" i="42"/>
  <c r="N41" i="42"/>
  <c r="K29" i="42"/>
  <c r="J17" i="42"/>
  <c r="L41" i="42"/>
  <c r="M17" i="42"/>
  <c r="Q41" i="42"/>
  <c r="N22" i="42"/>
  <c r="R24" i="42"/>
  <c r="O22" i="42"/>
  <c r="Q44" i="42"/>
  <c r="M22" i="42"/>
  <c r="P15" i="42"/>
  <c r="M29" i="42"/>
  <c r="M47" i="42"/>
  <c r="O24" i="42"/>
  <c r="R50" i="42"/>
  <c r="O47" i="42"/>
  <c r="P41" i="42"/>
  <c r="N50" i="42"/>
  <c r="N15" i="42"/>
  <c r="R44" i="42"/>
  <c r="K15" i="42"/>
  <c r="S47" i="42"/>
  <c r="S29" i="42"/>
  <c r="O44" i="42"/>
  <c r="K17" i="42"/>
  <c r="R15" i="42"/>
  <c r="L44" i="42"/>
  <c r="O29" i="42"/>
  <c r="Q17" i="42"/>
  <c r="O50" i="42"/>
  <c r="P17" i="42"/>
  <c r="L24" i="42"/>
  <c r="M44" i="42"/>
  <c r="L47" i="42"/>
  <c r="K41" i="42"/>
  <c r="J24" i="42"/>
  <c r="L17" i="42"/>
  <c r="Q29" i="42"/>
  <c r="S50" i="42"/>
  <c r="M15" i="42"/>
  <c r="R47" i="42"/>
  <c r="P24" i="42"/>
  <c r="R29" i="42"/>
  <c r="S24" i="42"/>
  <c r="S44" i="42"/>
  <c r="J29" i="42"/>
  <c r="N44" i="42"/>
  <c r="J41" i="42"/>
  <c r="K44" i="42"/>
  <c r="M41" i="42"/>
  <c r="S15" i="42"/>
  <c r="N17" i="42"/>
  <c r="N29" i="42"/>
  <c r="N24" i="42"/>
  <c r="P22" i="42"/>
  <c r="J50" i="42"/>
  <c r="O31" i="42"/>
  <c r="L38" i="42"/>
  <c r="L74" i="42"/>
  <c r="L84" i="42" s="1"/>
  <c r="S38" i="42"/>
  <c r="N38" i="42"/>
  <c r="O74" i="42"/>
  <c r="O84" i="42" s="1"/>
  <c r="O38" i="42"/>
  <c r="O25" i="2"/>
  <c r="Q74" i="42"/>
  <c r="Q84" i="42" s="1"/>
  <c r="J38" i="42"/>
  <c r="J74" i="42"/>
  <c r="J84" i="42" s="1"/>
  <c r="P74" i="42"/>
  <c r="P84" i="42" s="1"/>
  <c r="Q38" i="42"/>
  <c r="S74" i="42"/>
  <c r="S84" i="42" s="1"/>
  <c r="K38" i="42"/>
  <c r="R74" i="42"/>
  <c r="R84" i="42" s="1"/>
  <c r="N74" i="42"/>
  <c r="N84" i="42" s="1"/>
  <c r="R38" i="42"/>
  <c r="M74" i="42"/>
  <c r="M84" i="42" s="1"/>
  <c r="P38" i="42"/>
  <c r="P52" i="42" s="1"/>
  <c r="P54" i="42" s="1"/>
  <c r="M38" i="42"/>
  <c r="K74" i="42"/>
  <c r="K84" i="42" s="1"/>
  <c r="J13" i="42"/>
  <c r="J26" i="42" s="1"/>
  <c r="O33" i="42" s="1"/>
  <c r="J20" i="42"/>
  <c r="O35" i="42" s="1"/>
  <c r="L52" i="42" l="1"/>
  <c r="L54" i="42" s="1"/>
  <c r="Q52" i="42"/>
  <c r="Q54" i="42" s="1"/>
  <c r="N31" i="42"/>
  <c r="K52" i="42"/>
  <c r="K54" i="42" s="1"/>
  <c r="S52" i="42"/>
  <c r="S54" i="42" s="1"/>
  <c r="O52" i="42"/>
  <c r="O54" i="42" s="1"/>
  <c r="R52" i="42"/>
  <c r="R54" i="42" s="1"/>
  <c r="J52" i="42"/>
  <c r="J54" i="42" s="1"/>
  <c r="N35" i="42"/>
  <c r="M35" i="42"/>
  <c r="M33" i="42"/>
  <c r="M52" i="42" l="1"/>
  <c r="M54" i="42" s="1"/>
  <c r="L47" i="58" l="1"/>
  <c r="L12" i="42" s="1"/>
  <c r="L13" i="42" s="1"/>
  <c r="L26" i="42" s="1"/>
  <c r="N33" i="42" s="1"/>
  <c r="N52" i="42" l="1"/>
  <c r="N54" i="42" s="1"/>
  <c r="Q101" i="42" l="1"/>
  <c r="Q102" i="42" s="1"/>
  <c r="O100" i="42"/>
  <c r="O13" i="44" s="1"/>
  <c r="S101" i="42"/>
  <c r="S102" i="42" s="1"/>
  <c r="R101" i="42"/>
  <c r="R102" i="42" s="1"/>
  <c r="R100" i="42"/>
  <c r="R13" i="44" s="1"/>
  <c r="P101" i="42"/>
  <c r="P102" i="42" s="1"/>
  <c r="O101" i="42"/>
  <c r="O102" i="42" s="1"/>
  <c r="S100" i="42"/>
  <c r="S13" i="44" s="1"/>
  <c r="Q100" i="42"/>
  <c r="Q13" i="44" s="1"/>
  <c r="P100" i="42"/>
  <c r="P13" i="44" s="1"/>
</calcChain>
</file>

<file path=xl/sharedStrings.xml><?xml version="1.0" encoding="utf-8"?>
<sst xmlns="http://schemas.openxmlformats.org/spreadsheetml/2006/main" count="699" uniqueCount="209">
  <si>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</si>
  <si>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</si>
  <si>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</si>
  <si>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</si>
  <si>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</si>
  <si>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</si>
  <si>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</si>
  <si>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</si>
  <si>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</si>
  <si>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</si>
  <si>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</si>
  <si>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</si>
  <si>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</si>
  <si>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</si>
  <si>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</si>
  <si>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</si>
  <si>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</si>
  <si>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</si>
  <si>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</si>
  <si>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</si>
  <si>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</si>
  <si>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</si>
  <si>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</si>
  <si>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</si>
  <si>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</si>
  <si>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</si>
  <si>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</si>
  <si>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</si>
  <si>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</si>
  <si>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</si>
  <si>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</si>
  <si>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</si>
  <si>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</si>
  <si>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</si>
  <si>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</si>
  <si>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</si>
  <si>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</si>
  <si>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</si>
  <si>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</si>
  <si>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</si>
  <si>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</si>
  <si>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</si>
  <si>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</si>
  <si>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</si>
  <si>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</si>
  <si>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</si>
  <si>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</si>
  <si>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</si>
  <si>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</si>
  <si>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</si>
  <si>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</si>
  <si>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</si>
  <si>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</si>
  <si>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</si>
  <si>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</si>
  <si>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</si>
  <si>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</si>
  <si>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</si>
  <si>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</si>
  <si>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</si>
  <si>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</si>
  <si>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</si>
  <si>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</si>
  <si>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</si>
  <si>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</si>
  <si>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</si>
  <si>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</si>
  <si>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</si>
  <si>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</si>
  <si>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</si>
  <si>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</si>
  <si>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</si>
  <si>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</si>
  <si>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</si>
  <si>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</si>
  <si>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</si>
  <si>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</si>
  <si>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</si>
  <si>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</si>
  <si>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</si>
  <si>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</si>
  <si>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</si>
  <si>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</si>
  <si>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</si>
  <si>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</si>
  <si>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</si>
  <si>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</si>
  <si>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</si>
  <si>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</si>
  <si>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</si>
  <si>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</si>
  <si>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</si>
  <si>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</si>
  <si>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</si>
  <si>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</si>
  <si>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</si>
  <si>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</si>
  <si>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</si>
  <si>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</si>
  <si>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</si>
  <si>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</si>
  <si>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</si>
  <si>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</si>
  <si>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</si>
  <si>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</si>
  <si>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</si>
  <si>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</si>
  <si>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</si>
  <si>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</si>
  <si>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</si>
  <si>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</si>
  <si>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</si>
  <si>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</si>
  <si>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</si>
  <si>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</si>
  <si>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</si>
  <si>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</si>
  <si>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</si>
  <si>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</si>
  <si>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</si>
  <si>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</si>
  <si>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</si>
  <si>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</si>
  <si>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</si>
  <si>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</si>
  <si>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Network support costs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</si>
  <si>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</si>
  <si>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</si>
  <si>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</si>
  <si>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</si>
  <si>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</si>
  <si>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</si>
  <si>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</si>
  <si>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</si>
  <si>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</si>
  <si>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</si>
  <si>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</si>
  <si>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</si>
  <si>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</si>
  <si>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</si>
  <si>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</si>
  <si>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</si>
  <si>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</si>
  <si>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</si>
  <si>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</si>
  <si>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</si>
  <si>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</si>
  <si>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</si>
  <si>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</si>
  <si>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</si>
  <si>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</si>
  <si>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</si>
  <si>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</si>
  <si>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</si>
  <si>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</si>
  <si>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</si>
  <si>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</si>
  <si>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</si>
  <si>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</si>
  <si>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</si>
  <si>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</si>
  <si>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</si>
  <si>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</si>
  <si>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</si>
  <si>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</si>
  <si>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</si>
  <si>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</si>
  <si>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</si>
  <si>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</si>
  <si>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</si>
  <si>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</si>
  <si>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</si>
  <si>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</si>
  <si>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</si>
  <si>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</si>
  <si>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</si>
  <si>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</si>
  <si>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</si>
  <si>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</si>
  <si>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</si>
  <si>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</si>
  <si>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</si>
  <si>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</si>
  <si>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</si>
  <si>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Energy throughput (GWh)</t>
  </si>
  <si>
    <t>Output weights</t>
  </si>
  <si>
    <t>MPFP</t>
  </si>
  <si>
    <t>Forecast output growth</t>
  </si>
  <si>
    <t>These inputs should be entered as positive values.</t>
  </si>
  <si>
    <t>Movement in provisions</t>
  </si>
  <si>
    <t>DMIA/DMIS</t>
  </si>
  <si>
    <t>Total opex to be trended</t>
  </si>
  <si>
    <t>Non-recurrent efficiency gain in the base year</t>
  </si>
  <si>
    <t>Adjustment can be postive or negative.</t>
  </si>
  <si>
    <t>These inputs should be entered as reported.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</si>
  <si>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</si>
  <si>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</si>
  <si>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</si>
  <si>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</si>
  <si>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</si>
  <si>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TasNetworks Transmission</t>
  </si>
  <si>
    <t>Interpolated</t>
  </si>
  <si>
    <t>draft</t>
  </si>
  <si>
    <t>WPI - BIS Oxford</t>
  </si>
  <si>
    <t>Insurance</t>
  </si>
  <si>
    <t>Cybersecurity</t>
  </si>
  <si>
    <t>RBA statement of monetary policy inflation forecast, November 2022</t>
  </si>
  <si>
    <t>Superannuation guarantee increases</t>
  </si>
  <si>
    <t>WPI - BIS + superannuation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</si>
</sst>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</numFmts>
  <fonts count="9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u/>
      <sz val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69">
    <xf numFmtId="0" fontId="0" fillId="0" borderId="0"/>
    <xf numFmtId="166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7" fontId="13" fillId="0" borderId="5">
      <alignment horizontal="right" vertical="center"/>
      <protection locked="0"/>
    </xf>
    <xf numFmtId="43" fontId="1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13" fillId="0" borderId="0"/>
    <xf numFmtId="174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42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75" fontId="20" fillId="4" borderId="0" applyNumberFormat="0" applyFont="0" applyBorder="0" applyAlignment="0">
      <alignment horizontal="right"/>
    </xf>
    <xf numFmtId="175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41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8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75" fontId="20" fillId="36" borderId="0" applyFont="0" applyBorder="0" applyAlignment="0">
      <alignment horizontal="right"/>
      <protection locked="0"/>
    </xf>
    <xf numFmtId="175" fontId="20" fillId="36" borderId="0" applyFont="0" applyBorder="0" applyAlignment="0">
      <alignment horizontal="right"/>
      <protection locked="0"/>
    </xf>
    <xf numFmtId="181" fontId="20" fillId="6" borderId="0" applyFont="0" applyBorder="0">
      <alignment horizontal="right"/>
      <protection locked="0"/>
    </xf>
    <xf numFmtId="181" fontId="20" fillId="6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2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3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4" fontId="20" fillId="0" borderId="0" applyFill="0" applyBorder="0"/>
    <xf numFmtId="184" fontId="20" fillId="0" borderId="0" applyFill="0" applyBorder="0"/>
    <xf numFmtId="184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0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5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6" fontId="20" fillId="0" borderId="0"/>
    <xf numFmtId="186" fontId="20" fillId="0" borderId="0"/>
    <xf numFmtId="186" fontId="20" fillId="0" borderId="0"/>
    <xf numFmtId="187" fontId="13" fillId="0" borderId="0" applyFill="0" applyBorder="0">
      <alignment horizontal="right" vertical="center"/>
    </xf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2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42" borderId="0"/>
    <xf numFmtId="200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44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4" fontId="4" fillId="3" borderId="0" xfId="0" applyNumberFormat="1" applyFont="1" applyFill="1"/>
    <xf numFmtId="164" fontId="5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4" fontId="10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indent="1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43" fontId="10" fillId="0" borderId="6" xfId="0" applyNumberFormat="1" applyFont="1" applyBorder="1" applyAlignment="1">
      <alignment horizontal="center"/>
    </xf>
    <xf numFmtId="164" fontId="15" fillId="0" borderId="0" xfId="3" applyNumberFormat="1" applyFont="1" applyAlignment="1" applyProtection="1"/>
    <xf numFmtId="164" fontId="5" fillId="3" borderId="0" xfId="0" applyNumberFormat="1" applyFont="1" applyFill="1"/>
    <xf numFmtId="164" fontId="16" fillId="0" borderId="0" xfId="0" applyNumberFormat="1" applyFont="1" applyAlignment="1">
      <alignment horizontal="center"/>
    </xf>
    <xf numFmtId="169" fontId="13" fillId="0" borderId="0" xfId="5" applyNumberFormat="1" applyFont="1" applyFill="1" applyBorder="1" applyAlignment="1" applyProtection="1">
      <alignment horizontal="center" vertical="center"/>
    </xf>
    <xf numFmtId="170" fontId="10" fillId="0" borderId="0" xfId="5" applyNumberFormat="1" applyFont="1" applyFill="1" applyBorder="1" applyAlignment="1" applyProtection="1">
      <alignment horizontal="center" vertical="center"/>
    </xf>
    <xf numFmtId="170" fontId="18" fillId="0" borderId="0" xfId="5" applyNumberFormat="1" applyFont="1" applyFill="1" applyBorder="1" applyAlignment="1" applyProtection="1">
      <alignment horizontal="center" vertical="center"/>
    </xf>
    <xf numFmtId="171" fontId="4" fillId="0" borderId="0" xfId="0" applyNumberFormat="1" applyFont="1"/>
    <xf numFmtId="173" fontId="13" fillId="0" borderId="0" xfId="5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Protection="1"/>
    <xf numFmtId="164" fontId="5" fillId="3" borderId="0" xfId="0" applyNumberFormat="1" applyFont="1" applyFill="1" applyAlignment="1" applyProtection="1">
      <alignment horizontal="center"/>
    </xf>
    <xf numFmtId="164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164" fontId="10" fillId="0" borderId="0" xfId="0" applyNumberFormat="1" applyFont="1" applyProtection="1"/>
    <xf numFmtId="164" fontId="1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5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4" fontId="16" fillId="0" borderId="0" xfId="0" applyNumberFormat="1" applyFont="1" applyAlignment="1" applyProtection="1">
      <alignment horizontal="center" wrapText="1"/>
    </xf>
    <xf numFmtId="191" fontId="4" fillId="41" borderId="3" xfId="0" applyNumberFormat="1" applyFont="1" applyFill="1" applyBorder="1" applyAlignment="1" applyProtection="1">
      <alignment horizontal="center"/>
      <protection locked="0"/>
    </xf>
    <xf numFmtId="195" fontId="4" fillId="0" borderId="0" xfId="0" applyNumberFormat="1" applyFont="1" applyAlignment="1" applyProtection="1">
      <alignment horizontal="left"/>
    </xf>
    <xf numFmtId="193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 wrapText="1"/>
    </xf>
    <xf numFmtId="164" fontId="6" fillId="0" borderId="0" xfId="0" applyNumberFormat="1" applyFont="1" applyProtection="1"/>
    <xf numFmtId="164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43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44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6" fillId="0" borderId="0" xfId="0" applyNumberFormat="1" applyFont="1" applyFill="1" applyBorder="1" applyProtection="1"/>
    <xf numFmtId="164" fontId="5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 indent="1"/>
    </xf>
    <xf numFmtId="164" fontId="4" fillId="0" borderId="0" xfId="0" applyNumberFormat="1" applyFont="1" applyAlignment="1" applyProtection="1">
      <alignment horizontal="center"/>
    </xf>
    <xf numFmtId="164" fontId="15" fillId="0" borderId="0" xfId="3" applyNumberFormat="1" applyFont="1" applyFill="1" applyAlignment="1" applyProtection="1">
      <alignment horizontal="center"/>
    </xf>
    <xf numFmtId="196" fontId="4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left" indent="1"/>
    </xf>
    <xf numFmtId="164" fontId="5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left" indent="1"/>
    </xf>
    <xf numFmtId="164" fontId="5" fillId="0" borderId="8" xfId="0" applyNumberFormat="1" applyFont="1" applyBorder="1" applyAlignment="1" applyProtection="1">
      <alignment horizontal="center"/>
    </xf>
    <xf numFmtId="196" fontId="6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4" fontId="6" fillId="0" borderId="8" xfId="0" applyNumberFormat="1" applyFont="1" applyBorder="1" applyProtection="1"/>
    <xf numFmtId="172" fontId="4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left" indent="2"/>
    </xf>
    <xf numFmtId="164" fontId="16" fillId="0" borderId="8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Border="1" applyProtection="1"/>
    <xf numFmtId="193" fontId="6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/>
    </xf>
    <xf numFmtId="199" fontId="4" fillId="0" borderId="0" xfId="0" applyNumberFormat="1" applyFont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97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43" fontId="10" fillId="0" borderId="3" xfId="0" applyNumberFormat="1" applyFont="1" applyBorder="1" applyAlignment="1" applyProtection="1">
      <alignment horizontal="center"/>
    </xf>
    <xf numFmtId="43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4" fontId="6" fillId="0" borderId="7" xfId="0" applyNumberFormat="1" applyFont="1" applyBorder="1" applyProtection="1"/>
    <xf numFmtId="164" fontId="4" fillId="0" borderId="7" xfId="0" applyNumberFormat="1" applyFont="1" applyBorder="1" applyProtection="1"/>
    <xf numFmtId="164" fontId="6" fillId="0" borderId="4" xfId="0" applyNumberFormat="1" applyFont="1" applyBorder="1" applyAlignment="1" applyProtection="1">
      <alignment horizontal="left"/>
    </xf>
    <xf numFmtId="164" fontId="5" fillId="0" borderId="4" xfId="0" applyNumberFormat="1" applyFont="1" applyBorder="1" applyAlignment="1" applyProtection="1">
      <alignment horizontal="center"/>
    </xf>
    <xf numFmtId="43" fontId="4" fillId="0" borderId="0" xfId="0" applyNumberFormat="1" applyFont="1" applyProtection="1"/>
    <xf numFmtId="164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4" fontId="5" fillId="0" borderId="0" xfId="6" applyNumberFormat="1" applyFont="1" applyAlignment="1" applyProtection="1">
      <alignment horizontal="center"/>
    </xf>
    <xf numFmtId="168" fontId="13" fillId="0" borderId="0" xfId="2" applyNumberFormat="1" applyFont="1" applyFill="1" applyBorder="1" applyAlignment="1" applyProtection="1">
      <alignment horizontal="center" vertical="center"/>
    </xf>
    <xf numFmtId="172" fontId="4" fillId="0" borderId="0" xfId="0" applyNumberFormat="1" applyFont="1" applyProtection="1"/>
    <xf numFmtId="164" fontId="4" fillId="0" borderId="0" xfId="0" applyNumberFormat="1" applyFont="1" applyAlignment="1" applyProtection="1">
      <alignment horizontal="left"/>
    </xf>
    <xf numFmtId="192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4" fontId="5" fillId="41" borderId="3" xfId="2" applyNumberFormat="1" applyFont="1" applyFill="1" applyBorder="1" applyAlignment="1" applyProtection="1">
      <alignment horizontal="center"/>
      <protection locked="0"/>
    </xf>
    <xf numFmtId="198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Protection="1">
      <protection locked="0"/>
    </xf>
    <xf numFmtId="201" fontId="6" fillId="0" borderId="0" xfId="0" applyNumberFormat="1" applyFont="1" applyAlignment="1" applyProtection="1">
      <alignment horizontal="center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4" fontId="12" fillId="0" borderId="0" xfId="3" applyNumberFormat="1" applyAlignment="1" applyProtection="1">
      <alignment horizontal="center"/>
    </xf>
    <xf numFmtId="10" fontId="4" fillId="41" borderId="26" xfId="2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4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4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199" fontId="4" fillId="0" borderId="0" xfId="0" applyNumberFormat="1" applyFont="1" applyBorder="1" applyAlignment="1" applyProtection="1">
      <alignment horizontal="center"/>
    </xf>
    <xf numFmtId="199" fontId="6" fillId="0" borderId="0" xfId="0" applyNumberFormat="1" applyFont="1" applyBorder="1" applyAlignment="1" applyProtection="1">
      <alignment horizontal="center"/>
    </xf>
    <xf numFmtId="196" fontId="6" fillId="0" borderId="0" xfId="0" applyNumberFormat="1" applyFont="1" applyBorder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3" fontId="4" fillId="0" borderId="0" xfId="0" applyNumberFormat="1" applyFont="1" applyProtection="1">
      <protection locked="0"/>
    </xf>
    <xf numFmtId="193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0" fontId="4" fillId="0" borderId="0" xfId="2" applyNumberFormat="1" applyFont="1" applyAlignment="1" applyProtection="1">
      <alignment horizontal="center"/>
      <protection locked="0"/>
    </xf>
    <xf numFmtId="170" fontId="10" fillId="0" borderId="0" xfId="5" applyNumberFormat="1" applyFont="1" applyFill="1" applyBorder="1" applyAlignment="1" applyProtection="1">
      <alignment horizontal="center" vertical="center"/>
      <protection locked="0"/>
    </xf>
    <xf numFmtId="164" fontId="13" fillId="0" borderId="0" xfId="5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4" fontId="16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80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192" fontId="6" fillId="8" borderId="2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3" fontId="4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Border="1" applyAlignment="1">
      <alignment horizontal="center"/>
    </xf>
    <xf numFmtId="164" fontId="5" fillId="41" borderId="3" xfId="0" applyNumberFormat="1" applyFont="1" applyFill="1" applyBorder="1" applyAlignment="1" applyProtection="1">
      <alignment horizontal="center"/>
    </xf>
    <xf numFmtId="203" fontId="5" fillId="41" borderId="3" xfId="0" applyNumberFormat="1" applyFont="1" applyFill="1" applyBorder="1" applyAlignment="1" applyProtection="1">
      <alignment horizontal="center"/>
    </xf>
    <xf numFmtId="193" fontId="4" fillId="0" borderId="0" xfId="0" applyNumberFormat="1" applyFont="1" applyFill="1" applyProtection="1">
      <protection locked="0"/>
    </xf>
    <xf numFmtId="0" fontId="90" fillId="38" borderId="0" xfId="3" applyFont="1" applyFill="1" applyBorder="1" applyAlignment="1" applyProtection="1"/>
    <xf numFmtId="191" fontId="4" fillId="0" borderId="0" xfId="0" applyNumberFormat="1" applyFont="1" applyFill="1" applyBorder="1" applyAlignment="1" applyProtection="1">
      <alignment horizontal="center"/>
      <protection locked="0"/>
    </xf>
    <xf numFmtId="203" fontId="5" fillId="0" borderId="0" xfId="0" applyNumberFormat="1" applyFont="1" applyFill="1" applyAlignment="1" applyProtection="1">
      <alignment horizontal="center"/>
    </xf>
    <xf numFmtId="164" fontId="6" fillId="0" borderId="0" xfId="0" applyNumberFormat="1" applyFont="1" applyFill="1" applyProtection="1"/>
    <xf numFmtId="203" fontId="4" fillId="0" borderId="0" xfId="0" applyNumberFormat="1" applyFont="1" applyFill="1" applyAlignment="1" applyProtection="1">
      <alignment horizontal="left" indent="1"/>
    </xf>
    <xf numFmtId="196" fontId="4" fillId="0" borderId="0" xfId="0" applyNumberFormat="1" applyFont="1" applyFill="1" applyAlignment="1" applyProtection="1">
      <alignment horizontal="center"/>
    </xf>
    <xf numFmtId="199" fontId="4" fillId="0" borderId="0" xfId="0" applyNumberFormat="1" applyFont="1" applyFill="1" applyAlignment="1" applyProtection="1">
      <alignment horizontal="center"/>
    </xf>
    <xf numFmtId="198" fontId="6" fillId="0" borderId="0" xfId="0" applyNumberFormat="1" applyFont="1" applyFill="1" applyBorder="1" applyAlignment="1" applyProtection="1">
      <alignment horizontal="center"/>
    </xf>
    <xf numFmtId="44" fontId="6" fillId="0" borderId="0" xfId="264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right"/>
    </xf>
    <xf numFmtId="0" fontId="72" fillId="38" borderId="2" xfId="0" applyNumberFormat="1" applyFont="1" applyFill="1" applyBorder="1" applyAlignment="1" applyProtection="1">
      <alignment horizontal="center"/>
    </xf>
  </cellXfs>
  <cellStyles count="269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10" xfId="267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" xfId="264" builtinId="4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Currency 6" xfId="266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2" xfId="265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6" xfId="268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9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1"/>
  <sheetViews>
    <sheetView tabSelected="1" workbookViewId="0"/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89.6640625" style="8" bestFit="1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3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 ht="10.5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177</v>
      </c>
    </row>
    <row r="13" spans="1:47">
      <c r="C13" s="19" t="s">
        <v>55</v>
      </c>
      <c r="D13" s="7" t="s">
        <v>178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3">
      <c r="C16" s="10"/>
      <c r="D16" s="7"/>
    </row>
    <row r="17" spans="1:47" customFormat="1" ht="13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3" hidden="1">
      <c r="C31" s="10"/>
      <c r="D31" s="7"/>
    </row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workbookViewId="0">
      <selection activeCell="K12" sqref="K12"/>
    </sheetView>
  </sheetViews>
  <sheetFormatPr defaultColWidth="0" defaultRowHeight="10" zeroHeight="1"/>
  <cols>
    <col min="1" max="2" width="1.44140625" style="29" customWidth="1"/>
    <col min="3" max="3" width="42" style="29" customWidth="1"/>
    <col min="4" max="4" width="27.6640625" style="30" customWidth="1"/>
    <col min="5" max="5" width="15.77734375" style="30" customWidth="1"/>
    <col min="6" max="6" width="10.6640625" style="30" customWidth="1"/>
    <col min="7" max="7" width="16.109375" style="30" bestFit="1" customWidth="1"/>
    <col min="8" max="9" width="3.332031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IF(COUNTA($S$5:$S$16)=COUNTIF($S5:$S17,"OK"),"OK","Check")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3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 ht="10.5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 ht="10.5">
      <c r="C7" s="29" t="s">
        <v>68</v>
      </c>
      <c r="D7" s="30" t="s">
        <v>72</v>
      </c>
      <c r="E7" s="29"/>
      <c r="F7" s="29"/>
      <c r="G7" s="52" t="s">
        <v>200</v>
      </c>
      <c r="H7" s="29"/>
      <c r="I7" s="29"/>
      <c r="S7" s="131" t="str">
        <f>IF(COUNTBLANK($G7),"Check","Ok")</f>
        <v>Ok</v>
      </c>
    </row>
    <row r="8" spans="1:47" ht="10.5">
      <c r="C8" s="29" t="s">
        <v>144</v>
      </c>
      <c r="D8" s="30" t="s">
        <v>73</v>
      </c>
      <c r="E8" s="29"/>
      <c r="F8" s="29"/>
      <c r="G8" s="52" t="s">
        <v>202</v>
      </c>
      <c r="H8" s="29"/>
      <c r="I8" s="29"/>
      <c r="S8" s="131" t="str">
        <f>IF(COUNTBLANK($G8),"Check","Ok")</f>
        <v>Ok</v>
      </c>
    </row>
    <row r="9" spans="1:47" ht="10.5">
      <c r="C9" s="29" t="s">
        <v>128</v>
      </c>
      <c r="D9" s="30" t="s">
        <v>72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 ht="10.5">
      <c r="C10" s="29" t="s">
        <v>158</v>
      </c>
      <c r="D10" s="30" t="s">
        <v>72</v>
      </c>
      <c r="E10" s="29"/>
      <c r="F10" s="29"/>
      <c r="G10" s="155">
        <v>2020</v>
      </c>
      <c r="H10" s="29"/>
      <c r="I10" s="29"/>
      <c r="S10" s="131" t="str">
        <f t="shared" ref="S10:S14" si="0">IF(COUNTBLANK($G10),"Check","Ok")</f>
        <v>Ok</v>
      </c>
    </row>
    <row r="11" spans="1:47" ht="10.5">
      <c r="C11" s="29" t="s">
        <v>75</v>
      </c>
      <c r="D11" s="30" t="s">
        <v>72</v>
      </c>
      <c r="E11" s="29"/>
      <c r="F11" s="29"/>
      <c r="G11" s="155">
        <v>2022</v>
      </c>
      <c r="H11" s="29"/>
      <c r="I11" s="29"/>
      <c r="S11" s="131" t="str">
        <f t="shared" si="0"/>
        <v>Ok</v>
      </c>
    </row>
    <row r="12" spans="1:47" ht="10.5">
      <c r="C12" s="29" t="s">
        <v>159</v>
      </c>
      <c r="D12" s="30" t="s">
        <v>72</v>
      </c>
      <c r="E12" s="29"/>
      <c r="F12" s="29"/>
      <c r="G12" s="155">
        <v>2024</v>
      </c>
      <c r="H12" s="29"/>
      <c r="I12" s="29"/>
      <c r="S12" s="131" t="str">
        <f t="shared" si="0"/>
        <v>Ok</v>
      </c>
    </row>
    <row r="13" spans="1:47" ht="10.5">
      <c r="C13" s="29" t="s">
        <v>69</v>
      </c>
      <c r="D13" s="30" t="s">
        <v>72</v>
      </c>
      <c r="E13" s="29"/>
      <c r="F13" s="29"/>
      <c r="G13" s="155">
        <v>2025</v>
      </c>
      <c r="H13" s="29"/>
      <c r="I13" s="29"/>
      <c r="S13" s="131" t="str">
        <f t="shared" si="0"/>
        <v>Ok</v>
      </c>
    </row>
    <row r="14" spans="1:47" ht="10.5">
      <c r="C14" s="29" t="s">
        <v>70</v>
      </c>
      <c r="D14" s="30" t="s">
        <v>72</v>
      </c>
      <c r="E14" s="29"/>
      <c r="F14" s="29"/>
      <c r="G14" s="155">
        <v>2029</v>
      </c>
      <c r="H14" s="29"/>
      <c r="I14" s="29"/>
      <c r="S14" s="131" t="str">
        <f t="shared" si="0"/>
        <v>Ok</v>
      </c>
    </row>
    <row r="15" spans="1:47" ht="10.5">
      <c r="C15" s="29" t="s">
        <v>196</v>
      </c>
      <c r="D15" s="30" t="s">
        <v>73</v>
      </c>
      <c r="E15" s="29"/>
      <c r="F15" s="29"/>
      <c r="G15" s="155" t="s">
        <v>112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3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193" priority="13" operator="equal">
      <formula>"Check"</formula>
    </cfRule>
    <cfRule type="cellIs" dxfId="192" priority="14" operator="equal">
      <formula>"Ok"</formula>
    </cfRule>
  </conditionalFormatting>
  <conditionalFormatting sqref="V1">
    <cfRule type="cellIs" dxfId="191" priority="3" operator="equal">
      <formula>"Check"</formula>
    </cfRule>
    <cfRule type="cellIs" dxfId="190" priority="4" operator="equal">
      <formula>"Ok"</formula>
    </cfRule>
  </conditionalFormatting>
  <conditionalFormatting sqref="S7:S15">
    <cfRule type="cellIs" dxfId="189" priority="5" operator="equal">
      <formula>"Check"</formula>
    </cfRule>
    <cfRule type="cellIs" dxfId="188" priority="6" operator="equal">
      <formula>"Ok"</formula>
    </cfRule>
  </conditionalFormatting>
  <conditionalFormatting sqref="S1">
    <cfRule type="cellIs" dxfId="187" priority="1" operator="equal">
      <formula>"Check"</formula>
    </cfRule>
    <cfRule type="cellIs" dxfId="186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6">
      <formula1>"Real 2010,Real 2011,Real 2012,Real 2013,Real 2014,Real 2015,Nominal"</formula1>
    </dataValidation>
    <dataValidation type="list" allowBlank="1" showInputMessage="1" showErrorMessage="1" sqref="I12:I16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  <x14:dataValidation type="list" allowBlank="1" showInputMessage="1" showErrorMessage="1">
          <x14:formula1>
            <xm:f>'Lookup|Tables'!$G$79:$G$80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92"/>
  <sheetViews>
    <sheetView topLeftCell="A58" workbookViewId="0">
      <selection activeCell="E103" sqref="E103"/>
    </sheetView>
  </sheetViews>
  <sheetFormatPr defaultColWidth="0" defaultRowHeight="11.25" customHeight="1"/>
  <cols>
    <col min="1" max="2" width="1.44140625" style="29" customWidth="1"/>
    <col min="3" max="3" width="11.6640625" style="29" bestFit="1" customWidth="1"/>
    <col min="4" max="4" width="21.44140625" style="30" bestFit="1" customWidth="1"/>
    <col min="5" max="5" width="21.44140625" style="30" customWidth="1"/>
    <col min="6" max="9" width="15" style="30" customWidth="1"/>
    <col min="10" max="10" width="3.33203125" style="30" customWidth="1"/>
    <col min="11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IF(COUNTA($T$5:$T$81)=COUNTIF($T5:$T82,"OK"),"OK","Check")</f>
        <v>OK</v>
      </c>
      <c r="V1" s="188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3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6" spans="1:48" ht="50">
      <c r="D6" s="62" t="s">
        <v>102</v>
      </c>
      <c r="E6" s="62" t="s">
        <v>142</v>
      </c>
      <c r="F6" s="62" t="s">
        <v>102</v>
      </c>
      <c r="G6" s="62" t="s">
        <v>142</v>
      </c>
      <c r="H6" s="62"/>
      <c r="I6" s="29"/>
      <c r="J6" s="29"/>
    </row>
    <row r="7" spans="1:48" ht="10.5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 ht="10.5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 ht="10.5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 ht="10.5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 ht="10.5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 ht="10.5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 ht="10.5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 ht="10.5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 ht="10.5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 ht="10.5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 ht="10.5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 ht="10.5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 ht="10.5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 ht="10.5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 ht="10.5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9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 ht="10.5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9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 ht="10.5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9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 ht="10.5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9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 ht="10.5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9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 ht="10.5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0" si="1">IF(ISBLANK(F26),"",F26/F22-1)</f>
        <v>3.5490605427975108E-2</v>
      </c>
      <c r="H26" s="189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 ht="10.5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9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 ht="10.5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9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 ht="10.5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9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 ht="10.5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9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 ht="10.5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9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 ht="10.5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9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 ht="10.5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9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 ht="10.5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9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 ht="10.5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9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 ht="10.5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9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 ht="10.5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9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 ht="10.5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9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 ht="10.5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9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 ht="10.5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9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 ht="10.5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9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 ht="10.5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9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 ht="10.5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9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 ht="10.5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9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 ht="10.5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9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 ht="10.5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9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 ht="10.5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9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 ht="10.5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9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 ht="10.5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9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 ht="10.5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90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 ht="10.5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9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 ht="10.5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9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 ht="10.5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9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 ht="10.5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9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 ht="10.5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218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 ht="10.5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9"/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 ht="10.5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218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 ht="10.5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9"/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 ht="10.5">
      <c r="C59" s="64">
        <v>43738</v>
      </c>
      <c r="D59" s="29"/>
      <c r="E59" s="29"/>
      <c r="F59" s="63">
        <v>115.4</v>
      </c>
      <c r="G59" s="117">
        <f t="shared" si="1"/>
        <v>1.6740088105726914E-2</v>
      </c>
      <c r="H59" s="218"/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 ht="10.5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9"/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 ht="10.5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218"/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 ht="10.5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9"/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 ht="10.5">
      <c r="C63" s="64">
        <v>44104</v>
      </c>
      <c r="D63" s="29"/>
      <c r="E63" s="29"/>
      <c r="F63" s="63">
        <v>116.2</v>
      </c>
      <c r="G63" s="117">
        <f t="shared" si="1"/>
        <v>6.9324090121316573E-3</v>
      </c>
      <c r="H63" s="218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 ht="10.5">
      <c r="C64" s="64">
        <v>44196</v>
      </c>
      <c r="D64" s="29"/>
      <c r="E64" s="29"/>
      <c r="F64" s="63">
        <v>117.2</v>
      </c>
      <c r="G64" s="117">
        <f t="shared" si="1"/>
        <v>8.6058519793459354E-3</v>
      </c>
      <c r="H64" s="189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3:20" ht="10.5">
      <c r="C65" s="64">
        <v>44286</v>
      </c>
      <c r="D65" s="29"/>
      <c r="E65" s="29"/>
      <c r="F65" s="63">
        <v>117.9</v>
      </c>
      <c r="G65" s="117">
        <f t="shared" si="1"/>
        <v>1.1149228130360234E-2</v>
      </c>
      <c r="H65" s="189"/>
      <c r="I65" s="29"/>
      <c r="J65" s="29"/>
      <c r="T65" s="131" t="str">
        <f>IF(C65&gt;EOMONTH(DATE('Input|General'!$G$12,MONTH('Input|General'!$G$9),1),0),"Ok",IF(ISBLANK($F65),"Check","Ok"))</f>
        <v>Ok</v>
      </c>
    </row>
    <row r="66" spans="3:20" ht="10.5">
      <c r="C66" s="64">
        <v>44377</v>
      </c>
      <c r="D66" s="29"/>
      <c r="E66" s="29"/>
      <c r="F66" s="63">
        <v>118.8</v>
      </c>
      <c r="G66" s="117">
        <f t="shared" si="1"/>
        <v>3.8461538461538325E-2</v>
      </c>
      <c r="H66" s="189"/>
      <c r="I66" s="29"/>
      <c r="J66" s="29"/>
      <c r="T66" s="131" t="str">
        <f>IF(C66&gt;EOMONTH(DATE('Input|General'!$G$12,MONTH('Input|General'!$G$9),1),0),"Ok",IF(ISBLANK($F66),"Check","Ok"))</f>
        <v>Ok</v>
      </c>
    </row>
    <row r="67" spans="3:20" ht="10.5">
      <c r="C67" s="64">
        <v>44469</v>
      </c>
      <c r="D67" s="29"/>
      <c r="E67" s="29"/>
      <c r="F67" s="63">
        <v>119.7</v>
      </c>
      <c r="G67" s="117">
        <f t="shared" si="1"/>
        <v>3.0120481927710774E-2</v>
      </c>
      <c r="H67" s="189"/>
      <c r="I67" s="29"/>
      <c r="J67" s="29"/>
      <c r="T67" s="131" t="str">
        <f>IF(C67&gt;EOMONTH(DATE('Input|General'!$G$12,MONTH('Input|General'!$G$9),1),0),"Ok",IF(ISBLANK($F67),"Check","Ok"))</f>
        <v>Ok</v>
      </c>
    </row>
    <row r="68" spans="3:20" ht="10.5">
      <c r="C68" s="64">
        <v>44561</v>
      </c>
      <c r="D68" s="29"/>
      <c r="E68" s="29"/>
      <c r="F68" s="63">
        <v>121.3</v>
      </c>
      <c r="G68" s="117">
        <f t="shared" si="1"/>
        <v>3.4982935153583528E-2</v>
      </c>
      <c r="H68" s="189"/>
      <c r="I68" s="29"/>
      <c r="J68" s="29"/>
      <c r="T68" s="131" t="str">
        <f>IF(C68&gt;EOMONTH(DATE('Input|General'!$G$12,MONTH('Input|General'!$G$9),1),0),"Ok",IF(ISBLANK($F68),"Check","Ok"))</f>
        <v>Ok</v>
      </c>
    </row>
    <row r="69" spans="3:20" ht="10.5">
      <c r="C69" s="64">
        <v>44651</v>
      </c>
      <c r="D69" s="29"/>
      <c r="E69" s="29"/>
      <c r="F69" s="63">
        <v>123.9</v>
      </c>
      <c r="G69" s="117">
        <f t="shared" si="1"/>
        <v>5.0890585241730291E-2</v>
      </c>
      <c r="H69" s="189"/>
      <c r="I69" s="29"/>
      <c r="J69" s="29"/>
      <c r="T69" s="131" t="str">
        <f>IF(C69&gt;EOMONTH(DATE('Input|General'!$G$12,MONTH('Input|General'!$G$9),1),0),"Ok",IF(ISBLANK($F69),"Check","Ok"))</f>
        <v>Ok</v>
      </c>
    </row>
    <row r="70" spans="3:20" ht="10.5">
      <c r="C70" s="64">
        <v>44742</v>
      </c>
      <c r="D70" s="29"/>
      <c r="E70" s="29"/>
      <c r="F70" s="63">
        <v>126.1</v>
      </c>
      <c r="G70" s="117">
        <f t="shared" si="1"/>
        <v>6.1447811447811418E-2</v>
      </c>
      <c r="H70" s="189"/>
      <c r="I70" s="29"/>
      <c r="J70" s="29"/>
      <c r="T70" s="131" t="str">
        <f>IF(C70&gt;EOMONTH(DATE('Input|General'!$G$12,MONTH('Input|General'!$G$9),1),0),"Ok",IF(ISBLANK($F70),"Check","Ok"))</f>
        <v>Ok</v>
      </c>
    </row>
    <row r="71" spans="3:20" ht="10.5">
      <c r="C71" s="64">
        <v>44834</v>
      </c>
      <c r="D71" s="29"/>
      <c r="E71" s="29"/>
      <c r="F71" s="63">
        <v>128.4</v>
      </c>
      <c r="G71" s="117">
        <f t="shared" si="1"/>
        <v>7.268170426065157E-2</v>
      </c>
      <c r="H71" s="189"/>
      <c r="I71" s="29"/>
      <c r="J71" s="29"/>
      <c r="T71" s="131" t="str">
        <f>IF(C71&gt;EOMONTH(DATE('Input|General'!$G$12,MONTH('Input|General'!$G$9),1),0),"Ok",IF(ISBLANK($F71),"Check","Ok"))</f>
        <v>Ok</v>
      </c>
    </row>
    <row r="72" spans="3:20" ht="10.5">
      <c r="C72" s="64">
        <v>44926</v>
      </c>
      <c r="D72" s="29"/>
      <c r="E72" s="29"/>
      <c r="F72" s="63">
        <v>131.00400000000002</v>
      </c>
      <c r="G72" s="117">
        <f t="shared" si="1"/>
        <v>8.0000000000000293E-2</v>
      </c>
      <c r="H72" s="189" t="s">
        <v>206</v>
      </c>
      <c r="I72" s="29"/>
      <c r="J72" s="29"/>
      <c r="T72" s="131" t="str">
        <f>IF(C72&gt;EOMONTH(DATE('Input|General'!$G$12,MONTH('Input|General'!$G$9),1),0),"Ok",IF(ISBLANK($F72),"Check","Ok"))</f>
        <v>Ok</v>
      </c>
    </row>
    <row r="73" spans="3:20" ht="10.5">
      <c r="C73" s="64">
        <v>45016</v>
      </c>
      <c r="D73" s="29"/>
      <c r="E73" s="29"/>
      <c r="F73" s="63">
        <v>132.52415000000002</v>
      </c>
      <c r="G73" s="117">
        <f t="shared" si="1"/>
        <v>6.9605730427764412E-2</v>
      </c>
      <c r="H73" s="189" t="s">
        <v>201</v>
      </c>
      <c r="I73" s="29"/>
      <c r="J73" s="29"/>
      <c r="T73" s="131" t="str">
        <f>IF(C73&gt;EOMONTH(DATE('Input|General'!$G$12,MONTH('Input|General'!$G$9),1),0),"Ok",IF(ISBLANK($F73),"Check","Ok"))</f>
        <v>Ok</v>
      </c>
    </row>
    <row r="74" spans="3:20" ht="10.5">
      <c r="C74" s="64">
        <v>45107</v>
      </c>
      <c r="D74" s="29"/>
      <c r="E74" s="29"/>
      <c r="F74" s="63">
        <v>134.04429999999999</v>
      </c>
      <c r="G74" s="117">
        <f t="shared" si="1"/>
        <v>6.2999999999999945E-2</v>
      </c>
      <c r="H74" s="189" t="s">
        <v>206</v>
      </c>
      <c r="I74" s="29"/>
      <c r="J74" s="29"/>
      <c r="T74" s="131" t="str">
        <f>IF(C74&gt;EOMONTH(DATE('Input|General'!$G$12,MONTH('Input|General'!$G$9),1),0),"Ok",IF(ISBLANK($F74),"Check","Ok"))</f>
        <v>Ok</v>
      </c>
    </row>
    <row r="75" spans="3:20" ht="10.5">
      <c r="C75" s="64">
        <v>45199</v>
      </c>
      <c r="D75" s="29"/>
      <c r="E75" s="29"/>
      <c r="F75" s="63">
        <v>135.602744</v>
      </c>
      <c r="G75" s="117">
        <f t="shared" si="1"/>
        <v>5.6096137071651064E-2</v>
      </c>
      <c r="H75" s="189" t="s">
        <v>201</v>
      </c>
      <c r="I75" s="29"/>
      <c r="J75" s="29"/>
      <c r="T75" s="131" t="str">
        <f>IF(C75&gt;EOMONTH(DATE('Input|General'!$G$12,MONTH('Input|General'!$G$9),1),0),"Ok",IF(ISBLANK($F75),"Check","Ok"))</f>
        <v>Ok</v>
      </c>
    </row>
    <row r="76" spans="3:20" ht="10.5">
      <c r="C76" s="64">
        <v>45291</v>
      </c>
      <c r="D76" s="29"/>
      <c r="E76" s="29"/>
      <c r="F76" s="63">
        <v>137.16118800000001</v>
      </c>
      <c r="G76" s="117">
        <f t="shared" si="1"/>
        <v>4.6999999999999931E-2</v>
      </c>
      <c r="H76" s="189" t="s">
        <v>206</v>
      </c>
      <c r="I76" s="29"/>
      <c r="J76" s="29"/>
      <c r="T76" s="131" t="str">
        <f>IF(C76&gt;EOMONTH(DATE('Input|General'!$G$12,MONTH('Input|General'!$G$9),1),0),"Ok",IF(ISBLANK($F76),"Check","Ok"))</f>
        <v>Ok</v>
      </c>
    </row>
    <row r="77" spans="3:20" ht="10.5">
      <c r="C77" s="64">
        <v>45382</v>
      </c>
      <c r="D77" s="29"/>
      <c r="E77" s="29"/>
      <c r="F77" s="63">
        <v>138.41767429999999</v>
      </c>
      <c r="G77" s="117">
        <f t="shared" si="1"/>
        <v>4.4471323151289432E-2</v>
      </c>
      <c r="H77" s="189" t="s">
        <v>201</v>
      </c>
      <c r="I77" s="29"/>
      <c r="J77" s="29"/>
      <c r="T77" s="131" t="str">
        <f>IF(C77&gt;EOMONTH(DATE('Input|General'!$G$12,MONTH('Input|General'!$G$9),1),0),"Ok",IF(ISBLANK($F77),"Check","Ok"))</f>
        <v>Ok</v>
      </c>
    </row>
    <row r="78" spans="3:20" ht="10.5">
      <c r="C78" s="64">
        <v>45473</v>
      </c>
      <c r="D78" s="29"/>
      <c r="E78" s="29"/>
      <c r="F78" s="63">
        <v>139.67416059999999</v>
      </c>
      <c r="G78" s="117">
        <f t="shared" si="1"/>
        <v>4.2000000000000037E-2</v>
      </c>
      <c r="H78" s="189" t="s">
        <v>206</v>
      </c>
      <c r="I78" s="29"/>
      <c r="J78" s="29"/>
      <c r="T78" s="131" t="str">
        <f>IF(C78&gt;EOMONTH(DATE('Input|General'!$G$12,MONTH('Input|General'!$G$9),1),0),"Ok",IF(ISBLANK($F78),"Check","Ok"))</f>
        <v>Ok</v>
      </c>
    </row>
    <row r="79" spans="3:20" ht="10.5">
      <c r="C79" s="64">
        <v>45565</v>
      </c>
      <c r="D79" s="29"/>
      <c r="E79" s="29"/>
      <c r="F79" s="63">
        <v>140.61225330799999</v>
      </c>
      <c r="G79" s="117">
        <f t="shared" si="1"/>
        <v>3.6942536413569815E-2</v>
      </c>
      <c r="H79" s="189" t="s">
        <v>201</v>
      </c>
      <c r="I79" s="29"/>
      <c r="J79" s="29"/>
      <c r="T79" s="131" t="str">
        <f>IF(C79&gt;EOMONTH(DATE('Input|General'!$G$12,MONTH('Input|General'!$G$9),1),0),"Ok",IF(ISBLANK($F79),"Check","Ok"))</f>
        <v>Ok</v>
      </c>
    </row>
    <row r="80" spans="3:20" ht="10.5">
      <c r="C80" s="64">
        <v>45657</v>
      </c>
      <c r="D80" s="29"/>
      <c r="E80" s="29"/>
      <c r="F80" s="63">
        <v>141.55034601600002</v>
      </c>
      <c r="G80" s="117">
        <f t="shared" si="1"/>
        <v>3.2000000000000028E-2</v>
      </c>
      <c r="H80" s="189" t="s">
        <v>206</v>
      </c>
      <c r="I80" s="29"/>
      <c r="J80" s="29"/>
      <c r="T80" s="131" t="str">
        <f>IF(C80&gt;EOMONTH(DATE('Input|General'!$G$12,MONTH('Input|General'!$G$9),1),0),"Ok",IF(ISBLANK($F80),"Check","Ok"))</f>
        <v>Ok</v>
      </c>
    </row>
    <row r="81" spans="1:48" ht="10.5">
      <c r="F81" s="29"/>
      <c r="G81" s="29"/>
      <c r="H81" s="29"/>
      <c r="I81" s="29"/>
      <c r="J81" s="29"/>
      <c r="T81" s="132"/>
    </row>
    <row r="82" spans="1:48" s="103" customFormat="1" ht="13">
      <c r="A82" s="94"/>
      <c r="B82" s="95" t="s">
        <v>21</v>
      </c>
      <c r="C82" s="94"/>
      <c r="D82" s="94"/>
      <c r="E82" s="94"/>
      <c r="F82" s="94"/>
      <c r="G82" s="96"/>
      <c r="H82" s="96"/>
      <c r="I82" s="96"/>
      <c r="J82" s="96"/>
      <c r="K82" s="97"/>
      <c r="L82" s="98"/>
      <c r="M82" s="97"/>
      <c r="N82" s="98"/>
      <c r="O82" s="97"/>
      <c r="P82" s="97"/>
      <c r="Q82" s="97"/>
      <c r="R82" s="97"/>
      <c r="S82" s="97"/>
      <c r="T82" s="97"/>
      <c r="U82" s="97"/>
      <c r="V82" s="97"/>
      <c r="W82" s="98"/>
      <c r="X82" s="98"/>
      <c r="Y82" s="99"/>
      <c r="Z82" s="99"/>
      <c r="AA82" s="99"/>
      <c r="AB82" s="99"/>
      <c r="AC82" s="100"/>
      <c r="AD82" s="101"/>
      <c r="AE82" s="101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</row>
    <row r="83" spans="1:48" ht="10">
      <c r="H83" s="32"/>
      <c r="I83" s="32"/>
    </row>
    <row r="84" spans="1:48" ht="10">
      <c r="H84" s="32"/>
      <c r="I84" s="32"/>
    </row>
    <row r="85" spans="1:48" s="30" customFormat="1" ht="10">
      <c r="A85" s="29"/>
      <c r="B85" s="29"/>
      <c r="C85" s="29"/>
      <c r="H85" s="32"/>
      <c r="I85" s="32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</row>
    <row r="86" spans="1:48" s="30" customFormat="1" ht="10">
      <c r="A86" s="29"/>
      <c r="B86" s="29"/>
      <c r="C86" s="29"/>
      <c r="H86" s="32"/>
      <c r="I86" s="32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</row>
    <row r="87" spans="1:48" s="30" customFormat="1" ht="10">
      <c r="A87" s="29"/>
      <c r="B87" s="29"/>
      <c r="C87" s="29"/>
      <c r="H87" s="32"/>
      <c r="I87" s="32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</row>
    <row r="88" spans="1:48" s="30" customFormat="1" ht="10">
      <c r="A88" s="29"/>
      <c r="B88" s="29"/>
      <c r="C88" s="29"/>
      <c r="H88" s="32"/>
      <c r="I88" s="32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</row>
    <row r="89" spans="1:48" s="30" customFormat="1" ht="10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t="10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t="10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t="10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</sheetData>
  <conditionalFormatting sqref="X14:X50 T81 X63:X81">
    <cfRule type="cellIs" dxfId="185" priority="11" operator="equal">
      <formula>"Check"</formula>
    </cfRule>
    <cfRule type="cellIs" dxfId="184" priority="12" operator="equal">
      <formula>"Ok"</formula>
    </cfRule>
  </conditionalFormatting>
  <conditionalFormatting sqref="W1">
    <cfRule type="cellIs" dxfId="183" priority="7" operator="equal">
      <formula>"Check"</formula>
    </cfRule>
    <cfRule type="cellIs" dxfId="182" priority="8" operator="equal">
      <formula>"Ok"</formula>
    </cfRule>
  </conditionalFormatting>
  <conditionalFormatting sqref="T1">
    <cfRule type="cellIs" dxfId="181" priority="5" operator="equal">
      <formula>"Check"</formula>
    </cfRule>
    <cfRule type="cellIs" dxfId="180" priority="6" operator="equal">
      <formula>"Ok"</formula>
    </cfRule>
  </conditionalFormatting>
  <conditionalFormatting sqref="X51:X57">
    <cfRule type="cellIs" dxfId="179" priority="3" operator="equal">
      <formula>"Check"</formula>
    </cfRule>
    <cfRule type="cellIs" dxfId="178" priority="4" operator="equal">
      <formula>"Ok"</formula>
    </cfRule>
  </conditionalFormatting>
  <conditionalFormatting sqref="X58:X62 T9:T80">
    <cfRule type="cellIs" dxfId="177" priority="1" operator="equal">
      <formula>"Check"</formula>
    </cfRule>
    <cfRule type="cellIs" dxfId="176" priority="2" operator="equal">
      <formula>"Ok"</formula>
    </cfRule>
  </conditionalFormatting>
  <dataValidations count="2">
    <dataValidation type="list" allowBlank="1" showInputMessage="1" showErrorMessage="1" sqref="G81">
      <formula1>"Real 2010,Real 2011,Real 2012,Real 2013,Real 2014,Real 2015,Nominal"</formula1>
    </dataValidation>
    <dataValidation type="list" allowBlank="1" showInputMessage="1" showErrorMessage="1" sqref="J12:J81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W72"/>
  <sheetViews>
    <sheetView workbookViewId="0">
      <selection activeCell="J13" sqref="J13:N13"/>
    </sheetView>
  </sheetViews>
  <sheetFormatPr defaultColWidth="0" defaultRowHeight="10" zeroHeight="1"/>
  <cols>
    <col min="1" max="2" width="1.6640625" style="103" customWidth="1"/>
    <col min="3" max="3" width="49.77734375" style="103" bestFit="1" customWidth="1"/>
    <col min="4" max="6" width="13.33203125" style="103" customWidth="1"/>
    <col min="7" max="9" width="3.33203125" style="103" customWidth="1"/>
    <col min="10" max="23" width="10.77734375" style="103" customWidth="1"/>
    <col min="24" max="16384" width="9.33203125" style="103" hidden="1"/>
  </cols>
  <sheetData>
    <row r="1" spans="1:23" ht="15.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219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IF(COUNTA($W$29:$W$265)=COUNTIF($W$29:$W$265,"OK"),"OK","Check")</f>
        <v>OK</v>
      </c>
      <c r="T1" s="69"/>
      <c r="U1" s="188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 ht="10.5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128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43983</v>
      </c>
      <c r="K4" s="156">
        <f>DATE(PPFirstYear+1,MONTH('Input|General'!$G$9),1)</f>
        <v>44348</v>
      </c>
      <c r="L4" s="156">
        <f>DATE(PPFirstYear+2,MONTH('Input|General'!$G$9),1)</f>
        <v>44713</v>
      </c>
      <c r="M4" s="156">
        <f>DATE(PPFirstYear+3,MONTH('Input|General'!$G$9),1)</f>
        <v>45078</v>
      </c>
      <c r="N4" s="156">
        <f>DATE(PPFirstYear+4,MONTH('Input|General'!$G$9),1)</f>
        <v>45444</v>
      </c>
      <c r="O4" s="156">
        <f>DATE(PPFirstYear+5,MONTH('Input|General'!$G$9),1)</f>
        <v>45809</v>
      </c>
      <c r="P4" s="156">
        <f>DATE(PPFirstYear+6,MONTH('Input|General'!$G$9),1)</f>
        <v>46174</v>
      </c>
      <c r="Q4" s="156">
        <f>DATE(PPFirstYear+7,MONTH('Input|General'!$G$9),1)</f>
        <v>46539</v>
      </c>
      <c r="R4" s="156">
        <f>DATE(PPFirstYear+8,MONTH('Input|General'!$G$9),1)</f>
        <v>46905</v>
      </c>
      <c r="S4" s="156">
        <f>DATE(PPFirstYear+9,MONTH('Input|General'!$G$9),1)</f>
        <v>47270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3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10.5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43983</v>
      </c>
      <c r="K10" s="159">
        <f t="shared" si="0"/>
        <v>44348</v>
      </c>
      <c r="L10" s="159">
        <f t="shared" si="0"/>
        <v>44713</v>
      </c>
      <c r="M10" s="159">
        <f t="shared" si="0"/>
        <v>45078</v>
      </c>
      <c r="N10" s="159">
        <f t="shared" si="0"/>
        <v>45444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 ht="10.5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10.5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2" t="s">
        <v>15</v>
      </c>
      <c r="F13" s="172">
        <v>43617</v>
      </c>
      <c r="G13" s="32"/>
      <c r="H13" s="32"/>
      <c r="I13" s="30"/>
      <c r="J13" s="164">
        <v>30.06</v>
      </c>
      <c r="K13" s="164">
        <v>30.16</v>
      </c>
      <c r="L13" s="164">
        <v>30.31</v>
      </c>
      <c r="M13" s="164">
        <v>30.46</v>
      </c>
      <c r="N13" s="164">
        <v>30.62</v>
      </c>
      <c r="O13" s="152"/>
      <c r="P13" s="152"/>
      <c r="Q13" s="152"/>
      <c r="R13" s="152"/>
      <c r="S13" s="152"/>
      <c r="T13" s="29" t="s">
        <v>179</v>
      </c>
      <c r="U13" s="29"/>
      <c r="V13" s="29"/>
      <c r="W13" s="29"/>
    </row>
    <row r="14" spans="1:23" ht="10.5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 ht="10.5">
      <c r="A15" s="29"/>
      <c r="B15" s="29"/>
      <c r="C15" s="139" t="s">
        <v>77</v>
      </c>
      <c r="D15" s="140" t="str">
        <f>D13</f>
        <v>AER</v>
      </c>
      <c r="E15" s="204" t="str">
        <f>E13</f>
        <v>$millions</v>
      </c>
      <c r="F15" s="204">
        <v>43617</v>
      </c>
      <c r="G15" s="32"/>
      <c r="H15" s="32"/>
      <c r="I15" s="30"/>
      <c r="J15" s="129">
        <f>J13</f>
        <v>30.06</v>
      </c>
      <c r="K15" s="129">
        <f t="shared" ref="K15:S15" si="1">K13</f>
        <v>30.16</v>
      </c>
      <c r="L15" s="129">
        <f t="shared" si="1"/>
        <v>30.31</v>
      </c>
      <c r="M15" s="129">
        <f t="shared" si="1"/>
        <v>30.46</v>
      </c>
      <c r="N15" s="129">
        <f t="shared" si="1"/>
        <v>30.62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 ht="10.5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 ht="10.5">
      <c r="A17" s="29"/>
      <c r="B17" s="29"/>
      <c r="C17" s="67" t="s">
        <v>168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10.5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73</v>
      </c>
      <c r="E19" s="30" t="str">
        <f>$E$29</f>
        <v>$millions</v>
      </c>
      <c r="F19" s="161">
        <f t="shared" ref="F19:F27" si="2">$F$15</f>
        <v>43617</v>
      </c>
      <c r="G19" s="32"/>
      <c r="H19" s="32"/>
      <c r="I19" s="30"/>
      <c r="J19" s="164">
        <v>1.01</v>
      </c>
      <c r="K19" s="164">
        <v>1</v>
      </c>
      <c r="L19" s="164">
        <v>1.01</v>
      </c>
      <c r="M19" s="164">
        <v>1.02</v>
      </c>
      <c r="N19" s="164">
        <v>1.01</v>
      </c>
      <c r="O19" s="152"/>
      <c r="P19" s="152"/>
      <c r="Q19" s="152"/>
      <c r="R19" s="152"/>
      <c r="S19" s="152"/>
      <c r="T19" s="29" t="s">
        <v>188</v>
      </c>
      <c r="U19" s="29"/>
      <c r="V19" s="29"/>
      <c r="W19" s="29"/>
    </row>
    <row r="20" spans="1:23">
      <c r="A20" s="29"/>
      <c r="B20" s="29"/>
      <c r="C20" s="61" t="s">
        <v>125</v>
      </c>
      <c r="D20" s="30" t="s">
        <v>73</v>
      </c>
      <c r="E20" s="30" t="str">
        <f t="shared" ref="E20:E27" si="3">$E$15</f>
        <v>$millions</v>
      </c>
      <c r="F20" s="161">
        <f t="shared" si="2"/>
        <v>43617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3"/>
        <v>$millions</v>
      </c>
      <c r="F21" s="161">
        <f t="shared" si="2"/>
        <v>43617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3"/>
        <v>$millions</v>
      </c>
      <c r="F22" s="161">
        <f t="shared" si="2"/>
        <v>43617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3"/>
        <v>$millions</v>
      </c>
      <c r="F23" s="161">
        <f t="shared" si="2"/>
        <v>43617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3"/>
        <v>$millions</v>
      </c>
      <c r="F24" s="161">
        <f t="shared" si="2"/>
        <v>43617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3"/>
        <v>$millions</v>
      </c>
      <c r="F25" s="161">
        <f t="shared" si="2"/>
        <v>43617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3"/>
        <v>$millions</v>
      </c>
      <c r="F26" s="161">
        <f t="shared" si="2"/>
        <v>43617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3"/>
        <v>$millions</v>
      </c>
      <c r="F27" s="161">
        <f t="shared" si="2"/>
        <v>43617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 ht="10.5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 ht="10.5">
      <c r="A29" s="29"/>
      <c r="B29" s="29"/>
      <c r="C29" s="139" t="s">
        <v>166</v>
      </c>
      <c r="D29" s="140" t="s">
        <v>30</v>
      </c>
      <c r="E29" s="130" t="s">
        <v>15</v>
      </c>
      <c r="F29" s="162">
        <f>F27</f>
        <v>43617</v>
      </c>
      <c r="G29" s="32"/>
      <c r="H29" s="32"/>
      <c r="I29" s="30"/>
      <c r="J29" s="129">
        <f>SUM(J19:J27)</f>
        <v>1.01</v>
      </c>
      <c r="K29" s="129">
        <f t="shared" ref="K29:S29" si="4">SUM(K19:K27)</f>
        <v>1</v>
      </c>
      <c r="L29" s="129">
        <f t="shared" si="4"/>
        <v>1.01</v>
      </c>
      <c r="M29" s="129">
        <f t="shared" si="4"/>
        <v>1.02</v>
      </c>
      <c r="N29" s="129">
        <f t="shared" si="4"/>
        <v>1.01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3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23</v>
      </c>
      <c r="N33" s="164" t="s">
        <v>23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 ht="10.5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43983</v>
      </c>
      <c r="K34" s="159">
        <f t="shared" si="5"/>
        <v>44348</v>
      </c>
      <c r="L34" s="159">
        <f t="shared" si="5"/>
        <v>44713</v>
      </c>
      <c r="M34" s="159">
        <f t="shared" si="5"/>
        <v>45078</v>
      </c>
      <c r="N34" s="159">
        <f t="shared" si="5"/>
        <v>45444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216" t="str">
        <f>$E$56</f>
        <v>$millions</v>
      </c>
      <c r="F37" s="217" t="s">
        <v>105</v>
      </c>
      <c r="G37" s="32"/>
      <c r="H37" s="32"/>
      <c r="I37" s="30"/>
      <c r="J37" s="164">
        <v>27.22258845456334</v>
      </c>
      <c r="K37" s="164">
        <v>30.726430302345705</v>
      </c>
      <c r="L37" s="220">
        <v>32.054966698900557</v>
      </c>
      <c r="M37" s="164"/>
      <c r="N37" s="164"/>
      <c r="O37" s="152"/>
      <c r="P37" s="152"/>
      <c r="Q37" s="152"/>
      <c r="R37" s="152"/>
      <c r="S37" s="152"/>
      <c r="T37" s="29" t="s">
        <v>180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 ht="10.5">
      <c r="A39" s="29"/>
      <c r="B39" s="29"/>
      <c r="C39" s="67" t="s">
        <v>195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 ht="10.5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189</v>
      </c>
      <c r="D41" s="30" t="s">
        <v>79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164"/>
      <c r="K41" s="164"/>
      <c r="L41" s="164"/>
      <c r="M41" s="164"/>
      <c r="N41" s="164"/>
      <c r="O41" s="152"/>
      <c r="P41" s="152"/>
      <c r="Q41" s="152"/>
      <c r="R41" s="152"/>
      <c r="S41" s="152"/>
      <c r="T41" s="29" t="s">
        <v>194</v>
      </c>
      <c r="U41" s="29"/>
      <c r="V41" s="29"/>
      <c r="W41" s="29"/>
    </row>
    <row r="42" spans="1:23">
      <c r="A42" s="29"/>
      <c r="B42" s="29"/>
      <c r="C42" s="61" t="s">
        <v>190</v>
      </c>
      <c r="D42" s="30" t="s">
        <v>79</v>
      </c>
      <c r="E42" s="30" t="str">
        <f>$E$56</f>
        <v>$millions</v>
      </c>
      <c r="F42" s="161" t="str">
        <f t="shared" ref="F42:F45" si="6">$F$37</f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61"/>
      <c r="D43" s="30" t="s">
        <v>79</v>
      </c>
      <c r="E43" s="30" t="str">
        <f>$E$56</f>
        <v>$millions</v>
      </c>
      <c r="F43" s="161" t="str">
        <f t="shared" si="6"/>
        <v>nominal</v>
      </c>
      <c r="G43" s="32"/>
      <c r="H43" s="32"/>
      <c r="I43" s="30"/>
      <c r="J43" s="164"/>
      <c r="K43" s="164"/>
      <c r="L43" s="164"/>
      <c r="M43" s="164"/>
      <c r="N43" s="164"/>
      <c r="O43" s="152"/>
      <c r="P43" s="152"/>
      <c r="Q43" s="152"/>
      <c r="R43" s="152"/>
      <c r="S43" s="152"/>
      <c r="T43" s="29"/>
      <c r="U43" s="29"/>
      <c r="V43" s="29"/>
      <c r="W43" s="29"/>
    </row>
    <row r="44" spans="1:23">
      <c r="A44" s="29"/>
      <c r="B44" s="29"/>
      <c r="C44" s="61"/>
      <c r="D44" s="30" t="s">
        <v>79</v>
      </c>
      <c r="E44" s="30" t="str">
        <f>$E$56</f>
        <v>$millions</v>
      </c>
      <c r="F44" s="161" t="str">
        <f t="shared" si="6"/>
        <v>nominal</v>
      </c>
      <c r="G44" s="32"/>
      <c r="H44" s="32"/>
      <c r="I44" s="30"/>
      <c r="J44" s="164"/>
      <c r="K44" s="164"/>
      <c r="L44" s="164"/>
      <c r="M44" s="164"/>
      <c r="N44" s="164"/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79</v>
      </c>
      <c r="E45" s="30" t="str">
        <f>$E$56</f>
        <v>$millions</v>
      </c>
      <c r="F45" s="161" t="str">
        <f t="shared" si="6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 ht="10.5">
      <c r="A47" s="29"/>
      <c r="B47" s="29"/>
      <c r="C47" s="139" t="s">
        <v>191</v>
      </c>
      <c r="D47" s="140" t="s">
        <v>30</v>
      </c>
      <c r="E47" s="191" t="str">
        <f>$E$56</f>
        <v>$millions</v>
      </c>
      <c r="F47" s="192" t="str">
        <f>F37</f>
        <v>nominal</v>
      </c>
      <c r="G47" s="32"/>
      <c r="H47" s="32"/>
      <c r="I47" s="30"/>
      <c r="J47" s="129">
        <f>J37-SUM(J41:J45)</f>
        <v>27.22258845456334</v>
      </c>
      <c r="K47" s="129">
        <f t="shared" ref="K47:S47" si="7">K37-SUM(K41:K45)</f>
        <v>30.726430302345705</v>
      </c>
      <c r="L47" s="129">
        <f t="shared" si="7"/>
        <v>32.054966698900557</v>
      </c>
      <c r="M47" s="129">
        <f t="shared" si="7"/>
        <v>0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 ht="10.5">
      <c r="A49" s="29"/>
      <c r="B49" s="29"/>
      <c r="C49" s="67" t="s">
        <v>116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79</v>
      </c>
      <c r="E51" s="30" t="str">
        <f>$E$56</f>
        <v>$millions</v>
      </c>
      <c r="F51" s="161" t="str">
        <f t="shared" ref="F51:F54" si="8">$F$56</f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 t="s">
        <v>188</v>
      </c>
      <c r="U51" s="29"/>
      <c r="V51" s="29"/>
      <c r="W51" s="29"/>
    </row>
    <row r="52" spans="1:23">
      <c r="A52" s="29"/>
      <c r="B52" s="29"/>
      <c r="C52" s="61" t="s">
        <v>125</v>
      </c>
      <c r="D52" s="30" t="s">
        <v>79</v>
      </c>
      <c r="E52" s="30" t="str">
        <f>$E$56</f>
        <v>$millions</v>
      </c>
      <c r="F52" s="161" t="str">
        <f t="shared" si="8"/>
        <v>nominal</v>
      </c>
      <c r="G52" s="32"/>
      <c r="H52" s="32"/>
      <c r="I52" s="30"/>
      <c r="J52" s="164"/>
      <c r="K52" s="164"/>
      <c r="L52" s="164"/>
      <c r="M52" s="164"/>
      <c r="N52" s="164"/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/>
      <c r="D53" s="30" t="s">
        <v>79</v>
      </c>
      <c r="E53" s="30" t="str">
        <f>$E$56</f>
        <v>$millions</v>
      </c>
      <c r="F53" s="161" t="str">
        <f t="shared" si="8"/>
        <v>nominal</v>
      </c>
      <c r="G53" s="32"/>
      <c r="H53" s="32"/>
      <c r="I53" s="30"/>
      <c r="J53" s="164"/>
      <c r="K53" s="164"/>
      <c r="L53" s="164"/>
      <c r="M53" s="164"/>
      <c r="N53" s="164"/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/>
      <c r="D54" s="30" t="s">
        <v>79</v>
      </c>
      <c r="E54" s="30" t="str">
        <f>$E$56</f>
        <v>$millions</v>
      </c>
      <c r="F54" s="161" t="str">
        <f t="shared" si="8"/>
        <v>nominal</v>
      </c>
      <c r="G54" s="32"/>
      <c r="H54" s="32"/>
      <c r="I54" s="30"/>
      <c r="J54" s="164"/>
      <c r="K54" s="164"/>
      <c r="L54" s="164"/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 ht="10.5">
      <c r="A56" s="29"/>
      <c r="B56" s="29"/>
      <c r="C56" s="139" t="s">
        <v>166</v>
      </c>
      <c r="D56" s="140" t="s">
        <v>30</v>
      </c>
      <c r="E56" s="130" t="s">
        <v>15</v>
      </c>
      <c r="F56" s="162" t="s">
        <v>105</v>
      </c>
      <c r="G56" s="32"/>
      <c r="H56" s="32"/>
      <c r="I56" s="30"/>
      <c r="J56" s="187">
        <f>SUM(J51:J54)</f>
        <v>0</v>
      </c>
      <c r="K56" s="187">
        <f t="shared" ref="K56:S56" si="9">SUM(K51:K54)</f>
        <v>0</v>
      </c>
      <c r="L56" s="187">
        <f t="shared" si="9"/>
        <v>0</v>
      </c>
      <c r="M56" s="187">
        <f t="shared" si="9"/>
        <v>0</v>
      </c>
      <c r="N56" s="187">
        <f t="shared" si="9"/>
        <v>0</v>
      </c>
      <c r="O56" s="187">
        <f t="shared" si="9"/>
        <v>0</v>
      </c>
      <c r="P56" s="187">
        <f t="shared" si="9"/>
        <v>0</v>
      </c>
      <c r="Q56" s="187">
        <f t="shared" si="9"/>
        <v>0</v>
      </c>
      <c r="R56" s="187">
        <f t="shared" si="9"/>
        <v>0</v>
      </c>
      <c r="S56" s="187">
        <f t="shared" si="9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3">
      <c r="A58" s="94"/>
      <c r="B58" s="95" t="s">
        <v>117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 ht="10.5">
      <c r="A60" s="29"/>
      <c r="B60" s="29"/>
      <c r="C60" s="67" t="s">
        <v>118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10">IF(OR(YEAR(J$4)=PPLastYear,YEAR(J$4)=BaseYear),J$4,"")</f>
        <v/>
      </c>
      <c r="K60" s="159" t="str">
        <f t="shared" si="10"/>
        <v/>
      </c>
      <c r="L60" s="159">
        <f t="shared" si="10"/>
        <v>44713</v>
      </c>
      <c r="M60" s="159" t="str">
        <f t="shared" si="10"/>
        <v/>
      </c>
      <c r="N60" s="159">
        <f t="shared" si="10"/>
        <v>45444</v>
      </c>
      <c r="O60" s="159" t="str">
        <f t="shared" si="10"/>
        <v/>
      </c>
      <c r="P60" s="159" t="str">
        <f t="shared" si="10"/>
        <v/>
      </c>
      <c r="Q60" s="159" t="str">
        <f t="shared" si="10"/>
        <v/>
      </c>
      <c r="R60" s="159" t="str">
        <f t="shared" si="10"/>
        <v/>
      </c>
      <c r="S60" s="159" t="str">
        <f t="shared" si="10"/>
        <v/>
      </c>
      <c r="T60" s="29"/>
      <c r="U60" s="29"/>
      <c r="V60" s="29"/>
      <c r="W60" s="29"/>
    </row>
    <row r="61" spans="1:23" ht="10.5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9"/>
      <c r="U61" s="29"/>
      <c r="V61" s="29"/>
      <c r="W61" s="29"/>
    </row>
    <row r="62" spans="1:23">
      <c r="A62" s="29"/>
      <c r="B62" s="29"/>
      <c r="C62" s="61" t="s">
        <v>119</v>
      </c>
      <c r="D62" s="30" t="s">
        <v>34</v>
      </c>
      <c r="E62" s="30" t="str">
        <f>$E$56</f>
        <v>$millions</v>
      </c>
      <c r="F62" s="172">
        <v>43617</v>
      </c>
      <c r="G62" s="32"/>
      <c r="H62" s="32"/>
      <c r="I62" s="32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29" t="s">
        <v>193</v>
      </c>
      <c r="U62" s="142"/>
      <c r="V62" s="142"/>
      <c r="W62" s="29"/>
    </row>
    <row r="63" spans="1:23" ht="10.5">
      <c r="A63" s="29"/>
      <c r="B63" s="29"/>
      <c r="C63" s="61" t="s">
        <v>120</v>
      </c>
      <c r="D63" s="30" t="s">
        <v>34</v>
      </c>
      <c r="E63" s="30" t="str">
        <f t="shared" ref="E63:E68" si="11">$E$56</f>
        <v>$millions</v>
      </c>
      <c r="F63" s="172">
        <v>43617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 ht="10.5">
      <c r="A64" s="29"/>
      <c r="B64" s="29"/>
      <c r="C64" s="61" t="s">
        <v>121</v>
      </c>
      <c r="D64" s="30" t="s">
        <v>34</v>
      </c>
      <c r="E64" s="30" t="str">
        <f t="shared" si="11"/>
        <v>$millions</v>
      </c>
      <c r="F64" s="172">
        <v>43617</v>
      </c>
      <c r="G64" s="32"/>
      <c r="H64" s="32"/>
      <c r="I64" s="32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24"/>
      <c r="U64" s="142"/>
      <c r="V64" s="142"/>
      <c r="W64" s="29"/>
    </row>
    <row r="65" spans="1:23" ht="10.5">
      <c r="A65" s="29"/>
      <c r="B65" s="29"/>
      <c r="C65" s="61" t="s">
        <v>122</v>
      </c>
      <c r="D65" s="30" t="s">
        <v>34</v>
      </c>
      <c r="E65" s="30" t="str">
        <f t="shared" si="11"/>
        <v>$millions</v>
      </c>
      <c r="F65" s="172">
        <v>43617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 ht="10.5">
      <c r="A66" s="29"/>
      <c r="B66" s="29"/>
      <c r="C66" s="61" t="s">
        <v>123</v>
      </c>
      <c r="D66" s="30" t="s">
        <v>34</v>
      </c>
      <c r="E66" s="30" t="str">
        <f t="shared" si="11"/>
        <v>$millions</v>
      </c>
      <c r="F66" s="172">
        <v>43617</v>
      </c>
      <c r="G66" s="32"/>
      <c r="H66" s="32"/>
      <c r="I66" s="32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24"/>
      <c r="U66" s="142"/>
      <c r="V66" s="142"/>
      <c r="W66" s="29"/>
    </row>
    <row r="67" spans="1:23" s="102" customFormat="1" ht="10.5">
      <c r="A67" s="198"/>
      <c r="B67" s="198"/>
      <c r="C67" s="199"/>
      <c r="D67" s="105"/>
      <c r="E67" s="105"/>
      <c r="F67" s="200"/>
      <c r="G67" s="201"/>
      <c r="H67" s="201"/>
      <c r="I67" s="201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104"/>
      <c r="U67" s="165"/>
      <c r="V67" s="165"/>
      <c r="W67" s="198"/>
    </row>
    <row r="68" spans="1:23" ht="10.5">
      <c r="A68" s="29"/>
      <c r="B68" s="29"/>
      <c r="C68" s="61" t="s">
        <v>192</v>
      </c>
      <c r="D68" s="30" t="s">
        <v>34</v>
      </c>
      <c r="E68" s="30" t="str">
        <f t="shared" si="11"/>
        <v>$millions</v>
      </c>
      <c r="F68" s="172">
        <v>43617</v>
      </c>
      <c r="G68" s="32"/>
      <c r="H68" s="32"/>
      <c r="I68" s="32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24"/>
      <c r="U68" s="142"/>
      <c r="V68" s="142"/>
      <c r="W68" s="29"/>
    </row>
    <row r="69" spans="1:23" s="102" customFormat="1" ht="10.5">
      <c r="A69" s="198"/>
      <c r="B69" s="198"/>
      <c r="C69" s="199"/>
      <c r="D69" s="105"/>
      <c r="E69" s="105"/>
      <c r="F69" s="200"/>
      <c r="G69" s="201"/>
      <c r="H69" s="201"/>
      <c r="I69" s="201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104"/>
      <c r="U69" s="165"/>
      <c r="V69" s="165"/>
      <c r="W69" s="198"/>
    </row>
    <row r="70" spans="1:23" ht="10.5">
      <c r="A70" s="29"/>
      <c r="B70" s="29"/>
      <c r="C70" s="61" t="s">
        <v>93</v>
      </c>
      <c r="D70" s="30" t="s">
        <v>34</v>
      </c>
      <c r="E70" s="30" t="s">
        <v>31</v>
      </c>
      <c r="F70" s="32"/>
      <c r="G70" s="32"/>
      <c r="H70" s="32"/>
      <c r="I70" s="32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124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3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</sheetData>
  <conditionalFormatting sqref="W37 W51:W54 W41:W45">
    <cfRule type="cellIs" dxfId="175" priority="31" operator="equal">
      <formula>"Check"</formula>
    </cfRule>
    <cfRule type="cellIs" dxfId="174" priority="32" operator="equal">
      <formula>"Ok"</formula>
    </cfRule>
  </conditionalFormatting>
  <conditionalFormatting sqref="W56">
    <cfRule type="cellIs" dxfId="173" priority="29" operator="equal">
      <formula>"Check"</formula>
    </cfRule>
    <cfRule type="cellIs" dxfId="172" priority="30" operator="equal">
      <formula>"Ok"</formula>
    </cfRule>
  </conditionalFormatting>
  <conditionalFormatting sqref="W15">
    <cfRule type="cellIs" dxfId="171" priority="27" operator="equal">
      <formula>"Check"</formula>
    </cfRule>
    <cfRule type="cellIs" dxfId="170" priority="28" operator="equal">
      <formula>"Ok"</formula>
    </cfRule>
  </conditionalFormatting>
  <conditionalFormatting sqref="V1">
    <cfRule type="cellIs" dxfId="169" priority="25" operator="equal">
      <formula>"Check"</formula>
    </cfRule>
    <cfRule type="cellIs" dxfId="168" priority="26" operator="equal">
      <formula>"Ok"</formula>
    </cfRule>
  </conditionalFormatting>
  <conditionalFormatting sqref="S1">
    <cfRule type="cellIs" dxfId="167" priority="23" operator="equal">
      <formula>"Check"</formula>
    </cfRule>
    <cfRule type="cellIs" dxfId="166" priority="24" operator="equal">
      <formula>"Ok"</formula>
    </cfRule>
  </conditionalFormatting>
  <conditionalFormatting sqref="J15:S15">
    <cfRule type="cellIs" dxfId="165" priority="22" operator="equal">
      <formula>0</formula>
    </cfRule>
  </conditionalFormatting>
  <conditionalFormatting sqref="J56:S56">
    <cfRule type="cellIs" dxfId="164" priority="21" operator="equal">
      <formula>0</formula>
    </cfRule>
  </conditionalFormatting>
  <conditionalFormatting sqref="W48:W50">
    <cfRule type="cellIs" dxfId="163" priority="19" operator="equal">
      <formula>"Check"</formula>
    </cfRule>
    <cfRule type="cellIs" dxfId="162" priority="20" operator="equal">
      <formula>"Ok"</formula>
    </cfRule>
  </conditionalFormatting>
  <conditionalFormatting sqref="J41:S45 N37:S37 J51:S54 J33:S33">
    <cfRule type="expression" dxfId="161" priority="17">
      <formula>J$34=J$4</formula>
    </cfRule>
  </conditionalFormatting>
  <conditionalFormatting sqref="J13:S13 J19:S27">
    <cfRule type="expression" dxfId="160" priority="16">
      <formula>J$10=J$4</formula>
    </cfRule>
  </conditionalFormatting>
  <conditionalFormatting sqref="J37:N37">
    <cfRule type="expression" dxfId="159" priority="13">
      <formula>J$10=J$4</formula>
    </cfRule>
  </conditionalFormatting>
  <conditionalFormatting sqref="W47">
    <cfRule type="cellIs" dxfId="158" priority="11" operator="equal">
      <formula>"Check"</formula>
    </cfRule>
    <cfRule type="cellIs" dxfId="157" priority="12" operator="equal">
      <formula>"Ok"</formula>
    </cfRule>
  </conditionalFormatting>
  <conditionalFormatting sqref="J47:S47">
    <cfRule type="cellIs" dxfId="156" priority="9" operator="equal">
      <formula>0</formula>
    </cfRule>
  </conditionalFormatting>
  <conditionalFormatting sqref="J62:S66 J68:S68 J70:S70">
    <cfRule type="expression" dxfId="155" priority="8">
      <formula>J$60=J$4</formula>
    </cfRule>
  </conditionalFormatting>
  <conditionalFormatting sqref="W29">
    <cfRule type="cellIs" dxfId="154" priority="4" operator="equal">
      <formula>"Check"</formula>
    </cfRule>
    <cfRule type="cellIs" dxfId="153" priority="5" operator="equal">
      <formula>"Ok"</formula>
    </cfRule>
  </conditionalFormatting>
  <conditionalFormatting sqref="J29:S29">
    <cfRule type="cellIs" dxfId="152" priority="3" operator="equal">
      <formula>0</formula>
    </cfRule>
  </conditionalFormatting>
  <dataValidations disablePrompts="1"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05"/>
  <sheetViews>
    <sheetView topLeftCell="A73" workbookViewId="0">
      <selection activeCell="P101" sqref="P101:S101"/>
    </sheetView>
  </sheetViews>
  <sheetFormatPr defaultColWidth="0" defaultRowHeight="10" zeroHeight="1" outlineLevelRow="1"/>
  <cols>
    <col min="1" max="2" width="1.44140625" style="29" customWidth="1"/>
    <col min="3" max="3" width="57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10" width="10.77734375" style="30" customWidth="1"/>
    <col min="11" max="23" width="10.77734375" style="29" customWidth="1"/>
    <col min="24" max="16384" width="10.44140625" style="29" hidden="1"/>
  </cols>
  <sheetData>
    <row r="1" spans="1:50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IF(COUNTIF(W5:W104,"Check")=0,"Ok","Check")</f>
        <v>Ok</v>
      </c>
      <c r="V1" s="188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 ht="10.5">
      <c r="C3" s="81"/>
      <c r="D3" s="183"/>
      <c r="E3" s="183"/>
      <c r="F3" s="183"/>
      <c r="G3" s="183"/>
      <c r="H3" s="183"/>
      <c r="I3" s="183"/>
      <c r="J3" s="158" t="s">
        <v>128</v>
      </c>
      <c r="K3" s="229"/>
      <c r="L3" s="229"/>
      <c r="M3" s="229"/>
      <c r="N3" s="183"/>
      <c r="O3" s="229"/>
      <c r="P3" s="229"/>
      <c r="Q3" s="229"/>
      <c r="R3" s="229"/>
      <c r="S3" s="229"/>
      <c r="T3" s="229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43617</v>
      </c>
      <c r="K4" s="156">
        <f>DATE(PPFirstYear,MONTH('Input|General'!$G$9),1)</f>
        <v>43983</v>
      </c>
      <c r="L4" s="156">
        <f>DATE(PPFirstYear+1,MONTH('Input|General'!$G$9),1)</f>
        <v>44348</v>
      </c>
      <c r="M4" s="156">
        <f>DATE(PPFirstYear+2,MONTH('Input|General'!$G$9),1)</f>
        <v>44713</v>
      </c>
      <c r="N4" s="156">
        <f>DATE(PPFirstYear+3,MONTH('Input|General'!$G$9),1)</f>
        <v>45078</v>
      </c>
      <c r="O4" s="156">
        <f>DATE(PPFirstYear+4,MONTH('Input|General'!$G$9),1)</f>
        <v>45444</v>
      </c>
      <c r="P4" s="156">
        <f>DATE(PPFirstYear+5,MONTH('Input|General'!$G$9),1)</f>
        <v>45809</v>
      </c>
      <c r="Q4" s="156">
        <f>DATE(PPFirstYear+6,MONTH('Input|General'!$G$9),1)</f>
        <v>46174</v>
      </c>
      <c r="R4" s="156">
        <f>DATE(PPFirstYear+7,MONTH('Input|General'!$G$9),1)</f>
        <v>46539</v>
      </c>
      <c r="S4" s="156">
        <f>DATE(PPFirstYear+8,MONTH('Input|General'!$G$9),1)</f>
        <v>46905</v>
      </c>
      <c r="T4" s="156">
        <f>DATE(PPFirstYear+9,MONTH('Input|General'!$G$9),1)</f>
        <v>47270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3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43617</v>
      </c>
      <c r="K10" s="159">
        <f t="shared" si="0"/>
        <v>43983</v>
      </c>
      <c r="L10" s="159">
        <f t="shared" si="0"/>
        <v>44348</v>
      </c>
      <c r="M10" s="159">
        <f t="shared" si="0"/>
        <v>44713</v>
      </c>
      <c r="N10" s="159">
        <f t="shared" si="0"/>
        <v>45078</v>
      </c>
      <c r="O10" s="159">
        <f t="shared" si="0"/>
        <v>45444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143">
        <f>IF(J10=J4,LOOKUP(EOMONTH(J4,0),'Input|Inflation'!$C$9:$C$100,'Input|Inflation'!$G$9:$G$100),"")</f>
        <v>1.5929203539823078E-2</v>
      </c>
      <c r="K12" s="143">
        <f>IF(K10=K4,LOOKUP(EOMONTH(K4,0),'Input|Inflation'!$C$9:$C$100,'Input|Inflation'!$G$9:$G$100),"")</f>
        <v>-3.4843205574912606E-3</v>
      </c>
      <c r="L12" s="143">
        <f>IF(L10=L4,LOOKUP(EOMONTH(L4,0),'Input|Inflation'!$C$9:$C$100,'Input|Inflation'!$G$9:$G$100),"")</f>
        <v>3.8461538461538325E-2</v>
      </c>
      <c r="M12" s="143">
        <f>IF(M10=M4,LOOKUP(EOMONTH(M4,0),'Input|Inflation'!$C$9:$C$100,'Input|Inflation'!$G$9:$G$100),"")</f>
        <v>6.1447811447811418E-2</v>
      </c>
      <c r="N12" s="143">
        <f>IF(N10=N4,LOOKUP(EOMONTH(N4,0),'Input|Inflation'!$C$9:$C$100,'Input|Inflation'!$G$9:$G$100),"")</f>
        <v>6.2999999999999945E-2</v>
      </c>
      <c r="O12" s="143">
        <f>IF(O10=O4,LOOKUP(EOMONTH(O4,0),'Input|Inflation'!$C$9:$C$100,'Input|Inflation'!$G$9:$G$100),"")</f>
        <v>4.2000000000000037E-2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222" t="s">
        <v>104</v>
      </c>
      <c r="I14" s="29"/>
      <c r="J14" s="159">
        <f t="shared" ref="J14:T14" si="1">IF(YEAR(J$4)&lt;=PPLastYear,J$4,"")</f>
        <v>43617</v>
      </c>
      <c r="K14" s="159">
        <f t="shared" si="1"/>
        <v>43983</v>
      </c>
      <c r="L14" s="159">
        <f t="shared" si="1"/>
        <v>44348</v>
      </c>
      <c r="M14" s="159">
        <f t="shared" si="1"/>
        <v>44713</v>
      </c>
      <c r="N14" s="159">
        <f t="shared" si="1"/>
        <v>45078</v>
      </c>
      <c r="O14" s="159">
        <f t="shared" si="1"/>
        <v>45444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222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223">
        <f t="array" ref="C16:C21">TRANSPOSE(J10:O10)</f>
        <v>43617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0.99651567944250874</v>
      </c>
      <c r="L16" s="22">
        <f t="shared" si="3"/>
        <v>1.0348432055749128</v>
      </c>
      <c r="M16" s="22">
        <f t="shared" si="3"/>
        <v>1.0984320557491287</v>
      </c>
      <c r="N16" s="22">
        <f t="shared" si="3"/>
        <v>1.1676332752613239</v>
      </c>
      <c r="O16" s="22">
        <f t="shared" ref="O16" si="4">IF(AND($C16&gt;O$14,ISNONTEXT($C16)),P16/(1+O$12),IF(AND($C16=O$14,O$14=O$4),1,IF(AND($C16&lt;O$14,O$14=O$4),N16*(1+O$12),0)))</f>
        <v>1.2166738728222994</v>
      </c>
      <c r="P16" s="209"/>
      <c r="Q16" s="209"/>
      <c r="R16" s="209"/>
      <c r="S16" s="209"/>
      <c r="T16" s="209"/>
    </row>
    <row r="17" spans="1:50" ht="11.25" customHeight="1" outlineLevel="1">
      <c r="C17" s="223">
        <v>43983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1.0034965034965035</v>
      </c>
      <c r="K17" s="22">
        <f t="shared" si="6"/>
        <v>1</v>
      </c>
      <c r="L17" s="22">
        <f t="shared" si="6"/>
        <v>1.0384615384615383</v>
      </c>
      <c r="M17" s="22">
        <f t="shared" si="6"/>
        <v>1.1022727272727271</v>
      </c>
      <c r="N17" s="22">
        <f t="shared" si="6"/>
        <v>1.1717159090909088</v>
      </c>
      <c r="O17" s="22">
        <f t="shared" ref="O17" si="7">IF(AND($C17&gt;O$14,ISNONTEXT($C17)),P17/(1+O$12),IF(AND($C17=O$14,O$14=O$4),1,IF(AND($C17&lt;O$14,O$14=O$4),N17*(1+O$12),0)))</f>
        <v>1.2209279772727271</v>
      </c>
      <c r="P17" s="209"/>
      <c r="Q17" s="209"/>
      <c r="R17" s="209"/>
      <c r="S17" s="209"/>
      <c r="T17" s="209"/>
    </row>
    <row r="18" spans="1:50" ht="11.25" customHeight="1" outlineLevel="1">
      <c r="C18" s="223">
        <v>44348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0.96632996632996648</v>
      </c>
      <c r="K18" s="22">
        <f t="shared" si="8"/>
        <v>0.96296296296296313</v>
      </c>
      <c r="L18" s="22">
        <f t="shared" si="8"/>
        <v>1</v>
      </c>
      <c r="M18" s="22">
        <f t="shared" si="8"/>
        <v>1.0614478114478114</v>
      </c>
      <c r="N18" s="22">
        <f t="shared" si="8"/>
        <v>1.1283190235690235</v>
      </c>
      <c r="O18" s="22">
        <f t="shared" ref="O18" si="9">IF(AND($C18&gt;O$14,ISNONTEXT($C18)),P18/(1+O$12),IF(AND($C18=O$14,O$14=O$4),1,IF(AND($C18&lt;O$14,O$14=O$4),N18*(1+O$12),0)))</f>
        <v>1.1757084225589225</v>
      </c>
      <c r="P18" s="209"/>
      <c r="Q18" s="209"/>
      <c r="R18" s="209"/>
      <c r="S18" s="209"/>
      <c r="T18" s="209"/>
    </row>
    <row r="19" spans="1:50" ht="11.25" customHeight="1" outlineLevel="1">
      <c r="C19" s="223">
        <v>44713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0.91038858049167337</v>
      </c>
      <c r="K19" s="22">
        <f t="shared" si="10"/>
        <v>0.90721649484536093</v>
      </c>
      <c r="L19" s="22">
        <f t="shared" si="10"/>
        <v>0.94210943695479776</v>
      </c>
      <c r="M19" s="22">
        <f t="shared" si="10"/>
        <v>1</v>
      </c>
      <c r="N19" s="22">
        <f t="shared" si="10"/>
        <v>1.0629999999999999</v>
      </c>
      <c r="O19" s="22">
        <f t="shared" ref="O19" si="11">IF(AND($C19&gt;O$14,ISNONTEXT($C19)),P19/(1+O$12),IF(AND($C19=O$14,O$14=O$4),1,IF(AND($C19&lt;O$14,O$14=O$4),N19*(1+O$12),0)))</f>
        <v>1.1076459999999999</v>
      </c>
      <c r="P19" s="209"/>
      <c r="Q19" s="209"/>
      <c r="R19" s="209"/>
      <c r="S19" s="209"/>
      <c r="T19" s="209"/>
    </row>
    <row r="20" spans="1:50" ht="11.25" customHeight="1" outlineLevel="1">
      <c r="C20" s="223">
        <v>45078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0.85643328362339932</v>
      </c>
      <c r="K20" s="22">
        <f t="shared" ref="K20:N20" si="12">IF(AND($C20&gt;K$14,ISNONTEXT($C20)),L20/(1+L$12),IF(AND($C20=K$14,K$14=K$4),1,IF(AND($C20&lt;K$14,K$14=K$4),J20*(1+K$12),0)))</f>
        <v>0.85344919552715059</v>
      </c>
      <c r="L20" s="22">
        <f t="shared" si="12"/>
        <v>0.88627416458588704</v>
      </c>
      <c r="M20" s="22">
        <f t="shared" si="12"/>
        <v>0.94073377234242717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1.042</v>
      </c>
      <c r="P20" s="209"/>
      <c r="Q20" s="209"/>
      <c r="R20" s="209"/>
      <c r="S20" s="209"/>
      <c r="T20" s="209"/>
    </row>
    <row r="21" spans="1:50" ht="11.25" customHeight="1" outlineLevel="1">
      <c r="C21" s="223">
        <v>45444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0.82191294013761929</v>
      </c>
      <c r="K21" s="22">
        <f t="shared" ref="K21" si="14">IF(AND($C21&gt;K$14,ISNONTEXT($C21)),L21/(1+L$12),IF(AND($C21=K$14,K$14=K$4),1,IF(AND($C21&lt;K$14,K$14=K$4),J21*(1+K$12),0)))</f>
        <v>0.81904913198382967</v>
      </c>
      <c r="L21" s="22">
        <f t="shared" ref="L21" si="15">IF(AND($C21&gt;L$14,ISNONTEXT($C21)),M21/(1+M$12),IF(AND($C21=L$14,L$14=L$4),1,IF(AND($C21&lt;L$14,L$14=L$4),K21*(1+L$12),0)))</f>
        <v>0.85055102167551533</v>
      </c>
      <c r="M21" s="22">
        <f t="shared" ref="M21" si="16">IF(AND($C21&gt;M$14,ISNONTEXT($C21)),N21/(1+N$12),IF(AND($C21=M$14,M$14=M$4),1,IF(AND($C21&lt;M$14,M$14=M$4),L21*(1+M$12),0)))</f>
        <v>0.90281552048217573</v>
      </c>
      <c r="N21" s="22">
        <f t="shared" ref="N21" si="17">IF(AND($C21&gt;N$14,ISNONTEXT($C21)),O21/(1+O$12),IF(AND($C21=N$14,N$14=N$4),1,IF(AND($C21&lt;N$14,N$14=N$4),M21*(1+N$12),0)))</f>
        <v>0.95969289827255277</v>
      </c>
      <c r="O21" s="22">
        <f t="shared" ref="O21" si="18">IF(AND($C21&gt;O$14,ISNONTEXT($C21)),P21/(1+O$12),IF(AND($C21=O$14,O$14=O$4),1,IF(AND($C21&lt;O$14,O$14=O$4),N21*(1+O$12),0)))</f>
        <v>1</v>
      </c>
      <c r="P21" s="209"/>
      <c r="Q21" s="209"/>
      <c r="R21" s="209"/>
      <c r="S21" s="209"/>
      <c r="T21" s="209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43617</v>
      </c>
      <c r="K23" s="159">
        <f t="shared" si="19"/>
        <v>43983</v>
      </c>
      <c r="L23" s="159">
        <f t="shared" si="19"/>
        <v>44348</v>
      </c>
      <c r="M23" s="159">
        <f t="shared" si="19"/>
        <v>44713</v>
      </c>
      <c r="N23" s="159">
        <f t="shared" si="19"/>
        <v>45078</v>
      </c>
      <c r="O23" s="159">
        <f t="shared" si="19"/>
        <v>45444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43617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1.0079331344587412</v>
      </c>
      <c r="K25" s="22">
        <f t="shared" ref="K25:T25" si="21">IF(AND(K$23=K$4,ISNONTEXT($C25)),1/K16*(1+K$12)^0.5,0)</f>
        <v>1.0017467262220046</v>
      </c>
      <c r="L25" s="22">
        <f t="shared" si="21"/>
        <v>0.98473790545302708</v>
      </c>
      <c r="M25" s="22">
        <f t="shared" si="21"/>
        <v>0.93794230437362447</v>
      </c>
      <c r="N25" s="22">
        <f t="shared" si="21"/>
        <v>0.88299891356882709</v>
      </c>
      <c r="O25" s="22">
        <f t="shared" si="21"/>
        <v>0.83899558888865655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43983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1.0044211723177698</v>
      </c>
      <c r="K26" s="22">
        <f t="shared" si="23"/>
        <v>0.99825631951042948</v>
      </c>
      <c r="L26" s="22">
        <f t="shared" si="23"/>
        <v>0.98130676292531638</v>
      </c>
      <c r="M26" s="22">
        <f t="shared" si="23"/>
        <v>0.93467421272075479</v>
      </c>
      <c r="N26" s="22">
        <f t="shared" si="23"/>
        <v>0.87992226230203685</v>
      </c>
      <c r="O26" s="22">
        <f t="shared" si="23"/>
        <v>0.83607225931064733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44348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1.0430527558684535</v>
      </c>
      <c r="K27" s="22">
        <f t="shared" si="24"/>
        <v>1.0366507933377536</v>
      </c>
      <c r="L27" s="22">
        <f t="shared" si="24"/>
        <v>1.019049330730136</v>
      </c>
      <c r="M27" s="22">
        <f t="shared" si="24"/>
        <v>0.970623220902322</v>
      </c>
      <c r="N27" s="22">
        <f t="shared" si="24"/>
        <v>0.91376542623673052</v>
      </c>
      <c r="O27" s="22">
        <f t="shared" si="24"/>
        <v>0.86822888466874903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44713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1.1071460649411782</v>
      </c>
      <c r="K28" s="22">
        <f t="shared" si="25"/>
        <v>1.100350715823996</v>
      </c>
      <c r="L28" s="22">
        <f t="shared" si="25"/>
        <v>1.0816676818608599</v>
      </c>
      <c r="M28" s="22">
        <f t="shared" si="25"/>
        <v>1.0302658935671953</v>
      </c>
      <c r="N28" s="22">
        <f t="shared" si="25"/>
        <v>0.96991431185565413</v>
      </c>
      <c r="O28" s="22">
        <f t="shared" si="25"/>
        <v>0.92157964946741799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45078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1.1768962670324723</v>
      </c>
      <c r="K29" s="22">
        <f t="shared" si="26"/>
        <v>1.1696728109209076</v>
      </c>
      <c r="L29" s="22">
        <f t="shared" si="26"/>
        <v>1.149812745818094</v>
      </c>
      <c r="M29" s="22">
        <f t="shared" si="26"/>
        <v>1.0951726448619286</v>
      </c>
      <c r="N29" s="22">
        <f t="shared" si="26"/>
        <v>1.0310189135025603</v>
      </c>
      <c r="O29" s="22">
        <f t="shared" si="26"/>
        <v>0.97963916738386514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45444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1.2263259102478361</v>
      </c>
      <c r="K30" s="22">
        <f t="shared" si="27"/>
        <v>1.2187990689795858</v>
      </c>
      <c r="L30" s="22">
        <f t="shared" si="27"/>
        <v>1.1981048811424539</v>
      </c>
      <c r="M30" s="22">
        <f t="shared" si="27"/>
        <v>1.1411698959461296</v>
      </c>
      <c r="N30" s="22">
        <f t="shared" si="27"/>
        <v>1.0743217078696679</v>
      </c>
      <c r="O30" s="22">
        <f t="shared" si="27"/>
        <v>1.0207840124139875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3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45809</v>
      </c>
      <c r="Q34" s="163">
        <f t="shared" si="28"/>
        <v>46174</v>
      </c>
      <c r="R34" s="163">
        <f t="shared" si="28"/>
        <v>46539</v>
      </c>
      <c r="S34" s="163">
        <f t="shared" si="28"/>
        <v>46905</v>
      </c>
      <c r="T34" s="163">
        <f t="shared" si="28"/>
        <v>47270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203</v>
      </c>
      <c r="D36" s="30" t="s">
        <v>106</v>
      </c>
      <c r="E36" s="30" t="str">
        <f t="shared" ref="E36:E43" si="29">percent</f>
        <v>Per cent</v>
      </c>
      <c r="J36" s="205"/>
      <c r="K36" s="152"/>
      <c r="L36" s="152"/>
      <c r="M36" s="152"/>
      <c r="N36" s="152"/>
      <c r="O36" s="152"/>
      <c r="P36" s="168">
        <v>8.1552613528985858E-3</v>
      </c>
      <c r="Q36" s="168">
        <v>7.1743500243457966E-3</v>
      </c>
      <c r="R36" s="168">
        <v>6.0183555984282752E-3</v>
      </c>
      <c r="S36" s="168">
        <v>2.7779527663757708E-3</v>
      </c>
      <c r="T36" s="168">
        <v>5.0643688183282043E-3</v>
      </c>
    </row>
    <row r="37" spans="3:23" ht="11.25" customHeight="1" outlineLevel="1">
      <c r="C37" s="61" t="s">
        <v>207</v>
      </c>
      <c r="D37" s="30" t="s">
        <v>106</v>
      </c>
      <c r="E37" s="30" t="str">
        <f t="shared" si="29"/>
        <v>Per cent</v>
      </c>
      <c r="J37" s="205"/>
      <c r="K37" s="152"/>
      <c r="L37" s="152"/>
      <c r="M37" s="152"/>
      <c r="N37" s="152"/>
      <c r="O37" s="152"/>
      <c r="P37" s="168">
        <v>5.0000000000000001E-3</v>
      </c>
      <c r="Q37" s="168">
        <v>5.0000000000000001E-3</v>
      </c>
      <c r="R37" s="168">
        <v>0</v>
      </c>
      <c r="S37" s="168">
        <v>0</v>
      </c>
      <c r="T37" s="168">
        <v>0</v>
      </c>
    </row>
    <row r="38" spans="3:23" ht="11.25" customHeight="1" outlineLevel="1">
      <c r="C38" s="61" t="s">
        <v>208</v>
      </c>
      <c r="D38" s="30" t="s">
        <v>106</v>
      </c>
      <c r="E38" s="30" t="str">
        <f t="shared" si="29"/>
        <v>Per cent</v>
      </c>
      <c r="J38" s="205"/>
      <c r="K38" s="152"/>
      <c r="L38" s="152"/>
      <c r="M38" s="152"/>
      <c r="N38" s="152"/>
      <c r="O38" s="152"/>
      <c r="P38" s="60">
        <f>P36+P37</f>
        <v>1.3155261352898587E-2</v>
      </c>
      <c r="Q38" s="60">
        <f t="shared" ref="Q38:T38" si="30">Q36+Q37</f>
        <v>1.2174350024345797E-2</v>
      </c>
      <c r="R38" s="60">
        <f t="shared" si="30"/>
        <v>6.0183555984282752E-3</v>
      </c>
      <c r="S38" s="60">
        <f t="shared" si="30"/>
        <v>2.7779527663757708E-3</v>
      </c>
      <c r="T38" s="60">
        <f t="shared" si="30"/>
        <v>5.0643688183282043E-3</v>
      </c>
    </row>
    <row r="39" spans="3:23" ht="11.25" customHeight="1" outlineLevel="1">
      <c r="C39" s="61"/>
      <c r="D39" s="30" t="s">
        <v>106</v>
      </c>
      <c r="E39" s="30" t="str">
        <f t="shared" si="29"/>
        <v>Per cent</v>
      </c>
      <c r="J39" s="205"/>
      <c r="K39" s="152"/>
      <c r="L39" s="152"/>
      <c r="M39" s="152"/>
      <c r="N39" s="152"/>
      <c r="O39" s="152"/>
      <c r="P39" s="60"/>
      <c r="Q39" s="60"/>
      <c r="R39" s="60"/>
      <c r="S39" s="60"/>
      <c r="T39" s="210"/>
      <c r="U39" s="147"/>
    </row>
    <row r="40" spans="3:23" ht="11.25" customHeight="1" outlineLevel="1">
      <c r="C40" s="61"/>
      <c r="D40" s="30" t="s">
        <v>106</v>
      </c>
      <c r="E40" s="30" t="str">
        <f t="shared" si="29"/>
        <v>Per cent</v>
      </c>
      <c r="J40" s="205"/>
      <c r="K40" s="152"/>
      <c r="L40" s="152"/>
      <c r="M40" s="152"/>
      <c r="N40" s="152"/>
      <c r="O40" s="152"/>
      <c r="P40" s="60"/>
      <c r="Q40" s="60"/>
      <c r="R40" s="60"/>
      <c r="S40" s="60"/>
      <c r="T40" s="210"/>
    </row>
    <row r="41" spans="3:23" ht="11.25" customHeight="1" outlineLevel="1">
      <c r="C41" s="61"/>
      <c r="D41" s="30" t="s">
        <v>106</v>
      </c>
      <c r="E41" s="30" t="str">
        <f t="shared" si="29"/>
        <v>Per cent</v>
      </c>
      <c r="J41" s="205"/>
      <c r="K41" s="152"/>
      <c r="L41" s="152"/>
      <c r="M41" s="152"/>
      <c r="N41" s="152"/>
      <c r="O41" s="152"/>
      <c r="P41" s="60"/>
      <c r="Q41" s="60"/>
      <c r="R41" s="60"/>
      <c r="S41" s="60"/>
      <c r="T41" s="210"/>
    </row>
    <row r="42" spans="3:23" ht="11.25" customHeight="1" outlineLevel="1">
      <c r="C42" s="61"/>
      <c r="D42" s="30" t="s">
        <v>106</v>
      </c>
      <c r="E42" s="30" t="str">
        <f t="shared" si="29"/>
        <v>Per cent</v>
      </c>
      <c r="J42" s="205"/>
      <c r="K42" s="152"/>
      <c r="L42" s="152"/>
      <c r="M42" s="152"/>
      <c r="N42" s="152"/>
      <c r="O42" s="152"/>
      <c r="P42" s="60"/>
      <c r="Q42" s="60"/>
      <c r="R42" s="60"/>
      <c r="S42" s="60"/>
      <c r="T42" s="210"/>
    </row>
    <row r="43" spans="3:23" ht="11.25" customHeight="1" outlineLevel="1">
      <c r="C43" s="61" t="s">
        <v>85</v>
      </c>
      <c r="D43" s="30" t="s">
        <v>106</v>
      </c>
      <c r="E43" s="30" t="str">
        <f t="shared" si="29"/>
        <v>Per cent</v>
      </c>
      <c r="J43" s="205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10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/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 t="str">
        <f t="shared" si="32"/>
        <v/>
      </c>
      <c r="P47" s="163">
        <f t="shared" si="32"/>
        <v>45809</v>
      </c>
      <c r="Q47" s="163">
        <f t="shared" si="32"/>
        <v>46174</v>
      </c>
      <c r="R47" s="163">
        <f t="shared" si="32"/>
        <v>46539</v>
      </c>
      <c r="S47" s="163">
        <f t="shared" si="32"/>
        <v>46905</v>
      </c>
      <c r="T47" s="163">
        <f t="shared" si="32"/>
        <v>47270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BIS Oxford</v>
      </c>
      <c r="D49" s="30" t="s">
        <v>106</v>
      </c>
      <c r="E49" s="30" t="str">
        <f t="shared" ref="E49:E56" si="34">percent</f>
        <v>Per cent</v>
      </c>
      <c r="J49" s="205"/>
      <c r="K49" s="152"/>
      <c r="L49" s="152"/>
      <c r="M49" s="152"/>
      <c r="N49" s="152"/>
      <c r="O49" s="152"/>
      <c r="P49" s="60"/>
      <c r="Q49" s="60"/>
      <c r="R49" s="60"/>
      <c r="S49" s="60"/>
      <c r="T49" s="210"/>
    </row>
    <row r="50" spans="1:50" ht="11.25" customHeight="1" outlineLevel="1">
      <c r="C50" s="148" t="str">
        <f t="shared" si="33"/>
        <v>Superannuation guarantee increases</v>
      </c>
      <c r="D50" s="30" t="s">
        <v>106</v>
      </c>
      <c r="E50" s="30" t="str">
        <f t="shared" si="34"/>
        <v>Per cent</v>
      </c>
      <c r="J50" s="205"/>
      <c r="K50" s="152"/>
      <c r="L50" s="152"/>
      <c r="M50" s="152"/>
      <c r="N50" s="152"/>
      <c r="O50" s="152"/>
      <c r="P50" s="60"/>
      <c r="Q50" s="60"/>
      <c r="R50" s="60"/>
      <c r="S50" s="60"/>
      <c r="T50" s="210"/>
    </row>
    <row r="51" spans="1:50" ht="11.25" customHeight="1" outlineLevel="1">
      <c r="C51" s="148" t="str">
        <f t="shared" si="33"/>
        <v>WPI - BIS + superannuation</v>
      </c>
      <c r="D51" s="30" t="s">
        <v>106</v>
      </c>
      <c r="E51" s="30" t="str">
        <f t="shared" si="34"/>
        <v>Per cent</v>
      </c>
      <c r="J51" s="205"/>
      <c r="K51" s="152"/>
      <c r="L51" s="152"/>
      <c r="M51" s="152"/>
      <c r="N51" s="152"/>
      <c r="O51" s="152"/>
      <c r="P51" s="60">
        <v>0.70399999999999996</v>
      </c>
      <c r="Q51" s="60">
        <v>0.70399999999999996</v>
      </c>
      <c r="R51" s="60">
        <v>0.70399999999999996</v>
      </c>
      <c r="S51" s="60">
        <v>0.70399999999999996</v>
      </c>
      <c r="T51" s="210">
        <v>0.70399999999999996</v>
      </c>
    </row>
    <row r="52" spans="1:50" ht="11.25" customHeight="1" outlineLevel="1">
      <c r="C52" s="148">
        <f t="shared" si="33"/>
        <v>0</v>
      </c>
      <c r="D52" s="30" t="s">
        <v>106</v>
      </c>
      <c r="E52" s="30" t="str">
        <f t="shared" si="34"/>
        <v>Per cent</v>
      </c>
      <c r="J52" s="205"/>
      <c r="K52" s="152"/>
      <c r="L52" s="152"/>
      <c r="M52" s="152"/>
      <c r="N52" s="152"/>
      <c r="O52" s="152"/>
      <c r="P52" s="60"/>
      <c r="Q52" s="60"/>
      <c r="R52" s="60"/>
      <c r="S52" s="60"/>
      <c r="T52" s="210"/>
      <c r="U52" s="147"/>
    </row>
    <row r="53" spans="1:50" ht="11.25" customHeight="1" outlineLevel="1">
      <c r="C53" s="148">
        <f t="shared" si="33"/>
        <v>0</v>
      </c>
      <c r="D53" s="30" t="s">
        <v>106</v>
      </c>
      <c r="E53" s="30" t="str">
        <f t="shared" si="34"/>
        <v>Per cent</v>
      </c>
      <c r="J53" s="205"/>
      <c r="K53" s="152"/>
      <c r="L53" s="152"/>
      <c r="M53" s="152"/>
      <c r="N53" s="152"/>
      <c r="O53" s="152"/>
      <c r="P53" s="60"/>
      <c r="Q53" s="60"/>
      <c r="R53" s="60"/>
      <c r="S53" s="60"/>
      <c r="T53" s="210"/>
    </row>
    <row r="54" spans="1:50" ht="11.25" customHeight="1" outlineLevel="1">
      <c r="C54" s="148">
        <f t="shared" si="33"/>
        <v>0</v>
      </c>
      <c r="D54" s="30" t="s">
        <v>106</v>
      </c>
      <c r="E54" s="30" t="str">
        <f t="shared" si="34"/>
        <v>Per cent</v>
      </c>
      <c r="J54" s="205"/>
      <c r="K54" s="152"/>
      <c r="L54" s="152"/>
      <c r="M54" s="152"/>
      <c r="N54" s="152"/>
      <c r="O54" s="152"/>
      <c r="P54" s="60"/>
      <c r="Q54" s="60"/>
      <c r="R54" s="60"/>
      <c r="S54" s="60"/>
      <c r="T54" s="210"/>
    </row>
    <row r="55" spans="1:50" ht="11.25" customHeight="1" outlineLevel="1">
      <c r="C55" s="148">
        <f t="shared" si="33"/>
        <v>0</v>
      </c>
      <c r="D55" s="30" t="s">
        <v>106</v>
      </c>
      <c r="E55" s="30" t="str">
        <f t="shared" si="34"/>
        <v>Per cent</v>
      </c>
      <c r="J55" s="205"/>
      <c r="K55" s="152"/>
      <c r="L55" s="152"/>
      <c r="M55" s="152"/>
      <c r="N55" s="152"/>
      <c r="O55" s="152"/>
      <c r="P55" s="60"/>
      <c r="Q55" s="60"/>
      <c r="R55" s="60"/>
      <c r="S55" s="60"/>
      <c r="T55" s="210"/>
    </row>
    <row r="56" spans="1:50" ht="11.25" customHeight="1" outlineLevel="1">
      <c r="C56" s="148" t="str">
        <f t="shared" si="33"/>
        <v>CPI</v>
      </c>
      <c r="D56" s="30" t="s">
        <v>106</v>
      </c>
      <c r="E56" s="30" t="str">
        <f t="shared" si="34"/>
        <v>Per cent</v>
      </c>
      <c r="J56" s="205"/>
      <c r="K56" s="152"/>
      <c r="L56" s="152"/>
      <c r="M56" s="152"/>
      <c r="N56" s="152"/>
      <c r="O56" s="152"/>
      <c r="P56" s="60">
        <v>0.29600000000000004</v>
      </c>
      <c r="Q56" s="60">
        <v>0.29600000000000004</v>
      </c>
      <c r="R56" s="60">
        <v>0.29600000000000004</v>
      </c>
      <c r="S56" s="60">
        <v>0.29600000000000004</v>
      </c>
      <c r="T56" s="210">
        <v>0.29600000000000004</v>
      </c>
    </row>
    <row r="57" spans="1:50" ht="11.25" customHeight="1" outlineLevel="1"/>
    <row r="58" spans="1:50" ht="10.5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35">IF(J47=J$4,IF(SUM(J49:J56)=1,"Ok","Check"),"")</f>
        <v/>
      </c>
      <c r="K58" s="132" t="str">
        <f t="shared" si="35"/>
        <v/>
      </c>
      <c r="L58" s="132" t="str">
        <f t="shared" si="35"/>
        <v/>
      </c>
      <c r="M58" s="132" t="str">
        <f t="shared" si="35"/>
        <v/>
      </c>
      <c r="N58" s="132" t="str">
        <f t="shared" si="35"/>
        <v/>
      </c>
      <c r="O58" s="132" t="str">
        <f t="shared" si="35"/>
        <v/>
      </c>
      <c r="P58" s="132" t="str">
        <f t="shared" si="35"/>
        <v>Ok</v>
      </c>
      <c r="Q58" s="132" t="str">
        <f t="shared" si="35"/>
        <v>Ok</v>
      </c>
      <c r="R58" s="132" t="str">
        <f t="shared" si="35"/>
        <v>Ok</v>
      </c>
      <c r="S58" s="132" t="str">
        <f t="shared" si="35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3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ht="10.5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6">IF(YEAR(J$4)&gt;=PPLastYear,IF(YEAR(J$4)&lt;=FPLastYear,J$4,""),"")</f>
        <v/>
      </c>
      <c r="K62" s="163" t="str">
        <f t="shared" si="36"/>
        <v/>
      </c>
      <c r="L62" s="163" t="str">
        <f t="shared" si="36"/>
        <v/>
      </c>
      <c r="M62" s="163" t="str">
        <f t="shared" si="36"/>
        <v/>
      </c>
      <c r="N62" s="163" t="str">
        <f t="shared" si="36"/>
        <v/>
      </c>
      <c r="O62" s="163">
        <f t="shared" si="36"/>
        <v>45444</v>
      </c>
      <c r="P62" s="163">
        <f t="shared" si="36"/>
        <v>45809</v>
      </c>
      <c r="Q62" s="163">
        <f t="shared" si="36"/>
        <v>46174</v>
      </c>
      <c r="R62" s="163">
        <f t="shared" si="36"/>
        <v>46539</v>
      </c>
      <c r="S62" s="163">
        <f t="shared" si="36"/>
        <v>46905</v>
      </c>
      <c r="T62" s="163">
        <f t="shared" si="36"/>
        <v>47270</v>
      </c>
    </row>
    <row r="63" spans="1:50" ht="10.5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184</v>
      </c>
      <c r="D64" s="30" t="s">
        <v>106</v>
      </c>
      <c r="E64" s="30" t="s">
        <v>18</v>
      </c>
      <c r="F64" s="30" t="s">
        <v>36</v>
      </c>
      <c r="G64" s="32"/>
      <c r="H64" s="32"/>
      <c r="J64" s="205"/>
      <c r="K64" s="196"/>
      <c r="L64" s="196"/>
      <c r="M64" s="196"/>
      <c r="N64" s="196"/>
      <c r="O64" s="197">
        <v>13983</v>
      </c>
      <c r="P64" s="197">
        <v>14251</v>
      </c>
      <c r="Q64" s="197">
        <v>14551</v>
      </c>
      <c r="R64" s="197">
        <v>14849</v>
      </c>
      <c r="S64" s="197">
        <v>15019</v>
      </c>
      <c r="T64" s="197">
        <v>15054</v>
      </c>
    </row>
    <row r="65" spans="3:23" outlineLevel="1">
      <c r="C65" s="61" t="s">
        <v>183</v>
      </c>
      <c r="D65" s="30" t="s">
        <v>106</v>
      </c>
      <c r="E65" s="30" t="s">
        <v>18</v>
      </c>
      <c r="F65" s="30" t="s">
        <v>36</v>
      </c>
      <c r="G65" s="32"/>
      <c r="H65" s="32"/>
      <c r="J65" s="205"/>
      <c r="K65" s="196"/>
      <c r="L65" s="196"/>
      <c r="M65" s="196"/>
      <c r="N65" s="196"/>
      <c r="O65" s="197">
        <v>2691</v>
      </c>
      <c r="P65" s="197">
        <v>2691</v>
      </c>
      <c r="Q65" s="197">
        <v>2691</v>
      </c>
      <c r="R65" s="197">
        <v>2691</v>
      </c>
      <c r="S65" s="197">
        <v>2691</v>
      </c>
      <c r="T65" s="197">
        <v>2691</v>
      </c>
    </row>
    <row r="66" spans="3:23" outlineLevel="1">
      <c r="C66" s="61" t="s">
        <v>181</v>
      </c>
      <c r="D66" s="30" t="s">
        <v>106</v>
      </c>
      <c r="E66" s="30" t="s">
        <v>18</v>
      </c>
      <c r="F66" s="30" t="s">
        <v>36</v>
      </c>
      <c r="G66" s="32"/>
      <c r="H66" s="32"/>
      <c r="J66" s="205"/>
      <c r="K66" s="196"/>
      <c r="L66" s="196"/>
      <c r="M66" s="196"/>
      <c r="N66" s="196"/>
      <c r="O66" s="197">
        <v>307262</v>
      </c>
      <c r="P66" s="197">
        <v>310355</v>
      </c>
      <c r="Q66" s="197">
        <v>313448</v>
      </c>
      <c r="R66" s="197">
        <v>316541</v>
      </c>
      <c r="S66" s="197">
        <v>319634</v>
      </c>
      <c r="T66" s="197">
        <v>322727</v>
      </c>
    </row>
    <row r="67" spans="3:23" outlineLevel="1">
      <c r="C67" s="61" t="s">
        <v>182</v>
      </c>
      <c r="D67" s="30" t="s">
        <v>106</v>
      </c>
      <c r="E67" s="30" t="s">
        <v>18</v>
      </c>
      <c r="F67" s="30" t="s">
        <v>36</v>
      </c>
      <c r="G67" s="32"/>
      <c r="H67" s="32"/>
      <c r="J67" s="205"/>
      <c r="K67" s="196"/>
      <c r="L67" s="196"/>
      <c r="M67" s="196"/>
      <c r="N67" s="196"/>
      <c r="O67" s="197">
        <v>3360.66126966092</v>
      </c>
      <c r="P67" s="197">
        <v>3360.5245657277187</v>
      </c>
      <c r="Q67" s="197">
        <v>3360.3919684435509</v>
      </c>
      <c r="R67" s="197">
        <v>3360.2634771834059</v>
      </c>
      <c r="S67" s="197">
        <v>3360.1390913273804</v>
      </c>
      <c r="T67" s="197">
        <v>3360.0188102606721</v>
      </c>
    </row>
    <row r="68" spans="3:23" outlineLevel="1">
      <c r="C68" s="61"/>
      <c r="D68" s="30" t="s">
        <v>106</v>
      </c>
      <c r="E68" s="30" t="s">
        <v>18</v>
      </c>
      <c r="F68" s="30" t="s">
        <v>36</v>
      </c>
      <c r="G68" s="32"/>
      <c r="H68" s="32"/>
      <c r="J68" s="205"/>
      <c r="K68" s="196"/>
      <c r="L68" s="196"/>
      <c r="M68" s="196"/>
      <c r="N68" s="196"/>
      <c r="O68" s="197"/>
      <c r="P68" s="197"/>
      <c r="Q68" s="197"/>
      <c r="R68" s="197"/>
      <c r="S68" s="197"/>
      <c r="T68" s="197"/>
    </row>
    <row r="69" spans="3:23" outlineLevel="1">
      <c r="C69" s="61"/>
      <c r="D69" s="30" t="s">
        <v>106</v>
      </c>
      <c r="E69" s="30" t="s">
        <v>18</v>
      </c>
      <c r="F69" s="30" t="s">
        <v>36</v>
      </c>
      <c r="G69" s="32"/>
      <c r="H69" s="32"/>
      <c r="J69" s="205"/>
      <c r="K69" s="196"/>
      <c r="L69" s="196"/>
      <c r="M69" s="196"/>
      <c r="N69" s="196"/>
      <c r="O69" s="197"/>
      <c r="P69" s="197"/>
      <c r="Q69" s="197"/>
      <c r="R69" s="197"/>
      <c r="S69" s="197"/>
      <c r="T69" s="197"/>
    </row>
    <row r="70" spans="3:23" ht="10.5" outlineLevel="1">
      <c r="C70" s="111"/>
      <c r="G70" s="32"/>
      <c r="H70" s="32"/>
      <c r="K70" s="23"/>
      <c r="L70" s="23"/>
      <c r="M70" s="23"/>
      <c r="N70" s="23"/>
      <c r="O70" s="23"/>
    </row>
    <row r="71" spans="3:23" ht="10.5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T71" si="37">IF(J62=J$4,IF(COUNTA($C64:$C69)=COUNT(J64:J69),"Ok","Check"),"")</f>
        <v/>
      </c>
      <c r="K71" s="132" t="str">
        <f t="shared" si="37"/>
        <v/>
      </c>
      <c r="L71" s="132" t="str">
        <f t="shared" si="37"/>
        <v/>
      </c>
      <c r="M71" s="132" t="str">
        <f t="shared" si="37"/>
        <v/>
      </c>
      <c r="N71" s="132" t="str">
        <f t="shared" si="37"/>
        <v/>
      </c>
      <c r="O71" s="132" t="str">
        <f t="shared" si="37"/>
        <v>Ok</v>
      </c>
      <c r="P71" s="132" t="str">
        <f t="shared" si="37"/>
        <v>Ok</v>
      </c>
      <c r="Q71" s="132" t="str">
        <f t="shared" si="37"/>
        <v>Ok</v>
      </c>
      <c r="R71" s="132" t="str">
        <f t="shared" si="37"/>
        <v>Ok</v>
      </c>
      <c r="S71" s="132" t="str">
        <f t="shared" si="37"/>
        <v>Ok</v>
      </c>
      <c r="T71" s="132" t="str">
        <f t="shared" si="37"/>
        <v>Ok</v>
      </c>
      <c r="U71" s="24"/>
      <c r="W71" s="131" t="str">
        <f>IF(COUNTIF(J71:T71,"Check")=0,"Ok","Check")</f>
        <v>Ok</v>
      </c>
    </row>
    <row r="72" spans="3:23" ht="10.5" outlineLevel="1">
      <c r="C72" s="111"/>
      <c r="G72" s="32"/>
      <c r="H72" s="32"/>
      <c r="K72" s="23"/>
      <c r="L72" s="23"/>
      <c r="M72" s="23"/>
      <c r="N72" s="23"/>
      <c r="O72" s="23"/>
    </row>
    <row r="73" spans="3:23" ht="10.5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8">IF(YEAR(J$4)&gt;=FPFirstYear,IF(YEAR(J$4)&lt;=FPLastYear,J$4,""),"")</f>
        <v/>
      </c>
      <c r="K73" s="163" t="str">
        <f t="shared" si="38"/>
        <v/>
      </c>
      <c r="L73" s="163" t="str">
        <f t="shared" si="38"/>
        <v/>
      </c>
      <c r="M73" s="163" t="str">
        <f t="shared" si="38"/>
        <v/>
      </c>
      <c r="N73" s="163" t="str">
        <f t="shared" si="38"/>
        <v/>
      </c>
      <c r="O73" s="163" t="str">
        <f t="shared" si="38"/>
        <v/>
      </c>
      <c r="P73" s="163">
        <f t="shared" si="38"/>
        <v>45809</v>
      </c>
      <c r="Q73" s="163">
        <f t="shared" si="38"/>
        <v>46174</v>
      </c>
      <c r="R73" s="163">
        <f t="shared" si="38"/>
        <v>46539</v>
      </c>
      <c r="S73" s="163">
        <f t="shared" si="38"/>
        <v>46905</v>
      </c>
      <c r="T73" s="163">
        <f t="shared" si="38"/>
        <v>47270</v>
      </c>
      <c r="U73" s="29" t="str">
        <f>IF(RIGHT(U$4,2)&gt;=RIGHT('Input|General'!$G$13,2),IF(RIGHT(U$4,2)&lt;='Input|General'!$G$14,'Input|Reported opex'!T$4,""),"")</f>
        <v/>
      </c>
    </row>
    <row r="74" spans="3:23" ht="10.5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Energy throughput (GWh)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 t="shared" ref="J75:M75" si="39">IF(ISBLANK(I64),"",IF(ISBLANK(J64),"",LN(J64)-LN(I64)))</f>
        <v/>
      </c>
      <c r="K75" s="117" t="str">
        <f t="shared" si="39"/>
        <v/>
      </c>
      <c r="L75" s="117" t="str">
        <f t="shared" si="39"/>
        <v/>
      </c>
      <c r="M75" s="117" t="str">
        <f t="shared" si="39"/>
        <v/>
      </c>
      <c r="N75" s="117" t="str">
        <f>IF(ISBLANK(M64),"",IF(ISBLANK(N64),"",LN(N64)-LN(M64)))</f>
        <v/>
      </c>
      <c r="O75" s="117" t="str">
        <f t="shared" ref="O75:T75" si="40">IF(ISBLANK(N64),"",IF(ISBLANK(O64),"",LN(O64)-LN(N64)))</f>
        <v/>
      </c>
      <c r="P75" s="117">
        <f t="shared" si="40"/>
        <v>1.8984773632361396E-2</v>
      </c>
      <c r="Q75" s="117">
        <f t="shared" si="40"/>
        <v>2.0832640087066423E-2</v>
      </c>
      <c r="R75" s="117">
        <f t="shared" si="40"/>
        <v>2.0272803135783946E-2</v>
      </c>
      <c r="S75" s="117">
        <f t="shared" si="40"/>
        <v>1.1383543309518629E-2</v>
      </c>
      <c r="T75" s="117">
        <f t="shared" si="40"/>
        <v>2.3276703888956973E-3</v>
      </c>
    </row>
    <row r="76" spans="3:23" outlineLevel="1">
      <c r="C76" s="148" t="str">
        <f>C65</f>
        <v>Ratcheted Maximum Demand (MW)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41">IF(ISBLANK(I65),"",IF(ISBLANK(J65),"",LN(J65)-LN(I65)))</f>
        <v/>
      </c>
      <c r="K76" s="117" t="str">
        <f t="shared" si="41"/>
        <v/>
      </c>
      <c r="L76" s="117" t="str">
        <f t="shared" si="41"/>
        <v/>
      </c>
      <c r="M76" s="117" t="str">
        <f t="shared" si="41"/>
        <v/>
      </c>
      <c r="N76" s="117" t="str">
        <f t="shared" si="41"/>
        <v/>
      </c>
      <c r="O76" s="117" t="str">
        <f t="shared" si="41"/>
        <v/>
      </c>
      <c r="P76" s="117">
        <f t="shared" si="41"/>
        <v>0</v>
      </c>
      <c r="Q76" s="117">
        <f t="shared" si="41"/>
        <v>0</v>
      </c>
      <c r="R76" s="117">
        <f t="shared" si="41"/>
        <v>0</v>
      </c>
      <c r="S76" s="117">
        <f t="shared" si="41"/>
        <v>0</v>
      </c>
      <c r="T76" s="117">
        <f t="shared" si="41"/>
        <v>0</v>
      </c>
    </row>
    <row r="77" spans="3:23" outlineLevel="1">
      <c r="C77" s="148" t="str">
        <f t="shared" ref="C77:C79" si="42">C66</f>
        <v>Customer numbers (#)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 t="shared" si="43"/>
        <v/>
      </c>
      <c r="O77" s="117" t="str">
        <f t="shared" si="43"/>
        <v/>
      </c>
      <c r="P77" s="117">
        <f t="shared" si="43"/>
        <v>1.0015999745801807E-2</v>
      </c>
      <c r="Q77" s="117">
        <f t="shared" si="43"/>
        <v>9.9166735241738024E-3</v>
      </c>
      <c r="R77" s="117">
        <f t="shared" si="43"/>
        <v>9.8192979618936249E-3</v>
      </c>
      <c r="S77" s="117">
        <f t="shared" si="43"/>
        <v>9.7238161540271761E-3</v>
      </c>
      <c r="T77" s="117">
        <f t="shared" si="43"/>
        <v>9.630173387735752E-3</v>
      </c>
    </row>
    <row r="78" spans="3:23" outlineLevel="1">
      <c r="C78" s="148" t="str">
        <f t="shared" si="42"/>
        <v>Circuit Length (km)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-4.0678516132430786E-5</v>
      </c>
      <c r="Q78" s="117">
        <f t="shared" si="44"/>
        <v>-3.9458095786315539E-5</v>
      </c>
      <c r="R78" s="117">
        <f t="shared" si="44"/>
        <v>-3.8237716900368923E-5</v>
      </c>
      <c r="S78" s="117">
        <f t="shared" si="44"/>
        <v>-3.7017382448212288E-5</v>
      </c>
      <c r="T78" s="117">
        <f t="shared" si="44"/>
        <v>-3.5797095391032485E-5</v>
      </c>
    </row>
    <row r="79" spans="3:23" outlineLevel="1">
      <c r="C79" s="148">
        <f t="shared" si="42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 t="str">
        <f t="shared" si="45"/>
        <v/>
      </c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</row>
    <row r="80" spans="3:23" outlineLevel="1">
      <c r="C80" s="148">
        <f>C69</f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T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 t="str">
        <f t="shared" si="46"/>
        <v/>
      </c>
      <c r="Q80" s="117" t="str">
        <f t="shared" si="46"/>
        <v/>
      </c>
      <c r="R80" s="117" t="str">
        <f t="shared" si="46"/>
        <v/>
      </c>
      <c r="S80" s="117" t="str">
        <f t="shared" si="46"/>
        <v/>
      </c>
      <c r="T80" s="117" t="str">
        <f t="shared" si="46"/>
        <v/>
      </c>
    </row>
    <row r="81" spans="3:23" ht="10.5" outlineLevel="1">
      <c r="C81" s="111"/>
      <c r="G81" s="32"/>
      <c r="H81" s="32"/>
      <c r="K81" s="23"/>
      <c r="L81" s="23"/>
      <c r="M81" s="23"/>
      <c r="N81" s="23"/>
      <c r="O81" s="23"/>
    </row>
    <row r="82" spans="3:23" ht="10.5" outlineLevel="1">
      <c r="C82" s="67" t="s">
        <v>185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2" t="s">
        <v>186</v>
      </c>
      <c r="K82" s="163"/>
      <c r="L82" s="163"/>
      <c r="M82" s="163"/>
      <c r="N82" s="163"/>
      <c r="O82" s="163"/>
      <c r="P82" s="163"/>
      <c r="Q82" s="163"/>
      <c r="R82" s="163"/>
      <c r="S82" s="163"/>
      <c r="T82" s="163"/>
    </row>
    <row r="83" spans="3:23" ht="10.5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Energy throughput (GWh)</v>
      </c>
      <c r="D84" s="30" t="s">
        <v>106</v>
      </c>
      <c r="E84" s="30" t="s">
        <v>18</v>
      </c>
      <c r="F84" s="30" t="s">
        <v>36</v>
      </c>
      <c r="G84" s="32"/>
      <c r="H84" s="32"/>
      <c r="J84" s="60">
        <v>0.14899999999999999</v>
      </c>
      <c r="K84" s="194"/>
      <c r="L84" s="194"/>
      <c r="M84" s="194"/>
      <c r="N84" s="194"/>
      <c r="O84" s="194"/>
      <c r="P84" s="194"/>
      <c r="Q84" s="194"/>
      <c r="R84" s="194"/>
      <c r="S84" s="194"/>
      <c r="T84" s="194"/>
    </row>
    <row r="85" spans="3:23" outlineLevel="1">
      <c r="C85" s="148" t="str">
        <f>C65</f>
        <v>Ratcheted Maximum Demand (MW)</v>
      </c>
      <c r="D85" s="30" t="s">
        <v>106</v>
      </c>
      <c r="E85" s="30" t="s">
        <v>18</v>
      </c>
      <c r="F85" s="30" t="s">
        <v>36</v>
      </c>
      <c r="G85" s="32"/>
      <c r="H85" s="32"/>
      <c r="J85" s="60">
        <v>0.247</v>
      </c>
      <c r="K85" s="194"/>
      <c r="L85" s="194"/>
      <c r="M85" s="194"/>
      <c r="N85" s="194"/>
      <c r="O85" s="194"/>
      <c r="P85" s="194"/>
      <c r="Q85" s="194"/>
      <c r="R85" s="194"/>
      <c r="S85" s="194"/>
      <c r="T85" s="194"/>
    </row>
    <row r="86" spans="3:23" outlineLevel="1">
      <c r="C86" s="148" t="str">
        <f t="shared" ref="C86:C88" si="47">C66</f>
        <v>Customer numbers (#)</v>
      </c>
      <c r="D86" s="30" t="s">
        <v>106</v>
      </c>
      <c r="E86" s="30" t="s">
        <v>18</v>
      </c>
      <c r="F86" s="30" t="s">
        <v>36</v>
      </c>
      <c r="G86" s="32"/>
      <c r="H86" s="32"/>
      <c r="J86" s="60">
        <v>7.5999999999999998E-2</v>
      </c>
      <c r="K86" s="194"/>
      <c r="L86" s="194"/>
      <c r="M86" s="194"/>
      <c r="N86" s="194"/>
      <c r="O86" s="194"/>
      <c r="P86" s="194"/>
      <c r="Q86" s="194"/>
      <c r="R86" s="194"/>
      <c r="S86" s="194"/>
      <c r="T86" s="194"/>
    </row>
    <row r="87" spans="3:23" outlineLevel="1">
      <c r="C87" s="148" t="str">
        <f t="shared" si="47"/>
        <v>Circuit Length (km)</v>
      </c>
      <c r="D87" s="30" t="s">
        <v>106</v>
      </c>
      <c r="E87" s="30" t="s">
        <v>18</v>
      </c>
      <c r="F87" s="30" t="s">
        <v>36</v>
      </c>
      <c r="G87" s="32"/>
      <c r="H87" s="32"/>
      <c r="J87" s="60">
        <v>0.52800000000000002</v>
      </c>
      <c r="K87" s="194"/>
      <c r="L87" s="194"/>
      <c r="M87" s="194"/>
      <c r="N87" s="194"/>
      <c r="O87" s="194"/>
      <c r="P87" s="194"/>
      <c r="Q87" s="194"/>
      <c r="R87" s="194"/>
      <c r="S87" s="194"/>
      <c r="T87" s="194"/>
    </row>
    <row r="88" spans="3:23" outlineLevel="1">
      <c r="C88" s="148">
        <f t="shared" si="47"/>
        <v>0</v>
      </c>
      <c r="D88" s="30" t="s">
        <v>106</v>
      </c>
      <c r="E88" s="30" t="s">
        <v>18</v>
      </c>
      <c r="F88" s="30" t="s">
        <v>36</v>
      </c>
      <c r="G88" s="32"/>
      <c r="H88" s="32"/>
      <c r="J88" s="61"/>
      <c r="K88" s="194"/>
      <c r="L88" s="194"/>
      <c r="M88" s="194"/>
      <c r="N88" s="194"/>
      <c r="O88" s="194"/>
      <c r="P88" s="194"/>
      <c r="Q88" s="194"/>
      <c r="R88" s="194"/>
      <c r="S88" s="194"/>
      <c r="T88" s="194"/>
    </row>
    <row r="89" spans="3:23" outlineLevel="1">
      <c r="C89" s="148">
        <f>C69</f>
        <v>0</v>
      </c>
      <c r="D89" s="30" t="s">
        <v>106</v>
      </c>
      <c r="E89" s="30" t="s">
        <v>18</v>
      </c>
      <c r="F89" s="30" t="s">
        <v>36</v>
      </c>
      <c r="G89" s="32"/>
      <c r="H89" s="32"/>
      <c r="J89" s="61"/>
      <c r="K89" s="194"/>
      <c r="L89" s="194"/>
      <c r="M89" s="194"/>
      <c r="N89" s="194"/>
      <c r="O89" s="194"/>
      <c r="P89" s="194"/>
      <c r="Q89" s="194"/>
      <c r="R89" s="194"/>
      <c r="S89" s="194"/>
      <c r="T89" s="194"/>
    </row>
    <row r="90" spans="3:23" outlineLevel="1">
      <c r="G90" s="32"/>
      <c r="H90" s="32"/>
    </row>
    <row r="91" spans="3:23" ht="10.5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/>
      </c>
      <c r="L91" s="132" t="str">
        <f t="array" ref="L91">IF(ISBLANK(L84:L89),"",IF(SUM(L84:L89)=1,"Ok","Check"))</f>
        <v/>
      </c>
      <c r="M91" s="132" t="str">
        <f t="array" ref="M91">IF(ISBLANK(M84:M89),"",IF(SUM(M84:M89)=1,"Ok","Check"))</f>
        <v/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ht="10.5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ht="10.5" outlineLevel="1">
      <c r="C93" s="67" t="s">
        <v>187</v>
      </c>
      <c r="D93" s="32" t="s">
        <v>7</v>
      </c>
      <c r="E93" s="32" t="s">
        <v>8</v>
      </c>
      <c r="F93" s="32" t="s">
        <v>22</v>
      </c>
      <c r="J93" s="163" t="str">
        <f t="shared" ref="J93:P93" si="48">IF(YEAR(J$4)&gt;=FPFirstYear,IF(YEAR(J$4)&lt;=FPLastYear,J$4,""),"")</f>
        <v/>
      </c>
      <c r="K93" s="163" t="str">
        <f t="shared" si="48"/>
        <v/>
      </c>
      <c r="L93" s="163" t="str">
        <f t="shared" si="48"/>
        <v/>
      </c>
      <c r="M93" s="163" t="str">
        <f t="shared" si="48"/>
        <v/>
      </c>
      <c r="N93" s="163" t="str">
        <f t="shared" si="48"/>
        <v/>
      </c>
      <c r="O93" s="163" t="str">
        <f t="shared" si="48"/>
        <v/>
      </c>
      <c r="P93" s="163">
        <f t="shared" si="48"/>
        <v>45809</v>
      </c>
      <c r="Q93" s="163">
        <f>IF(YEAR(Q$4)&gt;FPFirstYear,IF(YEAR(Q$4)&lt;=FPLastYear,Q$4,""),"")</f>
        <v>46174</v>
      </c>
      <c r="R93" s="163">
        <f>IF(YEAR(R$4)&gt;FPFirstYear,IF(YEAR(R$4)&lt;=FPLastYear,R$4,""),"")</f>
        <v>46539</v>
      </c>
      <c r="S93" s="163">
        <f>IF(YEAR(S$4)&gt;FPFirstYear,IF(YEAR(S$4)&lt;=FPLastYear,S$4,""),"")</f>
        <v>46905</v>
      </c>
      <c r="T93" s="163">
        <f>IF(YEAR(T$4)&gt;FPFirstYear,IF(YEAR(T$4)&lt;=FPLastYear,T$4,""),"")</f>
        <v>47270</v>
      </c>
      <c r="U93" s="24"/>
      <c r="W93" s="132"/>
    </row>
    <row r="94" spans="3:23" ht="10.5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ht="10.5" outlineLevel="1">
      <c r="C95" s="148" t="str">
        <f>J82</f>
        <v>MPFP</v>
      </c>
      <c r="D95" s="30" t="s">
        <v>103</v>
      </c>
      <c r="E95" s="30" t="s">
        <v>18</v>
      </c>
      <c r="F95" s="30" t="s">
        <v>36</v>
      </c>
      <c r="J95" s="117" t="str">
        <f t="shared" ref="J95:S95" si="49">IF(J$93=J$4,SUMPRODUCT(J$75:J$80,$J$84:$J$89),"")</f>
        <v/>
      </c>
      <c r="K95" s="117" t="str">
        <f t="shared" si="49"/>
        <v/>
      </c>
      <c r="L95" s="117" t="str">
        <f t="shared" si="49"/>
        <v/>
      </c>
      <c r="M95" s="117" t="str">
        <f t="shared" si="49"/>
        <v/>
      </c>
      <c r="N95" s="117" t="str">
        <f t="shared" si="49"/>
        <v/>
      </c>
      <c r="O95" s="117" t="str">
        <f t="shared" si="49"/>
        <v/>
      </c>
      <c r="P95" s="117">
        <f t="shared" si="49"/>
        <v>3.5684689953848622E-3</v>
      </c>
      <c r="Q95" s="117">
        <f t="shared" si="49"/>
        <v>3.8368966862349311E-3</v>
      </c>
      <c r="R95" s="117">
        <f t="shared" si="49"/>
        <v>3.7467247978123282E-3</v>
      </c>
      <c r="S95" s="117">
        <f t="shared" si="49"/>
        <v>2.4156128028916847E-3</v>
      </c>
      <c r="T95" s="117">
        <f>IF(T$93=T$4,SUMPRODUCT(T$75:T$80,$J$84:$J$89),"")</f>
        <v>1.0598151990469109E-3</v>
      </c>
      <c r="U95" s="24"/>
      <c r="W95" s="132"/>
    </row>
    <row r="96" spans="3:23" ht="10.5" outlineLevel="1">
      <c r="C96" s="111"/>
      <c r="G96" s="32"/>
      <c r="H96" s="32"/>
      <c r="K96" s="23"/>
      <c r="L96" s="23"/>
      <c r="M96" s="23"/>
      <c r="N96" s="23"/>
      <c r="O96" s="23"/>
    </row>
    <row r="97" spans="1:50" s="103" customFormat="1" ht="13">
      <c r="A97" s="94"/>
      <c r="B97" s="95" t="s">
        <v>82</v>
      </c>
      <c r="C97" s="94"/>
      <c r="D97" s="94"/>
      <c r="E97" s="94"/>
      <c r="F97" s="96"/>
      <c r="G97" s="96"/>
      <c r="H97" s="96"/>
      <c r="I97" s="96"/>
      <c r="J97" s="96"/>
      <c r="K97" s="97"/>
      <c r="L97" s="98"/>
      <c r="M97" s="97"/>
      <c r="N97" s="98"/>
      <c r="O97" s="97"/>
      <c r="P97" s="97"/>
      <c r="Q97" s="97"/>
      <c r="R97" s="97"/>
      <c r="S97" s="97"/>
      <c r="T97" s="97"/>
      <c r="U97" s="97"/>
      <c r="V97" s="97"/>
      <c r="W97" s="98"/>
      <c r="X97" s="99"/>
      <c r="Y97" s="99"/>
      <c r="Z97" s="99"/>
      <c r="AA97" s="99"/>
      <c r="AB97" s="99"/>
      <c r="AC97" s="99"/>
      <c r="AD97" s="99"/>
      <c r="AE97" s="100"/>
      <c r="AF97" s="101"/>
      <c r="AG97" s="101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</row>
    <row r="98" spans="1:50" outlineLevel="1">
      <c r="G98" s="32"/>
      <c r="H98" s="32"/>
    </row>
    <row r="99" spans="1:50" ht="10.5" outlineLevel="1">
      <c r="C99" s="67" t="s">
        <v>48</v>
      </c>
      <c r="D99" s="32" t="s">
        <v>7</v>
      </c>
      <c r="E99" s="32" t="s">
        <v>8</v>
      </c>
      <c r="F99" s="32" t="s">
        <v>22</v>
      </c>
      <c r="G99" s="32"/>
      <c r="H99" s="32"/>
      <c r="J99" s="163" t="str">
        <f t="shared" ref="J99:T99" si="50">IF(YEAR(J$4)&gt;=FPFirstYear,IF(YEAR(J$4)&lt;=FPLastYear,J$4,""),"")</f>
        <v/>
      </c>
      <c r="K99" s="163" t="str">
        <f t="shared" si="50"/>
        <v/>
      </c>
      <c r="L99" s="163" t="str">
        <f t="shared" si="50"/>
        <v/>
      </c>
      <c r="M99" s="163" t="str">
        <f t="shared" si="50"/>
        <v/>
      </c>
      <c r="N99" s="163" t="str">
        <f t="shared" si="50"/>
        <v/>
      </c>
      <c r="O99" s="163" t="str">
        <f t="shared" si="50"/>
        <v/>
      </c>
      <c r="P99" s="163">
        <f t="shared" si="50"/>
        <v>45809</v>
      </c>
      <c r="Q99" s="163">
        <f t="shared" si="50"/>
        <v>46174</v>
      </c>
      <c r="R99" s="163">
        <f t="shared" si="50"/>
        <v>46539</v>
      </c>
      <c r="S99" s="163">
        <f t="shared" si="50"/>
        <v>46905</v>
      </c>
      <c r="T99" s="163">
        <f t="shared" si="50"/>
        <v>47270</v>
      </c>
    </row>
    <row r="100" spans="1:50" ht="10.5" outlineLevel="1">
      <c r="C100" s="111"/>
      <c r="G100" s="32"/>
      <c r="H100" s="32"/>
      <c r="K100" s="23"/>
      <c r="L100" s="23"/>
      <c r="M100" s="23"/>
      <c r="N100" s="23"/>
      <c r="O100" s="23"/>
    </row>
    <row r="101" spans="1:50" ht="10.5" outlineLevel="1">
      <c r="C101" s="111" t="s">
        <v>48</v>
      </c>
      <c r="D101" s="30" t="s">
        <v>106</v>
      </c>
      <c r="E101" s="30" t="str">
        <f>percent</f>
        <v>Per cent</v>
      </c>
      <c r="F101" s="30" t="s">
        <v>36</v>
      </c>
      <c r="G101" s="32"/>
      <c r="H101" s="32"/>
      <c r="J101" s="206"/>
      <c r="K101" s="195"/>
      <c r="L101" s="195"/>
      <c r="M101" s="195"/>
      <c r="N101" s="195"/>
      <c r="O101" s="170"/>
      <c r="P101" s="170">
        <v>0.03</v>
      </c>
      <c r="Q101" s="170">
        <v>5.0000000000000001E-3</v>
      </c>
      <c r="R101" s="170">
        <v>5.0000000000000001E-3</v>
      </c>
      <c r="S101" s="170">
        <v>5.0000000000000001E-3</v>
      </c>
      <c r="T101" s="170">
        <v>5.0000000000000001E-3</v>
      </c>
    </row>
    <row r="102" spans="1:50" ht="10.5" outlineLevel="1">
      <c r="C102" s="111"/>
      <c r="G102" s="32"/>
      <c r="H102" s="32"/>
      <c r="J102" s="169"/>
      <c r="K102" s="23"/>
      <c r="L102" s="23"/>
      <c r="M102" s="23"/>
      <c r="N102" s="23"/>
      <c r="O102" s="23"/>
      <c r="P102" s="193"/>
      <c r="Q102" s="193"/>
      <c r="R102" s="193"/>
      <c r="S102" s="193"/>
      <c r="T102" s="193"/>
    </row>
    <row r="103" spans="1:50" ht="10.5" outlineLevel="1">
      <c r="C103" s="29" t="s">
        <v>40</v>
      </c>
      <c r="D103" s="30" t="s">
        <v>103</v>
      </c>
      <c r="E103" s="30" t="s">
        <v>28</v>
      </c>
      <c r="F103" s="30" t="s">
        <v>36</v>
      </c>
      <c r="J103" s="132" t="str">
        <f t="shared" ref="J103:S103" si="51">IF(J99=J$4,IF(ISBLANK(J101),"Check","Ok"),"")</f>
        <v/>
      </c>
      <c r="K103" s="132" t="str">
        <f t="shared" si="51"/>
        <v/>
      </c>
      <c r="L103" s="132" t="str">
        <f t="shared" si="51"/>
        <v/>
      </c>
      <c r="M103" s="132" t="str">
        <f t="shared" si="51"/>
        <v/>
      </c>
      <c r="N103" s="132" t="str">
        <f t="shared" si="51"/>
        <v/>
      </c>
      <c r="O103" s="132" t="str">
        <f t="shared" si="51"/>
        <v/>
      </c>
      <c r="P103" s="132" t="str">
        <f t="shared" si="51"/>
        <v>Ok</v>
      </c>
      <c r="Q103" s="132" t="str">
        <f t="shared" si="51"/>
        <v>Ok</v>
      </c>
      <c r="R103" s="132" t="str">
        <f t="shared" si="51"/>
        <v>Ok</v>
      </c>
      <c r="S103" s="132" t="str">
        <f t="shared" si="51"/>
        <v>Ok</v>
      </c>
      <c r="T103" s="132" t="str">
        <f>IF(T99=T$4,IF(ISBLANK(T101),"Check","Ok"),"")</f>
        <v>Ok</v>
      </c>
      <c r="U103" s="24"/>
      <c r="W103" s="131" t="str">
        <f>IF(COUNTIF(J103:T103,"Check")=0,"Ok","Check")</f>
        <v>Ok</v>
      </c>
    </row>
    <row r="104" spans="1:50" ht="10.5" outlineLevel="1">
      <c r="C104" s="111"/>
      <c r="G104" s="32"/>
      <c r="H104" s="32"/>
      <c r="K104" s="23"/>
      <c r="L104" s="23"/>
      <c r="M104" s="23"/>
      <c r="N104" s="23"/>
      <c r="O104" s="23"/>
    </row>
    <row r="105" spans="1:50" s="103" customFormat="1" ht="13">
      <c r="A105" s="94"/>
      <c r="B105" s="95" t="s">
        <v>21</v>
      </c>
      <c r="C105" s="94"/>
      <c r="D105" s="94"/>
      <c r="E105" s="94"/>
      <c r="F105" s="96"/>
      <c r="G105" s="96"/>
      <c r="H105" s="96"/>
      <c r="I105" s="96"/>
      <c r="J105" s="96"/>
      <c r="K105" s="97"/>
      <c r="L105" s="98"/>
      <c r="M105" s="97"/>
      <c r="N105" s="98"/>
      <c r="O105" s="97"/>
      <c r="P105" s="97"/>
      <c r="Q105" s="97"/>
      <c r="R105" s="97"/>
      <c r="S105" s="97"/>
      <c r="T105" s="97"/>
      <c r="U105" s="97"/>
      <c r="V105" s="97"/>
      <c r="W105" s="98"/>
      <c r="X105" s="99"/>
      <c r="Y105" s="99"/>
      <c r="Z105" s="99"/>
      <c r="AA105" s="99"/>
      <c r="AB105" s="99"/>
      <c r="AC105" s="99"/>
      <c r="AD105" s="99"/>
      <c r="AE105" s="100"/>
      <c r="AF105" s="101"/>
      <c r="AG105" s="101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</row>
  </sheetData>
  <mergeCells count="2">
    <mergeCell ref="K3:M3"/>
    <mergeCell ref="O3:T3"/>
  </mergeCells>
  <conditionalFormatting sqref="W1">
    <cfRule type="cellIs" dxfId="151" priority="110" operator="equal">
      <formula>"Check"</formula>
    </cfRule>
    <cfRule type="cellIs" dxfId="150" priority="111" operator="equal">
      <formula>"Ok"</formula>
    </cfRule>
  </conditionalFormatting>
  <conditionalFormatting sqref="T1">
    <cfRule type="cellIs" dxfId="149" priority="74" operator="equal">
      <formula>"Check"</formula>
    </cfRule>
    <cfRule type="cellIs" dxfId="148" priority="75" operator="equal">
      <formula>"Ok"</formula>
    </cfRule>
  </conditionalFormatting>
  <conditionalFormatting sqref="W58">
    <cfRule type="cellIs" dxfId="147" priority="62" operator="equal">
      <formula>"Check"</formula>
    </cfRule>
    <cfRule type="cellIs" dxfId="146" priority="63" operator="equal">
      <formula>"Ok"</formula>
    </cfRule>
  </conditionalFormatting>
  <conditionalFormatting sqref="J58:T58">
    <cfRule type="cellIs" dxfId="145" priority="54" operator="equal">
      <formula>"Check"</formula>
    </cfRule>
    <cfRule type="cellIs" dxfId="144" priority="55" operator="equal">
      <formula>"Ok"</formula>
    </cfRule>
  </conditionalFormatting>
  <conditionalFormatting sqref="J34:T34">
    <cfRule type="expression" dxfId="143" priority="45">
      <formula>J$34=J$4</formula>
    </cfRule>
  </conditionalFormatting>
  <conditionalFormatting sqref="J39:T43 J36:O38">
    <cfRule type="expression" dxfId="142" priority="43">
      <formula>J$34=J$4</formula>
    </cfRule>
  </conditionalFormatting>
  <conditionalFormatting sqref="J49:T56">
    <cfRule type="expression" dxfId="141" priority="42">
      <formula>J$47=J$4</formula>
    </cfRule>
  </conditionalFormatting>
  <conditionalFormatting sqref="W103">
    <cfRule type="cellIs" dxfId="140" priority="36" operator="equal">
      <formula>"Check"</formula>
    </cfRule>
    <cfRule type="cellIs" dxfId="139" priority="37" operator="equal">
      <formula>"Ok"</formula>
    </cfRule>
  </conditionalFormatting>
  <conditionalFormatting sqref="J103:T103">
    <cfRule type="cellIs" dxfId="138" priority="34" operator="equal">
      <formula>"Check"</formula>
    </cfRule>
    <cfRule type="cellIs" dxfId="137" priority="35" operator="equal">
      <formula>"Ok"</formula>
    </cfRule>
  </conditionalFormatting>
  <conditionalFormatting sqref="W45">
    <cfRule type="cellIs" dxfId="136" priority="32" operator="equal">
      <formula>"Check"</formula>
    </cfRule>
    <cfRule type="cellIs" dxfId="135" priority="33" operator="equal">
      <formula>"Ok"</formula>
    </cfRule>
  </conditionalFormatting>
  <conditionalFormatting sqref="J45:T45">
    <cfRule type="cellIs" dxfId="134" priority="30" operator="equal">
      <formula>"Check"</formula>
    </cfRule>
    <cfRule type="cellIs" dxfId="133" priority="31" operator="equal">
      <formula>"Ok"</formula>
    </cfRule>
  </conditionalFormatting>
  <conditionalFormatting sqref="W71">
    <cfRule type="cellIs" dxfId="132" priority="28" operator="equal">
      <formula>"Check"</formula>
    </cfRule>
    <cfRule type="cellIs" dxfId="131" priority="29" operator="equal">
      <formula>"Ok"</formula>
    </cfRule>
  </conditionalFormatting>
  <conditionalFormatting sqref="J71:T71">
    <cfRule type="cellIs" dxfId="130" priority="26" operator="equal">
      <formula>"Check"</formula>
    </cfRule>
    <cfRule type="cellIs" dxfId="129" priority="27" operator="equal">
      <formula>"Ok"</formula>
    </cfRule>
  </conditionalFormatting>
  <conditionalFormatting sqref="J62:T62">
    <cfRule type="expression" dxfId="128" priority="20">
      <formula>J$62=J$4</formula>
    </cfRule>
  </conditionalFormatting>
  <conditionalFormatting sqref="J64:T69">
    <cfRule type="expression" dxfId="127" priority="18">
      <formula>J$62=J$4</formula>
    </cfRule>
  </conditionalFormatting>
  <conditionalFormatting sqref="J47:T47">
    <cfRule type="expression" dxfId="126" priority="15">
      <formula>J$34=J$4</formula>
    </cfRule>
  </conditionalFormatting>
  <conditionalFormatting sqref="J73:T73">
    <cfRule type="expression" dxfId="125" priority="14">
      <formula>J$34=J$4</formula>
    </cfRule>
  </conditionalFormatting>
  <conditionalFormatting sqref="J99:T99">
    <cfRule type="expression" dxfId="124" priority="13">
      <formula>J$34=J$4</formula>
    </cfRule>
  </conditionalFormatting>
  <conditionalFormatting sqref="J25:T30">
    <cfRule type="cellIs" dxfId="123" priority="11" operator="equal">
      <formula>0</formula>
    </cfRule>
  </conditionalFormatting>
  <conditionalFormatting sqref="J16:T21">
    <cfRule type="cellIs" dxfId="122" priority="10" operator="equal">
      <formula>0</formula>
    </cfRule>
  </conditionalFormatting>
  <conditionalFormatting sqref="W91:W95">
    <cfRule type="cellIs" dxfId="121" priority="6" operator="equal">
      <formula>"Check"</formula>
    </cfRule>
    <cfRule type="cellIs" dxfId="120" priority="7" operator="equal">
      <formula>"Ok"</formula>
    </cfRule>
  </conditionalFormatting>
  <conditionalFormatting sqref="J91:T92 J94:T94">
    <cfRule type="cellIs" dxfId="119" priority="3" operator="equal">
      <formula>"Check"</formula>
    </cfRule>
    <cfRule type="cellIs" dxfId="118" priority="4" operator="equal">
      <formula>"Ok"</formula>
    </cfRule>
  </conditionalFormatting>
  <conditionalFormatting sqref="J93:T93">
    <cfRule type="expression" dxfId="117" priority="2">
      <formula>J$93=J$4</formula>
    </cfRule>
  </conditionalFormatting>
  <conditionalFormatting sqref="J101:T101">
    <cfRule type="expression" dxfId="116" priority="149">
      <formula>J$99=J$4</formula>
    </cfRule>
  </conditionalFormatting>
  <conditionalFormatting sqref="P36:T38">
    <cfRule type="expression" dxfId="115" priority="1">
      <formula>P$34=P$4</formula>
    </cfRule>
  </conditionalFormatting>
  <dataValidations disablePrompts="1" count="2">
    <dataValidation type="list" allowBlank="1" showInputMessage="1" showErrorMessage="1" sqref="F104 F72 F96">
      <formula1>#REF!</formula1>
    </dataValidation>
    <dataValidation type="list" allowBlank="1" showInputMessage="1" showErrorMessage="1" sqref="F83 F81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workbookViewId="0">
      <selection activeCell="C12" sqref="C12:C14"/>
    </sheetView>
  </sheetViews>
  <sheetFormatPr defaultColWidth="0" defaultRowHeight="10" zeroHeight="1" outlineLevelRow="1"/>
  <cols>
    <col min="1" max="2" width="1.44140625" style="29" customWidth="1"/>
    <col min="3" max="3" width="48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10.44140625" style="29" hidden="1" customWidth="1"/>
    <col min="48" max="16384" width="0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IF(COUNTA($W$8:$W$235)=COUNTIF($W$8:$W$235,"OK"),"OK","Check")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183"/>
      <c r="E3" s="183"/>
      <c r="F3" s="183"/>
      <c r="G3" s="183"/>
      <c r="H3" s="183"/>
      <c r="I3" s="183"/>
      <c r="J3" s="158" t="s">
        <v>128</v>
      </c>
      <c r="K3" s="173"/>
      <c r="L3" s="173"/>
      <c r="M3" s="183"/>
      <c r="N3" s="229"/>
      <c r="O3" s="229"/>
      <c r="P3" s="229"/>
      <c r="Q3" s="229"/>
      <c r="R3" s="229"/>
      <c r="S3" s="229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43983</v>
      </c>
      <c r="K4" s="156">
        <f>DATE(PPFirstYear+1,MONTH('Input|General'!$G$9),1)</f>
        <v>44348</v>
      </c>
      <c r="L4" s="156">
        <f>DATE(PPFirstYear+2,MONTH('Input|General'!$G$9),1)</f>
        <v>44713</v>
      </c>
      <c r="M4" s="156">
        <f>DATE(PPFirstYear+3,MONTH('Input|General'!$G$9),1)</f>
        <v>45078</v>
      </c>
      <c r="N4" s="156">
        <f>DATE(PPFirstYear+4,MONTH('Input|General'!$G$9),1)</f>
        <v>45444</v>
      </c>
      <c r="O4" s="156">
        <f>DATE(PPFirstYear+5,MONTH('Input|General'!$G$9),1)</f>
        <v>45809</v>
      </c>
      <c r="P4" s="156">
        <f>DATE(PPFirstYear+6,MONTH('Input|General'!$G$9),1)</f>
        <v>46174</v>
      </c>
      <c r="Q4" s="156">
        <f>DATE(PPFirstYear+7,MONTH('Input|General'!$G$9),1)</f>
        <v>46539</v>
      </c>
      <c r="R4" s="156">
        <f>DATE(PPFirstYear+8,MONTH('Input|General'!$G$9),1)</f>
        <v>46905</v>
      </c>
      <c r="S4" s="156">
        <f>DATE(PPFirstYear+9,MONTH('Input|General'!$G$9),1)</f>
        <v>47270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ht="10.5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45809</v>
      </c>
      <c r="P10" s="163">
        <f t="shared" si="0"/>
        <v>46174</v>
      </c>
      <c r="Q10" s="163">
        <f t="shared" si="0"/>
        <v>46539</v>
      </c>
      <c r="R10" s="163">
        <f t="shared" si="0"/>
        <v>46905</v>
      </c>
      <c r="S10" s="163">
        <f t="shared" si="0"/>
        <v>47270</v>
      </c>
    </row>
    <row r="11" spans="1:47" outlineLevel="1">
      <c r="G11" s="32"/>
      <c r="H11" s="32"/>
    </row>
    <row r="12" spans="1:47" outlineLevel="1">
      <c r="C12" s="61" t="s">
        <v>204</v>
      </c>
      <c r="D12" s="30" t="s">
        <v>73</v>
      </c>
      <c r="E12" s="150" t="s">
        <v>15</v>
      </c>
      <c r="F12" s="172">
        <v>45078</v>
      </c>
      <c r="G12" s="32"/>
      <c r="H12" s="32"/>
      <c r="J12" s="152"/>
      <c r="K12" s="152"/>
      <c r="L12" s="152"/>
      <c r="M12" s="152"/>
      <c r="N12" s="152"/>
      <c r="O12" s="171">
        <v>0.93367423881042677</v>
      </c>
      <c r="P12" s="171">
        <v>1.1703986734879626</v>
      </c>
      <c r="Q12" s="171">
        <v>1.3763980352550051</v>
      </c>
      <c r="R12" s="171">
        <v>1.4547618810476273</v>
      </c>
      <c r="S12" s="171">
        <v>1.4707830262770716</v>
      </c>
    </row>
    <row r="13" spans="1:47" outlineLevel="1">
      <c r="C13" s="61" t="s">
        <v>205</v>
      </c>
      <c r="D13" s="30" t="s">
        <v>73</v>
      </c>
      <c r="E13" s="150" t="s">
        <v>15</v>
      </c>
      <c r="F13" s="172">
        <v>45078</v>
      </c>
      <c r="G13" s="32"/>
      <c r="H13" s="32"/>
      <c r="J13" s="152"/>
      <c r="K13" s="152"/>
      <c r="L13" s="152"/>
      <c r="M13" s="152"/>
      <c r="N13" s="152"/>
      <c r="O13" s="171">
        <v>1.5937913018907848</v>
      </c>
      <c r="P13" s="171">
        <v>2.8073497059692833</v>
      </c>
      <c r="Q13" s="171">
        <v>3.4053565549283276</v>
      </c>
      <c r="R13" s="171">
        <v>3.4975406042457333</v>
      </c>
      <c r="S13" s="171">
        <v>3.5183563573174061</v>
      </c>
    </row>
    <row r="14" spans="1:47" outlineLevel="1">
      <c r="C14" s="61"/>
      <c r="D14" s="30" t="s">
        <v>73</v>
      </c>
      <c r="E14" s="150" t="s">
        <v>15</v>
      </c>
      <c r="F14" s="172">
        <v>45078</v>
      </c>
      <c r="G14" s="32"/>
      <c r="H14" s="32"/>
      <c r="J14" s="152"/>
      <c r="K14" s="152"/>
      <c r="L14" s="152"/>
      <c r="M14" s="152"/>
      <c r="N14" s="152"/>
      <c r="O14" s="171"/>
      <c r="P14" s="171"/>
      <c r="Q14" s="171"/>
      <c r="R14" s="171"/>
      <c r="S14" s="171"/>
    </row>
    <row r="15" spans="1:47" outlineLevel="1">
      <c r="C15" s="61"/>
      <c r="D15" s="30" t="s">
        <v>73</v>
      </c>
      <c r="E15" s="150" t="s">
        <v>15</v>
      </c>
      <c r="F15" s="172">
        <v>45078</v>
      </c>
      <c r="G15" s="32"/>
      <c r="H15" s="32"/>
      <c r="J15" s="152"/>
      <c r="K15" s="152"/>
      <c r="L15" s="152"/>
      <c r="M15" s="152"/>
      <c r="N15" s="152"/>
      <c r="O15" s="171"/>
      <c r="P15" s="171"/>
      <c r="Q15" s="171"/>
      <c r="R15" s="171"/>
      <c r="S15" s="171"/>
    </row>
    <row r="16" spans="1:47" outlineLevel="1">
      <c r="C16" s="61"/>
      <c r="D16" s="30" t="s">
        <v>73</v>
      </c>
      <c r="E16" s="150" t="s">
        <v>15</v>
      </c>
      <c r="F16" s="172">
        <v>45078</v>
      </c>
      <c r="G16" s="32"/>
      <c r="H16" s="32"/>
      <c r="J16" s="152"/>
      <c r="K16" s="152"/>
      <c r="L16" s="152"/>
      <c r="M16" s="152"/>
      <c r="N16" s="152"/>
      <c r="O16" s="171"/>
      <c r="P16" s="171"/>
      <c r="Q16" s="171"/>
      <c r="R16" s="171"/>
      <c r="S16" s="171"/>
    </row>
    <row r="17" spans="1:47" outlineLevel="1">
      <c r="C17" s="61"/>
      <c r="D17" s="30" t="s">
        <v>73</v>
      </c>
      <c r="E17" s="150" t="s">
        <v>15</v>
      </c>
      <c r="F17" s="172">
        <v>45078</v>
      </c>
      <c r="G17" s="32"/>
      <c r="H17" s="32"/>
      <c r="J17" s="152"/>
      <c r="K17" s="152"/>
      <c r="L17" s="152"/>
      <c r="M17" s="152"/>
      <c r="N17" s="152"/>
      <c r="O17" s="171"/>
      <c r="P17" s="171"/>
      <c r="Q17" s="171"/>
      <c r="R17" s="171"/>
      <c r="S17" s="171"/>
    </row>
    <row r="18" spans="1:47" outlineLevel="1">
      <c r="C18" s="61"/>
      <c r="D18" s="30" t="s">
        <v>73</v>
      </c>
      <c r="E18" s="150" t="s">
        <v>15</v>
      </c>
      <c r="F18" s="172">
        <v>45078</v>
      </c>
      <c r="G18" s="32"/>
      <c r="H18" s="32"/>
      <c r="J18" s="152"/>
      <c r="K18" s="152"/>
      <c r="L18" s="152"/>
      <c r="M18" s="152"/>
      <c r="N18" s="152"/>
      <c r="O18" s="171"/>
      <c r="P18" s="171"/>
      <c r="Q18" s="171"/>
      <c r="R18" s="171"/>
      <c r="S18" s="171"/>
    </row>
    <row r="19" spans="1:47" outlineLevel="1">
      <c r="C19" s="61"/>
      <c r="D19" s="30" t="s">
        <v>73</v>
      </c>
      <c r="E19" s="150" t="s">
        <v>15</v>
      </c>
      <c r="F19" s="172">
        <v>45078</v>
      </c>
      <c r="G19" s="32"/>
      <c r="H19" s="32"/>
      <c r="J19" s="152"/>
      <c r="K19" s="152"/>
      <c r="L19" s="152"/>
      <c r="M19" s="152"/>
      <c r="N19" s="152"/>
      <c r="O19" s="171"/>
      <c r="P19" s="171"/>
      <c r="Q19" s="171"/>
      <c r="R19" s="171"/>
      <c r="S19" s="171"/>
    </row>
    <row r="20" spans="1:47" outlineLevel="1">
      <c r="C20" s="61"/>
      <c r="D20" s="30" t="s">
        <v>73</v>
      </c>
      <c r="E20" s="150" t="s">
        <v>15</v>
      </c>
      <c r="F20" s="172">
        <v>45078</v>
      </c>
      <c r="G20" s="32"/>
      <c r="H20" s="32"/>
      <c r="J20" s="152"/>
      <c r="K20" s="152"/>
      <c r="L20" s="152"/>
      <c r="M20" s="152"/>
      <c r="N20" s="152"/>
      <c r="O20" s="171"/>
      <c r="P20" s="171"/>
      <c r="Q20" s="171"/>
      <c r="R20" s="171"/>
      <c r="S20" s="171"/>
    </row>
    <row r="21" spans="1:47" outlineLevel="1">
      <c r="G21" s="32"/>
      <c r="H21" s="32"/>
    </row>
    <row r="22" spans="1:47" ht="10.5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3">
      <c r="A24" s="94"/>
      <c r="B24" s="95" t="s">
        <v>124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ht="10.5" outlineLevel="1">
      <c r="C26" s="67" t="s">
        <v>115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45809</v>
      </c>
      <c r="P26" s="163">
        <f t="shared" si="2"/>
        <v>46174</v>
      </c>
      <c r="Q26" s="163">
        <f t="shared" si="2"/>
        <v>46539</v>
      </c>
      <c r="R26" s="163">
        <f t="shared" si="2"/>
        <v>46905</v>
      </c>
      <c r="S26" s="163">
        <f t="shared" si="2"/>
        <v>47270</v>
      </c>
    </row>
    <row r="27" spans="1:47" outlineLevel="1">
      <c r="G27" s="32"/>
      <c r="H27" s="32"/>
    </row>
    <row r="28" spans="1:47" outlineLevel="1">
      <c r="C28" s="61"/>
      <c r="D28" s="30" t="s">
        <v>73</v>
      </c>
      <c r="E28" s="150" t="s">
        <v>15</v>
      </c>
      <c r="F28" s="172">
        <v>44713</v>
      </c>
      <c r="G28" s="32"/>
      <c r="H28" s="32"/>
      <c r="J28" s="152"/>
      <c r="K28" s="152"/>
      <c r="L28" s="152"/>
      <c r="M28" s="152"/>
      <c r="N28" s="171"/>
      <c r="O28" s="171"/>
      <c r="P28" s="171"/>
      <c r="Q28" s="171"/>
      <c r="R28" s="171"/>
      <c r="S28" s="171"/>
    </row>
    <row r="29" spans="1:47" outlineLevel="1">
      <c r="C29" s="61"/>
      <c r="D29" s="30" t="s">
        <v>73</v>
      </c>
      <c r="E29" s="150" t="s">
        <v>15</v>
      </c>
      <c r="F29" s="172">
        <v>45078</v>
      </c>
      <c r="G29" s="32"/>
      <c r="H29" s="32"/>
      <c r="J29" s="152"/>
      <c r="K29" s="152"/>
      <c r="L29" s="152"/>
      <c r="M29" s="152"/>
      <c r="N29" s="171"/>
      <c r="O29" s="171"/>
      <c r="P29" s="171"/>
      <c r="Q29" s="171"/>
      <c r="R29" s="171"/>
      <c r="S29" s="171"/>
    </row>
    <row r="30" spans="1:47" outlineLevel="1">
      <c r="C30" s="61"/>
      <c r="D30" s="30" t="s">
        <v>73</v>
      </c>
      <c r="E30" s="150" t="s">
        <v>15</v>
      </c>
      <c r="F30" s="172">
        <v>45078</v>
      </c>
      <c r="G30" s="32"/>
      <c r="H30" s="32"/>
      <c r="J30" s="152"/>
      <c r="K30" s="152"/>
      <c r="L30" s="152"/>
      <c r="M30" s="152"/>
      <c r="N30" s="171"/>
      <c r="O30" s="171"/>
      <c r="P30" s="171"/>
      <c r="Q30" s="171"/>
      <c r="R30" s="171"/>
      <c r="S30" s="171"/>
    </row>
    <row r="31" spans="1:47" outlineLevel="1">
      <c r="G31" s="32"/>
      <c r="H31" s="32"/>
    </row>
    <row r="32" spans="1:47" ht="10.5" outlineLevel="1">
      <c r="C32" s="29" t="s">
        <v>40</v>
      </c>
      <c r="D32" s="30" t="s">
        <v>103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3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ht="10.5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45809</v>
      </c>
      <c r="P36" s="163">
        <f t="shared" si="4"/>
        <v>46174</v>
      </c>
      <c r="Q36" s="163">
        <f t="shared" si="4"/>
        <v>46539</v>
      </c>
      <c r="R36" s="163">
        <f t="shared" si="4"/>
        <v>46905</v>
      </c>
      <c r="S36" s="163">
        <f t="shared" si="4"/>
        <v>47270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76</v>
      </c>
      <c r="E38" s="30" t="s">
        <v>15</v>
      </c>
      <c r="F38" s="211">
        <v>45078</v>
      </c>
      <c r="G38" s="32"/>
      <c r="H38" s="32"/>
      <c r="J38" s="171"/>
      <c r="K38" s="171"/>
      <c r="L38" s="171"/>
      <c r="M38" s="171"/>
      <c r="N38" s="171"/>
      <c r="O38" s="171">
        <v>0.84419859525336205</v>
      </c>
      <c r="P38" s="171">
        <v>0.83551056385833522</v>
      </c>
      <c r="Q38" s="171">
        <v>0.8352555558492204</v>
      </c>
      <c r="R38" s="171">
        <v>0.829881204285012</v>
      </c>
      <c r="S38" s="171">
        <v>0.8239641782903071</v>
      </c>
    </row>
    <row r="39" spans="1:47" outlineLevel="1">
      <c r="G39" s="32"/>
      <c r="H39" s="32"/>
    </row>
    <row r="40" spans="1:47" ht="10.5" outlineLevel="1">
      <c r="C40" s="29" t="s">
        <v>40</v>
      </c>
      <c r="D40" s="30" t="s">
        <v>103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3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4" priority="26" operator="equal">
      <formula>"Check"</formula>
    </cfRule>
    <cfRule type="cellIs" dxfId="113" priority="27" operator="equal">
      <formula>"Ok"</formula>
    </cfRule>
  </conditionalFormatting>
  <conditionalFormatting sqref="V1">
    <cfRule type="cellIs" dxfId="112" priority="28" operator="equal">
      <formula>"Check"</formula>
    </cfRule>
    <cfRule type="cellIs" dxfId="111" priority="29" operator="equal">
      <formula>"Ok"</formula>
    </cfRule>
  </conditionalFormatting>
  <conditionalFormatting sqref="J10:S10">
    <cfRule type="expression" dxfId="110" priority="24">
      <formula>J$10=J$4</formula>
    </cfRule>
  </conditionalFormatting>
  <conditionalFormatting sqref="J12:S20">
    <cfRule type="expression" dxfId="109" priority="23">
      <formula>J$10=J$4</formula>
    </cfRule>
  </conditionalFormatting>
  <conditionalFormatting sqref="W22">
    <cfRule type="cellIs" dxfId="108" priority="19" operator="equal">
      <formula>"Check"</formula>
    </cfRule>
    <cfRule type="cellIs" dxfId="107" priority="20" operator="equal">
      <formula>"Ok"</formula>
    </cfRule>
  </conditionalFormatting>
  <conditionalFormatting sqref="J22:T22">
    <cfRule type="cellIs" dxfId="106" priority="17" operator="equal">
      <formula>"Check"</formula>
    </cfRule>
    <cfRule type="cellIs" dxfId="105" priority="18" operator="equal">
      <formula>"Ok"</formula>
    </cfRule>
  </conditionalFormatting>
  <conditionalFormatting sqref="W32">
    <cfRule type="cellIs" dxfId="104" priority="15" operator="equal">
      <formula>"Check"</formula>
    </cfRule>
    <cfRule type="cellIs" dxfId="103" priority="16" operator="equal">
      <formula>"Ok"</formula>
    </cfRule>
  </conditionalFormatting>
  <conditionalFormatting sqref="J32:T32">
    <cfRule type="cellIs" dxfId="102" priority="13" operator="equal">
      <formula>"Check"</formula>
    </cfRule>
    <cfRule type="cellIs" dxfId="101" priority="14" operator="equal">
      <formula>"Ok"</formula>
    </cfRule>
  </conditionalFormatting>
  <conditionalFormatting sqref="J28:M30 O29:S30">
    <cfRule type="expression" dxfId="100" priority="12">
      <formula>J$26=J$4</formula>
    </cfRule>
  </conditionalFormatting>
  <conditionalFormatting sqref="W40">
    <cfRule type="cellIs" dxfId="99" priority="10" operator="equal">
      <formula>"Check"</formula>
    </cfRule>
    <cfRule type="cellIs" dxfId="98" priority="11" operator="equal">
      <formula>"Ok"</formula>
    </cfRule>
  </conditionalFormatting>
  <conditionalFormatting sqref="J40:T40">
    <cfRule type="cellIs" dxfId="97" priority="8" operator="equal">
      <formula>"Check"</formula>
    </cfRule>
    <cfRule type="cellIs" dxfId="96" priority="9" operator="equal">
      <formula>"Ok"</formula>
    </cfRule>
  </conditionalFormatting>
  <conditionalFormatting sqref="O28:S28">
    <cfRule type="expression" dxfId="95" priority="7">
      <formula>O$10=O$4</formula>
    </cfRule>
  </conditionalFormatting>
  <conditionalFormatting sqref="N28:N30">
    <cfRule type="expression" dxfId="94" priority="6">
      <formula>N$10=N$4</formula>
    </cfRule>
  </conditionalFormatting>
  <conditionalFormatting sqref="J38:S38">
    <cfRule type="expression" dxfId="93" priority="3">
      <formula>J$36=J$4</formula>
    </cfRule>
  </conditionalFormatting>
  <conditionalFormatting sqref="J26:S26">
    <cfRule type="expression" dxfId="92" priority="2">
      <formula>J$10=J$4</formula>
    </cfRule>
  </conditionalFormatting>
  <conditionalFormatting sqref="J36:S36">
    <cfRule type="expression" dxfId="91" priority="1">
      <formula>J$10=J$4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89"/>
  <sheetViews>
    <sheetView topLeftCell="A16" workbookViewId="0">
      <selection activeCell="C44" sqref="C44"/>
    </sheetView>
  </sheetViews>
  <sheetFormatPr defaultColWidth="0" defaultRowHeight="10" zeroHeight="1" outlineLevelRow="1"/>
  <cols>
    <col min="1" max="2" width="1.44140625" style="29" customWidth="1"/>
    <col min="3" max="3" width="76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441406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183"/>
      <c r="E3" s="183"/>
      <c r="F3" s="183"/>
      <c r="G3" s="183"/>
      <c r="H3" s="183"/>
      <c r="I3" s="183"/>
      <c r="J3" s="173" t="s">
        <v>128</v>
      </c>
      <c r="K3" s="173"/>
      <c r="L3" s="173"/>
      <c r="M3" s="183"/>
      <c r="N3" s="229"/>
      <c r="O3" s="229"/>
      <c r="P3" s="229"/>
      <c r="Q3" s="229"/>
      <c r="R3" s="229"/>
      <c r="S3" s="229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43983</v>
      </c>
      <c r="K4" s="156">
        <f>DATE(PPFirstYear+1,MONTH('Input|General'!$G$9),1)</f>
        <v>44348</v>
      </c>
      <c r="L4" s="156">
        <f>DATE(PPFirstYear+2,MONTH('Input|General'!$G$9),1)</f>
        <v>44713</v>
      </c>
      <c r="M4" s="156">
        <f>DATE(PPFirstYear+3,MONTH('Input|General'!$G$9),1)</f>
        <v>45078</v>
      </c>
      <c r="N4" s="156">
        <f>DATE(PPFirstYear+4,MONTH('Input|General'!$G$9),1)</f>
        <v>45444</v>
      </c>
      <c r="O4" s="156">
        <f>DATE(PPFirstYear+5,MONTH('Input|General'!$G$9),1)</f>
        <v>45809</v>
      </c>
      <c r="P4" s="156">
        <f>DATE(PPFirstYear+6,MONTH('Input|General'!$G$9),1)</f>
        <v>46174</v>
      </c>
      <c r="Q4" s="156">
        <f>DATE(PPFirstYear+7,MONTH('Input|General'!$G$9),1)</f>
        <v>46539</v>
      </c>
      <c r="R4" s="156">
        <f>DATE(PPFirstYear+8,MONTH('Input|General'!$G$9),1)</f>
        <v>46905</v>
      </c>
      <c r="S4" s="156">
        <f>DATE(PPFirstYear+9,MONTH('Input|General'!$G$9),1)</f>
        <v>47270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90</v>
      </c>
      <c r="C8" s="94"/>
      <c r="D8" s="94"/>
      <c r="E8" s="68" t="s">
        <v>15</v>
      </c>
      <c r="F8" s="207">
        <f>DATE(PPLastYear,MONTH('Input|General'!$G$9),1)</f>
        <v>45444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ht="10.5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43983</v>
      </c>
      <c r="K10" s="163">
        <f t="shared" si="0"/>
        <v>44348</v>
      </c>
      <c r="L10" s="163">
        <f t="shared" si="0"/>
        <v>44713</v>
      </c>
      <c r="M10" s="163">
        <f t="shared" si="0"/>
        <v>45078</v>
      </c>
      <c r="N10" s="163">
        <f t="shared" si="0"/>
        <v>45444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169</v>
      </c>
      <c r="D12" s="108" t="s">
        <v>96</v>
      </c>
      <c r="E12" s="30" t="str">
        <f>'Input|Reported opex'!E56</f>
        <v>$millions</v>
      </c>
      <c r="F12" s="161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32.054966698900557</v>
      </c>
      <c r="M12" s="109">
        <f>IF(YEAR(M$4)=BaseYear,'Input|Reported opex'!M47,0)</f>
        <v>0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169</v>
      </c>
      <c r="D13" s="110" t="s">
        <v>30</v>
      </c>
      <c r="E13" s="30" t="str">
        <f>$E$8</f>
        <v>$millions</v>
      </c>
      <c r="F13" s="161">
        <f>$F$8</f>
        <v>45444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36.580163012341004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170</v>
      </c>
      <c r="D14" s="108" t="s">
        <v>96</v>
      </c>
      <c r="E14" s="30" t="str">
        <f>'Input|Reported opex'!E15</f>
        <v>$millions</v>
      </c>
      <c r="F14" s="221">
        <f>'Input|Reported opex'!F15</f>
        <v>43617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30.31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170</v>
      </c>
      <c r="D15" s="110" t="s">
        <v>30</v>
      </c>
      <c r="E15" s="30" t="str">
        <f>$E$8</f>
        <v>$millions</v>
      </c>
      <c r="F15" s="161">
        <f>$F$8</f>
        <v>45444</v>
      </c>
      <c r="J15" s="224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36.877385085243894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171</v>
      </c>
      <c r="D16" s="108" t="s">
        <v>96</v>
      </c>
      <c r="E16" s="30" t="str">
        <f>'Input|Reported opex'!E15</f>
        <v>$millions</v>
      </c>
      <c r="F16" s="161">
        <f>'Input|Reported opex'!F15</f>
        <v>43617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30.62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171</v>
      </c>
      <c r="D17" s="110" t="s">
        <v>30</v>
      </c>
      <c r="E17" s="30" t="str">
        <f>$E$8</f>
        <v>$millions</v>
      </c>
      <c r="F17" s="161">
        <f>$F$8</f>
        <v>45444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37.254553985818809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172</v>
      </c>
      <c r="D19" s="108" t="s">
        <v>96</v>
      </c>
      <c r="E19" s="30" t="str">
        <f>'Input|Reported opex'!E63</f>
        <v>$millions</v>
      </c>
      <c r="F19" s="161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0</v>
      </c>
      <c r="L19" s="109">
        <f>IF(YEAR(L$4)=BaseYear,'Input|Reported opex'!L56,0)</f>
        <v>0</v>
      </c>
      <c r="M19" s="109">
        <f>IF(YEAR(M$4)=BaseYear,'Input|Reported opex'!M56,0)</f>
        <v>0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172</v>
      </c>
      <c r="D20" s="110" t="s">
        <v>30</v>
      </c>
      <c r="E20" s="30" t="str">
        <f>$E$8</f>
        <v>$millions</v>
      </c>
      <c r="F20" s="161">
        <f>$F$8</f>
        <v>45444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173</v>
      </c>
      <c r="D21" s="108" t="s">
        <v>96</v>
      </c>
      <c r="E21" s="30" t="str">
        <f>'Input|Reported opex'!E22</f>
        <v>$millions</v>
      </c>
      <c r="F21" s="161">
        <f>'Input|Reported opex'!F29</f>
        <v>43617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1.01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173</v>
      </c>
      <c r="D22" s="110" t="s">
        <v>30</v>
      </c>
      <c r="E22" s="30" t="str">
        <f>$E$8</f>
        <v>$millions</v>
      </c>
      <c r="F22" s="161">
        <f>$F$8</f>
        <v>45444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1.2288406115505224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174</v>
      </c>
      <c r="D23" s="108" t="s">
        <v>96</v>
      </c>
      <c r="E23" s="30" t="str">
        <f>'Input|Reported opex'!E22</f>
        <v>$millions</v>
      </c>
      <c r="F23" s="161">
        <f>'Input|Reported opex'!F29</f>
        <v>43617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1.01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174</v>
      </c>
      <c r="D24" s="110" t="s">
        <v>30</v>
      </c>
      <c r="E24" s="30" t="str">
        <f>$E$8</f>
        <v>$millions</v>
      </c>
      <c r="F24" s="161">
        <f>$F$8</f>
        <v>45444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1.2288406115505224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4"/>
      <c r="K25" s="174"/>
      <c r="L25" s="174"/>
      <c r="M25" s="174"/>
      <c r="N25" s="174"/>
      <c r="O25" s="174"/>
      <c r="P25" s="174"/>
      <c r="Q25" s="174"/>
      <c r="R25" s="174"/>
      <c r="S25" s="174"/>
    </row>
    <row r="26" spans="3:19" ht="10.5" outlineLevel="1">
      <c r="C26" s="113" t="s">
        <v>145</v>
      </c>
      <c r="D26" s="114" t="s">
        <v>30</v>
      </c>
      <c r="E26" s="114" t="str">
        <f>$E$8</f>
        <v>$millions</v>
      </c>
      <c r="F26" s="161">
        <f>$F$8</f>
        <v>45444</v>
      </c>
      <c r="J26" s="115">
        <f>J13</f>
        <v>0</v>
      </c>
      <c r="K26" s="115">
        <f t="shared" ref="K26:S26" si="1">K13</f>
        <v>0</v>
      </c>
      <c r="L26" s="115">
        <f t="shared" si="1"/>
        <v>36.580163012341004</v>
      </c>
      <c r="M26" s="115">
        <f t="shared" si="1"/>
        <v>0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ht="10.5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ht="10.5" outlineLevel="1">
      <c r="C28" s="123" t="s">
        <v>167</v>
      </c>
      <c r="D28" s="108" t="s">
        <v>96</v>
      </c>
      <c r="E28" s="110" t="str">
        <f>'Input|Reported opex'!E68</f>
        <v>$millions</v>
      </c>
      <c r="F28" s="161">
        <f>'Input|Reported opex'!F68</f>
        <v>43617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ht="10.5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45444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ht="10.5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ht="10.5" outlineLevel="1">
      <c r="C31" s="123" t="s">
        <v>165</v>
      </c>
      <c r="D31" s="110" t="s">
        <v>30</v>
      </c>
      <c r="E31" s="110" t="str">
        <f>$E$8</f>
        <v>$millions</v>
      </c>
      <c r="F31" s="161">
        <f>$F$8</f>
        <v>45444</v>
      </c>
      <c r="G31" s="110"/>
      <c r="H31" s="110"/>
      <c r="I31" s="110"/>
      <c r="J31" s="178">
        <f t="shared" ref="J31:S31" si="2">IF(YEAR(J$4)=PPLastYear,-SUM($J15:$S15)+SUM($J17:$S17),0)</f>
        <v>0</v>
      </c>
      <c r="K31" s="178">
        <f t="shared" si="2"/>
        <v>0</v>
      </c>
      <c r="L31" s="178">
        <f t="shared" si="2"/>
        <v>0</v>
      </c>
      <c r="M31" s="178">
        <f t="shared" si="2"/>
        <v>0</v>
      </c>
      <c r="N31" s="178">
        <f t="shared" si="2"/>
        <v>0.37716890057491526</v>
      </c>
      <c r="O31" s="178">
        <f t="shared" si="2"/>
        <v>0</v>
      </c>
      <c r="P31" s="178">
        <f t="shared" si="2"/>
        <v>0</v>
      </c>
      <c r="Q31" s="178">
        <f t="shared" si="2"/>
        <v>0</v>
      </c>
      <c r="R31" s="178">
        <f t="shared" si="2"/>
        <v>0</v>
      </c>
      <c r="S31" s="178">
        <f t="shared" si="2"/>
        <v>0</v>
      </c>
    </row>
    <row r="32" spans="3:19" ht="10.5" outlineLevel="1">
      <c r="C32" s="123"/>
      <c r="D32" s="110"/>
      <c r="E32" s="110"/>
      <c r="F32" s="161"/>
      <c r="G32" s="110"/>
      <c r="H32" s="110"/>
      <c r="I32" s="110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3:19" ht="10.5" outlineLevel="1">
      <c r="C33" s="123" t="s">
        <v>110</v>
      </c>
      <c r="D33" s="110" t="s">
        <v>30</v>
      </c>
      <c r="E33" s="110" t="str">
        <f>$E$8</f>
        <v>$millions</v>
      </c>
      <c r="F33" s="161">
        <f>$F$8</f>
        <v>45444</v>
      </c>
      <c r="J33" s="178">
        <f t="shared" ref="J33:S33" si="3">IF(YEAR(J$4)=PPLastYear,SUM($J26:$S26,$J29:$S29,$J31:$S31),0)</f>
        <v>0</v>
      </c>
      <c r="K33" s="178">
        <f t="shared" si="3"/>
        <v>0</v>
      </c>
      <c r="L33" s="178">
        <f t="shared" si="3"/>
        <v>0</v>
      </c>
      <c r="M33" s="178">
        <f t="shared" si="3"/>
        <v>0</v>
      </c>
      <c r="N33" s="178">
        <f t="shared" si="3"/>
        <v>36.957331912915919</v>
      </c>
      <c r="O33" s="178">
        <f t="shared" si="3"/>
        <v>0</v>
      </c>
      <c r="P33" s="178">
        <f t="shared" si="3"/>
        <v>0</v>
      </c>
      <c r="Q33" s="178">
        <f t="shared" si="3"/>
        <v>0</v>
      </c>
      <c r="R33" s="178">
        <f t="shared" si="3"/>
        <v>0</v>
      </c>
      <c r="S33" s="178">
        <f t="shared" si="3"/>
        <v>0</v>
      </c>
    </row>
    <row r="34" spans="3:19" ht="10.5" outlineLevel="1">
      <c r="C34" s="123"/>
      <c r="D34" s="110"/>
      <c r="E34" s="110"/>
      <c r="F34" s="161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  <row r="35" spans="3:19" ht="10.5" outlineLevel="1">
      <c r="C35" s="123" t="s">
        <v>175</v>
      </c>
      <c r="D35" s="110" t="s">
        <v>30</v>
      </c>
      <c r="E35" s="110" t="str">
        <f>$E$8</f>
        <v>$millions</v>
      </c>
      <c r="F35" s="161">
        <f>$F$8</f>
        <v>45444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0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ht="10.5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ht="10.5" outlineLevel="1">
      <c r="C37" s="123" t="str">
        <f>'Input|Reported opex'!$C$62</f>
        <v>Adjustment 1</v>
      </c>
      <c r="D37" s="108" t="s">
        <v>96</v>
      </c>
      <c r="E37" s="110" t="str">
        <f>'Input|Reported opex'!E62</f>
        <v>$millions</v>
      </c>
      <c r="F37" s="161">
        <f>'Input|Reported opex'!F62</f>
        <v>43617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0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opex'!Q62,0)</f>
        <v>0</v>
      </c>
      <c r="R37" s="109">
        <f>IF(YEAR(R$4)=PPLastYear,'Input|Reported opex'!R62,0)</f>
        <v>0</v>
      </c>
      <c r="S37" s="109">
        <f>IF(YEAR(S$4)=PPLastYear,'Input|Reported opex'!S62,0)</f>
        <v>0</v>
      </c>
    </row>
    <row r="38" spans="3:19" ht="10.5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45444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ht="10.5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ht="10.5" outlineLevel="1">
      <c r="C40" s="123" t="str">
        <f>'Input|Reported opex'!$C$63</f>
        <v>Adjustment 2</v>
      </c>
      <c r="D40" s="108" t="s">
        <v>96</v>
      </c>
      <c r="E40" s="30" t="str">
        <f>'Input|Reported opex'!$E$63</f>
        <v>$millions</v>
      </c>
      <c r="F40" s="161">
        <f>'Input|Reported opex'!$F$63</f>
        <v>43617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0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opex'!Q63,0)</f>
        <v>0</v>
      </c>
      <c r="R40" s="109">
        <f>IF(YEAR(R$4)=PPLastYear,'Input|Reported opex'!R63,0)</f>
        <v>0</v>
      </c>
      <c r="S40" s="109">
        <f>IF(YEAR(S$4)=PPLastYear,'Input|Reported opex'!S63,0)</f>
        <v>0</v>
      </c>
    </row>
    <row r="41" spans="3:19" ht="10.5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45444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ht="10.5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ht="10.5" outlineLevel="1">
      <c r="C43" s="123" t="str">
        <f>'Input|Reported opex'!$C$64</f>
        <v>Adjustment 3</v>
      </c>
      <c r="D43" s="108" t="s">
        <v>96</v>
      </c>
      <c r="E43" s="30" t="str">
        <f>'Input|Reported opex'!$E$64</f>
        <v>$millions</v>
      </c>
      <c r="F43" s="161">
        <f>'Input|Reported opex'!$F$64</f>
        <v>43617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0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opex'!R64,0)</f>
        <v>0</v>
      </c>
      <c r="S43" s="109">
        <f>IF(YEAR(S$4)=PPLastYear,'Input|Reported opex'!S64,0)</f>
        <v>0</v>
      </c>
    </row>
    <row r="44" spans="3:19" ht="10.5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45444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ht="10.5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ht="10.5" outlineLevel="1">
      <c r="C46" s="123" t="str">
        <f>'Input|Reported opex'!$C$65</f>
        <v>Adjustment 4</v>
      </c>
      <c r="D46" s="108" t="s">
        <v>96</v>
      </c>
      <c r="E46" s="30" t="str">
        <f>'Input|Reported opex'!$E$65</f>
        <v>$millions</v>
      </c>
      <c r="F46" s="161">
        <f>'Input|Reported opex'!$F$65</f>
        <v>43617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0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ht="10.5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45444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ht="10.5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ht="10.5" outlineLevel="1">
      <c r="C49" s="123" t="str">
        <f>'Input|Reported opex'!$C$66</f>
        <v>Adjustment 5</v>
      </c>
      <c r="D49" s="108" t="s">
        <v>96</v>
      </c>
      <c r="E49" s="30" t="str">
        <f>'Input|Reported opex'!$E$66</f>
        <v>$millions</v>
      </c>
      <c r="F49" s="161">
        <f>'Input|Reported opex'!$F$66</f>
        <v>43617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ht="10.5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45444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ht="10.5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ht="10.5" outlineLevel="1">
      <c r="C52" s="123" t="s">
        <v>93</v>
      </c>
      <c r="D52" s="110" t="s">
        <v>103</v>
      </c>
      <c r="E52" s="110" t="str">
        <f>$E$8</f>
        <v>$millions</v>
      </c>
      <c r="F52" s="161">
        <f>$F$8</f>
        <v>45444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>SUM(N33,N38,N41,N44,N47,N50)*'Input|Reported opex'!N70</f>
        <v>0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ht="10.5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ht="10.5" outlineLevel="1">
      <c r="C54" s="179" t="s">
        <v>176</v>
      </c>
      <c r="D54" s="112" t="s">
        <v>103</v>
      </c>
      <c r="E54" s="112" t="str">
        <f>$E$8</f>
        <v>$millions</v>
      </c>
      <c r="F54" s="180">
        <f>$F$8</f>
        <v>45444</v>
      </c>
      <c r="J54" s="178">
        <f>SUM(J33,J35,J38,J41,J44,J47,J50,J52)</f>
        <v>0</v>
      </c>
      <c r="K54" s="178">
        <f t="shared" ref="K54:S54" si="5">SUM(K33,K35,K38,K41,K44,K47,K50,K52)</f>
        <v>0</v>
      </c>
      <c r="L54" s="178">
        <f t="shared" si="5"/>
        <v>0</v>
      </c>
      <c r="M54" s="178">
        <f t="shared" si="5"/>
        <v>0</v>
      </c>
      <c r="N54" s="178">
        <f t="shared" si="5"/>
        <v>36.957331912915919</v>
      </c>
      <c r="O54" s="178">
        <f t="shared" si="5"/>
        <v>0</v>
      </c>
      <c r="P54" s="178">
        <f t="shared" si="5"/>
        <v>0</v>
      </c>
      <c r="Q54" s="178">
        <f t="shared" si="5"/>
        <v>0</v>
      </c>
      <c r="R54" s="178">
        <f t="shared" si="5"/>
        <v>0</v>
      </c>
      <c r="S54" s="178">
        <f t="shared" si="5"/>
        <v>0</v>
      </c>
    </row>
    <row r="55" spans="1:47">
      <c r="J55" s="107"/>
      <c r="K55" s="107"/>
      <c r="L55" s="107"/>
    </row>
    <row r="56" spans="1:47" s="103" customFormat="1" ht="13">
      <c r="A56" s="94"/>
      <c r="B56" s="95" t="s">
        <v>91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ht="10.5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45809</v>
      </c>
      <c r="P58" s="163">
        <f>IF(YEAR(P$4)&gt;='Input|General'!$G$13,IF(YEAR(P$4)&lt;='Input|General'!$G$14,P$4,""),"")</f>
        <v>46174</v>
      </c>
      <c r="Q58" s="163">
        <f>IF(YEAR(Q$4)&gt;='Input|General'!$G$13,IF(YEAR(Q$4)&lt;='Input|General'!$G$14,Q$4,""),"")</f>
        <v>46539</v>
      </c>
      <c r="R58" s="163">
        <f>IF(YEAR(R$4)&gt;='Input|General'!$G$13,IF(YEAR(R$4)&lt;='Input|General'!$G$14,R$4,""),"")</f>
        <v>46905</v>
      </c>
      <c r="S58" s="163">
        <f>IF(YEAR(S$4)&gt;='Input|General'!$G$13,IF(YEAR(S$4)&lt;='Input|General'!$G$14,S$4,""),"")</f>
        <v>47270</v>
      </c>
    </row>
    <row r="59" spans="1:47" ht="10.5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ht="10.5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111</v>
      </c>
      <c r="D61" s="110" t="s">
        <v>30</v>
      </c>
      <c r="E61" s="30" t="s">
        <v>31</v>
      </c>
      <c r="F61" s="30" t="s">
        <v>36</v>
      </c>
      <c r="J61" s="117">
        <f>IF(J58=J4,'Input|Rate of change'!K95,0)</f>
        <v>0</v>
      </c>
      <c r="K61" s="117">
        <f>IF(K58=K4,'Input|Rate of change'!L95,0)</f>
        <v>0</v>
      </c>
      <c r="L61" s="117">
        <f>IF(L58=L4,'Input|Rate of change'!M95,0)</f>
        <v>0</v>
      </c>
      <c r="M61" s="117">
        <f>IF(M58=M4,'Input|Rate of change'!N95,0)</f>
        <v>0</v>
      </c>
      <c r="N61" s="117">
        <f>IF(N58=N4,'Input|Rate of change'!O95,0)</f>
        <v>0</v>
      </c>
      <c r="O61" s="117">
        <f>IF(O58=O4,'Input|Rate of change'!P95,0)</f>
        <v>3.5684689953848622E-3</v>
      </c>
      <c r="P61" s="117">
        <f>IF(P58=P4,'Input|Rate of change'!Q95,0)</f>
        <v>3.8368966862349311E-3</v>
      </c>
      <c r="Q61" s="117">
        <f>IF(Q58=Q4,'Input|Rate of change'!R95,0)</f>
        <v>3.7467247978123282E-3</v>
      </c>
      <c r="R61" s="117">
        <f>IF(R58=R4,'Input|Rate of change'!S95,0)</f>
        <v>2.4156128028916847E-3</v>
      </c>
      <c r="S61" s="117">
        <f>IF(S58=S4,'Input|Rate of change'!T95,0)</f>
        <v>1.0598151990469109E-3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84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9.2613039924406039E-3</v>
      </c>
      <c r="P63" s="117">
        <f>SUMPRODUCT('Input|Rate of change'!Q36:Q43,'Input|Rate of change'!Q49:Q56)</f>
        <v>8.5707424171394403E-3</v>
      </c>
      <c r="Q63" s="117">
        <f>SUMPRODUCT('Input|Rate of change'!R36:R43,'Input|Rate of change'!R49:R56)</f>
        <v>4.2369223412935053E-3</v>
      </c>
      <c r="R63" s="117">
        <f>SUMPRODUCT('Input|Rate of change'!S36:S43,'Input|Rate of change'!S49:S56)</f>
        <v>1.9556787475285423E-3</v>
      </c>
      <c r="S63" s="117">
        <f>SUMPRODUCT('Input|Rate of change'!T36:T43,'Input|Rate of change'!T49:T56)</f>
        <v>3.5653156481030555E-3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107</v>
      </c>
      <c r="D65" s="110" t="s">
        <v>30</v>
      </c>
      <c r="E65" s="30" t="s">
        <v>31</v>
      </c>
      <c r="F65" s="30" t="s">
        <v>36</v>
      </c>
      <c r="J65" s="117">
        <f>'Input|Rate of change'!K101</f>
        <v>0</v>
      </c>
      <c r="K65" s="117">
        <f>'Input|Rate of change'!L101</f>
        <v>0</v>
      </c>
      <c r="L65" s="117">
        <f>'Input|Rate of change'!M101</f>
        <v>0</v>
      </c>
      <c r="M65" s="117">
        <f>'Input|Rate of change'!N101</f>
        <v>0</v>
      </c>
      <c r="N65" s="117">
        <f>'Input|Rate of change'!O101</f>
        <v>0</v>
      </c>
      <c r="O65" s="117">
        <f>'Input|Rate of change'!P101</f>
        <v>0.03</v>
      </c>
      <c r="P65" s="117">
        <f>'Input|Rate of change'!Q101</f>
        <v>5.0000000000000001E-3</v>
      </c>
      <c r="Q65" s="117">
        <f>'Input|Rate of change'!R101</f>
        <v>5.0000000000000001E-3</v>
      </c>
      <c r="R65" s="117">
        <f>'Input|Rate of change'!S101</f>
        <v>5.0000000000000001E-3</v>
      </c>
      <c r="S65" s="117">
        <f>'Input|Rate of change'!T101</f>
        <v>5.0000000000000001E-3</v>
      </c>
    </row>
    <row r="66" spans="1:47" outlineLevel="1">
      <c r="C66" s="111"/>
      <c r="J66" s="174"/>
      <c r="K66" s="174"/>
      <c r="L66" s="174"/>
      <c r="M66" s="174"/>
      <c r="N66" s="174"/>
      <c r="O66" s="174"/>
      <c r="P66" s="174"/>
      <c r="Q66" s="174"/>
      <c r="R66" s="174"/>
      <c r="S66" s="174"/>
    </row>
    <row r="67" spans="1:47" ht="10.5" outlineLevel="1">
      <c r="C67" s="118" t="s">
        <v>146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0</v>
      </c>
      <c r="M67" s="143">
        <f t="shared" si="6"/>
        <v>0</v>
      </c>
      <c r="N67" s="143">
        <f t="shared" si="6"/>
        <v>0</v>
      </c>
      <c r="O67" s="143">
        <f t="shared" si="6"/>
        <v>-1.7523062985940197E-2</v>
      </c>
      <c r="P67" s="143">
        <f t="shared" si="6"/>
        <v>7.3783215357707821E-3</v>
      </c>
      <c r="Q67" s="143">
        <f t="shared" si="6"/>
        <v>2.959524112502665E-3</v>
      </c>
      <c r="R67" s="143">
        <f t="shared" si="6"/>
        <v>-6.4586436552416249E-4</v>
      </c>
      <c r="S67" s="143">
        <f t="shared" si="6"/>
        <v>-3.9423512425118545E-4</v>
      </c>
    </row>
    <row r="68" spans="1:47" ht="10.5" outlineLevel="1">
      <c r="C68" s="124" t="s">
        <v>147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ref="O68">IF(O$58=O$4,PRODUCT(1+$J67:O67)-1,"")</f>
        <v>-1.7523062985940197E-2</v>
      </c>
      <c r="P68" s="117">
        <f t="array" ref="P68">IF(P$58=P$4,PRODUCT(1+$J67:P67)-1,"")</f>
        <v>-1.0274032243171249E-2</v>
      </c>
      <c r="Q68" s="117">
        <f t="array" ref="Q68">IF(Q$58=Q$4,PRODUCT(1+$J67:Q67)-1,"")</f>
        <v>-7.3449143768248293E-3</v>
      </c>
      <c r="R68" s="117">
        <f t="array" ref="R68">IF(R$58=R$4,PRODUCT(1+$J67:R67)-1,"")</f>
        <v>-7.9860349238851658E-3</v>
      </c>
      <c r="S68" s="117">
        <f t="array" ref="S68">IF(S$58=S$4,PRODUCT(1+$J67:S67)-1,"")</f>
        <v>-8.3771216726659103E-3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3">
      <c r="A70" s="94"/>
      <c r="B70" s="95" t="s">
        <v>94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ht="10.5" outlineLevel="1">
      <c r="C72" s="67" t="s">
        <v>108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45809</v>
      </c>
      <c r="P72" s="163">
        <f>IF(YEAR(P$4)&gt;='Input|General'!$G$13,IF(YEAR(P$4)&lt;='Input|General'!$G$14,P$4,""),"")</f>
        <v>46174</v>
      </c>
      <c r="Q72" s="163">
        <f>IF(YEAR(Q$4)&gt;='Input|General'!$G$13,IF(YEAR(Q$4)&lt;='Input|General'!$G$14,Q$4,""),"")</f>
        <v>46539</v>
      </c>
      <c r="R72" s="163">
        <f>IF(YEAR(R$4)&gt;='Input|General'!$G$13,IF(YEAR(R$4)&lt;='Input|General'!$G$14,R$4,""),"")</f>
        <v>46905</v>
      </c>
      <c r="S72" s="163">
        <f>IF(YEAR(S$4)&gt;='Input|General'!$G$13,IF(YEAR(S$4)&lt;='Input|General'!$G$14,S$4,""),"")</f>
        <v>47270</v>
      </c>
    </row>
    <row r="73" spans="1:47" ht="10.5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 t="str">
        <f>'Input|Step changes'!C12</f>
        <v>Insurance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45444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0.97288855684046471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1.219555417774457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1.4342067527357154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1.5158618800516277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1.5325559133807087</v>
      </c>
    </row>
    <row r="75" spans="1:47" outlineLevel="1">
      <c r="C75" s="121" t="str">
        <f>'Input|Step changes'!C13</f>
        <v>Cybersecurity</v>
      </c>
      <c r="D75" s="110" t="s">
        <v>30</v>
      </c>
      <c r="E75" s="30" t="str">
        <f t="shared" si="7"/>
        <v>$millions</v>
      </c>
      <c r="F75" s="161">
        <f t="shared" si="8"/>
        <v>45444</v>
      </c>
      <c r="J75" s="225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1.6607305365701979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2.9252583936199934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3.5483815302353174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3.6444373096240543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3.6661273243247372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45444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45444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45444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45444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45444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45444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45444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6"/>
      <c r="K83" s="176"/>
      <c r="L83" s="176"/>
      <c r="M83" s="176"/>
      <c r="N83" s="176"/>
      <c r="O83" s="176"/>
      <c r="P83" s="176"/>
      <c r="Q83" s="176"/>
      <c r="R83" s="176"/>
      <c r="S83" s="176"/>
    </row>
    <row r="84" spans="1:47" ht="10.5" outlineLevel="1">
      <c r="C84" s="113" t="s">
        <v>49</v>
      </c>
      <c r="D84" s="122" t="s">
        <v>30</v>
      </c>
      <c r="E84" s="122" t="str">
        <f>$E$8</f>
        <v>$millions</v>
      </c>
      <c r="F84" s="175">
        <f t="shared" si="8"/>
        <v>45444</v>
      </c>
      <c r="G84" s="32"/>
      <c r="H84" s="32"/>
      <c r="I84" s="32"/>
      <c r="J84" s="177">
        <f>SUM(J73:J83)</f>
        <v>0</v>
      </c>
      <c r="K84" s="177">
        <f t="shared" ref="K84:S84" si="9">SUM(K73:K83)</f>
        <v>0</v>
      </c>
      <c r="L84" s="177">
        <f t="shared" si="9"/>
        <v>0</v>
      </c>
      <c r="M84" s="177">
        <f t="shared" si="9"/>
        <v>0</v>
      </c>
      <c r="N84" s="177">
        <f t="shared" si="9"/>
        <v>0</v>
      </c>
      <c r="O84" s="177">
        <f t="shared" si="9"/>
        <v>2.6336190934106627</v>
      </c>
      <c r="P84" s="177">
        <f t="shared" si="9"/>
        <v>4.1448138113944504</v>
      </c>
      <c r="Q84" s="177">
        <f t="shared" si="9"/>
        <v>4.9825882829710331</v>
      </c>
      <c r="R84" s="177">
        <f t="shared" si="9"/>
        <v>5.1602991896756816</v>
      </c>
      <c r="S84" s="177">
        <f t="shared" si="9"/>
        <v>5.1986832377054455</v>
      </c>
    </row>
    <row r="85" spans="1:47" ht="10.5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3">
      <c r="A86" s="94"/>
      <c r="B86" s="95" t="s">
        <v>126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ht="10.5" outlineLevel="1">
      <c r="C88" s="67" t="s">
        <v>115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45809</v>
      </c>
      <c r="P88" s="163">
        <f>IF(YEAR(P$4)&gt;='Input|General'!$G$13,IF(YEAR(P$4)&lt;='Input|General'!$G$14,P$4,""),"")</f>
        <v>46174</v>
      </c>
      <c r="Q88" s="163">
        <f>IF(YEAR(Q$4)&gt;='Input|General'!$G$13,IF(YEAR(Q$4)&lt;='Input|General'!$G$14,Q$4,""),"")</f>
        <v>46539</v>
      </c>
      <c r="R88" s="163">
        <f>IF(YEAR(R$4)&gt;='Input|General'!$G$13,IF(YEAR(R$4)&lt;='Input|General'!$G$14,R$4,""),"")</f>
        <v>46905</v>
      </c>
      <c r="S88" s="163">
        <f>IF(YEAR(S$4)&gt;='Input|General'!$G$13,IF(YEAR(S$4)&lt;='Input|General'!$G$14,S$4,""),"")</f>
        <v>47270</v>
      </c>
    </row>
    <row r="89" spans="1:47" ht="10.5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>
        <f>'Input|Step changes'!C28</f>
        <v>0</v>
      </c>
      <c r="D90" s="110" t="s">
        <v>30</v>
      </c>
      <c r="E90" s="30" t="str">
        <f t="shared" si="7"/>
        <v>$millions</v>
      </c>
      <c r="F90" s="161">
        <f t="shared" ref="F90:F92" si="10">$F$8</f>
        <v>45444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 t="shared" si="10"/>
        <v>45444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45444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ht="10.5" outlineLevel="1">
      <c r="C94" s="113" t="s">
        <v>127</v>
      </c>
      <c r="D94" s="122" t="s">
        <v>30</v>
      </c>
      <c r="E94" s="122" t="str">
        <f>$E$8</f>
        <v>$millions</v>
      </c>
      <c r="F94" s="175">
        <f t="shared" ref="F94" si="11">$F$8</f>
        <v>45444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0</v>
      </c>
      <c r="P94" s="128">
        <f t="shared" si="12"/>
        <v>0</v>
      </c>
      <c r="Q94" s="128">
        <f t="shared" si="12"/>
        <v>0</v>
      </c>
      <c r="R94" s="128">
        <f t="shared" si="12"/>
        <v>0</v>
      </c>
      <c r="S94" s="128">
        <f t="shared" si="12"/>
        <v>0</v>
      </c>
    </row>
    <row r="95" spans="1:47" ht="10.5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3">
      <c r="A96" s="94"/>
      <c r="B96" s="95" t="s">
        <v>95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ht="10.5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45809</v>
      </c>
      <c r="P98" s="163">
        <f>IF(YEAR(P$4)&gt;='Input|General'!$G$13,IF(YEAR(P$4)&lt;='Input|General'!$G$14,P$4,""),"")</f>
        <v>46174</v>
      </c>
      <c r="Q98" s="163">
        <f>IF(YEAR(Q$4)&gt;='Input|General'!$G$13,IF(YEAR(Q$4)&lt;='Input|General'!$G$14,Q$4,""),"")</f>
        <v>46539</v>
      </c>
      <c r="R98" s="163">
        <f>IF(YEAR(R$4)&gt;='Input|General'!$G$13,IF(YEAR(R$4)&lt;='Input|General'!$G$14,R$4,""),"")</f>
        <v>46905</v>
      </c>
      <c r="S98" s="163">
        <f>IF(YEAR(S$4)&gt;='Input|General'!$G$13,IF(YEAR(S$4)&lt;='Input|General'!$G$14,S$4,""),"")</f>
        <v>47270</v>
      </c>
    </row>
    <row r="99" spans="1:47" ht="10.5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ht="10.5" outlineLevel="1">
      <c r="C100" s="123" t="s">
        <v>143</v>
      </c>
      <c r="D100" s="126" t="s">
        <v>30</v>
      </c>
      <c r="E100" s="126" t="str">
        <f>$E$8</f>
        <v>$millions</v>
      </c>
      <c r="F100" s="175">
        <f t="shared" ref="F100:F102" si="13">$F$8</f>
        <v>45444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226">
        <f t="shared" si="14"/>
        <v>38.943345351424263</v>
      </c>
      <c r="P100" s="151">
        <f t="shared" si="14"/>
        <v>40.722444904615486</v>
      </c>
      <c r="Q100" s="151">
        <f t="shared" si="14"/>
        <v>41.668471757390691</v>
      </c>
      <c r="R100" s="151">
        <f t="shared" si="14"/>
        <v>41.822488559241442</v>
      </c>
      <c r="S100" s="151">
        <f t="shared" si="14"/>
        <v>41.846419084489767</v>
      </c>
    </row>
    <row r="101" spans="1:47" ht="10.5" outlineLevel="1">
      <c r="C101" s="123" t="s">
        <v>113</v>
      </c>
      <c r="D101" s="126" t="s">
        <v>30</v>
      </c>
      <c r="E101" s="126" t="str">
        <f>$E$8</f>
        <v>$millions</v>
      </c>
      <c r="F101" s="175">
        <f t="shared" si="13"/>
        <v>45444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si="15"/>
        <v>38.943345351424263</v>
      </c>
      <c r="P101" s="151">
        <f t="shared" si="15"/>
        <v>40.722444904615486</v>
      </c>
      <c r="Q101" s="151">
        <f t="shared" si="15"/>
        <v>41.668471757390691</v>
      </c>
      <c r="R101" s="151">
        <f t="shared" si="15"/>
        <v>41.822488559241442</v>
      </c>
      <c r="S101" s="151">
        <f t="shared" si="15"/>
        <v>41.846419084489767</v>
      </c>
    </row>
    <row r="102" spans="1:47" ht="10.5" outlineLevel="1">
      <c r="C102" s="123" t="s">
        <v>114</v>
      </c>
      <c r="D102" s="126" t="s">
        <v>30</v>
      </c>
      <c r="E102" s="126" t="str">
        <f>$E$8</f>
        <v>$millions</v>
      </c>
      <c r="F102" s="175">
        <f t="shared" si="13"/>
        <v>45444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>IF(YEAR(O$4)&gt;=FPFirstYear,IF(YEAR(O$4)&lt;=FPLastYear,O101+'Input|Step changes'!O38,""),"")</f>
        <v>39.787543946677623</v>
      </c>
      <c r="P102" s="151">
        <f>IF(YEAR(P$4)&gt;=FPFirstYear,IF(YEAR(P$4)&lt;=FPLastYear,P101+'Input|Step changes'!P38,""),"")</f>
        <v>41.557955468473821</v>
      </c>
      <c r="Q102" s="151">
        <f>IF(YEAR(Q$4)&gt;=FPFirstYear,IF(YEAR(Q$4)&lt;=FPLastYear,Q101+'Input|Step changes'!Q38,""),"")</f>
        <v>42.503727313239914</v>
      </c>
      <c r="R102" s="151">
        <f>IF(YEAR(R$4)&gt;=FPFirstYear,IF(YEAR(R$4)&lt;=FPLastYear,R101+'Input|Step changes'!R38,""),"")</f>
        <v>42.652369763526451</v>
      </c>
      <c r="S102" s="151">
        <f>IF(YEAR(S$4)&gt;=FPFirstYear,IF(YEAR(S$4)&lt;=FPLastYear,S101+'Input|Step changes'!S38,""),"")</f>
        <v>42.670383262780078</v>
      </c>
    </row>
    <row r="103" spans="1:47" ht="10.5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  <c r="T103" s="65"/>
    </row>
    <row r="104" spans="1:47" s="103" customFormat="1" ht="13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13" s="29" customFormat="1" hidden="1"/>
    <row r="114" s="29" customFormat="1" hidden="1"/>
    <row r="115" s="29" customFormat="1" hidden="1"/>
    <row r="116" s="29" customFormat="1" hidden="1"/>
    <row r="117" s="29" customFormat="1" hidden="1"/>
    <row r="118" s="29" customFormat="1" hidden="1"/>
    <row r="119" s="29" customFormat="1" hidden="1"/>
    <row r="120" s="29" customFormat="1" hidden="1"/>
    <row r="121" s="29" customFormat="1" hidden="1"/>
    <row r="122" s="29" customFormat="1" hidden="1"/>
    <row r="123" s="29" customFormat="1" hidden="1"/>
    <row r="124" s="29" customFormat="1" hidden="1"/>
    <row r="125" s="29" customFormat="1" hidden="1"/>
    <row r="126" s="29" customFormat="1" hidden="1"/>
    <row r="127" s="29" customFormat="1" hidden="1"/>
    <row r="128" s="29" customFormat="1" hidden="1"/>
    <row r="129" s="29" customFormat="1" hidden="1"/>
    <row r="130" s="29" customFormat="1" hidden="1"/>
    <row r="131" s="29" customFormat="1" hidden="1"/>
    <row r="132" s="29" customFormat="1" hidden="1"/>
    <row r="133" s="29" customFormat="1" hidden="1"/>
    <row r="134" s="29" customFormat="1" hidden="1"/>
    <row r="135" s="29" customFormat="1" hidden="1"/>
    <row r="136" s="29" customFormat="1" hidden="1"/>
    <row r="137" s="29" customFormat="1" hidden="1"/>
    <row r="138" s="29" customFormat="1" hidden="1"/>
    <row r="139" s="29" customFormat="1" hidden="1"/>
    <row r="140" s="29" customFormat="1" hidden="1"/>
    <row r="141" s="29" customFormat="1" hidden="1"/>
    <row r="142" s="29" customFormat="1" hidden="1"/>
    <row r="143" s="29" customFormat="1" hidden="1"/>
    <row r="144" s="29" customFormat="1" hidden="1"/>
    <row r="145" s="29" customFormat="1" hidden="1"/>
    <row r="146" s="29" customFormat="1" hidden="1"/>
    <row r="147" s="29" customFormat="1" hidden="1"/>
    <row r="148" s="29" customFormat="1" hidden="1"/>
    <row r="149" s="29" customFormat="1" hidden="1"/>
    <row r="150" s="29" customFormat="1" hidden="1"/>
    <row r="151" s="29" customFormat="1" hidden="1"/>
    <row r="152" s="29" customFormat="1" hidden="1"/>
    <row r="153" s="29" customFormat="1" hidden="1"/>
    <row r="154" s="29" customFormat="1" hidden="1"/>
    <row r="155" s="29" customFormat="1" hidden="1"/>
    <row r="156" s="29" customFormat="1" hidden="1"/>
    <row r="157" s="29" customFormat="1" hidden="1"/>
    <row r="158" s="29" customFormat="1" hidden="1"/>
    <row r="159" s="29" customFormat="1" hidden="1"/>
    <row r="160" s="29" customFormat="1" hidden="1"/>
    <row r="161" s="29" customFormat="1" hidden="1"/>
    <row r="162" s="29" customFormat="1" hidden="1"/>
    <row r="163" s="29" customFormat="1" hidden="1"/>
    <row r="164" s="29" customFormat="1" hidden="1"/>
    <row r="165" s="29" customFormat="1" hidden="1"/>
    <row r="166" s="29" customFormat="1" hidden="1"/>
    <row r="167" s="29" customFormat="1" hidden="1"/>
    <row r="168" s="29" customFormat="1" hidden="1"/>
    <row r="169" s="29" customFormat="1" hidden="1"/>
    <row r="170" s="29" customFormat="1" hidden="1"/>
    <row r="171" s="29" customFormat="1" hidden="1"/>
    <row r="172" s="29" customFormat="1" hidden="1"/>
    <row r="173" s="29" customFormat="1" hidden="1"/>
    <row r="174" s="29" customFormat="1" hidden="1"/>
    <row r="175" s="29" customFormat="1" hidden="1"/>
    <row r="176" s="29" customFormat="1" hidden="1"/>
    <row r="177" s="29" customFormat="1" hidden="1"/>
    <row r="178" s="29" customFormat="1" hidden="1"/>
    <row r="179" s="29" customFormat="1" hidden="1"/>
    <row r="180" s="29" customFormat="1" hidden="1"/>
    <row r="181" s="29" customFormat="1" hidden="1"/>
    <row r="182" s="29" customFormat="1" hidden="1"/>
    <row r="183" s="29" customFormat="1" hidden="1"/>
    <row r="184" s="29" customFormat="1" hidden="1"/>
    <row r="185" s="29" customFormat="1" hidden="1"/>
    <row r="186" s="29" customFormat="1" hidden="1"/>
    <row r="187" s="29" customFormat="1" hidden="1"/>
    <row r="188" s="29" customFormat="1" hidden="1"/>
    <row r="189" s="29" customFormat="1" hidden="1"/>
  </sheetData>
  <mergeCells count="1">
    <mergeCell ref="N3:S3"/>
  </mergeCells>
  <conditionalFormatting sqref="S1">
    <cfRule type="cellIs" dxfId="90" priority="99" operator="equal">
      <formula>"Check"</formula>
    </cfRule>
    <cfRule type="cellIs" dxfId="89" priority="100" operator="equal">
      <formula>"Ok"</formula>
    </cfRule>
  </conditionalFormatting>
  <conditionalFormatting sqref="V1">
    <cfRule type="cellIs" dxfId="88" priority="101" operator="equal">
      <formula>"Check"</formula>
    </cfRule>
    <cfRule type="cellIs" dxfId="87" priority="102" operator="equal">
      <formula>"Ok"</formula>
    </cfRule>
  </conditionalFormatting>
  <conditionalFormatting sqref="R39:S39 R42:S42 R45:S45 R48:S48 J12:S18">
    <cfRule type="cellIs" dxfId="86" priority="98" operator="equal">
      <formula>0</formula>
    </cfRule>
  </conditionalFormatting>
  <conditionalFormatting sqref="J13:S13">
    <cfRule type="cellIs" dxfId="85" priority="97" operator="equal">
      <formula>0</formula>
    </cfRule>
  </conditionalFormatting>
  <conditionalFormatting sqref="J14:S14">
    <cfRule type="cellIs" dxfId="84" priority="96" operator="equal">
      <formula>0</formula>
    </cfRule>
  </conditionalFormatting>
  <conditionalFormatting sqref="J15:S15">
    <cfRule type="cellIs" dxfId="83" priority="95" operator="equal">
      <formula>0</formula>
    </cfRule>
  </conditionalFormatting>
  <conditionalFormatting sqref="J16:S16">
    <cfRule type="cellIs" dxfId="82" priority="94" operator="equal">
      <formula>0</formula>
    </cfRule>
  </conditionalFormatting>
  <conditionalFormatting sqref="J17:S18">
    <cfRule type="cellIs" dxfId="81" priority="93" operator="equal">
      <formula>0</formula>
    </cfRule>
  </conditionalFormatting>
  <conditionalFormatting sqref="J61:S65">
    <cfRule type="cellIs" dxfId="80" priority="92" operator="equal">
      <formula>0</formula>
    </cfRule>
  </conditionalFormatting>
  <conditionalFormatting sqref="J74:S82 J90:S92">
    <cfRule type="cellIs" dxfId="79" priority="90" operator="equal">
      <formula>0</formula>
    </cfRule>
  </conditionalFormatting>
  <conditionalFormatting sqref="J36:S36 J33:S34 J51:S54">
    <cfRule type="cellIs" dxfId="78" priority="87" operator="equal">
      <formula>0</formula>
    </cfRule>
  </conditionalFormatting>
  <conditionalFormatting sqref="J101:S102">
    <cfRule type="cellIs" dxfId="77" priority="86" operator="equal">
      <formula>0</formula>
    </cfRule>
  </conditionalFormatting>
  <conditionalFormatting sqref="J101:S102">
    <cfRule type="cellIs" dxfId="76" priority="85" operator="equal">
      <formula>0</formula>
    </cfRule>
  </conditionalFormatting>
  <conditionalFormatting sqref="J46:S46">
    <cfRule type="cellIs" dxfId="75" priority="48" operator="equal">
      <formula>0</formula>
    </cfRule>
  </conditionalFormatting>
  <conditionalFormatting sqref="J39:Q39 J42:Q42 J45:Q45">
    <cfRule type="cellIs" dxfId="74" priority="66" operator="equal">
      <formula>0</formula>
    </cfRule>
  </conditionalFormatting>
  <conditionalFormatting sqref="J39:Q39 J42:Q42 J45:Q45">
    <cfRule type="cellIs" dxfId="73" priority="65" operator="equal">
      <formula>0</formula>
    </cfRule>
  </conditionalFormatting>
  <conditionalFormatting sqref="J37:S37">
    <cfRule type="cellIs" dxfId="72" priority="61" operator="equal">
      <formula>0</formula>
    </cfRule>
  </conditionalFormatting>
  <conditionalFormatting sqref="J37:S37">
    <cfRule type="cellIs" dxfId="71" priority="60" operator="equal">
      <formula>0</formula>
    </cfRule>
  </conditionalFormatting>
  <conditionalFormatting sqref="J48:Q48">
    <cfRule type="cellIs" dxfId="70" priority="51" operator="equal">
      <formula>0</formula>
    </cfRule>
  </conditionalFormatting>
  <conditionalFormatting sqref="J48:Q48">
    <cfRule type="cellIs" dxfId="69" priority="50" operator="equal">
      <formula>0</formula>
    </cfRule>
  </conditionalFormatting>
  <conditionalFormatting sqref="J40:S40">
    <cfRule type="cellIs" dxfId="68" priority="57" operator="equal">
      <formula>0</formula>
    </cfRule>
  </conditionalFormatting>
  <conditionalFormatting sqref="J40:S40">
    <cfRule type="cellIs" dxfId="67" priority="56" operator="equal">
      <formula>0</formula>
    </cfRule>
  </conditionalFormatting>
  <conditionalFormatting sqref="J46:S46">
    <cfRule type="cellIs" dxfId="66" priority="49" operator="equal">
      <formula>0</formula>
    </cfRule>
  </conditionalFormatting>
  <conditionalFormatting sqref="J43:S43">
    <cfRule type="cellIs" dxfId="65" priority="53" operator="equal">
      <formula>0</formula>
    </cfRule>
  </conditionalFormatting>
  <conditionalFormatting sqref="J43:S43">
    <cfRule type="cellIs" dxfId="64" priority="52" operator="equal">
      <formula>0</formula>
    </cfRule>
  </conditionalFormatting>
  <conditionalFormatting sqref="J49:S49">
    <cfRule type="cellIs" dxfId="63" priority="43" operator="equal">
      <formula>0</formula>
    </cfRule>
  </conditionalFormatting>
  <conditionalFormatting sqref="J49:S49">
    <cfRule type="cellIs" dxfId="62" priority="44" operator="equal">
      <formula>0</formula>
    </cfRule>
  </conditionalFormatting>
  <conditionalFormatting sqref="J38:S38">
    <cfRule type="cellIs" dxfId="61" priority="42" operator="equal">
      <formula>0</formula>
    </cfRule>
  </conditionalFormatting>
  <conditionalFormatting sqref="J38:S38">
    <cfRule type="cellIs" dxfId="60" priority="41" operator="equal">
      <formula>0</formula>
    </cfRule>
  </conditionalFormatting>
  <conditionalFormatting sqref="J41:S41">
    <cfRule type="cellIs" dxfId="59" priority="40" operator="equal">
      <formula>0</formula>
    </cfRule>
  </conditionalFormatting>
  <conditionalFormatting sqref="J41:S41">
    <cfRule type="cellIs" dxfId="58" priority="39" operator="equal">
      <formula>0</formula>
    </cfRule>
  </conditionalFormatting>
  <conditionalFormatting sqref="J44:S44">
    <cfRule type="cellIs" dxfId="57" priority="38" operator="equal">
      <formula>0</formula>
    </cfRule>
  </conditionalFormatting>
  <conditionalFormatting sqref="J44:S44">
    <cfRule type="cellIs" dxfId="56" priority="37" operator="equal">
      <formula>0</formula>
    </cfRule>
  </conditionalFormatting>
  <conditionalFormatting sqref="J47:S47">
    <cfRule type="cellIs" dxfId="55" priority="36" operator="equal">
      <formula>0</formula>
    </cfRule>
  </conditionalFormatting>
  <conditionalFormatting sqref="J47:S47">
    <cfRule type="cellIs" dxfId="54" priority="35" operator="equal">
      <formula>0</formula>
    </cfRule>
  </conditionalFormatting>
  <conditionalFormatting sqref="J50:S50">
    <cfRule type="cellIs" dxfId="53" priority="34" operator="equal">
      <formula>0</formula>
    </cfRule>
  </conditionalFormatting>
  <conditionalFormatting sqref="J50:S50">
    <cfRule type="cellIs" dxfId="52" priority="33" operator="equal">
      <formula>0</formula>
    </cfRule>
  </conditionalFormatting>
  <conditionalFormatting sqref="J100:S100">
    <cfRule type="cellIs" dxfId="51" priority="22" operator="equal">
      <formula>0</formula>
    </cfRule>
  </conditionalFormatting>
  <conditionalFormatting sqref="J100:S100">
    <cfRule type="cellIs" dxfId="50" priority="21" operator="equal">
      <formula>0</formula>
    </cfRule>
  </conditionalFormatting>
  <conditionalFormatting sqref="J10:S10">
    <cfRule type="expression" dxfId="49" priority="20">
      <formula>J$10=J$4</formula>
    </cfRule>
  </conditionalFormatting>
  <conditionalFormatting sqref="J25:S25">
    <cfRule type="expression" dxfId="48" priority="19">
      <formula>J$10=J$4</formula>
    </cfRule>
  </conditionalFormatting>
  <conditionalFormatting sqref="J54:S54">
    <cfRule type="expression" dxfId="47" priority="18">
      <formula>J$10=J$4</formula>
    </cfRule>
  </conditionalFormatting>
  <conditionalFormatting sqref="J26:S28 J30:S30">
    <cfRule type="cellIs" dxfId="46" priority="15" operator="equal">
      <formula>0</formula>
    </cfRule>
  </conditionalFormatting>
  <conditionalFormatting sqref="J31:S32">
    <cfRule type="cellIs" dxfId="45" priority="14" operator="equal">
      <formula>0</formula>
    </cfRule>
  </conditionalFormatting>
  <conditionalFormatting sqref="J68:S68">
    <cfRule type="cellIs" dxfId="44" priority="11" operator="equal">
      <formula>0</formula>
    </cfRule>
  </conditionalFormatting>
  <conditionalFormatting sqref="J35:S35">
    <cfRule type="cellIs" dxfId="43" priority="10" operator="equal">
      <formula>0</formula>
    </cfRule>
  </conditionalFormatting>
  <conditionalFormatting sqref="J35:S35">
    <cfRule type="cellIs" dxfId="42" priority="9" operator="equal">
      <formula>0</formula>
    </cfRule>
  </conditionalFormatting>
  <conditionalFormatting sqref="J29:S29">
    <cfRule type="cellIs" dxfId="41" priority="8" operator="equal">
      <formula>0</formula>
    </cfRule>
  </conditionalFormatting>
  <conditionalFormatting sqref="J29:S29">
    <cfRule type="cellIs" dxfId="40" priority="7" operator="equal">
      <formula>0</formula>
    </cfRule>
  </conditionalFormatting>
  <conditionalFormatting sqref="J19:S24">
    <cfRule type="cellIs" dxfId="39" priority="6" operator="equal">
      <formula>0</formula>
    </cfRule>
  </conditionalFormatting>
  <conditionalFormatting sqref="J20:S20">
    <cfRule type="cellIs" dxfId="38" priority="5" operator="equal">
      <formula>0</formula>
    </cfRule>
  </conditionalFormatting>
  <conditionalFormatting sqref="J21:S21">
    <cfRule type="cellIs" dxfId="37" priority="4" operator="equal">
      <formula>0</formula>
    </cfRule>
  </conditionalFormatting>
  <conditionalFormatting sqref="J22:S22">
    <cfRule type="cellIs" dxfId="36" priority="3" operator="equal">
      <formula>0</formula>
    </cfRule>
  </conditionalFormatting>
  <conditionalFormatting sqref="J23:S23">
    <cfRule type="cellIs" dxfId="35" priority="2" operator="equal">
      <formula>0</formula>
    </cfRule>
  </conditionalFormatting>
  <conditionalFormatting sqref="J24:S24">
    <cfRule type="cellIs" dxfId="34" priority="1" operator="equal">
      <formula>0</formula>
    </cfRule>
  </conditionalFormatting>
  <conditionalFormatting sqref="J67:S67">
    <cfRule type="expression" dxfId="33" priority="104">
      <formula>J$58=J$4</formula>
    </cfRule>
    <cfRule type="cellIs" dxfId="32" priority="105" operator="equal">
      <formula>0</formula>
    </cfRule>
  </conditionalFormatting>
  <conditionalFormatting sqref="J94:S94">
    <cfRule type="expression" dxfId="31" priority="106">
      <formula>J$88=J$4</formula>
    </cfRule>
    <cfRule type="cellIs" dxfId="30" priority="107" operator="equal">
      <formula>0</formula>
    </cfRule>
  </conditionalFormatting>
  <conditionalFormatting sqref="J84:S84">
    <cfRule type="expression" dxfId="29" priority="108">
      <formula>J$72=J$4</formula>
    </cfRule>
    <cfRule type="cellIs" dxfId="28" priority="109" operator="equal">
      <formula>0</formula>
    </cfRule>
  </conditionalFormatting>
  <conditionalFormatting sqref="J58:S58 J72:S72 J88:S88">
    <cfRule type="expression" dxfId="27" priority="110">
      <formula>J$58=J$4</formula>
    </cfRule>
  </conditionalFormatting>
  <conditionalFormatting sqref="J98:S98">
    <cfRule type="expression" dxfId="26" priority="113">
      <formula>J$98=J$4</formula>
    </cfRule>
  </conditionalFormatting>
  <dataValidations disablePrompts="1"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24"/>
  <sheetViews>
    <sheetView workbookViewId="0">
      <selection activeCell="O13" sqref="O13:S13"/>
    </sheetView>
  </sheetViews>
  <sheetFormatPr defaultColWidth="0" defaultRowHeight="10" zeroHeight="1"/>
  <cols>
    <col min="1" max="2" width="1.44140625" style="29" customWidth="1"/>
    <col min="3" max="3" width="59.66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0" style="29" hidden="1" customWidth="1"/>
    <col min="48" max="16384" width="10.44140625" style="29" hidden="1"/>
  </cols>
  <sheetData>
    <row r="1" spans="1:26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 ht="10.5">
      <c r="C3" s="81"/>
      <c r="D3" s="183"/>
      <c r="E3" s="183"/>
      <c r="F3" s="183"/>
      <c r="G3" s="183"/>
      <c r="H3" s="183"/>
      <c r="I3" s="183"/>
      <c r="J3" s="173" t="s">
        <v>128</v>
      </c>
      <c r="K3" s="173"/>
      <c r="L3" s="173"/>
      <c r="M3" s="183"/>
      <c r="N3" s="229"/>
      <c r="O3" s="229"/>
      <c r="P3" s="229"/>
      <c r="Q3" s="229"/>
      <c r="R3" s="229"/>
      <c r="S3" s="229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43983</v>
      </c>
      <c r="K4" s="156">
        <f>DATE(PPFirstYear+1,MONTH('Input|General'!$G$9),1)</f>
        <v>44348</v>
      </c>
      <c r="L4" s="156">
        <f>DATE(PPFirstYear+2,MONTH('Input|General'!$G$9),1)</f>
        <v>44713</v>
      </c>
      <c r="M4" s="156">
        <f>DATE(PPFirstYear+3,MONTH('Input|General'!$G$9),1)</f>
        <v>45078</v>
      </c>
      <c r="N4" s="156">
        <f>DATE(PPFirstYear+4,MONTH('Input|General'!$G$9),1)</f>
        <v>45444</v>
      </c>
      <c r="O4" s="156">
        <f>DATE(PPFirstYear+5,MONTH('Input|General'!$G$9),1)</f>
        <v>45809</v>
      </c>
      <c r="P4" s="156">
        <f>DATE(PPFirstYear+6,MONTH('Input|General'!$G$9),1)</f>
        <v>46174</v>
      </c>
      <c r="Q4" s="156">
        <f>DATE(PPFirstYear+7,MONTH('Input|General'!$G$9),1)</f>
        <v>46539</v>
      </c>
      <c r="R4" s="156">
        <f>DATE(PPFirstYear+8,MONTH('Input|General'!$G$9),1)</f>
        <v>46905</v>
      </c>
      <c r="S4" s="156">
        <f>DATE(PPFirstYear+9,MONTH('Input|General'!$G$9),1)</f>
        <v>47270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3">
      <c r="A8" s="94"/>
      <c r="B8" s="95" t="s">
        <v>58</v>
      </c>
      <c r="C8" s="94"/>
      <c r="D8" s="94"/>
      <c r="E8" s="68" t="s">
        <v>15</v>
      </c>
      <c r="F8" s="207">
        <f>DATE(PPLastYear,MONTH('Input|General'!$G$9),1)</f>
        <v>45444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 ht="10.5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45809</v>
      </c>
      <c r="P11" s="163">
        <f>IF(YEAR(P$4)&gt;='Input|General'!$G$13,IF(YEAR(P$4)&lt;='Input|General'!$G$14,P$4,""),"")</f>
        <v>46174</v>
      </c>
      <c r="Q11" s="163">
        <f>IF(YEAR(Q$4)&gt;='Input|General'!$G$13,IF(YEAR(Q$4)&lt;='Input|General'!$G$14,Q$4,""),"")</f>
        <v>46539</v>
      </c>
      <c r="R11" s="163">
        <f>IF(YEAR(R$4)&gt;='Input|General'!$G$13,IF(YEAR(R$4)&lt;='Input|General'!$G$14,R$4,""),"")</f>
        <v>46905</v>
      </c>
      <c r="S11" s="163">
        <f>IF(YEAR(S$4)&gt;='Input|General'!$G$13,IF(YEAR(S$4)&lt;='Input|General'!$G$14,S$4,""),"")</f>
        <v>47270</v>
      </c>
      <c r="U11" s="137" t="s">
        <v>57</v>
      </c>
      <c r="V11" s="138"/>
      <c r="W11" s="138"/>
    </row>
    <row r="12" spans="1:26" ht="10.5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227"/>
      <c r="P12" s="227"/>
      <c r="Q12" s="227"/>
      <c r="R12" s="227"/>
      <c r="S12" s="227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109</v>
      </c>
      <c r="E13" s="30" t="str">
        <f>$E$8</f>
        <v>$millions</v>
      </c>
      <c r="F13" s="161">
        <f>$F$8</f>
        <v>45444</v>
      </c>
      <c r="H13" s="32"/>
      <c r="I13" s="32"/>
      <c r="J13" s="181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1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1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81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81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228">
        <f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38.943345351424263</v>
      </c>
      <c r="P13" s="228">
        <f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40.722444904615486</v>
      </c>
      <c r="Q13" s="228">
        <f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41.668471757390691</v>
      </c>
      <c r="R13" s="228">
        <f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41.822488559241442</v>
      </c>
      <c r="S13" s="228">
        <f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41.846419084489767</v>
      </c>
      <c r="T13" s="111"/>
      <c r="U13" s="152"/>
    </row>
    <row r="14" spans="1:26">
      <c r="C14" s="111">
        <f>'Input|Step changes'!C28</f>
        <v>0</v>
      </c>
      <c r="D14" s="34" t="s">
        <v>109</v>
      </c>
      <c r="E14" s="30" t="str">
        <f t="shared" ref="E14:E16" si="0">$E$8</f>
        <v>$millions</v>
      </c>
      <c r="F14" s="161">
        <f t="shared" ref="F14:F16" si="1">$F$8</f>
        <v>45444</v>
      </c>
      <c r="H14" s="32"/>
      <c r="I14" s="32"/>
      <c r="J14" s="181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1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1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1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1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228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P14" s="228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Q14" s="228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R14" s="228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S14" s="228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109</v>
      </c>
      <c r="E15" s="30" t="str">
        <f t="shared" si="0"/>
        <v>$millions</v>
      </c>
      <c r="F15" s="161">
        <f t="shared" si="1"/>
        <v>45444</v>
      </c>
      <c r="H15" s="32"/>
      <c r="I15" s="32"/>
      <c r="J15" s="181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1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1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1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1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1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81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81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81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81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109</v>
      </c>
      <c r="E16" s="30" t="str">
        <f t="shared" si="0"/>
        <v>$millions</v>
      </c>
      <c r="F16" s="161">
        <f t="shared" si="1"/>
        <v>45444</v>
      </c>
      <c r="H16" s="32"/>
      <c r="I16" s="32"/>
      <c r="J16" s="181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1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1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1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1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1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81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81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1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1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8"/>
    </row>
    <row r="17" spans="1:23" ht="10.5">
      <c r="D17" s="34"/>
      <c r="H17" s="32"/>
      <c r="I17" s="32"/>
      <c r="N17" s="142"/>
      <c r="S17" s="23"/>
    </row>
    <row r="18" spans="1:23" s="103" customFormat="1" ht="13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24" spans="1:23" hidden="1">
      <c r="M24" s="146"/>
      <c r="N24" s="146"/>
      <c r="O24" s="146"/>
      <c r="P24" s="146"/>
      <c r="Q24" s="146"/>
      <c r="R24" s="146"/>
      <c r="S24" s="146"/>
    </row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82"/>
  <sheetViews>
    <sheetView workbookViewId="0"/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47" s="38" customFormat="1" ht="15.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2" t="s">
        <v>24</v>
      </c>
      <c r="V1" s="40" t="str">
        <f>'Check|List'!$S$1</f>
        <v>Ok</v>
      </c>
    </row>
    <row r="2" spans="1:47" s="38" customFormat="1" ht="13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3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3">
      <c r="A22" s="43"/>
      <c r="B22" s="51" t="s">
        <v>129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 ht="10.5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 ht="10.5">
      <c r="C25" s="15" t="s">
        <v>130</v>
      </c>
      <c r="D25" s="16" t="s">
        <v>73</v>
      </c>
      <c r="E25" s="16"/>
      <c r="F25" s="16"/>
      <c r="G25" s="154">
        <v>36526</v>
      </c>
      <c r="H25" s="14"/>
    </row>
    <row r="26" spans="1:47" ht="10.5">
      <c r="C26" s="15" t="s">
        <v>131</v>
      </c>
      <c r="D26" s="16" t="s">
        <v>73</v>
      </c>
      <c r="E26" s="16"/>
      <c r="F26" s="16"/>
      <c r="G26" s="154">
        <v>36557</v>
      </c>
      <c r="H26" s="14"/>
    </row>
    <row r="27" spans="1:47" ht="10.5">
      <c r="C27" s="15" t="s">
        <v>132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133</v>
      </c>
      <c r="D28" s="16" t="s">
        <v>73</v>
      </c>
      <c r="E28" s="16"/>
      <c r="F28" s="16"/>
      <c r="G28" s="154">
        <v>36617</v>
      </c>
    </row>
    <row r="29" spans="1:47">
      <c r="C29" s="15" t="s">
        <v>134</v>
      </c>
      <c r="D29" s="16" t="s">
        <v>73</v>
      </c>
      <c r="E29" s="16"/>
      <c r="F29" s="16"/>
      <c r="G29" s="154">
        <v>36647</v>
      </c>
    </row>
    <row r="30" spans="1:47">
      <c r="C30" s="15" t="s">
        <v>135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136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137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138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139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140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141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3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 ht="10.5">
      <c r="C40" s="13" t="str">
        <f>B38</f>
        <v>Years</v>
      </c>
      <c r="D40" s="21" t="s">
        <v>7</v>
      </c>
      <c r="E40" s="21"/>
      <c r="F40" s="14"/>
      <c r="G40" s="14" t="s">
        <v>164</v>
      </c>
      <c r="H40" s="14" t="s">
        <v>162</v>
      </c>
      <c r="I40" s="14" t="s">
        <v>163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6">
        <f>DATE(G41,MONTH('Input|General'!$G$9),1)</f>
        <v>40695</v>
      </c>
      <c r="I41" s="184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6">
        <f>DATE(G42,MONTH('Input|General'!$G$9),1)</f>
        <v>41061</v>
      </c>
      <c r="I42" s="184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6">
        <f>DATE(G43,MONTH('Input|General'!$G$9),1)</f>
        <v>41426</v>
      </c>
      <c r="I43" s="184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6">
        <f>DATE(G44,MONTH('Input|General'!$G$9),1)</f>
        <v>41791</v>
      </c>
      <c r="I44" s="184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6">
        <f>DATE(G45,MONTH('Input|General'!$G$9),1)</f>
        <v>42156</v>
      </c>
      <c r="I45" s="184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6">
        <f>DATE(G46,MONTH('Input|General'!$G$9),1)</f>
        <v>42522</v>
      </c>
      <c r="I46" s="184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6">
        <f>DATE(G47,MONTH('Input|General'!$G$9),1)</f>
        <v>42887</v>
      </c>
      <c r="I47" s="184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6">
        <f>DATE(G48,MONTH('Input|General'!$G$9),1)</f>
        <v>43252</v>
      </c>
      <c r="I48" s="184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6">
        <f>DATE(G49,MONTH('Input|General'!$G$9),1)</f>
        <v>43617</v>
      </c>
      <c r="I49" s="184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6">
        <f>DATE(G50,MONTH('Input|General'!$G$9),1)</f>
        <v>43983</v>
      </c>
      <c r="I50" s="184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6">
        <f>DATE(G51,MONTH('Input|General'!$G$9),1)</f>
        <v>44348</v>
      </c>
      <c r="I51" s="184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6">
        <f>DATE(G52,MONTH('Input|General'!$G$9),1)</f>
        <v>44713</v>
      </c>
      <c r="I52" s="184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6">
        <f>DATE(G53,MONTH('Input|General'!$G$9),1)</f>
        <v>45078</v>
      </c>
      <c r="I53" s="184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6">
        <f>DATE(G54,MONTH('Input|General'!$G$9),1)</f>
        <v>45444</v>
      </c>
      <c r="I54" s="184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6">
        <f>DATE(G55,MONTH('Input|General'!$G$9),1)</f>
        <v>45809</v>
      </c>
      <c r="I55" s="184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6">
        <f>DATE(G56,MONTH('Input|General'!$G$9),1)</f>
        <v>46174</v>
      </c>
      <c r="I56" s="184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6">
        <f>DATE(G57,MONTH('Input|General'!$G$9),1)</f>
        <v>46539</v>
      </c>
      <c r="I57" s="184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6">
        <f>DATE(G58,MONTH('Input|General'!$G$9),1)</f>
        <v>46905</v>
      </c>
      <c r="I58" s="184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6">
        <f>DATE(G59,MONTH('Input|General'!$G$9),1)</f>
        <v>47270</v>
      </c>
      <c r="I59" s="184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6">
        <f>DATE(G60,MONTH('Input|General'!$G$9),1)</f>
        <v>47635</v>
      </c>
      <c r="I60" s="184" t="str">
        <f t="shared" si="0"/>
        <v>2029–30</v>
      </c>
      <c r="T60" s="17"/>
    </row>
    <row r="61" spans="1:47">
      <c r="H61" s="8" t="s">
        <v>105</v>
      </c>
    </row>
    <row r="62" spans="1:47" customFormat="1" ht="13">
      <c r="A62" s="43"/>
      <c r="B62" s="51" t="s">
        <v>160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 ht="10.5">
      <c r="C64" s="13" t="str">
        <f>B62</f>
        <v>Regulatory years</v>
      </c>
      <c r="D64" s="21" t="s">
        <v>7</v>
      </c>
      <c r="E64" s="21"/>
      <c r="F64" s="14"/>
      <c r="G64" s="14" t="s">
        <v>161</v>
      </c>
      <c r="H64" s="14" t="s">
        <v>128</v>
      </c>
    </row>
    <row r="65" spans="1:47">
      <c r="C65" s="15" t="s">
        <v>148</v>
      </c>
      <c r="D65" s="16" t="s">
        <v>103</v>
      </c>
      <c r="E65" s="16"/>
      <c r="F65" s="16"/>
      <c r="G65" s="184" t="str">
        <f>IF(MONTH('Input|General'!$G$9)=12,PPFirstYear,PPFirstYear-1&amp;"–"&amp;RIGHT(PPFirstYear,2))</f>
        <v>2019–20</v>
      </c>
      <c r="H65" s="186">
        <f>DATE(PPFirstYear,MONTH('Input|General'!$G$9),1)</f>
        <v>43983</v>
      </c>
    </row>
    <row r="66" spans="1:47">
      <c r="C66" s="15" t="s">
        <v>149</v>
      </c>
      <c r="D66" s="16" t="s">
        <v>103</v>
      </c>
      <c r="E66" s="16"/>
      <c r="F66" s="16"/>
      <c r="G66" s="185" t="str">
        <f>IF(PPLastYear-PPFirstYear&lt;1,"",LEFT(G65,4)+1&amp;"–"&amp;RIGHT(G65,2)+1)</f>
        <v>2020–21</v>
      </c>
      <c r="H66" s="186">
        <f>IF(PPLastYear-PPFirstYear&lt;1,"",DATE(PPFirstYear+1,MONTH('Input|General'!$G$9),1))</f>
        <v>44348</v>
      </c>
    </row>
    <row r="67" spans="1:47">
      <c r="C67" s="15" t="s">
        <v>150</v>
      </c>
      <c r="D67" s="16" t="s">
        <v>103</v>
      </c>
      <c r="E67" s="16"/>
      <c r="F67" s="16"/>
      <c r="G67" s="185" t="str">
        <f>IF(PPLastYear-PPFirstYear&lt;2,"",LEFT(G66,4)+1&amp;"–"&amp;RIGHT(G66,2)+1)</f>
        <v>2021–22</v>
      </c>
      <c r="H67" s="186">
        <f>IF(PPLastYear-PPFirstYear&lt;2,"",DATE(PPFirstYear+2,MONTH('Input|General'!$G$9),1))</f>
        <v>44713</v>
      </c>
    </row>
    <row r="68" spans="1:47">
      <c r="C68" s="15" t="s">
        <v>151</v>
      </c>
      <c r="D68" s="16" t="s">
        <v>103</v>
      </c>
      <c r="E68" s="16"/>
      <c r="F68" s="16"/>
      <c r="G68" s="185" t="str">
        <f>IF(PPLastYear-PPFirstYear&lt;3,"",LEFT(G67,4)+1&amp;"–"&amp;RIGHT(G67,2)+1)</f>
        <v>2022–23</v>
      </c>
      <c r="H68" s="186">
        <f>IF(PPLastYear-PPFirstYear&lt;3,"",DATE(PPFirstYear+3,MONTH('Input|General'!$G$9),1))</f>
        <v>45078</v>
      </c>
    </row>
    <row r="69" spans="1:47">
      <c r="C69" s="15" t="s">
        <v>152</v>
      </c>
      <c r="D69" s="16" t="s">
        <v>103</v>
      </c>
      <c r="E69" s="16"/>
      <c r="F69" s="16"/>
      <c r="G69" s="185" t="str">
        <f>IF(PPLastYear-PPFirstYear&lt;4,"",LEFT(G68,4)+1&amp;"–"&amp;RIGHT(G68,2)+1)</f>
        <v>2023–24</v>
      </c>
      <c r="H69" s="186">
        <f>IF(PPLastYear-PPFirstYear&lt;4,"",DATE(PPFirstYear+4,MONTH('Input|General'!$G$9),1))</f>
        <v>45444</v>
      </c>
    </row>
    <row r="70" spans="1:47">
      <c r="C70" s="15" t="s">
        <v>153</v>
      </c>
      <c r="D70" s="16" t="s">
        <v>103</v>
      </c>
      <c r="E70" s="16"/>
      <c r="F70" s="16"/>
      <c r="G70" s="185" t="str">
        <f>IF(MONTH('Input|General'!$G$9)=12,FPFirstYear,FPFirstYear-1&amp;"–"&amp;RIGHT(FPFirstYear,2))</f>
        <v>2024–25</v>
      </c>
      <c r="H70" s="186">
        <f>DATE(FPFirstYear,MONTH('Input|General'!$G$9),1)</f>
        <v>45809</v>
      </c>
      <c r="T70" s="17"/>
    </row>
    <row r="71" spans="1:47">
      <c r="C71" s="15" t="s">
        <v>154</v>
      </c>
      <c r="D71" s="16" t="s">
        <v>103</v>
      </c>
      <c r="E71" s="16"/>
      <c r="F71" s="16"/>
      <c r="G71" s="185" t="str">
        <f>IF(FPLastYear-FPFirstYear&lt;1,"",LEFT(G70,4)+1&amp;"–"&amp;RIGHT(G70,2)+1)</f>
        <v>2025–26</v>
      </c>
      <c r="H71" s="186">
        <f>IF(FPLastYear-FPFirstYear&lt;1,"",DATE(FPFirstYear+1,MONTH('Input|General'!$G$9),1))</f>
        <v>46174</v>
      </c>
      <c r="T71" s="17"/>
    </row>
    <row r="72" spans="1:47">
      <c r="C72" s="15" t="s">
        <v>155</v>
      </c>
      <c r="D72" s="16" t="s">
        <v>103</v>
      </c>
      <c r="E72" s="16"/>
      <c r="F72" s="16"/>
      <c r="G72" s="185" t="str">
        <f>IF(FPLastYear-FPFirstYear&lt;2,"",LEFT(G71,4)+1&amp;"–"&amp;RIGHT(G71,2)+1)</f>
        <v>2026–27</v>
      </c>
      <c r="H72" s="186">
        <f>IF(FPLastYear-FPFirstYear&lt;2,"",DATE(FPFirstYear+2,MONTH('Input|General'!$G$9),1))</f>
        <v>46539</v>
      </c>
      <c r="T72" s="17"/>
    </row>
    <row r="73" spans="1:47">
      <c r="C73" s="15" t="s">
        <v>156</v>
      </c>
      <c r="D73" s="16" t="s">
        <v>103</v>
      </c>
      <c r="E73" s="16"/>
      <c r="F73" s="16"/>
      <c r="G73" s="185" t="str">
        <f>IF(FPLastYear-FPFirstYear&lt;3,"",LEFT(G72,4)+1&amp;"–"&amp;RIGHT(G72,2)+1)</f>
        <v>2027–28</v>
      </c>
      <c r="H73" s="186">
        <f>IF(FPLastYear-FPFirstYear&lt;3,"",DATE(FPFirstYear+3,MONTH('Input|General'!$G$9),1))</f>
        <v>46905</v>
      </c>
      <c r="T73" s="17"/>
    </row>
    <row r="74" spans="1:47">
      <c r="C74" s="15" t="s">
        <v>157</v>
      </c>
      <c r="D74" s="16" t="s">
        <v>103</v>
      </c>
      <c r="E74" s="16"/>
      <c r="F74" s="16"/>
      <c r="G74" s="185" t="str">
        <f>IF(FPLastYear-FPFirstYear&lt;4,"",LEFT(G73,4)+1&amp;"–"&amp;RIGHT(G73,2)+1)</f>
        <v>2028–29</v>
      </c>
      <c r="H74" s="186">
        <f>IF(FPLastYear-FPFirstYear&lt;4,"",DATE(FPFirstYear+4,MONTH('Input|General'!$G$9),1))</f>
        <v>47270</v>
      </c>
      <c r="T74" s="17"/>
    </row>
    <row r="75" spans="1:47">
      <c r="C75" s="15"/>
      <c r="D75" s="16"/>
      <c r="E75" s="16"/>
      <c r="F75" s="16"/>
      <c r="G75" s="213"/>
      <c r="H75" s="214"/>
      <c r="T75" s="17"/>
    </row>
    <row r="76" spans="1:47" customFormat="1" ht="13">
      <c r="A76" s="43"/>
      <c r="B76" s="51" t="s">
        <v>42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/>
    <row r="78" spans="1:47" ht="10.5">
      <c r="C78" s="13" t="str">
        <f>B76</f>
        <v>Rate of change</v>
      </c>
      <c r="D78" s="21" t="s">
        <v>7</v>
      </c>
      <c r="E78" s="21"/>
      <c r="F78" s="14"/>
      <c r="G78" s="14" t="s">
        <v>161</v>
      </c>
      <c r="H78" s="215"/>
    </row>
    <row r="79" spans="1:47">
      <c r="C79" s="15" t="s">
        <v>197</v>
      </c>
      <c r="D79" s="16" t="s">
        <v>73</v>
      </c>
      <c r="E79" s="16"/>
      <c r="F79" s="16"/>
      <c r="G79" s="184" t="s">
        <v>112</v>
      </c>
      <c r="H79" s="214"/>
    </row>
    <row r="80" spans="1:47">
      <c r="C80" s="15" t="s">
        <v>198</v>
      </c>
      <c r="D80" s="16" t="s">
        <v>73</v>
      </c>
      <c r="E80" s="16"/>
      <c r="F80" s="16"/>
      <c r="G80" s="185" t="s">
        <v>199</v>
      </c>
      <c r="H80" s="214"/>
    </row>
    <row r="81" spans="1:47"/>
    <row r="82" spans="1:47" customFormat="1" ht="13">
      <c r="A82" s="43"/>
      <c r="B82" s="51" t="s">
        <v>21</v>
      </c>
      <c r="C82" s="43"/>
      <c r="D82" s="43"/>
      <c r="E82" s="43"/>
      <c r="F82" s="44"/>
      <c r="G82" s="44"/>
      <c r="H82" s="44"/>
      <c r="I82" s="44"/>
      <c r="J82" s="45"/>
      <c r="K82" s="46"/>
      <c r="L82" s="45"/>
      <c r="M82" s="46"/>
      <c r="N82" s="45"/>
      <c r="O82" s="45"/>
      <c r="P82" s="45"/>
      <c r="Q82" s="45"/>
      <c r="R82" s="45"/>
      <c r="S82" s="45"/>
      <c r="T82" s="45"/>
      <c r="U82" s="45"/>
      <c r="V82" s="46"/>
      <c r="W82" s="46"/>
      <c r="X82" s="47"/>
      <c r="Y82" s="47"/>
      <c r="Z82" s="47"/>
      <c r="AA82" s="47"/>
      <c r="AB82" s="48"/>
      <c r="AC82" s="49"/>
      <c r="AD82" s="49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</row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81">
    <cfRule type="expression" dxfId="15" priority="53" stopIfTrue="1">
      <formula>#REF!="Actual"</formula>
    </cfRule>
  </conditionalFormatting>
  <conditionalFormatting sqref="Q81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2"/>
  <sheetViews>
    <sheetView workbookViewId="0"/>
  </sheetViews>
  <sheetFormatPr defaultColWidth="0" defaultRowHeight="10" zeroHeight="1"/>
  <cols>
    <col min="1" max="2" width="1.44140625" style="8" customWidth="1"/>
    <col min="3" max="3" width="42" style="8" customWidth="1"/>
    <col min="4" max="4" width="20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47" s="38" customFormat="1" ht="15.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2" t="s">
        <v>24</v>
      </c>
      <c r="S1" s="40" t="str">
        <f>IF(COUNTIF(G10:G16,"Check")=0,"Ok","Check")</f>
        <v>Ok</v>
      </c>
      <c r="U1" s="39"/>
      <c r="V1" s="40"/>
    </row>
    <row r="2" spans="1:47" s="38" customFormat="1" ht="13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3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 ht="10.5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 ht="10.5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 ht="10.5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 ht="10.5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 ht="10.5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 ht="10.5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 ht="10.5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3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 Rate of change'!A1" display="'Input| 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959CD9CB7D29F2488657205585980DC8" ma:contentTypeVersion="11" ma:contentTypeDescription="" ma:contentTypeScope="" ma:versionID="3b9cbdfcd76ece5c8c8a993b7b6caf03">
  <xsd:schema xmlns:xsd="http://www.w3.org/2001/XMLSchema" xmlns:xs="http://www.w3.org/2001/XMLSchema" xmlns:p="http://schemas.microsoft.com/office/2006/metadata/properties" xmlns:ns1="8f493e50-f4fa-4672-bec5-6587e791f720" xmlns:ns3="cdf0dde9-ebef-4e0b-9cde-c91850d92f2d" targetNamespace="http://schemas.microsoft.com/office/2006/metadata/properties" ma:root="true" ma:fieldsID="61f92c5bded25d940e0c44e2f11605e2" ns1:_="" ns3:_="">
    <xsd:import namespace="8f493e50-f4fa-4672-bec5-6587e791f720"/>
    <xsd:import namespace="cdf0dde9-ebef-4e0b-9cde-c91850d92f2d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/>
                <xsd:element ref="ns1:Document_x0020_Category" minOccurs="0"/>
                <xsd:element ref="ns1:Published_x0020_Externally" minOccurs="0"/>
                <xsd:element ref="ns3:Person_x0020_or_x0020_Group" minOccurs="0"/>
                <xsd:element ref="ns1:d515513357cb4f278bf18cadf524fc2b" minOccurs="0"/>
                <xsd:element ref="ns1:TaxCatchAllLabel" minOccurs="0"/>
                <xsd:element ref="ns1:m5487619c60d4cdf829961d62f0a4c8b" minOccurs="0"/>
                <xsd:element ref="ns1:TaxCatchAll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format="Dropdown" ma:internalName="Business_x0020_Groups">
      <xsd:simpleType>
        <xsd:restriction base="dms:Choice">
          <xsd:enumeration value="Finance"/>
          <xsd:enumeration value="Growth"/>
          <xsd:enumeration value="Governance"/>
          <xsd:enumeration value="Operations"/>
          <xsd:enumeration value="People"/>
          <xsd:enumeration value="Stakeholder"/>
          <xsd:enumeration value="Transformation, Strategy &amp; Digital"/>
        </xsd:restriction>
      </xsd:simpleType>
    </xsd:element>
    <xsd:element name="Attachment_x0020_Category" ma:index="10" ma:displayName="Attachment Category" ma:default="Primary Attachment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  <xsd:enumeration value="Submission"/>
          <xsd:enumeration value="Supporting Information"/>
          <xsd:enumeration value="Correspondence"/>
          <xsd:enumeration value="Presentation"/>
          <xsd:enumeration value="Strategy"/>
          <xsd:enumeration value="Not applicable"/>
          <xsd:enumeration value="Superseded"/>
        </xsd:restriction>
      </xsd:simpleType>
    </xsd:element>
    <xsd:element name="Published_x0020_Externally" ma:index="12" nillable="true" ma:displayName="Send to AER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487619c60d4cdf829961d62f0a4c8b" ma:index="22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dde9-ebef-4e0b-9cde-c91850d92f2d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  <xsd:enumeration value="Superseded"/>
        </xsd:restriction>
      </xsd:simpleType>
    </xsd:element>
    <xsd:element name="Person_x0020_or_x0020_Group" ma:index="13" nillable="true" ma:displayName="Person or Group" ma:list="UserInfo" ma:SearchPeopleOnly="false" ma:SharePointGroup="0" ma:internalName="Person_x0020_or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Groups xmlns="8f493e50-f4fa-4672-bec5-6587e791f720">Finance</Business_x0020_Groups>
    <TaxCatchAll xmlns="8f493e50-f4fa-4672-bec5-6587e791f720">
      <Value>65</Value>
      <Value>59</Value>
      <Value>16</Value>
    </TaxCatchAll>
    <Person_x0020_or_x0020_Group xmlns="cdf0dde9-ebef-4e0b-9cde-c91850d92f2d">
      <UserInfo>
        <DisplayName>Kim Frankcombe</DisplayName>
        <AccountId>5441</AccountId>
        <AccountType/>
      </UserInfo>
    </Person_x0020_or_x0020_Group>
    <Published_x0020_Externally xmlns="8f493e50-f4fa-4672-bec5-6587e791f720">Yes</Published_x0020_Externally>
    <Document_x0020_Category xmlns="8f493e50-f4fa-4672-bec5-6587e791f720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Attachment_x0020_Category xmlns="8f493e50-f4fa-4672-bec5-6587e791f720">Primary Attachment</Attachment_x0020_Category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Document_x0020_Status xmlns="cdf0dde9-ebef-4e0b-9cde-c91850d92f2d">Draft</Document_x0020_Status>
    <Confidential1 xmlns="8f493e50-f4fa-4672-bec5-6587e791f720">No</Confidential1>
    <Attachment_x0020_ID xmlns="8f493e50-f4fa-4672-bec5-6587e791f720" xsi:nil="true"/>
    <Record_x0020_Number xmlns="8f493e50-f4fa-4672-bec5-6587e791f720">R0002365086</Record_x0020_Number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</documentManagement>
</p:properties>
</file>

<file path=customXml/itemProps1.xml><?xml version="1.0" encoding="utf-8"?>
<ds:datastoreItem xmlns:ds="http://schemas.openxmlformats.org/officeDocument/2006/customXml" ds:itemID="{9F092458-837B-4DB9-936D-5E3D76841DF5}"/>
</file>

<file path=customXml/itemProps2.xml><?xml version="1.0" encoding="utf-8"?>
<ds:datastoreItem xmlns:ds="http://schemas.openxmlformats.org/officeDocument/2006/customXml" ds:itemID="{1AE70776-C35B-41FB-B319-2A6F604C61D0}"/>
</file>

<file path=customXml/itemProps3.xml><?xml version="1.0" encoding="utf-8"?>
<ds:datastoreItem xmlns:ds="http://schemas.openxmlformats.org/officeDocument/2006/customXml" ds:itemID="{317DAEE8-BADE-4850-8836-BEF6AB3A4066}"/>
</file>

<file path=customXml/itemProps4.xml><?xml version="1.0" encoding="utf-8"?>
<ds:datastoreItem xmlns:ds="http://schemas.openxmlformats.org/officeDocument/2006/customXml" ds:itemID="{8A4223B0-7280-4B5F-9334-A320CB7B447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2023-01-19T21:25:47Z</dcterms:created>
  <dcterms:modified xsi:type="dcterms:W3CDTF">2023-01-20T03:49:37Z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0x01010001E02CCC3410964E993CCD35D068A93E020400959CD9CB7D29F2488657205585980DC8</vt:lpwstr>
  </property>
  <property fmtid="{D5CDD505-2E9C-101B-9397-08002B2CF9AE}" pid="3" name="Determination Category">
    <vt:lpwstr>59;#Models and Pricing Tariffs|2d578944-a888-48cf-9157-a3f07df87eae</vt:lpwstr>
  </property>
  <property fmtid="{D5CDD505-2E9C-101B-9397-08002B2CF9AE}" pid="4" name="Determination Activity">
    <vt:lpwstr>16;#Revenue Proposal|f3980111-814c-44b7-9aa4-fe076fe6d80d</vt:lpwstr>
  </property>
  <property fmtid="{D5CDD505-2E9C-101B-9397-08002B2CF9AE}" pid="5" name="Network">
    <vt:lpwstr>65;#Transmission|057fc33d-fae5-41b9-87e5-dc1e3aa504ba</vt:lpwstr>
  </property>
  <property fmtid="{D5CDD505-2E9C-101B-9397-08002B2CF9AE}" pid="6" name="RecordPoint_WorkflowType">
    <vt:lpwstr>ActiveSubmitStub</vt:lpwstr>
  </property>
  <property fmtid="{D5CDD505-2E9C-101B-9397-08002B2CF9AE}" pid="7" name="RecordPoint_ActiveItemListId">
    <vt:lpwstr>{cdf0dde9-ebef-4e0b-9cde-c91850d92f2d}</vt:lpwstr>
  </property>
  <property fmtid="{D5CDD505-2E9C-101B-9397-08002B2CF9AE}" pid="8" name="RecordPoint_ActiveItemUniqueId">
    <vt:lpwstr>{5a245bd4-6f96-45ab-af76-beeee02e2e31}</vt:lpwstr>
  </property>
  <property fmtid="{D5CDD505-2E9C-101B-9397-08002B2CF9AE}" pid="9" name="RecordPoint_ActiveItemWebId">
    <vt:lpwstr>{0e6c1e0d-ce9b-4acb-bd7f-e21f20d4c138}</vt:lpwstr>
  </property>
  <property fmtid="{D5CDD505-2E9C-101B-9397-08002B2CF9AE}" pid="10" name="RecordPoint_ActiveItemSiteId">
    <vt:lpwstr>{813152b7-69c2-464f-b7a1-05afac6a8a9a}</vt:lpwstr>
  </property>
  <property fmtid="{D5CDD505-2E9C-101B-9397-08002B2CF9AE}" pid="11" name="RecordPoint_RecordNumberSubmitted">
    <vt:lpwstr>R0002365086</vt:lpwstr>
  </property>
  <property fmtid="{D5CDD505-2E9C-101B-9397-08002B2CF9AE}" pid="12" name="RecordPoint_SubmissionCompleted">
    <vt:lpwstr>2023-01-24T08:41:16.2446914+11:00</vt:lpwstr>
  </property>
</Properties>
</file>