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://regulatoryzone.tnad.tasnetworks.com.au/reset/revenuereset2024/revenueproposal/"/>
    </mc:Choice>
  </mc:AlternateContent>
  <xr:revisionPtr revIDLastSave="0" documentId="13_ncr:1_{BE88E1C4-D206-43D4-B2F3-E54E8A63CD7F}" xr6:coauthVersionLast="47" xr6:coauthVersionMax="47" xr10:uidLastSave="{00000000-0000-0000-0000-000000000000}"/>
  <bookViews>
    <workbookView xWindow="1275" yWindow="465" windowWidth="37125" windowHeight="14505" tabRatio="781" activeTab="7" xr2:uid="{00000000-000D-0000-FFFF-FFFF00000000}"/>
  </bookViews>
  <sheets>
    <sheet name="Inputs&gt;&gt;&gt;" sheetId="10" r:id="rId1"/>
    <sheet name="Model Parameters" sheetId="3" r:id="rId2"/>
    <sheet name="LRMC Program of Works" sheetId="9" r:id="rId3"/>
    <sheet name="Calculations&gt;&gt;&gt;" sheetId="11" r:id="rId4"/>
    <sheet name="Supporting Calculations" sheetId="12" r:id="rId5"/>
    <sheet name="LRMC Calculations" sheetId="1" r:id="rId6"/>
    <sheet name="Outputs&gt;&gt;&gt;" sheetId="13" r:id="rId7"/>
    <sheet name="LRMC by VL" sheetId="14" r:id="rId8"/>
  </sheets>
  <definedNames>
    <definedName name="_xlnm._FilterDatabase" localSheetId="2" hidden="1">'LRMC Program of Works'!$B$6:$AU$20</definedName>
    <definedName name="_GoBack" localSheetId="5">'LRMC Calculations'!$J$66</definedName>
    <definedName name="SAPCT_CE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1" i="1" l="1"/>
  <c r="D51" i="1"/>
  <c r="E51" i="1"/>
  <c r="F51" i="1"/>
  <c r="G51" i="1"/>
  <c r="H51" i="1"/>
  <c r="I51" i="1"/>
  <c r="J51" i="1"/>
  <c r="K51" i="1"/>
  <c r="L51" i="1"/>
  <c r="C51" i="1" l="1"/>
  <c r="D8" i="12" l="1"/>
  <c r="D9" i="12"/>
  <c r="D10" i="12"/>
  <c r="D11" i="12"/>
  <c r="D12" i="12"/>
  <c r="D7" i="12"/>
  <c r="C8" i="12"/>
  <c r="C9" i="12"/>
  <c r="C10" i="12"/>
  <c r="C11" i="12"/>
  <c r="C12" i="12"/>
  <c r="C7" i="12"/>
  <c r="C19" i="12" l="1"/>
  <c r="C6" i="1" s="1"/>
  <c r="D19" i="12"/>
  <c r="D6" i="1" s="1"/>
  <c r="E19" i="12"/>
  <c r="E6" i="1" s="1"/>
  <c r="F19" i="12"/>
  <c r="F6" i="1" s="1"/>
  <c r="G19" i="12"/>
  <c r="G6" i="1" s="1"/>
  <c r="H19" i="12"/>
  <c r="H6" i="1" s="1"/>
  <c r="I19" i="12"/>
  <c r="I6" i="1" s="1"/>
  <c r="J19" i="12"/>
  <c r="J6" i="1" s="1"/>
  <c r="K19" i="12"/>
  <c r="K6" i="1" s="1"/>
  <c r="L19" i="12"/>
  <c r="L6" i="1" s="1"/>
  <c r="D20" i="12"/>
  <c r="D49" i="3"/>
  <c r="E20" i="12" l="1"/>
  <c r="F20" i="12" s="1"/>
  <c r="G20" i="12" s="1"/>
  <c r="H20" i="12" s="1"/>
  <c r="I20" i="12" s="1"/>
  <c r="J20" i="12" s="1"/>
  <c r="K20" i="12" s="1"/>
  <c r="L20" i="12" s="1"/>
  <c r="D13" i="12"/>
  <c r="C13" i="12"/>
  <c r="D14" i="12" l="1"/>
  <c r="D12" i="1" a="1"/>
  <c r="D12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D13" i="1" a="1"/>
  <c r="D13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C13" i="1" a="1"/>
  <c r="C13" i="1" s="1"/>
  <c r="C12" i="1" a="1"/>
  <c r="C12" i="1" s="1"/>
  <c r="C7" i="1" s="1" a="1"/>
  <c r="C7" i="1" s="1"/>
  <c r="C11" i="1"/>
  <c r="D11" i="1"/>
  <c r="E11" i="1"/>
  <c r="F11" i="1"/>
  <c r="G11" i="1"/>
  <c r="H11" i="1"/>
  <c r="I11" i="1"/>
  <c r="J11" i="1"/>
  <c r="K11" i="1"/>
  <c r="L11" i="1"/>
  <c r="C14" i="12" l="1"/>
  <c r="I7" i="1"/>
  <c r="H7" i="1"/>
  <c r="C8" i="1" a="1"/>
  <c r="C8" i="1" s="1"/>
  <c r="F8" i="1"/>
  <c r="C9" i="1" l="1"/>
  <c r="K7" i="1"/>
  <c r="K17" i="1" s="1"/>
  <c r="K14" i="1"/>
  <c r="F7" i="1"/>
  <c r="F9" i="1" s="1"/>
  <c r="K8" i="1"/>
  <c r="K18" i="1" s="1"/>
  <c r="J14" i="1"/>
  <c r="E7" i="1"/>
  <c r="E14" i="1"/>
  <c r="H8" i="1"/>
  <c r="H9" i="1" s="1"/>
  <c r="C17" i="1"/>
  <c r="M12" i="1"/>
  <c r="C14" i="1"/>
  <c r="J8" i="1"/>
  <c r="J18" i="1" s="1"/>
  <c r="E8" i="1"/>
  <c r="E18" i="1" s="1"/>
  <c r="H14" i="1"/>
  <c r="H17" i="1"/>
  <c r="L7" i="1"/>
  <c r="L14" i="1"/>
  <c r="D8" i="1"/>
  <c r="D18" i="1" s="1"/>
  <c r="G8" i="1"/>
  <c r="L8" i="1" a="1"/>
  <c r="L8" i="1" s="1"/>
  <c r="L18" i="1" s="1"/>
  <c r="C18" i="1"/>
  <c r="M13" i="1"/>
  <c r="I8" i="1"/>
  <c r="I9" i="1" s="1"/>
  <c r="F14" i="1"/>
  <c r="F18" i="1"/>
  <c r="G7" i="1"/>
  <c r="G17" i="1" s="1"/>
  <c r="G14" i="1"/>
  <c r="D7" i="1"/>
  <c r="D14" i="1"/>
  <c r="J7" i="1"/>
  <c r="I17" i="1"/>
  <c r="I14" i="1"/>
  <c r="I18" i="1" l="1"/>
  <c r="F17" i="1"/>
  <c r="J9" i="1"/>
  <c r="M8" i="1"/>
  <c r="L9" i="1"/>
  <c r="D9" i="1"/>
  <c r="E9" i="1"/>
  <c r="L17" i="1"/>
  <c r="M14" i="1"/>
  <c r="J17" i="1"/>
  <c r="K9" i="1"/>
  <c r="G9" i="1"/>
  <c r="G18" i="1"/>
  <c r="H18" i="1"/>
  <c r="D17" i="1"/>
  <c r="M7" i="1"/>
  <c r="E17" i="1"/>
  <c r="M9" i="1" l="1"/>
  <c r="B31" i="1" l="1"/>
  <c r="B36" i="1" s="1"/>
  <c r="B44" i="1" s="1"/>
  <c r="B53" i="1" s="1"/>
  <c r="B30" i="1"/>
  <c r="B35" i="1" s="1"/>
  <c r="B43" i="1" s="1"/>
  <c r="B52" i="1" s="1"/>
  <c r="C26" i="1" l="1"/>
  <c r="C31" i="1" s="1"/>
  <c r="D26" i="1"/>
  <c r="D31" i="1" s="1"/>
  <c r="G26" i="1"/>
  <c r="G31" i="1" s="1"/>
  <c r="E26" i="1"/>
  <c r="E31" i="1" s="1"/>
  <c r="F26" i="1"/>
  <c r="F31" i="1" s="1"/>
  <c r="K26" i="1"/>
  <c r="K31" i="1" s="1"/>
  <c r="I26" i="1"/>
  <c r="I31" i="1" s="1"/>
  <c r="J26" i="1"/>
  <c r="J31" i="1" s="1"/>
  <c r="H26" i="1"/>
  <c r="H31" i="1" s="1"/>
  <c r="L26" i="1"/>
  <c r="L31" i="1" s="1"/>
  <c r="C16" i="1"/>
  <c r="C50" i="1" s="1"/>
  <c r="D16" i="1"/>
  <c r="D50" i="1" s="1"/>
  <c r="H16" i="1"/>
  <c r="H50" i="1" s="1"/>
  <c r="F16" i="1"/>
  <c r="F50" i="1" s="1"/>
  <c r="L16" i="1"/>
  <c r="L50" i="1" s="1"/>
  <c r="M31" i="1" l="1"/>
  <c r="D44" i="1"/>
  <c r="C44" i="1"/>
  <c r="L44" i="1"/>
  <c r="K44" i="1"/>
  <c r="E44" i="1"/>
  <c r="F44" i="1"/>
  <c r="G44" i="1"/>
  <c r="H44" i="1"/>
  <c r="J44" i="1"/>
  <c r="I44" i="1"/>
  <c r="H24" i="1"/>
  <c r="D24" i="1"/>
  <c r="F24" i="1"/>
  <c r="L24" i="1"/>
  <c r="C24" i="1"/>
  <c r="F29" i="1"/>
  <c r="D29" i="1"/>
  <c r="H29" i="1"/>
  <c r="L29" i="1"/>
  <c r="C29" i="1"/>
  <c r="K16" i="1"/>
  <c r="K50" i="1" s="1"/>
  <c r="J16" i="1"/>
  <c r="J50" i="1" s="1"/>
  <c r="E16" i="1"/>
  <c r="E50" i="1" s="1"/>
  <c r="I16" i="1"/>
  <c r="I50" i="1" s="1"/>
  <c r="G16" i="1"/>
  <c r="G50" i="1" s="1"/>
  <c r="M44" i="1" l="1"/>
  <c r="E24" i="1"/>
  <c r="I24" i="1"/>
  <c r="J24" i="1"/>
  <c r="G24" i="1"/>
  <c r="K24" i="1"/>
  <c r="L34" i="1"/>
  <c r="L42" i="1" s="1"/>
  <c r="D34" i="1"/>
  <c r="D42" i="1" s="1"/>
  <c r="C34" i="1"/>
  <c r="C42" i="1" s="1"/>
  <c r="H34" i="1"/>
  <c r="H42" i="1" s="1"/>
  <c r="F34" i="1"/>
  <c r="F42" i="1" s="1"/>
  <c r="E29" i="1"/>
  <c r="I29" i="1"/>
  <c r="J29" i="1"/>
  <c r="G29" i="1"/>
  <c r="K29" i="1"/>
  <c r="K34" i="1" l="1"/>
  <c r="K42" i="1" s="1"/>
  <c r="J34" i="1"/>
  <c r="J42" i="1" s="1"/>
  <c r="E34" i="1"/>
  <c r="E42" i="1" s="1"/>
  <c r="G34" i="1"/>
  <c r="G42" i="1" s="1"/>
  <c r="I34" i="1"/>
  <c r="I42" i="1" s="1"/>
  <c r="H25" i="1"/>
  <c r="H30" i="1" s="1"/>
  <c r="E25" i="1"/>
  <c r="E30" i="1" s="1"/>
  <c r="G25" i="1"/>
  <c r="G30" i="1" s="1"/>
  <c r="J25" i="1"/>
  <c r="J30" i="1" s="1"/>
  <c r="I25" i="1"/>
  <c r="I30" i="1" s="1"/>
  <c r="L25" i="1"/>
  <c r="L30" i="1" s="1"/>
  <c r="F25" i="1"/>
  <c r="F30" i="1" s="1"/>
  <c r="C25" i="1"/>
  <c r="C30" i="1" s="1"/>
  <c r="D25" i="1"/>
  <c r="D30" i="1" s="1"/>
  <c r="K25" i="1"/>
  <c r="K30" i="1" s="1"/>
  <c r="M30" i="1" l="1"/>
  <c r="D43" i="1"/>
  <c r="E43" i="1"/>
  <c r="C43" i="1"/>
  <c r="F43" i="1"/>
  <c r="K43" i="1"/>
  <c r="G43" i="1"/>
  <c r="H43" i="1"/>
  <c r="L43" i="1"/>
  <c r="J43" i="1"/>
  <c r="I43" i="1"/>
  <c r="C35" i="1"/>
  <c r="M17" i="1"/>
  <c r="M43" i="1" l="1"/>
  <c r="K53" i="1" l="1"/>
  <c r="K52" i="1"/>
  <c r="L53" i="1"/>
  <c r="L52" i="1"/>
  <c r="G53" i="1"/>
  <c r="G52" i="1"/>
  <c r="E53" i="1"/>
  <c r="E52" i="1"/>
  <c r="F53" i="1"/>
  <c r="F52" i="1"/>
  <c r="H53" i="1"/>
  <c r="H52" i="1"/>
  <c r="C53" i="1"/>
  <c r="C52" i="1"/>
  <c r="D53" i="1"/>
  <c r="D52" i="1"/>
  <c r="I53" i="1"/>
  <c r="I52" i="1"/>
  <c r="J53" i="1"/>
  <c r="J52" i="1"/>
  <c r="J19" i="1"/>
  <c r="E19" i="1"/>
  <c r="H19" i="1"/>
  <c r="K19" i="1"/>
  <c r="C19" i="1"/>
  <c r="F19" i="1"/>
  <c r="D19" i="1"/>
  <c r="M52" i="1" l="1"/>
  <c r="M53" i="1"/>
  <c r="L19" i="1"/>
  <c r="I19" i="1"/>
  <c r="G19" i="1"/>
  <c r="M18" i="1"/>
  <c r="K32" i="1" l="1"/>
  <c r="E32" i="1"/>
  <c r="F32" i="1"/>
  <c r="C32" i="1"/>
  <c r="D36" i="1"/>
  <c r="J32" i="1"/>
  <c r="E36" i="1"/>
  <c r="C36" i="1"/>
  <c r="F36" i="1"/>
  <c r="D32" i="1"/>
  <c r="H32" i="1"/>
  <c r="H27" i="1"/>
  <c r="J27" i="1"/>
  <c r="E27" i="1"/>
  <c r="K27" i="1"/>
  <c r="M19" i="1"/>
  <c r="D27" i="1"/>
  <c r="F27" i="1"/>
  <c r="C27" i="1"/>
  <c r="G36" i="1"/>
  <c r="I32" i="1" l="1"/>
  <c r="D35" i="1"/>
  <c r="E35" i="1"/>
  <c r="F35" i="1"/>
  <c r="F45" i="1" s="1"/>
  <c r="F37" i="1"/>
  <c r="C37" i="1"/>
  <c r="I35" i="1"/>
  <c r="J35" i="1"/>
  <c r="J36" i="1"/>
  <c r="G35" i="1"/>
  <c r="L35" i="1"/>
  <c r="H35" i="1"/>
  <c r="L36" i="1"/>
  <c r="I36" i="1"/>
  <c r="D37" i="1"/>
  <c r="K36" i="1"/>
  <c r="H36" i="1"/>
  <c r="E37" i="1"/>
  <c r="G32" i="1"/>
  <c r="K35" i="1"/>
  <c r="L32" i="1"/>
  <c r="L27" i="1"/>
  <c r="M26" i="1"/>
  <c r="I27" i="1"/>
  <c r="G27" i="1"/>
  <c r="M25" i="1"/>
  <c r="M32" i="1" l="1"/>
  <c r="M35" i="1"/>
  <c r="C7" i="14" s="1"/>
  <c r="M36" i="1"/>
  <c r="C8" i="14" s="1"/>
  <c r="D45" i="1"/>
  <c r="K37" i="1"/>
  <c r="J45" i="1"/>
  <c r="L45" i="1"/>
  <c r="C45" i="1"/>
  <c r="H45" i="1"/>
  <c r="L37" i="1"/>
  <c r="G37" i="1"/>
  <c r="I37" i="1"/>
  <c r="J37" i="1"/>
  <c r="H37" i="1"/>
  <c r="M27" i="1"/>
  <c r="M37" i="1" l="1"/>
  <c r="K45" i="1"/>
  <c r="I45" i="1"/>
  <c r="E45" i="1"/>
  <c r="G45" i="1" l="1"/>
  <c r="M4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<sst xmlns="http://schemas.openxmlformats.org/spreadsheetml/2006/main" count="260" uniqueCount="143">
  <si>
    <t>Value</t>
  </si>
  <si>
    <t>Asset Life</t>
  </si>
  <si>
    <t>OpEx as % of CapEx</t>
  </si>
  <si>
    <t>Total</t>
  </si>
  <si>
    <t>High Voltage</t>
  </si>
  <si>
    <t>Low Voltage</t>
  </si>
  <si>
    <t>Annualised Capex</t>
  </si>
  <si>
    <t>Cumulative Annualised Capex</t>
  </si>
  <si>
    <t>High Voltage Lines</t>
  </si>
  <si>
    <t>Distribution Transformers</t>
  </si>
  <si>
    <t>Augex</t>
  </si>
  <si>
    <t>Customer</t>
  </si>
  <si>
    <t>Customer Connections</t>
  </si>
  <si>
    <t xml:space="preserve"> Driver</t>
  </si>
  <si>
    <t>FUNC_AREA</t>
  </si>
  <si>
    <t>% HV LRMC</t>
  </si>
  <si>
    <t>% LV LRMC</t>
  </si>
  <si>
    <t>CAHVF</t>
  </si>
  <si>
    <t>CALVF</t>
  </si>
  <si>
    <t>CATXU</t>
  </si>
  <si>
    <t>CAZNC</t>
  </si>
  <si>
    <t>SOLCP</t>
  </si>
  <si>
    <t>SOPOR</t>
  </si>
  <si>
    <t>SUPOR</t>
  </si>
  <si>
    <t>SOSDI</t>
  </si>
  <si>
    <t>SUSBD</t>
  </si>
  <si>
    <t>INITIATIVE_NAME</t>
  </si>
  <si>
    <t>INITIATIVE_DESCRIPTION</t>
  </si>
  <si>
    <t>CNMAI Non-Major Works Residential Customer Connections</t>
  </si>
  <si>
    <t>CSUDN Customer Initiated Subdivisions</t>
  </si>
  <si>
    <t>R24_D_CA_SOLCP_Crossover_Extension_OH</t>
  </si>
  <si>
    <t>R24_D_CA_SOPOR_Permanent_Residence_OH</t>
  </si>
  <si>
    <t>R24_D_CA_SOSDI_Subdivision_OH</t>
  </si>
  <si>
    <t>R24_D_CA_SUPOR_Permanent_Residence_UG</t>
  </si>
  <si>
    <t>R24_D_CA_SUSBD_Subdivision_UG</t>
  </si>
  <si>
    <t>R24_D_ND_CAHVF_Aug_Grnd_Mtd_Regulator</t>
  </si>
  <si>
    <t>Augment Ground Mounted Regulator (Capacity or Voltage Constraint)</t>
  </si>
  <si>
    <t>R24_D_ND_CAHVF_Angelsea_Dev</t>
  </si>
  <si>
    <t>Augment Hobart CBD supply for improved interconnection</t>
  </si>
  <si>
    <t>R24_D_OH_RETXL_Replace-OH_Transformer</t>
  </si>
  <si>
    <t>Replace OH Transformers</t>
  </si>
  <si>
    <t>R24_D_SB_REGMS_GMS_Replacement of GMS</t>
  </si>
  <si>
    <t>Replacement of ground mounted substations (Kiosks)</t>
  </si>
  <si>
    <t>Upgrade Feeder for Capacity (Feeder Constraints)</t>
  </si>
  <si>
    <t>R24_D_ND_CAHVF_Augment_HV_Fdr_Trunk</t>
  </si>
  <si>
    <t>R24_D_ND_CALVF_Augment_LV_Fdr_Capacity</t>
  </si>
  <si>
    <t>Upgrade LV Feeder for Capacity (Feeder Constraints)</t>
  </si>
  <si>
    <t>R24_D_ND_CATXU_Aug_Dist_Sub</t>
  </si>
  <si>
    <t>Upgrade Ground Mounted Substation (Capacity Constraints)</t>
  </si>
  <si>
    <t>R24_D_ND_CAZNC_Augment_Zone_SubTrans</t>
  </si>
  <si>
    <t>Upgrade Sub-Transmission Feeder for Capacity (Feeder Constraints)</t>
  </si>
  <si>
    <t>Direct costs</t>
  </si>
  <si>
    <t>Overheads</t>
  </si>
  <si>
    <t>Total costs</t>
  </si>
  <si>
    <t>Network Tariff Code</t>
  </si>
  <si>
    <t>Tariff Class</t>
  </si>
  <si>
    <t>TAS31</t>
  </si>
  <si>
    <t>Residential</t>
  </si>
  <si>
    <t>TAS22</t>
  </si>
  <si>
    <t>TAS41</t>
  </si>
  <si>
    <t>TAS61</t>
  </si>
  <si>
    <t>TAS63</t>
  </si>
  <si>
    <t>TASUMS</t>
  </si>
  <si>
    <t>TAS75</t>
  </si>
  <si>
    <t>Irrigation</t>
  </si>
  <si>
    <t>TAS82</t>
  </si>
  <si>
    <t>TASSDM</t>
  </si>
  <si>
    <t>TAS94</t>
  </si>
  <si>
    <t>TAS93</t>
  </si>
  <si>
    <t>TAS15</t>
  </si>
  <si>
    <t>TAS87</t>
  </si>
  <si>
    <t>TAS88</t>
  </si>
  <si>
    <t>TAS89</t>
  </si>
  <si>
    <t>TAS97</t>
  </si>
  <si>
    <t>TAS98</t>
  </si>
  <si>
    <t>TASUMSSL</t>
  </si>
  <si>
    <t>Sub-Transmission Lines</t>
  </si>
  <si>
    <t>Zone Substations</t>
  </si>
  <si>
    <t>Low Voltage Lines</t>
  </si>
  <si>
    <t>REGMS</t>
  </si>
  <si>
    <t>RETXL</t>
  </si>
  <si>
    <t>Total Capex</t>
  </si>
  <si>
    <t>Cumulative Opex</t>
  </si>
  <si>
    <t>Small Business LV</t>
  </si>
  <si>
    <t>Large Business LV</t>
  </si>
  <si>
    <t>TAS84T1</t>
  </si>
  <si>
    <t>TAS84T2</t>
  </si>
  <si>
    <t>TAS84T3</t>
  </si>
  <si>
    <t>TAS84T4</t>
  </si>
  <si>
    <t>Large Business HV</t>
  </si>
  <si>
    <t>TASCUS1</t>
  </si>
  <si>
    <t>TAS14T1</t>
  </si>
  <si>
    <t>TAS14T2</t>
  </si>
  <si>
    <t>Unmetered Supply</t>
  </si>
  <si>
    <t>Small business LV</t>
  </si>
  <si>
    <t>Large business LV</t>
  </si>
  <si>
    <t>Discount Rate (Nominal Vanilla WACC)</t>
  </si>
  <si>
    <r>
      <rPr>
        <b/>
        <sz val="10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Post Tax Revenue Model</t>
    </r>
  </si>
  <si>
    <t>Discount factor</t>
  </si>
  <si>
    <r>
      <t>Source:</t>
    </r>
    <r>
      <rPr>
        <sz val="10"/>
        <color theme="1"/>
        <rFont val="Calibri"/>
        <family val="2"/>
        <scheme val="minor"/>
      </rPr>
      <t xml:space="preserve"> EB(D) RIN table 3.3</t>
    </r>
  </si>
  <si>
    <t>Model Parameter</t>
  </si>
  <si>
    <r>
      <rPr>
        <b/>
        <sz val="10"/>
        <color theme="1"/>
        <rFont val="Calibri"/>
        <family val="2"/>
        <scheme val="minor"/>
      </rPr>
      <t xml:space="preserve">Source: </t>
    </r>
    <r>
      <rPr>
        <sz val="10"/>
        <color theme="1"/>
        <rFont val="Calibri"/>
        <family val="2"/>
        <scheme val="minor"/>
      </rPr>
      <t>TEC Model</t>
    </r>
  </si>
  <si>
    <t>Coincident Demand</t>
  </si>
  <si>
    <t>High Voltage Utilisation</t>
  </si>
  <si>
    <t>Low Voltage Utilisation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</si>
  <si>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</si>
  <si>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</si>
  <si>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</si>
  <si>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</si>
  <si>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</si>
  <si>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</si>
  <si>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</si>
  <si>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</si>
  <si>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</si>
  <si>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</si>
  <si>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Added Capacity (kVA)</t>
  </si>
  <si>
    <t>High Voltage Demand</t>
  </si>
  <si>
    <t>Low Voltage Demand</t>
  </si>
  <si>
    <t xml:space="preserve">                </t>
  </si>
  <si>
    <t>Demand by voltage level</t>
  </si>
  <si>
    <t>Demand by voltage level (%)</t>
  </si>
  <si>
    <t>Total Capex: re-allocated by coincident demand</t>
  </si>
  <si>
    <t>Total NPV</t>
  </si>
  <si>
    <t>Total Incremental Capacity (kVA)</t>
  </si>
  <si>
    <t>Incremental Capacity by Voltage Level</t>
  </si>
  <si>
    <t>Voltage Level</t>
  </si>
  <si>
    <t>LRMC ($/kVA pa)</t>
  </si>
  <si>
    <t>Calculation 1 | Voltage Level Coincident Demand</t>
  </si>
  <si>
    <t>Calculation 2 | Discount Factors</t>
  </si>
  <si>
    <t>Calculation 3 | LRMC Capex</t>
  </si>
  <si>
    <t>Calculation 4 | LRMC Capex (re-allocated)</t>
  </si>
  <si>
    <t>Calculation 5 | LRMC Opex</t>
  </si>
  <si>
    <t>Calculation 6 | LRMC Incremental Capacity</t>
  </si>
  <si>
    <t>Input 1 | Model Parameters</t>
  </si>
  <si>
    <t>Input 2 | Annual Discount Rates</t>
  </si>
  <si>
    <t>Input 3 | Coincident Demand by Tariff</t>
  </si>
  <si>
    <t>Input 4 | Network Utilisation</t>
  </si>
  <si>
    <t>Output 1 | LRMC by Voltage Level</t>
  </si>
  <si>
    <t>TasNetworks LRMC Model</t>
  </si>
  <si>
    <t>2024-2029 regulatory control period</t>
  </si>
  <si>
    <t>Repex</t>
  </si>
  <si>
    <t>Augex / Repex</t>
  </si>
  <si>
    <t>Input 5 | LRMC Program of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</si>
</sst>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_);\(&quot;$&quot;#,##0.00\)"/>
    <numFmt numFmtId="166" formatCode="_(* #,##0.00_);_(* \(#,##0.00\);_(* &quot;-&quot;??_);_(@_)"/>
    <numFmt numFmtId="167" formatCode="_(* #,##0_);_(* \(#,##0\);_(* &quot;-&quot;??_);_(@_)"/>
    <numFmt numFmtId="168" formatCode="#,##0.0"/>
    <numFmt numFmtId="169" formatCode="0.0%"/>
    <numFmt numFmtId="170" formatCode="#,##0.0_ ;[Red]\-#,##0.0\ "/>
    <numFmt numFmtId="171" formatCode="###,000"/>
    <numFmt numFmtId="172" formatCode="&quot;$&quot;#,##0.00"/>
    <numFmt numFmtId="173" formatCode="_-* #,##0_-;[Red]\(#,##0\)_-;_-* &quot;-&quot;??_-;_-@_-"/>
    <numFmt numFmtId="174" formatCode="#,##0.000"/>
    <numFmt numFmtId="175" formatCode="_-* #,##0_-;\-* #,##0_-;_-* &quot;-&quot;??_-;_-@_-"/>
    <numFmt numFmtId="17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8"/>
      <color rgb="FF1F497D"/>
      <name val="Verdan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>
      <alignment horizontal="center"/>
    </xf>
    <xf numFmtId="0" fontId="5" fillId="3" borderId="2" applyNumberFormat="0">
      <alignment horizontal="centerContinuous" vertical="center" wrapText="1"/>
    </xf>
    <xf numFmtId="171" fontId="7" fillId="5" borderId="3" applyNumberFormat="0" applyAlignment="0" applyProtection="0">
      <alignment horizontal="left" vertical="center" indent="1"/>
    </xf>
    <xf numFmtId="171" fontId="7" fillId="0" borderId="4" applyNumberFormat="0" applyProtection="0">
      <alignment horizontal="right"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8" fillId="7" borderId="5" applyBorder="0">
      <alignment horizontal="right"/>
      <protection locked="0"/>
    </xf>
  </cellStyleXfs>
  <cellXfs count="74">
    <xf numFmtId="0" fontId="0" fillId="0" borderId="0" xfId="0"/>
    <xf numFmtId="0" fontId="3" fillId="0" borderId="0" xfId="0" applyFont="1"/>
    <xf numFmtId="0" fontId="9" fillId="0" borderId="0" xfId="0" applyFont="1"/>
    <xf numFmtId="0" fontId="9" fillId="0" borderId="0" xfId="0" applyFont="1" applyFill="1"/>
    <xf numFmtId="49" fontId="6" fillId="0" borderId="0" xfId="0" applyNumberFormat="1" applyFont="1"/>
    <xf numFmtId="0" fontId="6" fillId="0" borderId="0" xfId="0" applyFont="1"/>
    <xf numFmtId="49" fontId="9" fillId="0" borderId="0" xfId="0" applyNumberFormat="1" applyFont="1"/>
    <xf numFmtId="0" fontId="9" fillId="8" borderId="0" xfId="0" applyFont="1" applyFill="1" applyBorder="1"/>
    <xf numFmtId="43" fontId="9" fillId="0" borderId="0" xfId="0" applyNumberFormat="1" applyFont="1"/>
    <xf numFmtId="169" fontId="9" fillId="0" borderId="0" xfId="3" applyNumberFormat="1" applyFont="1"/>
    <xf numFmtId="2" fontId="9" fillId="0" borderId="0" xfId="0" applyNumberFormat="1" applyFont="1"/>
    <xf numFmtId="0" fontId="9" fillId="8" borderId="0" xfId="0" applyFont="1" applyFill="1"/>
    <xf numFmtId="167" fontId="9" fillId="4" borderId="0" xfId="1" applyNumberFormat="1" applyFont="1" applyFill="1" applyBorder="1"/>
    <xf numFmtId="0" fontId="9" fillId="0" borderId="0" xfId="0" applyFont="1" applyBorder="1"/>
    <xf numFmtId="166" fontId="9" fillId="4" borderId="0" xfId="1" applyFont="1" applyFill="1" applyBorder="1"/>
    <xf numFmtId="0" fontId="10" fillId="9" borderId="9" xfId="0" applyFont="1" applyFill="1" applyBorder="1" applyAlignment="1">
      <alignment horizontal="center" vertical="center"/>
    </xf>
    <xf numFmtId="0" fontId="9" fillId="0" borderId="1" xfId="0" applyFont="1" applyBorder="1"/>
    <xf numFmtId="166" fontId="9" fillId="4" borderId="1" xfId="1" applyFont="1" applyFill="1" applyBorder="1"/>
    <xf numFmtId="0" fontId="6" fillId="0" borderId="6" xfId="0" applyFont="1" applyBorder="1"/>
    <xf numFmtId="166" fontId="6" fillId="4" borderId="6" xfId="1" applyFont="1" applyFill="1" applyBorder="1"/>
    <xf numFmtId="0" fontId="9" fillId="4" borderId="0" xfId="0" applyFont="1" applyFill="1" applyBorder="1" applyAlignment="1">
      <alignment vertical="center"/>
    </xf>
    <xf numFmtId="0" fontId="11" fillId="4" borderId="0" xfId="6" quotePrefix="1" applyNumberFormat="1" applyFont="1" applyFill="1" applyBorder="1" applyAlignment="1">
      <alignment horizontal="center" vertical="center"/>
    </xf>
    <xf numFmtId="169" fontId="9" fillId="4" borderId="0" xfId="3" applyNumberFormat="1" applyFont="1" applyFill="1" applyBorder="1" applyAlignment="1">
      <alignment vertical="center"/>
    </xf>
    <xf numFmtId="0" fontId="10" fillId="9" borderId="9" xfId="0" applyFont="1" applyFill="1" applyBorder="1" applyAlignment="1">
      <alignment horizontal="center"/>
    </xf>
    <xf numFmtId="10" fontId="9" fillId="4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9" fillId="4" borderId="0" xfId="0" applyFont="1" applyFill="1" applyAlignment="1">
      <alignment horizontal="right"/>
    </xf>
    <xf numFmtId="169" fontId="9" fillId="4" borderId="0" xfId="0" applyNumberFormat="1" applyFont="1" applyFill="1" applyAlignment="1">
      <alignment horizontal="right"/>
    </xf>
    <xf numFmtId="0" fontId="10" fillId="8" borderId="0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top"/>
    </xf>
    <xf numFmtId="5" fontId="11" fillId="4" borderId="0" xfId="8" applyNumberFormat="1" applyFont="1" applyFill="1" applyBorder="1" applyAlignment="1">
      <alignment horizontal="right" vertical="center"/>
    </xf>
    <xf numFmtId="175" fontId="9" fillId="4" borderId="0" xfId="12" applyNumberFormat="1" applyFont="1" applyFill="1" applyBorder="1" applyAlignment="1">
      <alignment horizontal="right" vertical="center"/>
    </xf>
    <xf numFmtId="0" fontId="10" fillId="8" borderId="0" xfId="0" applyFont="1" applyFill="1" applyBorder="1" applyAlignment="1"/>
    <xf numFmtId="0" fontId="6" fillId="0" borderId="0" xfId="0" applyFont="1" applyFill="1" applyBorder="1"/>
    <xf numFmtId="166" fontId="9" fillId="6" borderId="0" xfId="1" applyFont="1" applyFill="1" applyBorder="1"/>
    <xf numFmtId="166" fontId="9" fillId="6" borderId="1" xfId="1" applyFont="1" applyFill="1" applyBorder="1"/>
    <xf numFmtId="166" fontId="6" fillId="6" borderId="6" xfId="1" applyFont="1" applyFill="1" applyBorder="1"/>
    <xf numFmtId="169" fontId="6" fillId="6" borderId="6" xfId="3" applyNumberFormat="1" applyFont="1" applyFill="1" applyBorder="1"/>
    <xf numFmtId="0" fontId="9" fillId="6" borderId="0" xfId="0" applyFont="1" applyFill="1"/>
    <xf numFmtId="2" fontId="9" fillId="6" borderId="0" xfId="0" applyNumberFormat="1" applyFont="1" applyFill="1"/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170" fontId="9" fillId="0" borderId="0" xfId="0" applyNumberFormat="1" applyFont="1"/>
    <xf numFmtId="174" fontId="9" fillId="0" borderId="0" xfId="0" applyNumberFormat="1" applyFont="1"/>
    <xf numFmtId="165" fontId="6" fillId="0" borderId="0" xfId="0" applyNumberFormat="1" applyFont="1" applyFill="1"/>
    <xf numFmtId="0" fontId="13" fillId="0" borderId="0" xfId="0" applyFont="1"/>
    <xf numFmtId="0" fontId="9" fillId="0" borderId="0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left"/>
    </xf>
    <xf numFmtId="176" fontId="9" fillId="6" borderId="0" xfId="0" applyNumberFormat="1" applyFont="1" applyFill="1"/>
    <xf numFmtId="176" fontId="6" fillId="6" borderId="0" xfId="0" applyNumberFormat="1" applyFont="1" applyFill="1"/>
    <xf numFmtId="176" fontId="9" fillId="6" borderId="1" xfId="0" applyNumberFormat="1" applyFont="1" applyFill="1" applyBorder="1"/>
    <xf numFmtId="176" fontId="6" fillId="6" borderId="1" xfId="0" applyNumberFormat="1" applyFont="1" applyFill="1" applyBorder="1"/>
    <xf numFmtId="176" fontId="6" fillId="6" borderId="6" xfId="0" applyNumberFormat="1" applyFont="1" applyFill="1" applyBorder="1"/>
    <xf numFmtId="168" fontId="11" fillId="6" borderId="0" xfId="0" applyNumberFormat="1" applyFont="1" applyFill="1"/>
    <xf numFmtId="168" fontId="9" fillId="6" borderId="0" xfId="0" applyNumberFormat="1" applyFont="1" applyFill="1"/>
    <xf numFmtId="0" fontId="12" fillId="0" borderId="0" xfId="0" applyFont="1" applyBorder="1"/>
    <xf numFmtId="168" fontId="9" fillId="0" borderId="0" xfId="0" applyNumberFormat="1" applyFont="1" applyBorder="1"/>
    <xf numFmtId="170" fontId="9" fillId="0" borderId="0" xfId="0" applyNumberFormat="1" applyFont="1" applyBorder="1"/>
    <xf numFmtId="176" fontId="6" fillId="0" borderId="0" xfId="0" applyNumberFormat="1" applyFont="1" applyFill="1" applyBorder="1"/>
    <xf numFmtId="172" fontId="6" fillId="6" borderId="0" xfId="0" applyNumberFormat="1" applyFont="1" applyFill="1"/>
    <xf numFmtId="0" fontId="10" fillId="9" borderId="8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left"/>
    </xf>
    <xf numFmtId="0" fontId="0" fillId="0" borderId="0" xfId="0" applyFont="1"/>
    <xf numFmtId="0" fontId="14" fillId="0" borderId="0" xfId="0" applyFont="1"/>
    <xf numFmtId="0" fontId="10" fillId="9" borderId="7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14">
    <cellStyle name="Comma" xfId="1" builtinId="3"/>
    <cellStyle name="Comma 2" xfId="12" xr:uid="{00000000-0005-0000-0000-000001000000}"/>
    <cellStyle name="Currency 2" xfId="9" xr:uid="{00000000-0005-0000-0000-000003000000}"/>
    <cellStyle name="Currency 2 2" xfId="11" xr:uid="{00000000-0005-0000-0000-000004000000}"/>
    <cellStyle name="Currency 3" xfId="8" xr:uid="{00000000-0005-0000-0000-000005000000}"/>
    <cellStyle name="Currency 4" xfId="10" xr:uid="{00000000-0005-0000-0000-000006000000}"/>
    <cellStyle name="dms_NUM 2" xfId="13" xr:uid="{00000000-0005-0000-0000-000007000000}"/>
    <cellStyle name="Normal" xfId="0" builtinId="0"/>
    <cellStyle name="Normal 7" xfId="2" xr:uid="{00000000-0005-0000-0000-00000A000000}"/>
    <cellStyle name="Per cent" xfId="3" builtinId="5"/>
    <cellStyle name="SAPDataCell" xfId="7" xr:uid="{00000000-0005-0000-0000-00000C000000}"/>
    <cellStyle name="SAPMemberCell" xfId="6" xr:uid="{00000000-0005-0000-0000-00000D000000}"/>
    <cellStyle name="Table_Heading" xfId="5" xr:uid="{00000000-0005-0000-0000-00000E000000}"/>
    <cellStyle name="Unit" xfId="4" xr:uid="{00000000-0005-0000-0000-00000F000000}"/>
  </cellStyles>
  <dxfs count="0"/>
  <tableStyles count="0" defaultTableStyle="TableStyleMedium2" defaultPivotStyle="PivotStyleLight16"/>
  <colors>
    <mruColors>
      <color rgb="FFEAEAEA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9B46-E0B6-4F94-B738-C126B1C61189}">
  <sheetPr>
    <tabColor theme="3"/>
  </sheetPr>
  <dimension ref="F16:G24"/>
  <sheetViews>
    <sheetView workbookViewId="0">
      <selection activeCell="J20" sqref="J20"/>
    </sheetView>
  </sheetViews>
  <sheetFormatPr defaultRowHeight="15" x14ac:dyDescent="0.25"/>
  <sheetData>
    <row r="16" spans="6:6" x14ac:dyDescent="0.25">
      <c r="F16" s="1"/>
    </row>
    <row r="24" spans="7:7" x14ac:dyDescent="0.25">
      <c r="G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65"/>
  <sheetViews>
    <sheetView showGridLines="0" topLeftCell="A33" workbookViewId="0">
      <selection activeCell="B2" sqref="B2"/>
    </sheetView>
  </sheetViews>
  <sheetFormatPr defaultRowHeight="12.75" x14ac:dyDescent="0.2"/>
  <cols>
    <col min="1" max="1" width="12.42578125" style="2" bestFit="1" customWidth="1"/>
    <col min="2" max="2" width="31.42578125" style="2" bestFit="1" customWidth="1"/>
    <col min="3" max="3" width="19.140625" style="2" bestFit="1" customWidth="1"/>
    <col min="4" max="4" width="16.42578125" style="2" bestFit="1" customWidth="1"/>
    <col min="5" max="5" width="19.140625" style="2" customWidth="1"/>
    <col min="6" max="6" width="22.42578125" style="2" customWidth="1"/>
    <col min="7" max="12" width="19.140625" style="2" customWidth="1"/>
    <col min="13" max="16384" width="9.140625" style="2"/>
  </cols>
  <sheetData>
    <row r="1" spans="2:12" ht="21" x14ac:dyDescent="0.35">
      <c r="B1" s="65" t="s">
        <v>138</v>
      </c>
    </row>
    <row r="2" spans="2:12" ht="15" x14ac:dyDescent="0.25">
      <c r="B2" s="64" t="s">
        <v>139</v>
      </c>
    </row>
    <row r="4" spans="2:12" x14ac:dyDescent="0.2">
      <c r="B4" s="69" t="s">
        <v>133</v>
      </c>
      <c r="C4" s="69"/>
      <c r="D4" s="7"/>
      <c r="E4" s="7"/>
      <c r="F4" s="7"/>
      <c r="G4" s="7"/>
      <c r="H4" s="7"/>
      <c r="I4" s="7"/>
      <c r="J4" s="7"/>
      <c r="K4" s="7"/>
      <c r="L4" s="7"/>
    </row>
    <row r="6" spans="2:12" x14ac:dyDescent="0.2">
      <c r="B6" s="4" t="s">
        <v>100</v>
      </c>
      <c r="C6" s="25" t="s">
        <v>0</v>
      </c>
    </row>
    <row r="7" spans="2:12" x14ac:dyDescent="0.2">
      <c r="B7" s="6" t="s">
        <v>1</v>
      </c>
      <c r="C7" s="26">
        <v>40</v>
      </c>
    </row>
    <row r="8" spans="2:12" x14ac:dyDescent="0.2">
      <c r="B8" s="6" t="s">
        <v>2</v>
      </c>
      <c r="C8" s="27">
        <v>4.4999999999999998E-2</v>
      </c>
    </row>
    <row r="10" spans="2:12" x14ac:dyDescent="0.2">
      <c r="B10" s="5" t="s">
        <v>99</v>
      </c>
    </row>
    <row r="13" spans="2:12" x14ac:dyDescent="0.2">
      <c r="B13" s="69" t="s">
        <v>134</v>
      </c>
      <c r="C13" s="69"/>
      <c r="D13" s="7"/>
      <c r="E13" s="7"/>
      <c r="F13" s="7"/>
      <c r="G13" s="7"/>
      <c r="H13" s="7"/>
      <c r="I13" s="7"/>
      <c r="J13" s="7"/>
      <c r="K13" s="7"/>
      <c r="L13" s="7"/>
    </row>
    <row r="15" spans="2:12" x14ac:dyDescent="0.2">
      <c r="C15" s="23" t="s">
        <v>105</v>
      </c>
      <c r="D15" s="23" t="s">
        <v>106</v>
      </c>
      <c r="E15" s="23" t="s">
        <v>107</v>
      </c>
      <c r="F15" s="23" t="s">
        <v>108</v>
      </c>
      <c r="G15" s="23" t="s">
        <v>109</v>
      </c>
      <c r="H15" s="23" t="s">
        <v>110</v>
      </c>
      <c r="I15" s="23" t="s">
        <v>111</v>
      </c>
      <c r="J15" s="23" t="s">
        <v>112</v>
      </c>
      <c r="K15" s="23" t="s">
        <v>113</v>
      </c>
      <c r="L15" s="23" t="s">
        <v>114</v>
      </c>
    </row>
    <row r="16" spans="2:12" x14ac:dyDescent="0.2">
      <c r="B16" s="4" t="s">
        <v>96</v>
      </c>
      <c r="C16" s="24">
        <v>5.7062005570836474E-2</v>
      </c>
      <c r="D16" s="24">
        <v>5.7792965216954248E-2</v>
      </c>
      <c r="E16" s="24">
        <v>5.8523924863072035E-2</v>
      </c>
      <c r="F16" s="24">
        <v>5.9254884509189809E-2</v>
      </c>
      <c r="G16" s="24">
        <v>6.0312966762079007E-2</v>
      </c>
      <c r="H16" s="24">
        <v>6.0312966762079007E-2</v>
      </c>
      <c r="I16" s="24">
        <v>6.0312966762079007E-2</v>
      </c>
      <c r="J16" s="24">
        <v>6.0312966762079007E-2</v>
      </c>
      <c r="K16" s="24">
        <v>6.0312966762079007E-2</v>
      </c>
      <c r="L16" s="24">
        <v>6.0312966762079007E-2</v>
      </c>
    </row>
    <row r="18" spans="2:12" x14ac:dyDescent="0.2">
      <c r="B18" s="2" t="s">
        <v>97</v>
      </c>
    </row>
    <row r="21" spans="2:12" x14ac:dyDescent="0.2">
      <c r="B21" s="69" t="s">
        <v>135</v>
      </c>
      <c r="C21" s="69"/>
      <c r="D21" s="7"/>
      <c r="E21" s="7"/>
      <c r="F21" s="7"/>
      <c r="G21" s="7"/>
      <c r="H21" s="7"/>
      <c r="I21" s="7"/>
      <c r="J21" s="7"/>
      <c r="K21" s="7"/>
      <c r="L21" s="7"/>
    </row>
    <row r="23" spans="2:12" x14ac:dyDescent="0.2">
      <c r="B23" s="29" t="s">
        <v>54</v>
      </c>
      <c r="C23" s="29" t="s">
        <v>55</v>
      </c>
      <c r="D23" s="29" t="s">
        <v>102</v>
      </c>
    </row>
    <row r="24" spans="2:12" x14ac:dyDescent="0.2">
      <c r="B24" s="13" t="s">
        <v>68</v>
      </c>
      <c r="C24" s="13" t="s">
        <v>57</v>
      </c>
      <c r="D24" s="14">
        <v>196.35660419955124</v>
      </c>
    </row>
    <row r="25" spans="2:12" x14ac:dyDescent="0.2">
      <c r="B25" s="13" t="s">
        <v>70</v>
      </c>
      <c r="C25" s="13" t="s">
        <v>57</v>
      </c>
      <c r="D25" s="14">
        <v>0</v>
      </c>
    </row>
    <row r="26" spans="2:12" x14ac:dyDescent="0.2">
      <c r="B26" s="13" t="s">
        <v>73</v>
      </c>
      <c r="C26" s="13" t="s">
        <v>57</v>
      </c>
      <c r="D26" s="14">
        <v>2.4653603514091684</v>
      </c>
    </row>
    <row r="27" spans="2:12" x14ac:dyDescent="0.2">
      <c r="B27" s="13" t="s">
        <v>56</v>
      </c>
      <c r="C27" s="13" t="s">
        <v>57</v>
      </c>
      <c r="D27" s="14">
        <v>193.93914861531741</v>
      </c>
    </row>
    <row r="28" spans="2:12" x14ac:dyDescent="0.2">
      <c r="B28" s="13" t="s">
        <v>59</v>
      </c>
      <c r="C28" s="13" t="s">
        <v>57</v>
      </c>
      <c r="D28" s="14">
        <v>250.60038267236931</v>
      </c>
    </row>
    <row r="29" spans="2:12" x14ac:dyDescent="0.2">
      <c r="B29" s="13" t="s">
        <v>61</v>
      </c>
      <c r="C29" s="13" t="s">
        <v>57</v>
      </c>
      <c r="D29" s="14">
        <v>0.1185750167788623</v>
      </c>
    </row>
    <row r="30" spans="2:12" x14ac:dyDescent="0.2">
      <c r="B30" s="13" t="s">
        <v>60</v>
      </c>
      <c r="C30" s="13" t="s">
        <v>57</v>
      </c>
      <c r="D30" s="14">
        <v>0.61256732140000225</v>
      </c>
    </row>
    <row r="31" spans="2:12" x14ac:dyDescent="0.2">
      <c r="B31" s="13" t="s">
        <v>67</v>
      </c>
      <c r="C31" s="13" t="s">
        <v>83</v>
      </c>
      <c r="D31" s="14">
        <v>83.174460432607432</v>
      </c>
    </row>
    <row r="32" spans="2:12" x14ac:dyDescent="0.2">
      <c r="B32" s="13" t="s">
        <v>71</v>
      </c>
      <c r="C32" s="13" t="s">
        <v>83</v>
      </c>
      <c r="D32" s="14">
        <v>20.356511433224604</v>
      </c>
    </row>
    <row r="33" spans="2:4" x14ac:dyDescent="0.2">
      <c r="B33" s="13" t="s">
        <v>74</v>
      </c>
      <c r="C33" s="13" t="s">
        <v>83</v>
      </c>
      <c r="D33" s="14">
        <v>3.5065446990106337</v>
      </c>
    </row>
    <row r="34" spans="2:4" x14ac:dyDescent="0.2">
      <c r="B34" s="13" t="s">
        <v>58</v>
      </c>
      <c r="C34" s="13" t="s">
        <v>83</v>
      </c>
      <c r="D34" s="14">
        <v>39.204483031219631</v>
      </c>
    </row>
    <row r="35" spans="2:4" x14ac:dyDescent="0.2">
      <c r="B35" s="13" t="s">
        <v>63</v>
      </c>
      <c r="C35" s="13" t="s">
        <v>64</v>
      </c>
      <c r="D35" s="14">
        <v>5.998899724542837</v>
      </c>
    </row>
    <row r="36" spans="2:4" x14ac:dyDescent="0.2">
      <c r="B36" s="13" t="s">
        <v>72</v>
      </c>
      <c r="C36" s="13" t="s">
        <v>84</v>
      </c>
      <c r="D36" s="14">
        <v>37.638647572899089</v>
      </c>
    </row>
    <row r="37" spans="2:4" x14ac:dyDescent="0.2">
      <c r="B37" s="13" t="s">
        <v>65</v>
      </c>
      <c r="C37" s="13" t="s">
        <v>84</v>
      </c>
      <c r="D37" s="14">
        <v>33.508054246196998</v>
      </c>
    </row>
    <row r="38" spans="2:4" x14ac:dyDescent="0.2">
      <c r="B38" s="13" t="s">
        <v>85</v>
      </c>
      <c r="C38" s="13" t="s">
        <v>84</v>
      </c>
      <c r="D38" s="14">
        <v>0</v>
      </c>
    </row>
    <row r="39" spans="2:4" x14ac:dyDescent="0.2">
      <c r="B39" s="13" t="s">
        <v>86</v>
      </c>
      <c r="C39" s="13" t="s">
        <v>84</v>
      </c>
      <c r="D39" s="14">
        <v>0.26470792695343492</v>
      </c>
    </row>
    <row r="40" spans="2:4" x14ac:dyDescent="0.2">
      <c r="B40" s="13" t="s">
        <v>87</v>
      </c>
      <c r="C40" s="13" t="s">
        <v>84</v>
      </c>
      <c r="D40" s="14">
        <v>0</v>
      </c>
    </row>
    <row r="41" spans="2:4" x14ac:dyDescent="0.2">
      <c r="B41" s="13" t="s">
        <v>88</v>
      </c>
      <c r="C41" s="13" t="s">
        <v>84</v>
      </c>
      <c r="D41" s="14">
        <v>0</v>
      </c>
    </row>
    <row r="42" spans="2:4" x14ac:dyDescent="0.2">
      <c r="B42" s="13" t="s">
        <v>69</v>
      </c>
      <c r="C42" s="13" t="s">
        <v>89</v>
      </c>
      <c r="D42" s="14">
        <v>33.178674355386441</v>
      </c>
    </row>
    <row r="43" spans="2:4" x14ac:dyDescent="0.2">
      <c r="B43" s="13" t="s">
        <v>66</v>
      </c>
      <c r="C43" s="13" t="s">
        <v>89</v>
      </c>
      <c r="D43" s="14">
        <v>41.616638407517705</v>
      </c>
    </row>
    <row r="44" spans="2:4" x14ac:dyDescent="0.2">
      <c r="B44" s="13" t="s">
        <v>90</v>
      </c>
      <c r="C44" s="13" t="s">
        <v>89</v>
      </c>
      <c r="D44" s="14">
        <v>43.886319249162725</v>
      </c>
    </row>
    <row r="45" spans="2:4" x14ac:dyDescent="0.2">
      <c r="B45" s="13" t="s">
        <v>91</v>
      </c>
      <c r="C45" s="13" t="s">
        <v>89</v>
      </c>
      <c r="D45" s="14">
        <v>0</v>
      </c>
    </row>
    <row r="46" spans="2:4" x14ac:dyDescent="0.2">
      <c r="B46" s="13" t="s">
        <v>92</v>
      </c>
      <c r="C46" s="13" t="s">
        <v>89</v>
      </c>
      <c r="D46" s="14">
        <v>0</v>
      </c>
    </row>
    <row r="47" spans="2:4" x14ac:dyDescent="0.2">
      <c r="B47" s="13" t="s">
        <v>62</v>
      </c>
      <c r="C47" s="13" t="s">
        <v>93</v>
      </c>
      <c r="D47" s="14">
        <v>4.740444248410264</v>
      </c>
    </row>
    <row r="48" spans="2:4" x14ac:dyDescent="0.2">
      <c r="B48" s="16" t="s">
        <v>75</v>
      </c>
      <c r="C48" s="16" t="s">
        <v>93</v>
      </c>
      <c r="D48" s="17">
        <v>3.6234346006816862</v>
      </c>
    </row>
    <row r="49" spans="2:12" x14ac:dyDescent="0.2">
      <c r="B49" s="18" t="s">
        <v>3</v>
      </c>
      <c r="C49" s="18"/>
      <c r="D49" s="19">
        <f>SUM(D24:D48)</f>
        <v>994.79045810463958</v>
      </c>
      <c r="E49" s="8"/>
      <c r="F49" s="8"/>
      <c r="G49" s="8"/>
    </row>
    <row r="51" spans="2:12" x14ac:dyDescent="0.2">
      <c r="B51" s="2" t="s">
        <v>101</v>
      </c>
    </row>
    <row r="54" spans="2:12" x14ac:dyDescent="0.2">
      <c r="B54" s="69" t="s">
        <v>136</v>
      </c>
      <c r="C54" s="69"/>
      <c r="D54" s="7"/>
      <c r="E54" s="7"/>
      <c r="F54" s="7"/>
      <c r="G54" s="7"/>
      <c r="H54" s="7"/>
      <c r="I54" s="7"/>
      <c r="J54" s="7"/>
      <c r="K54" s="7"/>
      <c r="L54" s="7"/>
    </row>
    <row r="56" spans="2:12" x14ac:dyDescent="0.2">
      <c r="B56" s="67" t="s">
        <v>55</v>
      </c>
      <c r="C56" s="66" t="s">
        <v>103</v>
      </c>
      <c r="D56" s="66"/>
      <c r="E56" s="66"/>
      <c r="F56" s="66" t="s">
        <v>104</v>
      </c>
      <c r="G56" s="66"/>
    </row>
    <row r="57" spans="2:12" x14ac:dyDescent="0.2">
      <c r="B57" s="68"/>
      <c r="C57" s="23" t="s">
        <v>76</v>
      </c>
      <c r="D57" s="23" t="s">
        <v>77</v>
      </c>
      <c r="E57" s="23" t="s">
        <v>8</v>
      </c>
      <c r="F57" s="23" t="s">
        <v>9</v>
      </c>
      <c r="G57" s="23" t="s">
        <v>78</v>
      </c>
    </row>
    <row r="58" spans="2:12" x14ac:dyDescent="0.2">
      <c r="B58" s="13" t="s">
        <v>57</v>
      </c>
      <c r="C58" s="12">
        <v>1</v>
      </c>
      <c r="D58" s="12">
        <v>1</v>
      </c>
      <c r="E58" s="12">
        <v>1</v>
      </c>
      <c r="F58" s="12">
        <v>1</v>
      </c>
      <c r="G58" s="12">
        <v>1</v>
      </c>
    </row>
    <row r="59" spans="2:12" x14ac:dyDescent="0.2">
      <c r="B59" s="13" t="s">
        <v>94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</row>
    <row r="60" spans="2:12" x14ac:dyDescent="0.2">
      <c r="B60" s="13" t="s">
        <v>95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</row>
    <row r="61" spans="2:12" x14ac:dyDescent="0.2">
      <c r="B61" s="13" t="s">
        <v>89</v>
      </c>
      <c r="C61" s="12">
        <v>1</v>
      </c>
      <c r="D61" s="12">
        <v>1</v>
      </c>
      <c r="E61" s="12">
        <v>1</v>
      </c>
      <c r="F61" s="12">
        <v>0</v>
      </c>
      <c r="G61" s="12">
        <v>0</v>
      </c>
    </row>
    <row r="62" spans="2:12" x14ac:dyDescent="0.2">
      <c r="B62" s="13" t="s">
        <v>64</v>
      </c>
      <c r="C62" s="12">
        <v>1</v>
      </c>
      <c r="D62" s="12">
        <v>1</v>
      </c>
      <c r="E62" s="12">
        <v>1</v>
      </c>
      <c r="F62" s="12">
        <v>1</v>
      </c>
      <c r="G62" s="12">
        <v>1</v>
      </c>
    </row>
    <row r="63" spans="2:12" x14ac:dyDescent="0.2">
      <c r="B63" s="13" t="s">
        <v>93</v>
      </c>
      <c r="C63" s="12">
        <v>1</v>
      </c>
      <c r="D63" s="12">
        <v>1</v>
      </c>
      <c r="E63" s="12">
        <v>1</v>
      </c>
      <c r="F63" s="12">
        <v>1</v>
      </c>
      <c r="G63" s="12">
        <v>1</v>
      </c>
    </row>
    <row r="65" spans="2:2" x14ac:dyDescent="0.2">
      <c r="B65" s="2" t="s">
        <v>101</v>
      </c>
    </row>
  </sheetData>
  <mergeCells count="7">
    <mergeCell ref="F56:G56"/>
    <mergeCell ref="B56:B57"/>
    <mergeCell ref="B4:C4"/>
    <mergeCell ref="B13:C13"/>
    <mergeCell ref="B21:C21"/>
    <mergeCell ref="B54:C54"/>
    <mergeCell ref="C56:E56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Z21"/>
  <sheetViews>
    <sheetView showGridLines="0" zoomScaleNormal="100" workbookViewId="0">
      <pane ySplit="7" topLeftCell="A8" activePane="bottomLeft" state="frozen"/>
      <selection activeCell="B54" sqref="B54:B61"/>
      <selection pane="bottomLeft" activeCell="C29" sqref="C29"/>
    </sheetView>
  </sheetViews>
  <sheetFormatPr defaultRowHeight="12.75" x14ac:dyDescent="0.2"/>
  <cols>
    <col min="1" max="1" width="8.85546875" style="2" customWidth="1"/>
    <col min="2" max="2" width="42.42578125" style="2" bestFit="1" customWidth="1"/>
    <col min="3" max="3" width="62.85546875" style="2" bestFit="1" customWidth="1"/>
    <col min="4" max="4" width="10.28515625" style="2" bestFit="1" customWidth="1"/>
    <col min="5" max="5" width="8.42578125" style="2" bestFit="1" customWidth="1"/>
    <col min="6" max="6" width="9.85546875" style="2" bestFit="1" customWidth="1"/>
    <col min="7" max="7" width="10.42578125" style="2" customWidth="1"/>
    <col min="8" max="8" width="16.42578125" style="2" bestFit="1" customWidth="1"/>
    <col min="9" max="9" width="17.42578125" style="2" bestFit="1" customWidth="1"/>
    <col min="10" max="12" width="17.42578125" style="2" customWidth="1"/>
    <col min="13" max="13" width="16.5703125" style="2" customWidth="1"/>
    <col min="14" max="14" width="22.42578125" style="2" bestFit="1" customWidth="1"/>
    <col min="15" max="17" width="23" style="2" bestFit="1" customWidth="1"/>
    <col min="18" max="18" width="15.5703125" style="2" customWidth="1"/>
    <col min="19" max="22" width="16.42578125" style="2" customWidth="1"/>
    <col min="23" max="23" width="17.140625" style="2" bestFit="1" customWidth="1"/>
    <col min="24" max="25" width="16.7109375" style="2" bestFit="1" customWidth="1"/>
    <col min="26" max="27" width="17.140625" style="2" bestFit="1" customWidth="1"/>
    <col min="28" max="28" width="15.5703125" style="2" customWidth="1"/>
    <col min="29" max="29" width="14.5703125" style="2" customWidth="1"/>
    <col min="30" max="32" width="14.42578125" style="2" customWidth="1"/>
    <col min="33" max="33" width="17.140625" style="2" bestFit="1" customWidth="1"/>
    <col min="34" max="35" width="16.7109375" style="2" bestFit="1" customWidth="1"/>
    <col min="36" max="37" width="17.140625" style="2" bestFit="1" customWidth="1"/>
    <col min="38" max="47" width="11.42578125" style="2" customWidth="1"/>
    <col min="48" max="48" width="12.42578125" style="2" bestFit="1" customWidth="1"/>
    <col min="49" max="49" width="13.5703125" style="2" bestFit="1" customWidth="1"/>
    <col min="50" max="16384" width="9.140625" style="2"/>
  </cols>
  <sheetData>
    <row r="1" spans="2:52" ht="21" x14ac:dyDescent="0.35">
      <c r="B1" s="65" t="s">
        <v>138</v>
      </c>
    </row>
    <row r="2" spans="2:52" ht="15" x14ac:dyDescent="0.25">
      <c r="B2" s="64" t="s">
        <v>139</v>
      </c>
    </row>
    <row r="4" spans="2:52" x14ac:dyDescent="0.2">
      <c r="B4" s="28" t="s">
        <v>142</v>
      </c>
      <c r="C4" s="3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2:52" x14ac:dyDescent="0.2">
      <c r="M5" s="70"/>
      <c r="N5" s="70"/>
      <c r="O5" s="70"/>
      <c r="P5" s="70"/>
      <c r="Q5" s="70"/>
      <c r="W5" s="70"/>
      <c r="X5" s="70"/>
      <c r="Y5" s="70"/>
      <c r="Z5" s="70"/>
      <c r="AA5" s="70"/>
      <c r="AG5" s="70"/>
      <c r="AH5" s="70"/>
      <c r="AI5" s="70"/>
      <c r="AJ5" s="70"/>
      <c r="AK5" s="70"/>
      <c r="AQ5" s="70"/>
      <c r="AR5" s="70"/>
      <c r="AS5" s="70"/>
      <c r="AT5" s="70"/>
      <c r="AU5" s="70"/>
    </row>
    <row r="6" spans="2:52" ht="12" customHeight="1" x14ac:dyDescent="0.2">
      <c r="B6" s="71" t="s">
        <v>26</v>
      </c>
      <c r="C6" s="71" t="s">
        <v>27</v>
      </c>
      <c r="D6" s="71" t="s">
        <v>14</v>
      </c>
      <c r="E6" s="71" t="s">
        <v>13</v>
      </c>
      <c r="F6" s="71" t="s">
        <v>15</v>
      </c>
      <c r="G6" s="71" t="s">
        <v>16</v>
      </c>
      <c r="H6" s="66" t="s">
        <v>51</v>
      </c>
      <c r="I6" s="66"/>
      <c r="J6" s="66"/>
      <c r="K6" s="66"/>
      <c r="L6" s="66"/>
      <c r="M6" s="66"/>
      <c r="N6" s="66"/>
      <c r="O6" s="66"/>
      <c r="P6" s="66"/>
      <c r="Q6" s="66"/>
      <c r="R6" s="66" t="s">
        <v>52</v>
      </c>
      <c r="S6" s="66"/>
      <c r="T6" s="66"/>
      <c r="U6" s="66"/>
      <c r="V6" s="66"/>
      <c r="W6" s="66"/>
      <c r="X6" s="66"/>
      <c r="Y6" s="66"/>
      <c r="Z6" s="66"/>
      <c r="AA6" s="66"/>
      <c r="AB6" s="66" t="s">
        <v>53</v>
      </c>
      <c r="AC6" s="66"/>
      <c r="AD6" s="66"/>
      <c r="AE6" s="66"/>
      <c r="AF6" s="66"/>
      <c r="AG6" s="66"/>
      <c r="AH6" s="66"/>
      <c r="AI6" s="66"/>
      <c r="AJ6" s="66"/>
      <c r="AK6" s="66"/>
      <c r="AL6" s="66" t="s">
        <v>115</v>
      </c>
      <c r="AM6" s="66"/>
      <c r="AN6" s="66"/>
      <c r="AO6" s="66"/>
      <c r="AP6" s="66"/>
      <c r="AQ6" s="66"/>
      <c r="AR6" s="66"/>
      <c r="AS6" s="66"/>
      <c r="AT6" s="66"/>
      <c r="AU6" s="66"/>
    </row>
    <row r="7" spans="2:52" ht="18" customHeight="1" x14ac:dyDescent="0.2">
      <c r="B7" s="71"/>
      <c r="C7" s="71"/>
      <c r="D7" s="71"/>
      <c r="E7" s="71"/>
      <c r="F7" s="71"/>
      <c r="G7" s="71"/>
      <c r="H7" s="30" t="s">
        <v>105</v>
      </c>
      <c r="I7" s="30" t="s">
        <v>106</v>
      </c>
      <c r="J7" s="30" t="s">
        <v>107</v>
      </c>
      <c r="K7" s="30" t="s">
        <v>108</v>
      </c>
      <c r="L7" s="30" t="s">
        <v>109</v>
      </c>
      <c r="M7" s="30" t="s">
        <v>110</v>
      </c>
      <c r="N7" s="30" t="s">
        <v>111</v>
      </c>
      <c r="O7" s="30" t="s">
        <v>112</v>
      </c>
      <c r="P7" s="30" t="s">
        <v>113</v>
      </c>
      <c r="Q7" s="30" t="s">
        <v>114</v>
      </c>
      <c r="R7" s="30" t="s">
        <v>105</v>
      </c>
      <c r="S7" s="30" t="s">
        <v>106</v>
      </c>
      <c r="T7" s="30" t="s">
        <v>107</v>
      </c>
      <c r="U7" s="30" t="s">
        <v>108</v>
      </c>
      <c r="V7" s="30" t="s">
        <v>109</v>
      </c>
      <c r="W7" s="30" t="s">
        <v>110</v>
      </c>
      <c r="X7" s="30" t="s">
        <v>111</v>
      </c>
      <c r="Y7" s="30" t="s">
        <v>112</v>
      </c>
      <c r="Z7" s="30" t="s">
        <v>113</v>
      </c>
      <c r="AA7" s="30" t="s">
        <v>114</v>
      </c>
      <c r="AB7" s="30" t="s">
        <v>105</v>
      </c>
      <c r="AC7" s="30" t="s">
        <v>106</v>
      </c>
      <c r="AD7" s="30" t="s">
        <v>107</v>
      </c>
      <c r="AE7" s="30" t="s">
        <v>108</v>
      </c>
      <c r="AF7" s="30" t="s">
        <v>109</v>
      </c>
      <c r="AG7" s="30" t="s">
        <v>110</v>
      </c>
      <c r="AH7" s="30" t="s">
        <v>111</v>
      </c>
      <c r="AI7" s="30" t="s">
        <v>112</v>
      </c>
      <c r="AJ7" s="30" t="s">
        <v>113</v>
      </c>
      <c r="AK7" s="30" t="s">
        <v>114</v>
      </c>
      <c r="AL7" s="30" t="s">
        <v>105</v>
      </c>
      <c r="AM7" s="30" t="s">
        <v>106</v>
      </c>
      <c r="AN7" s="30" t="s">
        <v>107</v>
      </c>
      <c r="AO7" s="30" t="s">
        <v>108</v>
      </c>
      <c r="AP7" s="30" t="s">
        <v>109</v>
      </c>
      <c r="AQ7" s="30" t="s">
        <v>110</v>
      </c>
      <c r="AR7" s="30" t="s">
        <v>111</v>
      </c>
      <c r="AS7" s="30" t="s">
        <v>112</v>
      </c>
      <c r="AT7" s="30" t="s">
        <v>113</v>
      </c>
      <c r="AU7" s="30" t="s">
        <v>114</v>
      </c>
    </row>
    <row r="8" spans="2:52" x14ac:dyDescent="0.2">
      <c r="B8" s="20" t="s">
        <v>37</v>
      </c>
      <c r="C8" s="20" t="s">
        <v>38</v>
      </c>
      <c r="D8" s="21" t="s">
        <v>17</v>
      </c>
      <c r="E8" s="20" t="s">
        <v>10</v>
      </c>
      <c r="F8" s="22">
        <v>0.1</v>
      </c>
      <c r="G8" s="22">
        <v>0.25</v>
      </c>
      <c r="H8" s="31">
        <v>336189</v>
      </c>
      <c r="I8" s="31">
        <v>788306</v>
      </c>
      <c r="J8" s="31">
        <v>556452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104608.56924</v>
      </c>
      <c r="S8" s="31">
        <v>245289.29496</v>
      </c>
      <c r="T8" s="31">
        <v>173145.60431999998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440797.56923999998</v>
      </c>
      <c r="AC8" s="31">
        <v>1033595.29496</v>
      </c>
      <c r="AD8" s="31">
        <v>729597.60431999993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2">
        <v>121.44877663512818</v>
      </c>
      <c r="AM8" s="32">
        <v>284.77671581798143</v>
      </c>
      <c r="AN8" s="32">
        <v>201.01911322550814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9"/>
      <c r="AW8" s="10"/>
      <c r="AY8" s="9"/>
      <c r="AZ8" s="9"/>
    </row>
    <row r="9" spans="2:52" x14ac:dyDescent="0.2">
      <c r="B9" s="20" t="s">
        <v>35</v>
      </c>
      <c r="C9" s="20" t="s">
        <v>36</v>
      </c>
      <c r="D9" s="21" t="s">
        <v>17</v>
      </c>
      <c r="E9" s="20" t="s">
        <v>10</v>
      </c>
      <c r="F9" s="22">
        <v>0.1</v>
      </c>
      <c r="G9" s="22">
        <v>0</v>
      </c>
      <c r="H9" s="31">
        <v>400000</v>
      </c>
      <c r="I9" s="31">
        <v>0</v>
      </c>
      <c r="J9" s="31">
        <v>400000</v>
      </c>
      <c r="K9" s="31">
        <v>0</v>
      </c>
      <c r="L9" s="31">
        <v>400000</v>
      </c>
      <c r="M9" s="31">
        <v>408000</v>
      </c>
      <c r="N9" s="31">
        <v>0</v>
      </c>
      <c r="O9" s="31">
        <v>408000</v>
      </c>
      <c r="P9" s="31">
        <v>0</v>
      </c>
      <c r="Q9" s="31">
        <v>408000</v>
      </c>
      <c r="R9" s="31">
        <v>124464</v>
      </c>
      <c r="S9" s="31">
        <v>0</v>
      </c>
      <c r="T9" s="31">
        <v>124464</v>
      </c>
      <c r="U9" s="31">
        <v>0</v>
      </c>
      <c r="V9" s="31">
        <v>124464</v>
      </c>
      <c r="W9" s="31">
        <v>126953.28</v>
      </c>
      <c r="X9" s="31">
        <v>0</v>
      </c>
      <c r="Y9" s="31">
        <v>126953.28</v>
      </c>
      <c r="Z9" s="31">
        <v>0</v>
      </c>
      <c r="AA9" s="31">
        <v>126953.28</v>
      </c>
      <c r="AB9" s="31">
        <v>524464</v>
      </c>
      <c r="AC9" s="31">
        <v>0</v>
      </c>
      <c r="AD9" s="31">
        <v>524464</v>
      </c>
      <c r="AE9" s="31">
        <v>0</v>
      </c>
      <c r="AF9" s="31">
        <v>524464</v>
      </c>
      <c r="AG9" s="31">
        <v>534953.28</v>
      </c>
      <c r="AH9" s="31">
        <v>0</v>
      </c>
      <c r="AI9" s="31">
        <v>534953.28</v>
      </c>
      <c r="AJ9" s="31">
        <v>0</v>
      </c>
      <c r="AK9" s="31">
        <v>534953.28</v>
      </c>
      <c r="AL9" s="32">
        <v>542.99792817284288</v>
      </c>
      <c r="AM9" s="32">
        <v>0</v>
      </c>
      <c r="AN9" s="32">
        <v>542.99792817284288</v>
      </c>
      <c r="AO9" s="32">
        <v>0</v>
      </c>
      <c r="AP9" s="32">
        <v>542.99792817284288</v>
      </c>
      <c r="AQ9" s="32">
        <v>553.85788673629975</v>
      </c>
      <c r="AR9" s="32">
        <v>0</v>
      </c>
      <c r="AS9" s="32">
        <v>553.85788673629975</v>
      </c>
      <c r="AT9" s="32">
        <v>0</v>
      </c>
      <c r="AU9" s="32">
        <v>553.85788673629975</v>
      </c>
      <c r="AV9" s="9"/>
      <c r="AW9" s="10"/>
      <c r="AY9" s="9"/>
      <c r="AZ9" s="9"/>
    </row>
    <row r="10" spans="2:52" x14ac:dyDescent="0.2">
      <c r="B10" s="20" t="s">
        <v>44</v>
      </c>
      <c r="C10" s="20" t="s">
        <v>43</v>
      </c>
      <c r="D10" s="21" t="s">
        <v>17</v>
      </c>
      <c r="E10" s="20" t="s">
        <v>10</v>
      </c>
      <c r="F10" s="22">
        <v>0.1</v>
      </c>
      <c r="G10" s="22">
        <v>0</v>
      </c>
      <c r="H10" s="31">
        <v>146000</v>
      </c>
      <c r="I10" s="31">
        <v>96000</v>
      </c>
      <c r="J10" s="31">
        <v>96000</v>
      </c>
      <c r="K10" s="31">
        <v>96000</v>
      </c>
      <c r="L10" s="31">
        <v>96000</v>
      </c>
      <c r="M10" s="31">
        <v>97920</v>
      </c>
      <c r="N10" s="31">
        <v>108120</v>
      </c>
      <c r="O10" s="31">
        <v>108120</v>
      </c>
      <c r="P10" s="31">
        <v>108120</v>
      </c>
      <c r="Q10" s="31">
        <v>108120</v>
      </c>
      <c r="R10" s="31">
        <v>45429.36</v>
      </c>
      <c r="S10" s="31">
        <v>29871.360000000001</v>
      </c>
      <c r="T10" s="31">
        <v>29871.360000000001</v>
      </c>
      <c r="U10" s="31">
        <v>29871.360000000001</v>
      </c>
      <c r="V10" s="31">
        <v>29871.360000000001</v>
      </c>
      <c r="W10" s="31">
        <v>30468.787199999999</v>
      </c>
      <c r="X10" s="31">
        <v>33642.619200000001</v>
      </c>
      <c r="Y10" s="31">
        <v>33642.619200000001</v>
      </c>
      <c r="Z10" s="31">
        <v>33642.619200000001</v>
      </c>
      <c r="AA10" s="31">
        <v>33642.619200000001</v>
      </c>
      <c r="AB10" s="31">
        <v>191429.36</v>
      </c>
      <c r="AC10" s="31">
        <v>125871.36</v>
      </c>
      <c r="AD10" s="31">
        <v>125871.36</v>
      </c>
      <c r="AE10" s="31">
        <v>125871.36</v>
      </c>
      <c r="AF10" s="31">
        <v>125871.36</v>
      </c>
      <c r="AG10" s="31">
        <v>128388.78719999999</v>
      </c>
      <c r="AH10" s="31">
        <v>141762.61920000002</v>
      </c>
      <c r="AI10" s="31">
        <v>141762.61920000002</v>
      </c>
      <c r="AJ10" s="31">
        <v>141762.61920000002</v>
      </c>
      <c r="AK10" s="31">
        <v>141762.61920000002</v>
      </c>
      <c r="AL10" s="32">
        <v>151.5</v>
      </c>
      <c r="AM10" s="32">
        <v>151.5</v>
      </c>
      <c r="AN10" s="32">
        <v>151.5</v>
      </c>
      <c r="AO10" s="32">
        <v>151.5</v>
      </c>
      <c r="AP10" s="32">
        <v>151.5</v>
      </c>
      <c r="AQ10" s="32">
        <v>139.95169811320756</v>
      </c>
      <c r="AR10" s="32">
        <v>154.53</v>
      </c>
      <c r="AS10" s="32">
        <v>154.53</v>
      </c>
      <c r="AT10" s="32">
        <v>154.53</v>
      </c>
      <c r="AU10" s="32">
        <v>154.53</v>
      </c>
      <c r="AV10" s="9"/>
      <c r="AW10" s="10"/>
      <c r="AY10" s="9"/>
      <c r="AZ10" s="9"/>
    </row>
    <row r="11" spans="2:52" x14ac:dyDescent="0.2">
      <c r="B11" s="20" t="s">
        <v>45</v>
      </c>
      <c r="C11" s="20" t="s">
        <v>46</v>
      </c>
      <c r="D11" s="21" t="s">
        <v>18</v>
      </c>
      <c r="E11" s="20" t="s">
        <v>10</v>
      </c>
      <c r="F11" s="22">
        <v>0</v>
      </c>
      <c r="G11" s="22">
        <v>0.5</v>
      </c>
      <c r="H11" s="31">
        <v>220000</v>
      </c>
      <c r="I11" s="31">
        <v>220000</v>
      </c>
      <c r="J11" s="31">
        <v>220000</v>
      </c>
      <c r="K11" s="31">
        <v>220000</v>
      </c>
      <c r="L11" s="31">
        <v>220000</v>
      </c>
      <c r="M11" s="31">
        <v>224400</v>
      </c>
      <c r="N11" s="31">
        <v>224400</v>
      </c>
      <c r="O11" s="31">
        <v>224400</v>
      </c>
      <c r="P11" s="31">
        <v>224400</v>
      </c>
      <c r="Q11" s="31">
        <v>224400</v>
      </c>
      <c r="R11" s="31">
        <v>68455.199999999997</v>
      </c>
      <c r="S11" s="31">
        <v>68455.199999999997</v>
      </c>
      <c r="T11" s="31">
        <v>68455.199999999997</v>
      </c>
      <c r="U11" s="31">
        <v>68455.199999999997</v>
      </c>
      <c r="V11" s="31">
        <v>68455.199999999997</v>
      </c>
      <c r="W11" s="31">
        <v>69824.304000000004</v>
      </c>
      <c r="X11" s="31">
        <v>69824.304000000004</v>
      </c>
      <c r="Y11" s="31">
        <v>69824.304000000004</v>
      </c>
      <c r="Z11" s="31">
        <v>69824.304000000004</v>
      </c>
      <c r="AA11" s="31">
        <v>69824.304000000004</v>
      </c>
      <c r="AB11" s="31">
        <v>288455.2</v>
      </c>
      <c r="AC11" s="31">
        <v>288455.2</v>
      </c>
      <c r="AD11" s="31">
        <v>288455.2</v>
      </c>
      <c r="AE11" s="31">
        <v>288455.2</v>
      </c>
      <c r="AF11" s="31">
        <v>288455.2</v>
      </c>
      <c r="AG11" s="31">
        <v>294224.304</v>
      </c>
      <c r="AH11" s="31">
        <v>294224.304</v>
      </c>
      <c r="AI11" s="31">
        <v>294224.304</v>
      </c>
      <c r="AJ11" s="31">
        <v>294224.304</v>
      </c>
      <c r="AK11" s="31">
        <v>294224.304</v>
      </c>
      <c r="AL11" s="32">
        <v>205.11373347366646</v>
      </c>
      <c r="AM11" s="32">
        <v>205.11373347366646</v>
      </c>
      <c r="AN11" s="32">
        <v>205.11373347366646</v>
      </c>
      <c r="AO11" s="32">
        <v>205.11373347366646</v>
      </c>
      <c r="AP11" s="32">
        <v>205.11373347366646</v>
      </c>
      <c r="AQ11" s="32">
        <v>209.21600814313976</v>
      </c>
      <c r="AR11" s="32">
        <v>209.21600814313976</v>
      </c>
      <c r="AS11" s="32">
        <v>209.21600814313976</v>
      </c>
      <c r="AT11" s="32">
        <v>209.21600814313976</v>
      </c>
      <c r="AU11" s="32">
        <v>209.21600814313976</v>
      </c>
      <c r="AV11" s="9"/>
      <c r="AW11" s="10"/>
      <c r="AY11" s="9"/>
      <c r="AZ11" s="9"/>
    </row>
    <row r="12" spans="2:52" x14ac:dyDescent="0.2">
      <c r="B12" s="20" t="s">
        <v>47</v>
      </c>
      <c r="C12" s="20" t="s">
        <v>48</v>
      </c>
      <c r="D12" s="21" t="s">
        <v>19</v>
      </c>
      <c r="E12" s="20" t="s">
        <v>10</v>
      </c>
      <c r="F12" s="22">
        <v>0.6</v>
      </c>
      <c r="G12" s="22">
        <v>0</v>
      </c>
      <c r="H12" s="31">
        <v>343095.6</v>
      </c>
      <c r="I12" s="31">
        <v>343095.6</v>
      </c>
      <c r="J12" s="31">
        <v>343095.6</v>
      </c>
      <c r="K12" s="31">
        <v>343095.6</v>
      </c>
      <c r="L12" s="31">
        <v>343095.6</v>
      </c>
      <c r="M12" s="31">
        <v>90769.8</v>
      </c>
      <c r="N12" s="31">
        <v>90769.8</v>
      </c>
      <c r="O12" s="31">
        <v>90769.8</v>
      </c>
      <c r="P12" s="31">
        <v>90769.8</v>
      </c>
      <c r="Q12" s="31">
        <v>90769.8</v>
      </c>
      <c r="R12" s="31">
        <v>106757.62689599999</v>
      </c>
      <c r="S12" s="31">
        <v>106757.62689599999</v>
      </c>
      <c r="T12" s="31">
        <v>106757.62689599999</v>
      </c>
      <c r="U12" s="31">
        <v>106757.62689599999</v>
      </c>
      <c r="V12" s="31">
        <v>106757.62689599999</v>
      </c>
      <c r="W12" s="31">
        <v>28243.930968000001</v>
      </c>
      <c r="X12" s="31">
        <v>28243.930968000001</v>
      </c>
      <c r="Y12" s="31">
        <v>28243.930968000001</v>
      </c>
      <c r="Z12" s="31">
        <v>28243.930968000001</v>
      </c>
      <c r="AA12" s="31">
        <v>28243.930968000001</v>
      </c>
      <c r="AB12" s="31">
        <v>449853.22689599998</v>
      </c>
      <c r="AC12" s="31">
        <v>449853.22689599998</v>
      </c>
      <c r="AD12" s="31">
        <v>449853.22689599998</v>
      </c>
      <c r="AE12" s="31">
        <v>449853.22689599998</v>
      </c>
      <c r="AF12" s="31">
        <v>449853.22689599998</v>
      </c>
      <c r="AG12" s="31">
        <v>119013.730968</v>
      </c>
      <c r="AH12" s="31">
        <v>119013.730968</v>
      </c>
      <c r="AI12" s="31">
        <v>119013.730968</v>
      </c>
      <c r="AJ12" s="31">
        <v>119013.730968</v>
      </c>
      <c r="AK12" s="31">
        <v>119013.730968</v>
      </c>
      <c r="AL12" s="32">
        <v>209.9999137482173</v>
      </c>
      <c r="AM12" s="32">
        <v>209.9999137482173</v>
      </c>
      <c r="AN12" s="32">
        <v>209.9999137482173</v>
      </c>
      <c r="AO12" s="32">
        <v>209.9999137482173</v>
      </c>
      <c r="AP12" s="32">
        <v>209.9999137482173</v>
      </c>
      <c r="AQ12" s="32">
        <v>55.557839188094903</v>
      </c>
      <c r="AR12" s="32">
        <v>55.557839188094903</v>
      </c>
      <c r="AS12" s="32">
        <v>55.557839188094903</v>
      </c>
      <c r="AT12" s="32">
        <v>55.557839188094903</v>
      </c>
      <c r="AU12" s="32">
        <v>55.557839188094903</v>
      </c>
      <c r="AV12" s="9"/>
      <c r="AW12" s="10"/>
      <c r="AY12" s="9"/>
      <c r="AZ12" s="9"/>
    </row>
    <row r="13" spans="2:52" x14ac:dyDescent="0.2">
      <c r="B13" s="20" t="s">
        <v>49</v>
      </c>
      <c r="C13" s="20" t="s">
        <v>50</v>
      </c>
      <c r="D13" s="21" t="s">
        <v>20</v>
      </c>
      <c r="E13" s="20" t="s">
        <v>10</v>
      </c>
      <c r="F13" s="22">
        <v>0.75</v>
      </c>
      <c r="G13" s="22">
        <v>0</v>
      </c>
      <c r="H13" s="31">
        <v>596000</v>
      </c>
      <c r="I13" s="31">
        <v>596000</v>
      </c>
      <c r="J13" s="31">
        <v>416000</v>
      </c>
      <c r="K13" s="31">
        <v>656000</v>
      </c>
      <c r="L13" s="31">
        <v>564000</v>
      </c>
      <c r="M13" s="31">
        <v>575280</v>
      </c>
      <c r="N13" s="31">
        <v>575280</v>
      </c>
      <c r="O13" s="31">
        <v>575280</v>
      </c>
      <c r="P13" s="31">
        <v>575280</v>
      </c>
      <c r="Q13" s="31">
        <v>575280</v>
      </c>
      <c r="R13" s="31">
        <v>185451.36</v>
      </c>
      <c r="S13" s="31">
        <v>185451.36</v>
      </c>
      <c r="T13" s="31">
        <v>129442.56</v>
      </c>
      <c r="U13" s="31">
        <v>204120.95999999999</v>
      </c>
      <c r="V13" s="31">
        <v>175494.24</v>
      </c>
      <c r="W13" s="31">
        <v>179004.12479999999</v>
      </c>
      <c r="X13" s="31">
        <v>179004.12479999999</v>
      </c>
      <c r="Y13" s="31">
        <v>179004.12479999999</v>
      </c>
      <c r="Z13" s="31">
        <v>179004.12479999999</v>
      </c>
      <c r="AA13" s="31">
        <v>179004.12479999999</v>
      </c>
      <c r="AB13" s="31">
        <v>781451.36</v>
      </c>
      <c r="AC13" s="31">
        <v>781451.36</v>
      </c>
      <c r="AD13" s="31">
        <v>545442.56000000006</v>
      </c>
      <c r="AE13" s="31">
        <v>860120.96</v>
      </c>
      <c r="AF13" s="31">
        <v>739494.24</v>
      </c>
      <c r="AG13" s="31">
        <v>754284.12479999999</v>
      </c>
      <c r="AH13" s="31">
        <v>754284.12479999999</v>
      </c>
      <c r="AI13" s="31">
        <v>754284.12479999999</v>
      </c>
      <c r="AJ13" s="31">
        <v>754284.12479999999</v>
      </c>
      <c r="AK13" s="31">
        <v>754284.12479999999</v>
      </c>
      <c r="AL13" s="32">
        <v>1900</v>
      </c>
      <c r="AM13" s="32">
        <v>1900</v>
      </c>
      <c r="AN13" s="32">
        <v>1900</v>
      </c>
      <c r="AO13" s="32">
        <v>1900</v>
      </c>
      <c r="AP13" s="32">
        <v>1900</v>
      </c>
      <c r="AQ13" s="32">
        <v>1932.5176803394627</v>
      </c>
      <c r="AR13" s="32">
        <v>1932.5176803394627</v>
      </c>
      <c r="AS13" s="32">
        <v>1932.5176803394627</v>
      </c>
      <c r="AT13" s="32">
        <v>1932.5176803394627</v>
      </c>
      <c r="AU13" s="32">
        <v>1932.5176803394627</v>
      </c>
      <c r="AV13" s="9"/>
      <c r="AW13" s="10"/>
      <c r="AY13" s="9"/>
      <c r="AZ13" s="9"/>
    </row>
    <row r="14" spans="2:52" x14ac:dyDescent="0.2">
      <c r="B14" s="20" t="s">
        <v>41</v>
      </c>
      <c r="C14" s="20" t="s">
        <v>42</v>
      </c>
      <c r="D14" s="21" t="s">
        <v>79</v>
      </c>
      <c r="E14" s="20" t="s">
        <v>140</v>
      </c>
      <c r="F14" s="22">
        <v>1</v>
      </c>
      <c r="G14" s="22">
        <v>0</v>
      </c>
      <c r="H14" s="31">
        <v>5677</v>
      </c>
      <c r="I14" s="31">
        <v>5677</v>
      </c>
      <c r="J14" s="31">
        <v>5677</v>
      </c>
      <c r="K14" s="31">
        <v>5677</v>
      </c>
      <c r="L14" s="31">
        <v>5677</v>
      </c>
      <c r="M14" s="31">
        <v>5677</v>
      </c>
      <c r="N14" s="31">
        <v>5677</v>
      </c>
      <c r="O14" s="31">
        <v>5677</v>
      </c>
      <c r="P14" s="31">
        <v>5677</v>
      </c>
      <c r="Q14" s="31">
        <v>5677</v>
      </c>
      <c r="R14" s="31">
        <v>1766.45532</v>
      </c>
      <c r="S14" s="31">
        <v>1766.45532</v>
      </c>
      <c r="T14" s="31">
        <v>1766.45532</v>
      </c>
      <c r="U14" s="31">
        <v>1766.45532</v>
      </c>
      <c r="V14" s="31">
        <v>1766.45532</v>
      </c>
      <c r="W14" s="31">
        <v>1766.45532</v>
      </c>
      <c r="X14" s="31">
        <v>1766.45532</v>
      </c>
      <c r="Y14" s="31">
        <v>1766.45532</v>
      </c>
      <c r="Z14" s="31">
        <v>1766.45532</v>
      </c>
      <c r="AA14" s="31">
        <v>1766.45532</v>
      </c>
      <c r="AB14" s="31">
        <v>7443.45532</v>
      </c>
      <c r="AC14" s="31">
        <v>7443.45532</v>
      </c>
      <c r="AD14" s="31">
        <v>7443.45532</v>
      </c>
      <c r="AE14" s="31">
        <v>7443.45532</v>
      </c>
      <c r="AF14" s="31">
        <v>7443.45532</v>
      </c>
      <c r="AG14" s="31">
        <v>7443.45532</v>
      </c>
      <c r="AH14" s="31">
        <v>7443.45532</v>
      </c>
      <c r="AI14" s="31">
        <v>7443.45532</v>
      </c>
      <c r="AJ14" s="31">
        <v>7443.45532</v>
      </c>
      <c r="AK14" s="31">
        <v>7443.45532</v>
      </c>
      <c r="AL14" s="32">
        <v>200</v>
      </c>
      <c r="AM14" s="32">
        <v>200</v>
      </c>
      <c r="AN14" s="32">
        <v>200</v>
      </c>
      <c r="AO14" s="32">
        <v>200</v>
      </c>
      <c r="AP14" s="32">
        <v>200</v>
      </c>
      <c r="AQ14" s="32">
        <v>200</v>
      </c>
      <c r="AR14" s="32">
        <v>200</v>
      </c>
      <c r="AS14" s="32">
        <v>200</v>
      </c>
      <c r="AT14" s="32">
        <v>200</v>
      </c>
      <c r="AU14" s="32">
        <v>200</v>
      </c>
      <c r="AV14" s="9"/>
      <c r="AW14" s="10"/>
      <c r="AY14" s="9"/>
      <c r="AZ14" s="9"/>
    </row>
    <row r="15" spans="2:52" x14ac:dyDescent="0.2">
      <c r="B15" s="20" t="s">
        <v>39</v>
      </c>
      <c r="C15" s="20" t="s">
        <v>40</v>
      </c>
      <c r="D15" s="21" t="s">
        <v>80</v>
      </c>
      <c r="E15" s="20" t="s">
        <v>140</v>
      </c>
      <c r="F15" s="22">
        <v>1</v>
      </c>
      <c r="G15" s="22">
        <v>0</v>
      </c>
      <c r="H15" s="31">
        <v>222288.17777777778</v>
      </c>
      <c r="I15" s="31">
        <v>222288.17777777778</v>
      </c>
      <c r="J15" s="31">
        <v>222288.17777777778</v>
      </c>
      <c r="K15" s="31">
        <v>222288.17777777778</v>
      </c>
      <c r="L15" s="31">
        <v>222288.17777777778</v>
      </c>
      <c r="M15" s="31">
        <v>222288.17777777778</v>
      </c>
      <c r="N15" s="31">
        <v>222288.17777777778</v>
      </c>
      <c r="O15" s="31">
        <v>222288.17777777778</v>
      </c>
      <c r="P15" s="31">
        <v>222288.17777777778</v>
      </c>
      <c r="Q15" s="31">
        <v>222288.17777777778</v>
      </c>
      <c r="R15" s="31">
        <v>69167.189397333335</v>
      </c>
      <c r="S15" s="31">
        <v>69167.189397333335</v>
      </c>
      <c r="T15" s="31">
        <v>69167.189397333335</v>
      </c>
      <c r="U15" s="31">
        <v>69167.189397333335</v>
      </c>
      <c r="V15" s="31">
        <v>69167.189397333335</v>
      </c>
      <c r="W15" s="31">
        <v>69167.189397333335</v>
      </c>
      <c r="X15" s="31">
        <v>69167.189397333335</v>
      </c>
      <c r="Y15" s="31">
        <v>69167.189397333335</v>
      </c>
      <c r="Z15" s="31">
        <v>69167.189397333335</v>
      </c>
      <c r="AA15" s="31">
        <v>69167.189397333335</v>
      </c>
      <c r="AB15" s="31">
        <v>291455.36717511108</v>
      </c>
      <c r="AC15" s="31">
        <v>291455.36717511108</v>
      </c>
      <c r="AD15" s="31">
        <v>291455.36717511108</v>
      </c>
      <c r="AE15" s="31">
        <v>291455.36717511108</v>
      </c>
      <c r="AF15" s="31">
        <v>291455.36717511108</v>
      </c>
      <c r="AG15" s="31">
        <v>291455.36717511108</v>
      </c>
      <c r="AH15" s="31">
        <v>291455.36717511108</v>
      </c>
      <c r="AI15" s="31">
        <v>291455.36717511108</v>
      </c>
      <c r="AJ15" s="31">
        <v>291455.36717511108</v>
      </c>
      <c r="AK15" s="31">
        <v>291455.36717511108</v>
      </c>
      <c r="AL15" s="32">
        <v>1530</v>
      </c>
      <c r="AM15" s="32">
        <v>1530</v>
      </c>
      <c r="AN15" s="32">
        <v>1530</v>
      </c>
      <c r="AO15" s="32">
        <v>1530</v>
      </c>
      <c r="AP15" s="32">
        <v>1530</v>
      </c>
      <c r="AQ15" s="32">
        <v>1530</v>
      </c>
      <c r="AR15" s="32">
        <v>1530</v>
      </c>
      <c r="AS15" s="32">
        <v>1530</v>
      </c>
      <c r="AT15" s="32">
        <v>1530</v>
      </c>
      <c r="AU15" s="32">
        <v>1530</v>
      </c>
      <c r="AV15" s="9"/>
      <c r="AW15" s="10"/>
      <c r="AY15" s="9"/>
      <c r="AZ15" s="9"/>
    </row>
    <row r="16" spans="2:52" x14ac:dyDescent="0.2">
      <c r="B16" s="20" t="s">
        <v>30</v>
      </c>
      <c r="C16" s="20" t="s">
        <v>28</v>
      </c>
      <c r="D16" s="21" t="s">
        <v>21</v>
      </c>
      <c r="E16" s="20" t="s">
        <v>11</v>
      </c>
      <c r="F16" s="22">
        <v>3.5897904357014835E-4</v>
      </c>
      <c r="G16" s="22">
        <v>0.14594407715771626</v>
      </c>
      <c r="H16" s="31">
        <v>1208293</v>
      </c>
      <c r="I16" s="31">
        <v>1221941</v>
      </c>
      <c r="J16" s="31">
        <v>1210429</v>
      </c>
      <c r="K16" s="31">
        <v>1202222</v>
      </c>
      <c r="L16" s="31">
        <v>1193469</v>
      </c>
      <c r="M16" s="31">
        <v>1217338.3800000001</v>
      </c>
      <c r="N16" s="31">
        <v>1241685.1476000003</v>
      </c>
      <c r="O16" s="31">
        <v>1266518.8505520003</v>
      </c>
      <c r="P16" s="31">
        <v>1291849.2275630403</v>
      </c>
      <c r="Q16" s="31">
        <v>1317686.212114301</v>
      </c>
      <c r="R16" s="31">
        <v>375972.44987999997</v>
      </c>
      <c r="S16" s="31">
        <v>380219.16155999998</v>
      </c>
      <c r="T16" s="31">
        <v>376637.08763999998</v>
      </c>
      <c r="U16" s="31">
        <v>374083.39752</v>
      </c>
      <c r="V16" s="31">
        <v>371359.81403999997</v>
      </c>
      <c r="W16" s="31">
        <v>378787.01032080001</v>
      </c>
      <c r="X16" s="31">
        <v>386362.75052721606</v>
      </c>
      <c r="Y16" s="31">
        <v>394090.00553776044</v>
      </c>
      <c r="Z16" s="31">
        <v>401971.80564851564</v>
      </c>
      <c r="AA16" s="31">
        <v>410011.24176148593</v>
      </c>
      <c r="AB16" s="31">
        <v>1584265.44988</v>
      </c>
      <c r="AC16" s="31">
        <v>1602160.1615599999</v>
      </c>
      <c r="AD16" s="31">
        <v>1587066.08764</v>
      </c>
      <c r="AE16" s="31">
        <v>1576305.3975200001</v>
      </c>
      <c r="AF16" s="31">
        <v>1564828.8140400001</v>
      </c>
      <c r="AG16" s="31">
        <v>1596125.3903208002</v>
      </c>
      <c r="AH16" s="31">
        <v>1628047.8981272164</v>
      </c>
      <c r="AI16" s="31">
        <v>1660608.8560897608</v>
      </c>
      <c r="AJ16" s="31">
        <v>1693821.033211556</v>
      </c>
      <c r="AK16" s="31">
        <v>1727697.4538757871</v>
      </c>
      <c r="AL16" s="32">
        <v>65</v>
      </c>
      <c r="AM16" s="32">
        <v>65</v>
      </c>
      <c r="AN16" s="32">
        <v>65</v>
      </c>
      <c r="AO16" s="32">
        <v>65</v>
      </c>
      <c r="AP16" s="32">
        <v>65</v>
      </c>
      <c r="AQ16" s="32">
        <v>65.542043011393972</v>
      </c>
      <c r="AR16" s="32">
        <v>66.852883871621856</v>
      </c>
      <c r="AS16" s="32">
        <v>68.189941549054296</v>
      </c>
      <c r="AT16" s="32">
        <v>69.553740380035393</v>
      </c>
      <c r="AU16" s="32">
        <v>70.944815187636095</v>
      </c>
      <c r="AV16" s="9"/>
      <c r="AW16" s="10"/>
      <c r="AY16" s="9"/>
      <c r="AZ16" s="9"/>
    </row>
    <row r="17" spans="2:52" x14ac:dyDescent="0.2">
      <c r="B17" s="20" t="s">
        <v>31</v>
      </c>
      <c r="C17" s="20" t="s">
        <v>28</v>
      </c>
      <c r="D17" s="21" t="s">
        <v>22</v>
      </c>
      <c r="E17" s="20" t="s">
        <v>11</v>
      </c>
      <c r="F17" s="22">
        <v>5.3958716615648706E-3</v>
      </c>
      <c r="G17" s="22">
        <v>5.208451870907721E-2</v>
      </c>
      <c r="H17" s="31">
        <v>1598457</v>
      </c>
      <c r="I17" s="31">
        <v>1621567</v>
      </c>
      <c r="J17" s="31">
        <v>1611296</v>
      </c>
      <c r="K17" s="31">
        <v>1601025</v>
      </c>
      <c r="L17" s="31">
        <v>1590754</v>
      </c>
      <c r="M17" s="31">
        <v>1622569.08</v>
      </c>
      <c r="N17" s="31">
        <v>1655020.4616</v>
      </c>
      <c r="O17" s="31">
        <v>1688120.8708320002</v>
      </c>
      <c r="P17" s="31">
        <v>1721883.2882486403</v>
      </c>
      <c r="Q17" s="31">
        <v>1756320.9540136131</v>
      </c>
      <c r="R17" s="31">
        <v>497375.88011999999</v>
      </c>
      <c r="S17" s="31">
        <v>504566.78771999996</v>
      </c>
      <c r="T17" s="31">
        <v>501370.86335999996</v>
      </c>
      <c r="U17" s="31">
        <v>498174.93900000001</v>
      </c>
      <c r="V17" s="31">
        <v>494979.01464000001</v>
      </c>
      <c r="W17" s="31">
        <v>504878.59493279998</v>
      </c>
      <c r="X17" s="31">
        <v>514976.16683145601</v>
      </c>
      <c r="Y17" s="31">
        <v>525275.69016808516</v>
      </c>
      <c r="Z17" s="31">
        <v>535781.20397144684</v>
      </c>
      <c r="AA17" s="31">
        <v>546496.8280508758</v>
      </c>
      <c r="AB17" s="31">
        <v>2095832.8801199999</v>
      </c>
      <c r="AC17" s="31">
        <v>2126133.7877199999</v>
      </c>
      <c r="AD17" s="31">
        <v>2112666.8633599998</v>
      </c>
      <c r="AE17" s="31">
        <v>2099199.9390000002</v>
      </c>
      <c r="AF17" s="31">
        <v>2085733.01464</v>
      </c>
      <c r="AG17" s="31">
        <v>2127447.6749328002</v>
      </c>
      <c r="AH17" s="31">
        <v>2169996.6284314562</v>
      </c>
      <c r="AI17" s="31">
        <v>2213396.5610000854</v>
      </c>
      <c r="AJ17" s="31">
        <v>2257664.492220087</v>
      </c>
      <c r="AK17" s="31">
        <v>2302817.7820644891</v>
      </c>
      <c r="AL17" s="32">
        <v>3963.6666666666665</v>
      </c>
      <c r="AM17" s="32">
        <v>3963.6666666666665</v>
      </c>
      <c r="AN17" s="32">
        <v>3963.6666666666665</v>
      </c>
      <c r="AO17" s="32">
        <v>3963.6666666666665</v>
      </c>
      <c r="AP17" s="32">
        <v>3963.6666666666665</v>
      </c>
      <c r="AQ17" s="32">
        <v>4008.0042492059488</v>
      </c>
      <c r="AR17" s="32">
        <v>4088.1643341900676</v>
      </c>
      <c r="AS17" s="32">
        <v>4169.9276208738693</v>
      </c>
      <c r="AT17" s="32">
        <v>4253.326173291347</v>
      </c>
      <c r="AU17" s="32">
        <v>4338.3926967571742</v>
      </c>
      <c r="AV17" s="9"/>
      <c r="AW17" s="10"/>
      <c r="AY17" s="9"/>
      <c r="AZ17" s="9"/>
    </row>
    <row r="18" spans="2:52" x14ac:dyDescent="0.2">
      <c r="B18" s="20" t="s">
        <v>32</v>
      </c>
      <c r="C18" s="20" t="s">
        <v>29</v>
      </c>
      <c r="D18" s="21" t="s">
        <v>24</v>
      </c>
      <c r="E18" s="20" t="s">
        <v>11</v>
      </c>
      <c r="F18" s="22">
        <v>7.6733814006777509E-4</v>
      </c>
      <c r="G18" s="22">
        <v>3.1499653931755488E-2</v>
      </c>
      <c r="H18" s="31">
        <v>584272</v>
      </c>
      <c r="I18" s="31">
        <v>592719</v>
      </c>
      <c r="J18" s="31">
        <v>588965</v>
      </c>
      <c r="K18" s="31">
        <v>585210</v>
      </c>
      <c r="L18" s="31">
        <v>581456</v>
      </c>
      <c r="M18" s="31">
        <v>593085.12</v>
      </c>
      <c r="N18" s="31">
        <v>604946.82240000006</v>
      </c>
      <c r="O18" s="31">
        <v>617045.75884800008</v>
      </c>
      <c r="P18" s="31">
        <v>629386.67402496014</v>
      </c>
      <c r="Q18" s="31">
        <v>641974.40750545938</v>
      </c>
      <c r="R18" s="31">
        <v>181802.07551999998</v>
      </c>
      <c r="S18" s="31">
        <v>184430.44404</v>
      </c>
      <c r="T18" s="31">
        <v>183262.34940000001</v>
      </c>
      <c r="U18" s="31">
        <v>182093.9436</v>
      </c>
      <c r="V18" s="31">
        <v>180925.84896</v>
      </c>
      <c r="W18" s="31">
        <v>184544.36593919998</v>
      </c>
      <c r="X18" s="31">
        <v>188235.253257984</v>
      </c>
      <c r="Y18" s="31">
        <v>191999.95832314371</v>
      </c>
      <c r="Z18" s="31">
        <v>195839.9574896066</v>
      </c>
      <c r="AA18" s="31">
        <v>199756.75663939875</v>
      </c>
      <c r="AB18" s="31">
        <v>766074.07551999995</v>
      </c>
      <c r="AC18" s="31">
        <v>777149.44403999997</v>
      </c>
      <c r="AD18" s="31">
        <v>772227.34939999995</v>
      </c>
      <c r="AE18" s="31">
        <v>767303.9436</v>
      </c>
      <c r="AF18" s="31">
        <v>762381.84895999997</v>
      </c>
      <c r="AG18" s="31">
        <v>777629.48593920004</v>
      </c>
      <c r="AH18" s="31">
        <v>793182.07565798401</v>
      </c>
      <c r="AI18" s="31">
        <v>809045.71717114374</v>
      </c>
      <c r="AJ18" s="31">
        <v>825226.63151456672</v>
      </c>
      <c r="AK18" s="31">
        <v>841731.16414485814</v>
      </c>
      <c r="AL18" s="32">
        <v>520.33333333333337</v>
      </c>
      <c r="AM18" s="32">
        <v>520.33333333333337</v>
      </c>
      <c r="AN18" s="32">
        <v>520.33333333333337</v>
      </c>
      <c r="AO18" s="32">
        <v>520.33333333333337</v>
      </c>
      <c r="AP18" s="32">
        <v>520.33333333333337</v>
      </c>
      <c r="AQ18" s="32">
        <v>526.15365607978129</v>
      </c>
      <c r="AR18" s="32">
        <v>536.67672920137693</v>
      </c>
      <c r="AS18" s="32">
        <v>547.41026378540448</v>
      </c>
      <c r="AT18" s="32">
        <v>558.3584690611126</v>
      </c>
      <c r="AU18" s="32">
        <v>569.52563844233498</v>
      </c>
      <c r="AV18" s="9"/>
      <c r="AW18" s="10"/>
      <c r="AY18" s="9"/>
      <c r="AZ18" s="9"/>
    </row>
    <row r="19" spans="2:52" x14ac:dyDescent="0.2">
      <c r="B19" s="20" t="s">
        <v>33</v>
      </c>
      <c r="C19" s="20" t="s">
        <v>28</v>
      </c>
      <c r="D19" s="21" t="s">
        <v>23</v>
      </c>
      <c r="E19" s="20" t="s">
        <v>11</v>
      </c>
      <c r="F19" s="22">
        <v>3.3849090245811962E-3</v>
      </c>
      <c r="G19" s="22">
        <v>0.12260565199557023</v>
      </c>
      <c r="H19" s="31">
        <v>1693672</v>
      </c>
      <c r="I19" s="31">
        <v>1718159</v>
      </c>
      <c r="J19" s="31">
        <v>1707276</v>
      </c>
      <c r="K19" s="31">
        <v>1696393</v>
      </c>
      <c r="L19" s="31">
        <v>1685510</v>
      </c>
      <c r="M19" s="31">
        <v>1719220.2</v>
      </c>
      <c r="N19" s="31">
        <v>1753604.6040000001</v>
      </c>
      <c r="O19" s="31">
        <v>1788676.6960800001</v>
      </c>
      <c r="P19" s="31">
        <v>1824450.2300016002</v>
      </c>
      <c r="Q19" s="31">
        <v>1860939.2346016322</v>
      </c>
      <c r="R19" s="31">
        <v>527002.97951999994</v>
      </c>
      <c r="S19" s="31">
        <v>534622.35444000002</v>
      </c>
      <c r="T19" s="31">
        <v>531236.00015999994</v>
      </c>
      <c r="U19" s="31">
        <v>527849.64587999997</v>
      </c>
      <c r="V19" s="31">
        <v>524463.2916</v>
      </c>
      <c r="W19" s="31">
        <v>534952.55743199994</v>
      </c>
      <c r="X19" s="31">
        <v>545651.60858064005</v>
      </c>
      <c r="Y19" s="31">
        <v>556564.64075225277</v>
      </c>
      <c r="Z19" s="31">
        <v>567695.93356729788</v>
      </c>
      <c r="AA19" s="31">
        <v>579049.85223864391</v>
      </c>
      <c r="AB19" s="31">
        <v>2220674.9795200001</v>
      </c>
      <c r="AC19" s="31">
        <v>2252781.3544399999</v>
      </c>
      <c r="AD19" s="31">
        <v>2238512.0001599998</v>
      </c>
      <c r="AE19" s="31">
        <v>2224242.6458799997</v>
      </c>
      <c r="AF19" s="31">
        <v>2209973.2916000001</v>
      </c>
      <c r="AG19" s="31">
        <v>2254172.7574319998</v>
      </c>
      <c r="AH19" s="31">
        <v>2299256.2125806399</v>
      </c>
      <c r="AI19" s="31">
        <v>2345241.3368322528</v>
      </c>
      <c r="AJ19" s="31">
        <v>2392146.1635688981</v>
      </c>
      <c r="AK19" s="31">
        <v>2439989.0868402761</v>
      </c>
      <c r="AL19" s="32">
        <v>821.66666666666663</v>
      </c>
      <c r="AM19" s="32">
        <v>821.66666666666663</v>
      </c>
      <c r="AN19" s="32">
        <v>821.66666666666663</v>
      </c>
      <c r="AO19" s="32">
        <v>821.66666666666663</v>
      </c>
      <c r="AP19" s="32">
        <v>821.66666666666663</v>
      </c>
      <c r="AQ19" s="32">
        <v>830.85770455510578</v>
      </c>
      <c r="AR19" s="32">
        <v>847.47485864620796</v>
      </c>
      <c r="AS19" s="32">
        <v>864.42435581913207</v>
      </c>
      <c r="AT19" s="32">
        <v>881.7128429355148</v>
      </c>
      <c r="AU19" s="32">
        <v>899.34709979422507</v>
      </c>
      <c r="AV19" s="9"/>
      <c r="AW19" s="10"/>
      <c r="AY19" s="9"/>
      <c r="AZ19" s="9"/>
    </row>
    <row r="20" spans="2:52" x14ac:dyDescent="0.2">
      <c r="B20" s="20" t="s">
        <v>34</v>
      </c>
      <c r="C20" s="20" t="s">
        <v>29</v>
      </c>
      <c r="D20" s="21" t="s">
        <v>25</v>
      </c>
      <c r="E20" s="20" t="s">
        <v>11</v>
      </c>
      <c r="F20" s="22">
        <v>7.3352688666463773E-4</v>
      </c>
      <c r="G20" s="22">
        <v>3.5172372537029817E-2</v>
      </c>
      <c r="H20" s="31">
        <v>6771621</v>
      </c>
      <c r="I20" s="31">
        <v>6869524</v>
      </c>
      <c r="J20" s="31">
        <v>6826011</v>
      </c>
      <c r="K20" s="31">
        <v>6782499</v>
      </c>
      <c r="L20" s="31">
        <v>6738986</v>
      </c>
      <c r="M20" s="31">
        <v>6873765.7199999997</v>
      </c>
      <c r="N20" s="31">
        <v>7011241.0344000002</v>
      </c>
      <c r="O20" s="31">
        <v>7151465.8550880002</v>
      </c>
      <c r="P20" s="31">
        <v>7294495.17218976</v>
      </c>
      <c r="Q20" s="31">
        <v>7440385.0756335557</v>
      </c>
      <c r="R20" s="31">
        <v>2107057.5903599998</v>
      </c>
      <c r="S20" s="31">
        <v>2137521.0878400002</v>
      </c>
      <c r="T20" s="31">
        <v>2123981.5827600001</v>
      </c>
      <c r="U20" s="31">
        <v>2110442.3888400001</v>
      </c>
      <c r="V20" s="31">
        <v>2096902.8837599999</v>
      </c>
      <c r="W20" s="31">
        <v>2138840.9414351997</v>
      </c>
      <c r="X20" s="31">
        <v>2181617.760263904</v>
      </c>
      <c r="Y20" s="31">
        <v>2225250.1154691819</v>
      </c>
      <c r="Z20" s="31">
        <v>2269755.1177785657</v>
      </c>
      <c r="AA20" s="31">
        <v>2315150.2201341372</v>
      </c>
      <c r="AB20" s="31">
        <v>8878678.5903600007</v>
      </c>
      <c r="AC20" s="31">
        <v>9007045.0878400002</v>
      </c>
      <c r="AD20" s="31">
        <v>8949992.5827600006</v>
      </c>
      <c r="AE20" s="31">
        <v>8892941.3888400011</v>
      </c>
      <c r="AF20" s="31">
        <v>8835888.8837599996</v>
      </c>
      <c r="AG20" s="31">
        <v>9012606.6614351999</v>
      </c>
      <c r="AH20" s="31">
        <v>9192858.7946639042</v>
      </c>
      <c r="AI20" s="31">
        <v>9376715.970557183</v>
      </c>
      <c r="AJ20" s="31">
        <v>9564250.2899683267</v>
      </c>
      <c r="AK20" s="31">
        <v>9755535.2957676928</v>
      </c>
      <c r="AL20" s="32">
        <v>1690</v>
      </c>
      <c r="AM20" s="32">
        <v>1690</v>
      </c>
      <c r="AN20" s="32">
        <v>1690</v>
      </c>
      <c r="AO20" s="32">
        <v>1690</v>
      </c>
      <c r="AP20" s="32">
        <v>1690</v>
      </c>
      <c r="AQ20" s="32">
        <v>1708.9038756801131</v>
      </c>
      <c r="AR20" s="32">
        <v>1743.0819531937154</v>
      </c>
      <c r="AS20" s="32">
        <v>1777.9435922575899</v>
      </c>
      <c r="AT20" s="32">
        <v>1813.5024641027417</v>
      </c>
      <c r="AU20" s="32">
        <v>1849.7725133847964</v>
      </c>
      <c r="AV20" s="9"/>
      <c r="AW20" s="10"/>
      <c r="AY20" s="9"/>
      <c r="AZ20" s="9"/>
    </row>
    <row r="21" spans="2:52" x14ac:dyDescent="0.2">
      <c r="AV21" s="9"/>
    </row>
  </sheetData>
  <mergeCells count="14">
    <mergeCell ref="D6:D7"/>
    <mergeCell ref="C6:C7"/>
    <mergeCell ref="B6:B7"/>
    <mergeCell ref="G6:G7"/>
    <mergeCell ref="F6:F7"/>
    <mergeCell ref="E6:E7"/>
    <mergeCell ref="H6:Q6"/>
    <mergeCell ref="AL6:AU6"/>
    <mergeCell ref="AQ5:AU5"/>
    <mergeCell ref="AG5:AK5"/>
    <mergeCell ref="AB6:AK6"/>
    <mergeCell ref="W5:AA5"/>
    <mergeCell ref="R6:AA6"/>
    <mergeCell ref="M5:Q5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CB29-9F2F-4E23-A0A9-345FC5FFF3DC}">
  <sheetPr>
    <tabColor theme="3"/>
  </sheetPr>
  <dimension ref="A1"/>
  <sheetViews>
    <sheetView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93C6-C02D-4A7B-8D23-056E32431E32}">
  <dimension ref="B1:L20"/>
  <sheetViews>
    <sheetView showGridLines="0" workbookViewId="0">
      <selection activeCell="K20" sqref="K20"/>
    </sheetView>
  </sheetViews>
  <sheetFormatPr defaultRowHeight="12.75" x14ac:dyDescent="0.2"/>
  <cols>
    <col min="1" max="1" width="9.140625" style="2"/>
    <col min="2" max="2" width="25.42578125" style="2" customWidth="1"/>
    <col min="3" max="3" width="18" style="2" bestFit="1" customWidth="1"/>
    <col min="4" max="12" width="18.140625" style="2" customWidth="1"/>
    <col min="13" max="16384" width="9.140625" style="2"/>
  </cols>
  <sheetData>
    <row r="1" spans="2:12" ht="21" x14ac:dyDescent="0.35">
      <c r="B1" s="65" t="s">
        <v>138</v>
      </c>
    </row>
    <row r="2" spans="2:12" ht="15" x14ac:dyDescent="0.25">
      <c r="B2" s="64" t="s">
        <v>139</v>
      </c>
    </row>
    <row r="4" spans="2:12" x14ac:dyDescent="0.2">
      <c r="B4" s="33" t="s">
        <v>127</v>
      </c>
      <c r="C4" s="33"/>
      <c r="D4" s="28"/>
      <c r="E4" s="28"/>
      <c r="F4" s="28"/>
      <c r="G4" s="28"/>
      <c r="H4" s="28"/>
      <c r="I4" s="28"/>
      <c r="J4" s="28"/>
      <c r="K4" s="28"/>
      <c r="L4" s="28"/>
    </row>
    <row r="6" spans="2:12" x14ac:dyDescent="0.2">
      <c r="B6" s="15" t="s">
        <v>55</v>
      </c>
      <c r="C6" s="15" t="s">
        <v>116</v>
      </c>
      <c r="D6" s="15" t="s">
        <v>117</v>
      </c>
    </row>
    <row r="7" spans="2:12" x14ac:dyDescent="0.2">
      <c r="B7" s="13" t="s">
        <v>57</v>
      </c>
      <c r="C7" s="35">
        <f>SUMIF('Model Parameters'!$C$24:$C$48,'Model Parameters'!$B58,'Model Parameters'!$D$24:$D$48)*INDEX('Model Parameters'!$C$58:$C$63,MATCH($B7,'Model Parameters'!$B$58:$B$63,0))</f>
        <v>644.09263817682597</v>
      </c>
      <c r="D7" s="35">
        <f>SUMIF('Model Parameters'!$C$24:$C$48,'Model Parameters'!$B58,'Model Parameters'!$D$24:$D$48)*INDEX('Model Parameters'!$F$58:$F$63,MATCH($B7,'Model Parameters'!$B$58:$B$63,0))</f>
        <v>644.09263817682597</v>
      </c>
    </row>
    <row r="8" spans="2:12" x14ac:dyDescent="0.2">
      <c r="B8" s="13" t="s">
        <v>94</v>
      </c>
      <c r="C8" s="35">
        <f>SUMIF('Model Parameters'!$C$24:$C$48,'Model Parameters'!$B59,'Model Parameters'!$D$24:$D$48)*INDEX('Model Parameters'!$C$58:$C$63,MATCH($B8,'Model Parameters'!$B$58:$B$63,0))</f>
        <v>146.2419995960623</v>
      </c>
      <c r="D8" s="35">
        <f>SUMIF('Model Parameters'!$C$24:$C$48,'Model Parameters'!$B59,'Model Parameters'!$D$24:$D$48)*INDEX('Model Parameters'!$F$58:$F$63,MATCH($B8,'Model Parameters'!$B$58:$B$63,0))</f>
        <v>146.2419995960623</v>
      </c>
    </row>
    <row r="9" spans="2:12" x14ac:dyDescent="0.2">
      <c r="B9" s="13" t="s">
        <v>95</v>
      </c>
      <c r="C9" s="35">
        <f>SUMIF('Model Parameters'!$C$24:$C$48,'Model Parameters'!$B60,'Model Parameters'!$D$24:$D$48)*INDEX('Model Parameters'!$C$58:$C$63,MATCH($B9,'Model Parameters'!$B$58:$B$63,0))</f>
        <v>71.411409746049515</v>
      </c>
      <c r="D9" s="35">
        <f>SUMIF('Model Parameters'!$C$24:$C$48,'Model Parameters'!$B60,'Model Parameters'!$D$24:$D$48)*INDEX('Model Parameters'!$F$58:$F$63,MATCH($B9,'Model Parameters'!$B$58:$B$63,0))</f>
        <v>71.411409746049515</v>
      </c>
    </row>
    <row r="10" spans="2:12" x14ac:dyDescent="0.2">
      <c r="B10" s="13" t="s">
        <v>89</v>
      </c>
      <c r="C10" s="35">
        <f>SUMIF('Model Parameters'!$C$24:$C$48,'Model Parameters'!$B61,'Model Parameters'!$D$24:$D$48)*INDEX('Model Parameters'!$C$58:$C$63,MATCH($B10,'Model Parameters'!$B$58:$B$63,0))</f>
        <v>118.68163201206687</v>
      </c>
      <c r="D10" s="35">
        <f>SUMIF('Model Parameters'!$C$24:$C$48,'Model Parameters'!$B61,'Model Parameters'!$D$24:$D$48)*INDEX('Model Parameters'!$F$58:$F$63,MATCH($B10,'Model Parameters'!$B$58:$B$63,0))</f>
        <v>0</v>
      </c>
    </row>
    <row r="11" spans="2:12" x14ac:dyDescent="0.2">
      <c r="B11" s="13" t="s">
        <v>64</v>
      </c>
      <c r="C11" s="35">
        <f>SUMIF('Model Parameters'!$C$24:$C$48,'Model Parameters'!$B62,'Model Parameters'!$D$24:$D$48)*INDEX('Model Parameters'!$C$58:$C$63,MATCH($B11,'Model Parameters'!$B$58:$B$63,0))</f>
        <v>5.998899724542837</v>
      </c>
      <c r="D11" s="35">
        <f>SUMIF('Model Parameters'!$C$24:$C$48,'Model Parameters'!$B62,'Model Parameters'!$D$24:$D$48)*INDEX('Model Parameters'!$F$58:$F$63,MATCH($B11,'Model Parameters'!$B$58:$B$63,0))</f>
        <v>5.998899724542837</v>
      </c>
      <c r="H11" s="2" t="s">
        <v>118</v>
      </c>
    </row>
    <row r="12" spans="2:12" x14ac:dyDescent="0.2">
      <c r="B12" s="16" t="s">
        <v>93</v>
      </c>
      <c r="C12" s="36">
        <f>SUMIF('Model Parameters'!$C$24:$C$48,'Model Parameters'!$B63,'Model Parameters'!$D$24:$D$48)*INDEX('Model Parameters'!$C$58:$C$63,MATCH($B12,'Model Parameters'!$B$58:$B$63,0))</f>
        <v>8.3638788490919502</v>
      </c>
      <c r="D12" s="36">
        <f>SUMIF('Model Parameters'!$C$24:$C$48,'Model Parameters'!$B63,'Model Parameters'!$D$24:$D$48)*INDEX('Model Parameters'!$F$58:$F$63,MATCH($B12,'Model Parameters'!$B$58:$B$63,0))</f>
        <v>8.3638788490919502</v>
      </c>
    </row>
    <row r="13" spans="2:12" x14ac:dyDescent="0.2">
      <c r="B13" s="18" t="s">
        <v>119</v>
      </c>
      <c r="C13" s="37">
        <f>SUM(C7:C12)</f>
        <v>994.79045810463947</v>
      </c>
      <c r="D13" s="37">
        <f>SUMPRODUCT('Model Parameters'!F$58:F$63,$C$7:$C$12)</f>
        <v>876.1088260925726</v>
      </c>
    </row>
    <row r="14" spans="2:12" x14ac:dyDescent="0.2">
      <c r="B14" s="18" t="s">
        <v>120</v>
      </c>
      <c r="C14" s="38">
        <f>1-D14</f>
        <v>0.11930314675332665</v>
      </c>
      <c r="D14" s="38">
        <f>D13/C13</f>
        <v>0.88069685324667335</v>
      </c>
    </row>
    <row r="17" spans="2:12" x14ac:dyDescent="0.2">
      <c r="B17" s="33" t="s">
        <v>128</v>
      </c>
      <c r="C17" s="33"/>
      <c r="D17" s="28"/>
      <c r="E17" s="28"/>
      <c r="F17" s="28"/>
      <c r="G17" s="28"/>
      <c r="H17" s="28"/>
      <c r="I17" s="28"/>
      <c r="J17" s="28"/>
      <c r="K17" s="28"/>
      <c r="L17" s="28"/>
    </row>
    <row r="19" spans="2:12" x14ac:dyDescent="0.2">
      <c r="C19" s="23" t="str">
        <f>'Model Parameters'!C15</f>
        <v>2024-25</v>
      </c>
      <c r="D19" s="23" t="str">
        <f>'Model Parameters'!D15</f>
        <v>2025-26</v>
      </c>
      <c r="E19" s="23" t="str">
        <f>'Model Parameters'!E15</f>
        <v>2026-27</v>
      </c>
      <c r="F19" s="23" t="str">
        <f>'Model Parameters'!F15</f>
        <v>2027-28</v>
      </c>
      <c r="G19" s="23" t="str">
        <f>'Model Parameters'!G15</f>
        <v>2028-29</v>
      </c>
      <c r="H19" s="23" t="str">
        <f>'Model Parameters'!H15</f>
        <v>2029-30</v>
      </c>
      <c r="I19" s="23" t="str">
        <f>'Model Parameters'!I15</f>
        <v>2030-31</v>
      </c>
      <c r="J19" s="23" t="str">
        <f>'Model Parameters'!J15</f>
        <v>2031-32</v>
      </c>
      <c r="K19" s="23" t="str">
        <f>'Model Parameters'!K15</f>
        <v>2032-33</v>
      </c>
      <c r="L19" s="23" t="str">
        <f>'Model Parameters'!L15</f>
        <v>2033-34</v>
      </c>
    </row>
    <row r="20" spans="2:12" x14ac:dyDescent="0.2">
      <c r="B20" s="5" t="s">
        <v>98</v>
      </c>
      <c r="C20" s="39">
        <v>1</v>
      </c>
      <c r="D20" s="40">
        <f>C20/(1+'Model Parameters'!D16)</f>
        <v>0.94536457783579531</v>
      </c>
      <c r="E20" s="40">
        <f>D20/(1+'Model Parameters'!E16)</f>
        <v>0.89309703411577146</v>
      </c>
      <c r="F20" s="40">
        <f>E20/(1+'Model Parameters'!F16)</f>
        <v>0.84313704583915294</v>
      </c>
      <c r="G20" s="40">
        <f>F20/(1+'Model Parameters'!G16)</f>
        <v>0.79517752990786761</v>
      </c>
      <c r="H20" s="40">
        <f>G20/(1+'Model Parameters'!H16)</f>
        <v>0.74994605822480287</v>
      </c>
      <c r="I20" s="40">
        <f>H20/(1+'Model Parameters'!I16)</f>
        <v>0.70728745354774236</v>
      </c>
      <c r="J20" s="40">
        <f>I20/(1+'Model Parameters'!J16)</f>
        <v>0.66705536546215682</v>
      </c>
      <c r="K20" s="40">
        <f>J20/(1+'Model Parameters'!K16)</f>
        <v>0.62911176829155546</v>
      </c>
      <c r="L20" s="40">
        <f>K20/(1+'Model Parameters'!L16)</f>
        <v>0.5933264875678167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91"/>
  <sheetViews>
    <sheetView showGridLines="0" topLeftCell="A18" workbookViewId="0">
      <selection activeCell="C52" sqref="C52"/>
    </sheetView>
  </sheetViews>
  <sheetFormatPr defaultRowHeight="12.75" x14ac:dyDescent="0.2"/>
  <cols>
    <col min="1" max="1" width="9.140625" style="2"/>
    <col min="2" max="2" width="43.42578125" style="2" bestFit="1" customWidth="1"/>
    <col min="3" max="14" width="15.5703125" style="2" customWidth="1"/>
    <col min="15" max="15" width="11.140625" style="2" customWidth="1"/>
    <col min="16" max="16" width="12.28515625" style="2" customWidth="1"/>
    <col min="17" max="17" width="10.85546875" style="2" customWidth="1"/>
    <col min="18" max="16384" width="9.140625" style="2"/>
  </cols>
  <sheetData>
    <row r="1" spans="2:13" ht="21" x14ac:dyDescent="0.35">
      <c r="B1" s="65" t="s">
        <v>138</v>
      </c>
    </row>
    <row r="2" spans="2:13" ht="15" x14ac:dyDescent="0.25">
      <c r="B2" s="64" t="s">
        <v>139</v>
      </c>
    </row>
    <row r="4" spans="2:13" x14ac:dyDescent="0.2">
      <c r="B4" s="33" t="s">
        <v>129</v>
      </c>
      <c r="C4" s="33"/>
      <c r="D4" s="28"/>
      <c r="E4" s="28"/>
      <c r="F4" s="28"/>
      <c r="G4" s="28"/>
      <c r="H4" s="28"/>
      <c r="I4" s="28"/>
      <c r="J4" s="28"/>
      <c r="K4" s="28"/>
      <c r="L4" s="28"/>
      <c r="M4" s="28"/>
    </row>
    <row r="6" spans="2:13" x14ac:dyDescent="0.2">
      <c r="B6" s="63" t="s">
        <v>141</v>
      </c>
      <c r="C6" s="62" t="str">
        <f>'Supporting Calculations'!C19</f>
        <v>2024-25</v>
      </c>
      <c r="D6" s="23" t="str">
        <f>'Supporting Calculations'!D19</f>
        <v>2025-26</v>
      </c>
      <c r="E6" s="23" t="str">
        <f>'Supporting Calculations'!E19</f>
        <v>2026-27</v>
      </c>
      <c r="F6" s="23" t="str">
        <f>'Supporting Calculations'!F19</f>
        <v>2027-28</v>
      </c>
      <c r="G6" s="23" t="str">
        <f>'Supporting Calculations'!G19</f>
        <v>2028-29</v>
      </c>
      <c r="H6" s="23" t="str">
        <f>'Supporting Calculations'!H19</f>
        <v>2029-30</v>
      </c>
      <c r="I6" s="23" t="str">
        <f>'Supporting Calculations'!I19</f>
        <v>2030-31</v>
      </c>
      <c r="J6" s="23" t="str">
        <f>'Supporting Calculations'!J19</f>
        <v>2031-32</v>
      </c>
      <c r="K6" s="23" t="str">
        <f>'Supporting Calculations'!K19</f>
        <v>2032-33</v>
      </c>
      <c r="L6" s="23" t="str">
        <f>'Supporting Calculations'!L19</f>
        <v>2033-34</v>
      </c>
      <c r="M6" s="23" t="s">
        <v>3</v>
      </c>
    </row>
    <row r="7" spans="2:13" x14ac:dyDescent="0.2">
      <c r="B7" s="13" t="s">
        <v>4</v>
      </c>
      <c r="C7" s="50" cm="1">
        <f t="array" ref="C7">SUMPRODUCT(('LRMC Program of Works'!$F$8:$F$20)*('LRMC Program of Works'!AB$8:AB$20))-C12</f>
        <v>1270568.3715567109</v>
      </c>
      <c r="D7" s="50">
        <f>SUMPRODUCT(('LRMC Program of Works'!$F$8:$F$20)*('LRMC Program of Works'!AC$8:AC$20))-D12</f>
        <v>1270845.9441287108</v>
      </c>
      <c r="E7" s="50">
        <f>SUMPRODUCT(('LRMC Program of Works'!$F$8:$F$20)*('LRMC Program of Works'!AD$8:AD$20))-E12</f>
        <v>1115885.9750647112</v>
      </c>
      <c r="F7" s="50">
        <f>SUMPRODUCT(('LRMC Program of Works'!$F$8:$F$20)*('LRMC Program of Works'!AE$8:AE$20))-F12</f>
        <v>1226488.6146327113</v>
      </c>
      <c r="G7" s="50">
        <f>SUMPRODUCT(('LRMC Program of Works'!$F$8:$F$20)*('LRMC Program of Works'!AF$8:AF$20))-G12</f>
        <v>1188464.9746327109</v>
      </c>
      <c r="H7" s="50">
        <f>SUMPRODUCT(('LRMC Program of Works'!$F$8:$F$20)*('LRMC Program of Works'!AG$8:AG$20))-H12</f>
        <v>1002354.3613959111</v>
      </c>
      <c r="I7" s="50">
        <f>SUMPRODUCT(('LRMC Program of Works'!$F$8:$F$20)*('LRMC Program of Works'!AH$8:AH$20))-I12</f>
        <v>950196.41659591103</v>
      </c>
      <c r="J7" s="50">
        <f>SUMPRODUCT(('LRMC Program of Works'!$F$8:$F$20)*('LRMC Program of Works'!AI$8:AI$20))-J12</f>
        <v>1003691.7445959111</v>
      </c>
      <c r="K7" s="50">
        <f>SUMPRODUCT(('LRMC Program of Works'!$F$8:$F$20)*('LRMC Program of Works'!AJ$8:AJ$20))-K12</f>
        <v>950196.41659591114</v>
      </c>
      <c r="L7" s="50">
        <f>SUMPRODUCT(('LRMC Program of Works'!$F$8:$F$20)*('LRMC Program of Works'!AK$8:AK$20))-L12</f>
        <v>1003691.744595911</v>
      </c>
      <c r="M7" s="51">
        <f>SUM(C7:L7)</f>
        <v>10982384.56379511</v>
      </c>
    </row>
    <row r="8" spans="2:13" x14ac:dyDescent="0.2">
      <c r="B8" s="16" t="s">
        <v>5</v>
      </c>
      <c r="C8" s="52" cm="1">
        <f t="array" ref="C8">SUMPRODUCT(('LRMC Program of Works'!$G$8:$G$20)*('LRMC Program of Works'!AB$8:AB$20))-C13</f>
        <v>254426.99231000012</v>
      </c>
      <c r="D8" s="52">
        <f>SUMPRODUCT(('LRMC Program of Works'!$G$8:$G$20)*('LRMC Program of Works'!AC$8:AC$20))-D13</f>
        <v>402626.42373999988</v>
      </c>
      <c r="E8" s="52">
        <f>SUMPRODUCT(('LRMC Program of Works'!$G$8:$G$20)*('LRMC Program of Works'!AD$8:AD$20))-E13</f>
        <v>326627.00107999984</v>
      </c>
      <c r="F8" s="52">
        <f>SUMPRODUCT(('LRMC Program of Works'!$G$8:$G$20)*('LRMC Program of Works'!AE$8:AE$20))-F13</f>
        <v>144227.60000000009</v>
      </c>
      <c r="G8" s="52">
        <f>SUMPRODUCT(('LRMC Program of Works'!$G$8:$G$20)*('LRMC Program of Works'!AF$8:AF$20))-G13</f>
        <v>144227.59999999998</v>
      </c>
      <c r="H8" s="52">
        <f>SUMPRODUCT(('LRMC Program of Works'!$G$8:$G$20)*('LRMC Program of Works'!AG$8:AG$20))-H13</f>
        <v>147112.15200000012</v>
      </c>
      <c r="I8" s="52">
        <f>SUMPRODUCT(('LRMC Program of Works'!$G$8:$G$20)*('LRMC Program of Works'!AH$8:AH$20))-I13</f>
        <v>147112.15200000012</v>
      </c>
      <c r="J8" s="52">
        <f>SUMPRODUCT(('LRMC Program of Works'!$G$8:$G$20)*('LRMC Program of Works'!AI$8:AI$20))-J13</f>
        <v>147112.152</v>
      </c>
      <c r="K8" s="52">
        <f>SUMPRODUCT(('LRMC Program of Works'!$G$8:$G$20)*('LRMC Program of Works'!AJ$8:AJ$20))-K13</f>
        <v>147112.152</v>
      </c>
      <c r="L8" s="52" cm="1">
        <f t="array" ref="L8">SUMPRODUCT(('LRMC Program of Works'!$G$8:$G$20)*('LRMC Program of Works'!AK$8:AK$20))-L13</f>
        <v>147112.15199999989</v>
      </c>
      <c r="M8" s="53">
        <f>SUM(C8:L8)</f>
        <v>2007696.3771300004</v>
      </c>
    </row>
    <row r="9" spans="2:13" x14ac:dyDescent="0.2">
      <c r="B9" s="18" t="s">
        <v>3</v>
      </c>
      <c r="C9" s="54">
        <f t="shared" ref="C9:L9" si="0">SUM(C7:C8)</f>
        <v>1524995.363866711</v>
      </c>
      <c r="D9" s="54">
        <f t="shared" si="0"/>
        <v>1673472.3678687108</v>
      </c>
      <c r="E9" s="54">
        <f t="shared" si="0"/>
        <v>1442512.976144711</v>
      </c>
      <c r="F9" s="54">
        <f t="shared" si="0"/>
        <v>1370716.2146327114</v>
      </c>
      <c r="G9" s="54">
        <f t="shared" si="0"/>
        <v>1332692.5746327108</v>
      </c>
      <c r="H9" s="54">
        <f t="shared" si="0"/>
        <v>1149466.5133959111</v>
      </c>
      <c r="I9" s="54">
        <f t="shared" si="0"/>
        <v>1097308.5685959111</v>
      </c>
      <c r="J9" s="54">
        <f t="shared" si="0"/>
        <v>1150803.8965959111</v>
      </c>
      <c r="K9" s="54">
        <f t="shared" si="0"/>
        <v>1097308.5685959111</v>
      </c>
      <c r="L9" s="54">
        <f t="shared" si="0"/>
        <v>1150803.8965959109</v>
      </c>
      <c r="M9" s="54">
        <f>SUM(C9:L9)</f>
        <v>12990080.940925108</v>
      </c>
    </row>
    <row r="10" spans="2:13" x14ac:dyDescent="0.2">
      <c r="B10" s="13"/>
    </row>
    <row r="11" spans="2:13" x14ac:dyDescent="0.2">
      <c r="B11" s="63" t="s">
        <v>12</v>
      </c>
      <c r="C11" s="23" t="str">
        <f t="shared" ref="C11:L11" si="1">C6</f>
        <v>2024-25</v>
      </c>
      <c r="D11" s="23" t="str">
        <f t="shared" si="1"/>
        <v>2025-26</v>
      </c>
      <c r="E11" s="23" t="str">
        <f t="shared" si="1"/>
        <v>2026-27</v>
      </c>
      <c r="F11" s="23" t="str">
        <f t="shared" si="1"/>
        <v>2027-28</v>
      </c>
      <c r="G11" s="23" t="str">
        <f t="shared" si="1"/>
        <v>2028-29</v>
      </c>
      <c r="H11" s="23" t="str">
        <f t="shared" si="1"/>
        <v>2029-30</v>
      </c>
      <c r="I11" s="23" t="str">
        <f t="shared" si="1"/>
        <v>2030-31</v>
      </c>
      <c r="J11" s="23" t="str">
        <f t="shared" si="1"/>
        <v>2031-32</v>
      </c>
      <c r="K11" s="23" t="str">
        <f t="shared" si="1"/>
        <v>2032-33</v>
      </c>
      <c r="L11" s="23" t="str">
        <f t="shared" si="1"/>
        <v>2033-34</v>
      </c>
      <c r="M11" s="23" t="s">
        <v>3</v>
      </c>
    </row>
    <row r="12" spans="2:13" x14ac:dyDescent="0.2">
      <c r="B12" s="13" t="s">
        <v>4</v>
      </c>
      <c r="C12" s="50" cm="1">
        <f t="array" ref="C12">SUMPRODUCT(('LRMC Program of Works'!$E$8:$E$20=LEFT($B$11,8))*('LRMC Program of Works'!$F$8:$F$20)*('LRMC Program of Works'!AB$8:AB$20))</f>
        <v>26494.933440359859</v>
      </c>
      <c r="D12" s="50" cm="1">
        <f t="array" ref="D12">SUMPRODUCT(('LRMC Program of Works'!$E$8:$E$20=LEFT($B$11,8))*('LRMC Program of Works'!$F$8:$F$20)*('LRMC Program of Works'!AC$8:AC$20))</f>
        <v>26876.193063624785</v>
      </c>
      <c r="E12" s="50" cm="1">
        <f t="array" ref="E12">SUMPRODUCT(('LRMC Program of Works'!$E$8:$E$20=LEFT($B$11,8))*('LRMC Program of Works'!$F$8:$F$20)*('LRMC Program of Works'!AD$8:AD$20))</f>
        <v>26704.181888431485</v>
      </c>
      <c r="F12" s="50" cm="1">
        <f t="array" ref="F12">SUMPRODUCT(('LRMC Program of Works'!$E$8:$E$20=LEFT($B$11,8))*('LRMC Program of Works'!$F$8:$F$20)*('LRMC Program of Works'!AE$8:AE$20))</f>
        <v>26533.726262878165</v>
      </c>
      <c r="G12" s="50" cm="1">
        <f t="array" ref="G12">SUMPRODUCT(('LRMC Program of Works'!$E$8:$E$20=LEFT($B$11,8))*('LRMC Program of Works'!$F$8:$F$20)*('LRMC Program of Works'!AF$8:AF$20))</f>
        <v>26363.013690943135</v>
      </c>
      <c r="H12" s="50" cm="1">
        <f t="array" ref="H12">SUMPRODUCT(('LRMC Program of Works'!$E$8:$E$20=LEFT($B$11,8))*('LRMC Program of Works'!$F$8:$F$20)*('LRMC Program of Works'!AG$8:AG$20))</f>
        <v>26890.273964761996</v>
      </c>
      <c r="I12" s="50" cm="1">
        <f t="array" ref="I12">SUMPRODUCT(('LRMC Program of Works'!$E$8:$E$20=LEFT($B$11,8))*('LRMC Program of Works'!$F$8:$F$20)*('LRMC Program of Works'!AH$8:AH$20))</f>
        <v>27428.079444057239</v>
      </c>
      <c r="J12" s="50" cm="1">
        <f t="array" ref="J12">SUMPRODUCT(('LRMC Program of Works'!$E$8:$E$20=LEFT($B$11,8))*('LRMC Program of Works'!$F$8:$F$20)*('LRMC Program of Works'!AI$8:AI$20))</f>
        <v>27976.641032938383</v>
      </c>
      <c r="K12" s="50" cm="1">
        <f t="array" ref="K12">SUMPRODUCT(('LRMC Program of Works'!$E$8:$E$20=LEFT($B$11,8))*('LRMC Program of Works'!$F$8:$F$20)*('LRMC Program of Works'!AJ$8:AJ$20))</f>
        <v>28536.173853597156</v>
      </c>
      <c r="L12" s="50" cm="1">
        <f t="array" ref="L12">SUMPRODUCT(('LRMC Program of Works'!$E$8:$E$20=LEFT($B$11,8))*('LRMC Program of Works'!$F$8:$F$20)*('LRMC Program of Works'!AK$8:AK$20))</f>
        <v>29106.8973306691</v>
      </c>
      <c r="M12" s="51">
        <f>SUM(C12:L12)</f>
        <v>272910.11397226132</v>
      </c>
    </row>
    <row r="13" spans="2:13" x14ac:dyDescent="0.2">
      <c r="B13" s="16" t="s">
        <v>5</v>
      </c>
      <c r="C13" s="52" cm="1">
        <f t="array" ref="C13">SUMPRODUCT(('LRMC Program of Works'!$E$8:$E$20=LEFT($B$11,8))*('LRMC Program of Works'!$G$8:$G$20)*('LRMC Program of Works'!AB$8:AB$20))</f>
        <v>949057.16892726137</v>
      </c>
      <c r="D13" s="52" cm="1">
        <f t="array" ref="D13">SUMPRODUCT(('LRMC Program of Works'!$E$8:$E$20=LEFT($B$11,8))*('LRMC Program of Works'!$G$8:$G$20)*('LRMC Program of Works'!AC$8:AC$20))</f>
        <v>962047.25187466445</v>
      </c>
      <c r="E13" s="52" cm="1">
        <f t="array" ref="E13">SUMPRODUCT(('LRMC Program of Works'!$E$8:$E$20=LEFT($B$11,8))*('LRMC Program of Works'!$G$8:$G$20)*('LRMC Program of Works'!AD$8:AD$20))</f>
        <v>955231.72318639839</v>
      </c>
      <c r="F13" s="52" cm="1">
        <f t="array" ref="F13">SUMPRODUCT(('LRMC Program of Works'!$E$8:$E$20=LEFT($B$11,8))*('LRMC Program of Works'!$G$8:$G$20)*('LRMC Program of Works'!AE$8:AE$20))</f>
        <v>949048.6310133154</v>
      </c>
      <c r="G13" s="52" cm="1">
        <f t="array" ref="G13">SUMPRODUCT(('LRMC Program of Works'!$E$8:$E$20=LEFT($B$11,8))*('LRMC Program of Works'!$G$8:$G$20)*('LRMC Program of Works'!AF$8:AF$20))</f>
        <v>942761.05362894211</v>
      </c>
      <c r="H13" s="52" cm="1">
        <f t="array" ref="H13">SUMPRODUCT(('LRMC Program of Works'!$E$8:$E$20=LEFT($B$11,8))*('LRMC Program of Works'!$G$8:$G$20)*('LRMC Program of Works'!AG$8:AG$20))</f>
        <v>961616.27470152092</v>
      </c>
      <c r="I13" s="52" cm="1">
        <f t="array" ref="I13">SUMPRODUCT(('LRMC Program of Works'!$E$8:$E$20=LEFT($B$11,8))*('LRMC Program of Works'!$G$8:$G$20)*('LRMC Program of Works'!AH$8:AH$20))</f>
        <v>980848.60019555141</v>
      </c>
      <c r="J13" s="52" cm="1">
        <f t="array" ref="J13">SUMPRODUCT(('LRMC Program of Works'!$E$8:$E$20=LEFT($B$11,8))*('LRMC Program of Works'!$G$8:$G$20)*('LRMC Program of Works'!AI$8:AI$20))</f>
        <v>1000465.5721994624</v>
      </c>
      <c r="K13" s="52" cm="1">
        <f t="array" ref="K13">SUMPRODUCT(('LRMC Program of Works'!$E$8:$E$20=LEFT($B$11,8))*('LRMC Program of Works'!$G$8:$G$20)*('LRMC Program of Works'!AJ$8:AJ$20))</f>
        <v>1020474.8836434518</v>
      </c>
      <c r="L13" s="52" cm="1">
        <f t="array" ref="L13">SUMPRODUCT(('LRMC Program of Works'!$E$8:$E$20=LEFT($B$11,8))*('LRMC Program of Works'!$G$8:$G$20)*('LRMC Program of Works'!AK$8:AK$20))</f>
        <v>1040884.3813163209</v>
      </c>
      <c r="M13" s="53">
        <f>SUM(C13:L13)</f>
        <v>9762435.5406868886</v>
      </c>
    </row>
    <row r="14" spans="2:13" x14ac:dyDescent="0.2">
      <c r="B14" s="18" t="s">
        <v>3</v>
      </c>
      <c r="C14" s="54">
        <f t="shared" ref="C14:L14" si="2">SUM(C12:C13)</f>
        <v>975552.10236762126</v>
      </c>
      <c r="D14" s="54">
        <f t="shared" si="2"/>
        <v>988923.44493828923</v>
      </c>
      <c r="E14" s="54">
        <f t="shared" si="2"/>
        <v>981935.90507482993</v>
      </c>
      <c r="F14" s="54">
        <f t="shared" si="2"/>
        <v>975582.35727619356</v>
      </c>
      <c r="G14" s="54">
        <f t="shared" si="2"/>
        <v>969124.06731988525</v>
      </c>
      <c r="H14" s="54">
        <f t="shared" si="2"/>
        <v>988506.54866628291</v>
      </c>
      <c r="I14" s="54">
        <f t="shared" si="2"/>
        <v>1008276.6796396086</v>
      </c>
      <c r="J14" s="54">
        <f t="shared" si="2"/>
        <v>1028442.2132324008</v>
      </c>
      <c r="K14" s="54">
        <f t="shared" si="2"/>
        <v>1049011.057497049</v>
      </c>
      <c r="L14" s="54">
        <f t="shared" si="2"/>
        <v>1069991.27864699</v>
      </c>
      <c r="M14" s="54">
        <f>SUM(C14:L14)</f>
        <v>10035345.65465915</v>
      </c>
    </row>
    <row r="15" spans="2:13" x14ac:dyDescent="0.2">
      <c r="B15" s="13"/>
    </row>
    <row r="16" spans="2:13" x14ac:dyDescent="0.2">
      <c r="B16" s="63" t="s">
        <v>81</v>
      </c>
      <c r="C16" s="23" t="str">
        <f>'LRMC Calculations'!C11</f>
        <v>2024-25</v>
      </c>
      <c r="D16" s="23" t="str">
        <f>'LRMC Calculations'!D11</f>
        <v>2025-26</v>
      </c>
      <c r="E16" s="23" t="str">
        <f>'LRMC Calculations'!E11</f>
        <v>2026-27</v>
      </c>
      <c r="F16" s="23" t="str">
        <f>'LRMC Calculations'!F11</f>
        <v>2027-28</v>
      </c>
      <c r="G16" s="23" t="str">
        <f>'LRMC Calculations'!G11</f>
        <v>2028-29</v>
      </c>
      <c r="H16" s="23" t="str">
        <f>'LRMC Calculations'!H11</f>
        <v>2029-30</v>
      </c>
      <c r="I16" s="23" t="str">
        <f>'LRMC Calculations'!I11</f>
        <v>2030-31</v>
      </c>
      <c r="J16" s="23" t="str">
        <f>'LRMC Calculations'!J11</f>
        <v>2031-32</v>
      </c>
      <c r="K16" s="23" t="str">
        <f>'LRMC Calculations'!K11</f>
        <v>2032-33</v>
      </c>
      <c r="L16" s="23" t="str">
        <f>'LRMC Calculations'!L11</f>
        <v>2033-34</v>
      </c>
      <c r="M16" s="23" t="s">
        <v>3</v>
      </c>
    </row>
    <row r="17" spans="2:14" x14ac:dyDescent="0.2">
      <c r="B17" s="13" t="s">
        <v>4</v>
      </c>
      <c r="C17" s="50">
        <f t="shared" ref="C17:L17" si="3">C12+C7</f>
        <v>1297063.3049970707</v>
      </c>
      <c r="D17" s="50">
        <f t="shared" si="3"/>
        <v>1297722.1371923354</v>
      </c>
      <c r="E17" s="50">
        <f t="shared" si="3"/>
        <v>1142590.1569531427</v>
      </c>
      <c r="F17" s="50">
        <f t="shared" si="3"/>
        <v>1253022.3408955894</v>
      </c>
      <c r="G17" s="50">
        <f t="shared" si="3"/>
        <v>1214827.988323654</v>
      </c>
      <c r="H17" s="50">
        <f t="shared" si="3"/>
        <v>1029244.6353606731</v>
      </c>
      <c r="I17" s="50">
        <f t="shared" si="3"/>
        <v>977624.49603996822</v>
      </c>
      <c r="J17" s="50">
        <f t="shared" si="3"/>
        <v>1031668.3856288495</v>
      </c>
      <c r="K17" s="50">
        <f t="shared" si="3"/>
        <v>978732.59044950828</v>
      </c>
      <c r="L17" s="50">
        <f t="shared" si="3"/>
        <v>1032798.6419265801</v>
      </c>
      <c r="M17" s="51">
        <f>SUM(C17:L17)</f>
        <v>11255294.67776737</v>
      </c>
    </row>
    <row r="18" spans="2:14" x14ac:dyDescent="0.2">
      <c r="B18" s="16" t="s">
        <v>5</v>
      </c>
      <c r="C18" s="52">
        <f t="shared" ref="C18:L18" si="4">C13+C8</f>
        <v>1203484.1612372615</v>
      </c>
      <c r="D18" s="52">
        <f t="shared" si="4"/>
        <v>1364673.6756146643</v>
      </c>
      <c r="E18" s="52">
        <f t="shared" si="4"/>
        <v>1281858.7242663982</v>
      </c>
      <c r="F18" s="52">
        <f t="shared" si="4"/>
        <v>1093276.2310133155</v>
      </c>
      <c r="G18" s="52">
        <f t="shared" si="4"/>
        <v>1086988.6536289421</v>
      </c>
      <c r="H18" s="52">
        <f t="shared" si="4"/>
        <v>1108728.426701521</v>
      </c>
      <c r="I18" s="52">
        <f t="shared" si="4"/>
        <v>1127960.7521955515</v>
      </c>
      <c r="J18" s="52">
        <f t="shared" si="4"/>
        <v>1147577.7241994624</v>
      </c>
      <c r="K18" s="52">
        <f t="shared" si="4"/>
        <v>1167587.0356434518</v>
      </c>
      <c r="L18" s="52">
        <f t="shared" si="4"/>
        <v>1187996.5333163207</v>
      </c>
      <c r="M18" s="53">
        <f>SUM(C18:L18)</f>
        <v>11770131.917816892</v>
      </c>
    </row>
    <row r="19" spans="2:14" x14ac:dyDescent="0.2">
      <c r="B19" s="18" t="s">
        <v>3</v>
      </c>
      <c r="C19" s="54">
        <f t="shared" ref="C19:L19" si="5">SUM(C17:C18)</f>
        <v>2500547.466234332</v>
      </c>
      <c r="D19" s="54">
        <f t="shared" si="5"/>
        <v>2662395.8128069998</v>
      </c>
      <c r="E19" s="54">
        <f t="shared" si="5"/>
        <v>2424448.8812195407</v>
      </c>
      <c r="F19" s="54">
        <f t="shared" si="5"/>
        <v>2346298.5719089052</v>
      </c>
      <c r="G19" s="54">
        <f t="shared" si="5"/>
        <v>2301816.6419525961</v>
      </c>
      <c r="H19" s="54">
        <f t="shared" si="5"/>
        <v>2137973.0620621941</v>
      </c>
      <c r="I19" s="54">
        <f t="shared" si="5"/>
        <v>2105585.24823552</v>
      </c>
      <c r="J19" s="54">
        <f t="shared" si="5"/>
        <v>2179246.1098283119</v>
      </c>
      <c r="K19" s="54">
        <f t="shared" si="5"/>
        <v>2146319.6260929601</v>
      </c>
      <c r="L19" s="54">
        <f t="shared" si="5"/>
        <v>2220795.1752429008</v>
      </c>
      <c r="M19" s="54">
        <f>SUM(C19:L19)</f>
        <v>23025426.595584262</v>
      </c>
    </row>
    <row r="20" spans="2:14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2:14" x14ac:dyDescent="0.2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x14ac:dyDescent="0.2">
      <c r="B22" s="33" t="s">
        <v>130</v>
      </c>
      <c r="C22" s="33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41"/>
    </row>
    <row r="23" spans="2:14" x14ac:dyDescent="0.2"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x14ac:dyDescent="0.2">
      <c r="B24" s="63" t="s">
        <v>121</v>
      </c>
      <c r="C24" s="23" t="str">
        <f t="shared" ref="C24:L24" si="6">C16</f>
        <v>2024-25</v>
      </c>
      <c r="D24" s="23" t="str">
        <f t="shared" si="6"/>
        <v>2025-26</v>
      </c>
      <c r="E24" s="23" t="str">
        <f t="shared" si="6"/>
        <v>2026-27</v>
      </c>
      <c r="F24" s="23" t="str">
        <f t="shared" si="6"/>
        <v>2027-28</v>
      </c>
      <c r="G24" s="23" t="str">
        <f t="shared" si="6"/>
        <v>2028-29</v>
      </c>
      <c r="H24" s="23" t="str">
        <f t="shared" si="6"/>
        <v>2029-30</v>
      </c>
      <c r="I24" s="23" t="str">
        <f t="shared" si="6"/>
        <v>2030-31</v>
      </c>
      <c r="J24" s="23" t="str">
        <f t="shared" si="6"/>
        <v>2031-32</v>
      </c>
      <c r="K24" s="23" t="str">
        <f t="shared" si="6"/>
        <v>2032-33</v>
      </c>
      <c r="L24" s="23" t="str">
        <f t="shared" si="6"/>
        <v>2033-34</v>
      </c>
      <c r="M24" s="23" t="s">
        <v>3</v>
      </c>
    </row>
    <row r="25" spans="2:14" x14ac:dyDescent="0.2">
      <c r="B25" s="13" t="s">
        <v>4</v>
      </c>
      <c r="C25" s="50">
        <f>C$17*'Supporting Calculations'!$C14</f>
        <v>154743.7338244204</v>
      </c>
      <c r="D25" s="50">
        <f>D$17*'Supporting Calculations'!$C14</f>
        <v>154822.33457849789</v>
      </c>
      <c r="E25" s="50">
        <f>E$17*'Supporting Calculations'!$C14</f>
        <v>136314.60117388732</v>
      </c>
      <c r="F25" s="50">
        <f>F$17*'Supporting Calculations'!$C14</f>
        <v>149489.50822106341</v>
      </c>
      <c r="G25" s="50">
        <f>G$17*'Supporting Calculations'!$C14</f>
        <v>144932.80177102549</v>
      </c>
      <c r="H25" s="50">
        <f>H$17*'Supporting Calculations'!$C14</f>
        <v>122792.12377750856</v>
      </c>
      <c r="I25" s="50">
        <f>I$17*'Supporting Calculations'!$C14</f>
        <v>116633.67872070333</v>
      </c>
      <c r="J25" s="50">
        <f>J$17*'Supporting Calculations'!$C14</f>
        <v>123081.28481144622</v>
      </c>
      <c r="K25" s="50">
        <f>K$17*'Supporting Calculations'!$C14</f>
        <v>116765.87787066124</v>
      </c>
      <c r="L25" s="50">
        <f>L$17*'Supporting Calculations'!$C14</f>
        <v>123216.12794440326</v>
      </c>
      <c r="M25" s="51">
        <f>SUM(C25:L25)</f>
        <v>1342792.0726936173</v>
      </c>
    </row>
    <row r="26" spans="2:14" x14ac:dyDescent="0.2">
      <c r="B26" s="16" t="s">
        <v>5</v>
      </c>
      <c r="C26" s="52">
        <f>C$17*'Supporting Calculations'!$D14+C18</f>
        <v>2345803.7324099117</v>
      </c>
      <c r="D26" s="52">
        <f>D$17*'Supporting Calculations'!$D14+D18</f>
        <v>2507573.478228502</v>
      </c>
      <c r="E26" s="52">
        <f>E$17*'Supporting Calculations'!$D14+E18</f>
        <v>2288134.2800456537</v>
      </c>
      <c r="F26" s="52">
        <f>F$17*'Supporting Calculations'!$D14+F18</f>
        <v>2196809.0636878414</v>
      </c>
      <c r="G26" s="52">
        <f>G$17*'Supporting Calculations'!$D14+G18</f>
        <v>2156883.8401815705</v>
      </c>
      <c r="H26" s="52">
        <f>H$17*'Supporting Calculations'!$D14+H18</f>
        <v>2015180.9382846856</v>
      </c>
      <c r="I26" s="52">
        <f>I$17*'Supporting Calculations'!$D14+I18</f>
        <v>1988951.5695148164</v>
      </c>
      <c r="J26" s="52">
        <f>J$17*'Supporting Calculations'!$D14+J18</f>
        <v>2056164.8250168657</v>
      </c>
      <c r="K26" s="52">
        <f>K$17*'Supporting Calculations'!$D14+K18</f>
        <v>2029553.7482222989</v>
      </c>
      <c r="L26" s="52">
        <f>L$17*'Supporting Calculations'!$D14+L18</f>
        <v>2097579.0472984975</v>
      </c>
      <c r="M26" s="53">
        <f>SUM(C26:L26)</f>
        <v>21682634.522890646</v>
      </c>
    </row>
    <row r="27" spans="2:14" x14ac:dyDescent="0.2">
      <c r="B27" s="18" t="s">
        <v>3</v>
      </c>
      <c r="C27" s="54">
        <f t="shared" ref="C27:L27" si="7">SUM(C25:C26)</f>
        <v>2500547.466234332</v>
      </c>
      <c r="D27" s="54">
        <f t="shared" si="7"/>
        <v>2662395.8128069998</v>
      </c>
      <c r="E27" s="54">
        <f t="shared" si="7"/>
        <v>2424448.8812195412</v>
      </c>
      <c r="F27" s="54">
        <f t="shared" si="7"/>
        <v>2346298.5719089047</v>
      </c>
      <c r="G27" s="54">
        <f t="shared" si="7"/>
        <v>2301816.6419525961</v>
      </c>
      <c r="H27" s="54">
        <f t="shared" si="7"/>
        <v>2137973.0620621941</v>
      </c>
      <c r="I27" s="54">
        <f t="shared" si="7"/>
        <v>2105585.2482355195</v>
      </c>
      <c r="J27" s="54">
        <f t="shared" si="7"/>
        <v>2179246.1098283119</v>
      </c>
      <c r="K27" s="54">
        <f t="shared" si="7"/>
        <v>2146319.6260929601</v>
      </c>
      <c r="L27" s="54">
        <f t="shared" si="7"/>
        <v>2220795.1752429008</v>
      </c>
      <c r="M27" s="54">
        <f>SUM(C27:L27)</f>
        <v>23025426.595584262</v>
      </c>
    </row>
    <row r="29" spans="2:14" x14ac:dyDescent="0.2">
      <c r="B29" s="63" t="s">
        <v>6</v>
      </c>
      <c r="C29" s="23" t="str">
        <f t="shared" ref="C29:L29" si="8">C16</f>
        <v>2024-25</v>
      </c>
      <c r="D29" s="23" t="str">
        <f t="shared" si="8"/>
        <v>2025-26</v>
      </c>
      <c r="E29" s="23" t="str">
        <f t="shared" si="8"/>
        <v>2026-27</v>
      </c>
      <c r="F29" s="23" t="str">
        <f t="shared" si="8"/>
        <v>2027-28</v>
      </c>
      <c r="G29" s="23" t="str">
        <f t="shared" si="8"/>
        <v>2028-29</v>
      </c>
      <c r="H29" s="23" t="str">
        <f t="shared" si="8"/>
        <v>2029-30</v>
      </c>
      <c r="I29" s="23" t="str">
        <f t="shared" si="8"/>
        <v>2030-31</v>
      </c>
      <c r="J29" s="23" t="str">
        <f t="shared" si="8"/>
        <v>2031-32</v>
      </c>
      <c r="K29" s="23" t="str">
        <f t="shared" si="8"/>
        <v>2032-33</v>
      </c>
      <c r="L29" s="23" t="str">
        <f t="shared" si="8"/>
        <v>2033-34</v>
      </c>
      <c r="M29" s="23" t="s">
        <v>3</v>
      </c>
    </row>
    <row r="30" spans="2:14" x14ac:dyDescent="0.2">
      <c r="B30" s="13" t="str">
        <f>B25</f>
        <v>High Voltage</v>
      </c>
      <c r="C30" s="50">
        <f>-PMT('Model Parameters'!C$16,'Model Parameters'!$C$7,C25)</f>
        <v>9906.1740301021018</v>
      </c>
      <c r="D30" s="50">
        <f>-PMT('Model Parameters'!D$16,'Model Parameters'!$C$7,D25)</f>
        <v>10004.912823767225</v>
      </c>
      <c r="E30" s="50">
        <f>-PMT('Model Parameters'!E$16,'Model Parameters'!$C$7,E25)</f>
        <v>8891.6884230677697</v>
      </c>
      <c r="F30" s="50">
        <f>-PMT('Model Parameters'!F$16,'Model Parameters'!$C$7,F25)</f>
        <v>9842.1560641932028</v>
      </c>
      <c r="G30" s="50">
        <f>-PMT('Model Parameters'!G$16,'Model Parameters'!$C$7,G25)</f>
        <v>9670.4753064868273</v>
      </c>
      <c r="H30" s="50">
        <f>-PMT('Model Parameters'!H$16,'Model Parameters'!$C$7,H25)</f>
        <v>8193.1639098338565</v>
      </c>
      <c r="I30" s="50">
        <f>-PMT('Model Parameters'!I$16,'Model Parameters'!$C$7,I25)</f>
        <v>7782.2487124427234</v>
      </c>
      <c r="J30" s="50">
        <f>-PMT('Model Parameters'!J$16,'Model Parameters'!$C$7,J25)</f>
        <v>8212.4578488464358</v>
      </c>
      <c r="K30" s="50">
        <f>-PMT('Model Parameters'!K$16,'Model Parameters'!$C$7,K25)</f>
        <v>7791.0695494070587</v>
      </c>
      <c r="L30" s="50">
        <f>-PMT('Model Parameters'!L$16,'Model Parameters'!$C$7,L25)</f>
        <v>8221.455102550055</v>
      </c>
      <c r="M30" s="51">
        <f>SUM(C30:L30)</f>
        <v>88515.801770697246</v>
      </c>
    </row>
    <row r="31" spans="2:14" x14ac:dyDescent="0.2">
      <c r="B31" s="16" t="str">
        <f>B26</f>
        <v>Low Voltage</v>
      </c>
      <c r="C31" s="52">
        <f>-PMT('Model Parameters'!C$16,'Model Parameters'!$C$7,C26)</f>
        <v>150170.47501311117</v>
      </c>
      <c r="D31" s="52">
        <f>-PMT('Model Parameters'!D$16,'Model Parameters'!$C$7,D26)</f>
        <v>162044.15284893409</v>
      </c>
      <c r="E31" s="52">
        <f>-PMT('Model Parameters'!E$16,'Model Parameters'!$C$7,E26)</f>
        <v>149253.10211158686</v>
      </c>
      <c r="F31" s="52">
        <f>-PMT('Model Parameters'!F$16,'Model Parameters'!$C$7,F26)</f>
        <v>144634.48241515711</v>
      </c>
      <c r="G31" s="52">
        <f>-PMT('Model Parameters'!G$16,'Model Parameters'!$C$7,G26)</f>
        <v>143915.60544306153</v>
      </c>
      <c r="H31" s="52">
        <f>-PMT('Model Parameters'!H$16,'Model Parameters'!$C$7,H26)</f>
        <v>134460.64150869771</v>
      </c>
      <c r="I31" s="52">
        <f>-PMT('Model Parameters'!I$16,'Model Parameters'!$C$7,I26)</f>
        <v>132710.51689995322</v>
      </c>
      <c r="J31" s="52">
        <f>-PMT('Model Parameters'!J$16,'Model Parameters'!$C$7,J26)</f>
        <v>137195.24444029326</v>
      </c>
      <c r="K31" s="52">
        <f>-PMT('Model Parameters'!K$16,'Model Parameters'!$C$7,K26)</f>
        <v>135419.65080050801</v>
      </c>
      <c r="L31" s="52">
        <f>-PMT('Model Parameters'!L$16,'Model Parameters'!$C$7,L26)</f>
        <v>139958.56101885912</v>
      </c>
      <c r="M31" s="53">
        <f>SUM(C31:L31)</f>
        <v>1429762.4325001622</v>
      </c>
    </row>
    <row r="32" spans="2:14" x14ac:dyDescent="0.2">
      <c r="B32" s="18" t="s">
        <v>3</v>
      </c>
      <c r="C32" s="54">
        <f t="shared" ref="C32:L32" si="9">SUM(C30:C31)</f>
        <v>160076.64904321326</v>
      </c>
      <c r="D32" s="54">
        <f t="shared" si="9"/>
        <v>172049.06567270131</v>
      </c>
      <c r="E32" s="54">
        <f t="shared" si="9"/>
        <v>158144.79053465463</v>
      </c>
      <c r="F32" s="54">
        <f t="shared" si="9"/>
        <v>154476.63847935031</v>
      </c>
      <c r="G32" s="54">
        <f t="shared" si="9"/>
        <v>153586.08074954836</v>
      </c>
      <c r="H32" s="54">
        <f t="shared" si="9"/>
        <v>142653.80541853156</v>
      </c>
      <c r="I32" s="54">
        <f t="shared" si="9"/>
        <v>140492.76561239595</v>
      </c>
      <c r="J32" s="54">
        <f t="shared" si="9"/>
        <v>145407.70228913971</v>
      </c>
      <c r="K32" s="54">
        <f t="shared" si="9"/>
        <v>143210.72034991506</v>
      </c>
      <c r="L32" s="54">
        <f t="shared" si="9"/>
        <v>148180.01612140919</v>
      </c>
      <c r="M32" s="54">
        <f>SUM(C32:L32)</f>
        <v>1518278.2342708593</v>
      </c>
    </row>
    <row r="34" spans="2:13" x14ac:dyDescent="0.2">
      <c r="B34" s="63" t="s">
        <v>7</v>
      </c>
      <c r="C34" s="23" t="str">
        <f t="shared" ref="C34:L34" si="10">C29</f>
        <v>2024-25</v>
      </c>
      <c r="D34" s="23" t="str">
        <f t="shared" si="10"/>
        <v>2025-26</v>
      </c>
      <c r="E34" s="23" t="str">
        <f t="shared" si="10"/>
        <v>2026-27</v>
      </c>
      <c r="F34" s="23" t="str">
        <f t="shared" si="10"/>
        <v>2027-28</v>
      </c>
      <c r="G34" s="23" t="str">
        <f t="shared" si="10"/>
        <v>2028-29</v>
      </c>
      <c r="H34" s="23" t="str">
        <f t="shared" si="10"/>
        <v>2029-30</v>
      </c>
      <c r="I34" s="23" t="str">
        <f t="shared" si="10"/>
        <v>2030-31</v>
      </c>
      <c r="J34" s="23" t="str">
        <f t="shared" si="10"/>
        <v>2031-32</v>
      </c>
      <c r="K34" s="23" t="str">
        <f t="shared" si="10"/>
        <v>2032-33</v>
      </c>
      <c r="L34" s="23" t="str">
        <f t="shared" si="10"/>
        <v>2033-34</v>
      </c>
      <c r="M34" s="23" t="s">
        <v>122</v>
      </c>
    </row>
    <row r="35" spans="2:13" x14ac:dyDescent="0.2">
      <c r="B35" s="13" t="str">
        <f>B30</f>
        <v>High Voltage</v>
      </c>
      <c r="C35" s="50">
        <f>SUM($C30:C30)</f>
        <v>9906.1740301021018</v>
      </c>
      <c r="D35" s="50">
        <f>SUM($C30:D30)</f>
        <v>19911.086853869325</v>
      </c>
      <c r="E35" s="50">
        <f>SUM($C30:E30)</f>
        <v>28802.775276937093</v>
      </c>
      <c r="F35" s="50">
        <f>SUM($C30:F30)</f>
        <v>38644.931341130294</v>
      </c>
      <c r="G35" s="50">
        <f>SUM($C30:G30)</f>
        <v>48315.406647617121</v>
      </c>
      <c r="H35" s="50">
        <f>SUM($C30:H30)</f>
        <v>56508.570557450978</v>
      </c>
      <c r="I35" s="50">
        <f>SUM($C30:I30)</f>
        <v>64290.819269893698</v>
      </c>
      <c r="J35" s="50">
        <f>SUM($C30:J30)</f>
        <v>72503.277118740138</v>
      </c>
      <c r="K35" s="50">
        <f>SUM($C30:K30)</f>
        <v>80294.346668147191</v>
      </c>
      <c r="L35" s="50">
        <f>SUM($C30:L30)</f>
        <v>88515.801770697246</v>
      </c>
      <c r="M35" s="50">
        <f>SUMPRODUCT($C35:$L35,'Supporting Calculations'!$C$20:$L$20)</f>
        <v>364702.4401683567</v>
      </c>
    </row>
    <row r="36" spans="2:13" x14ac:dyDescent="0.2">
      <c r="B36" s="16" t="str">
        <f>B31</f>
        <v>Low Voltage</v>
      </c>
      <c r="C36" s="52">
        <f>SUM($C31:C31)</f>
        <v>150170.47501311117</v>
      </c>
      <c r="D36" s="52">
        <f>SUM($C31:D31)</f>
        <v>312214.62786204525</v>
      </c>
      <c r="E36" s="52">
        <f>SUM($C31:E31)</f>
        <v>461467.72997363214</v>
      </c>
      <c r="F36" s="52">
        <f>SUM($C31:F31)</f>
        <v>606102.21238878928</v>
      </c>
      <c r="G36" s="52">
        <f>SUM($C31:G31)</f>
        <v>750017.81783185084</v>
      </c>
      <c r="H36" s="52">
        <f>SUM($C31:H31)</f>
        <v>884478.45934054861</v>
      </c>
      <c r="I36" s="52">
        <f>SUM($C31:I31)</f>
        <v>1017188.9762405019</v>
      </c>
      <c r="J36" s="52">
        <f>SUM($C31:J31)</f>
        <v>1154384.2206807951</v>
      </c>
      <c r="K36" s="52">
        <f>SUM($C31:K31)</f>
        <v>1289803.8714813031</v>
      </c>
      <c r="L36" s="52">
        <f>SUM($C31:L31)</f>
        <v>1429762.4325001622</v>
      </c>
      <c r="M36" s="52">
        <f>SUMPRODUCT($C36:$L36,'Supporting Calculations'!$C$20:$L$20)</f>
        <v>5777428.1700839214</v>
      </c>
    </row>
    <row r="37" spans="2:13" x14ac:dyDescent="0.2">
      <c r="B37" s="18" t="s">
        <v>3</v>
      </c>
      <c r="C37" s="54">
        <f>SUM($C32:C32)</f>
        <v>160076.64904321326</v>
      </c>
      <c r="D37" s="54">
        <f>SUM($C32:D32)</f>
        <v>332125.71471591457</v>
      </c>
      <c r="E37" s="54">
        <f>SUM($C32:E32)</f>
        <v>490270.5052505692</v>
      </c>
      <c r="F37" s="54">
        <f>SUM($C32:F32)</f>
        <v>644747.14372991957</v>
      </c>
      <c r="G37" s="54">
        <f>SUM($C32:G32)</f>
        <v>798333.22447946796</v>
      </c>
      <c r="H37" s="54">
        <f>SUM($C32:H32)</f>
        <v>940987.02989799948</v>
      </c>
      <c r="I37" s="54">
        <f>SUM($C32:I32)</f>
        <v>1081479.7955103954</v>
      </c>
      <c r="J37" s="54">
        <f>SUM($C32:J32)</f>
        <v>1226887.497799535</v>
      </c>
      <c r="K37" s="54">
        <f>SUM($C32:K32)</f>
        <v>1370098.2181494501</v>
      </c>
      <c r="L37" s="54">
        <f>SUM($C32:L32)</f>
        <v>1518278.2342708593</v>
      </c>
      <c r="M37" s="54">
        <f>SUMPRODUCT($C37:$L37,'Supporting Calculations'!$C$20:$L$20)</f>
        <v>6142130.6102522779</v>
      </c>
    </row>
    <row r="40" spans="2:13" x14ac:dyDescent="0.2">
      <c r="B40" s="33" t="s">
        <v>131</v>
      </c>
      <c r="C40" s="33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2" spans="2:13" x14ac:dyDescent="0.2">
      <c r="B42" s="63" t="s">
        <v>82</v>
      </c>
      <c r="C42" s="23" t="str">
        <f t="shared" ref="C42:L42" si="11">C34</f>
        <v>2024-25</v>
      </c>
      <c r="D42" s="23" t="str">
        <f t="shared" si="11"/>
        <v>2025-26</v>
      </c>
      <c r="E42" s="23" t="str">
        <f t="shared" si="11"/>
        <v>2026-27</v>
      </c>
      <c r="F42" s="23" t="str">
        <f t="shared" si="11"/>
        <v>2027-28</v>
      </c>
      <c r="G42" s="23" t="str">
        <f t="shared" si="11"/>
        <v>2028-29</v>
      </c>
      <c r="H42" s="23" t="str">
        <f t="shared" si="11"/>
        <v>2029-30</v>
      </c>
      <c r="I42" s="23" t="str">
        <f t="shared" si="11"/>
        <v>2030-31</v>
      </c>
      <c r="J42" s="23" t="str">
        <f t="shared" si="11"/>
        <v>2031-32</v>
      </c>
      <c r="K42" s="23" t="str">
        <f t="shared" si="11"/>
        <v>2032-33</v>
      </c>
      <c r="L42" s="23" t="str">
        <f t="shared" si="11"/>
        <v>2033-34</v>
      </c>
      <c r="M42" s="23" t="s">
        <v>122</v>
      </c>
    </row>
    <row r="43" spans="2:13" x14ac:dyDescent="0.2">
      <c r="B43" s="13" t="str">
        <f>B35</f>
        <v>High Voltage</v>
      </c>
      <c r="C43" s="50">
        <f>SUM($C25:C25)*'Model Parameters'!$C$8</f>
        <v>6963.4680220989176</v>
      </c>
      <c r="D43" s="50">
        <f>SUM($C25:D25)*'Model Parameters'!$C$8</f>
        <v>13930.473078131323</v>
      </c>
      <c r="E43" s="50">
        <f>SUM($C25:E25)*'Model Parameters'!$C$8</f>
        <v>20064.630130956251</v>
      </c>
      <c r="F43" s="50">
        <f>SUM($C25:F25)*'Model Parameters'!$C$8</f>
        <v>26791.658000904106</v>
      </c>
      <c r="G43" s="50">
        <f>SUM($C25:G25)*'Model Parameters'!$C$8</f>
        <v>33313.634080600255</v>
      </c>
      <c r="H43" s="50">
        <f>SUM($C25:H25)*'Model Parameters'!$C$8</f>
        <v>38839.279650588142</v>
      </c>
      <c r="I43" s="50">
        <f>SUM($C25:I25)*'Model Parameters'!$C$8</f>
        <v>44087.795193019796</v>
      </c>
      <c r="J43" s="50">
        <f>SUM($C25:J25)*'Model Parameters'!$C$8</f>
        <v>49626.453009534875</v>
      </c>
      <c r="K43" s="50">
        <f>SUM($C25:K25)*'Model Parameters'!$C$8</f>
        <v>54880.91751371463</v>
      </c>
      <c r="L43" s="50">
        <f>SUM($C25:L25)*'Model Parameters'!$C$8</f>
        <v>60425.643271212779</v>
      </c>
      <c r="M43" s="50">
        <f>SUMPRODUCT($C43:$L43,'Supporting Calculations'!$C$20:$L$20)</f>
        <v>250923.86468909908</v>
      </c>
    </row>
    <row r="44" spans="2:13" x14ac:dyDescent="0.2">
      <c r="B44" s="16" t="str">
        <f>B36</f>
        <v>Low Voltage</v>
      </c>
      <c r="C44" s="52">
        <f>SUM($C26:C26)*'Model Parameters'!$C$8</f>
        <v>105561.16795844602</v>
      </c>
      <c r="D44" s="52">
        <f>SUM($C26:D26)*'Model Parameters'!$C$8</f>
        <v>218401.97447872857</v>
      </c>
      <c r="E44" s="52">
        <f>SUM($C26:E26)*'Model Parameters'!$C$8</f>
        <v>321368.01708078297</v>
      </c>
      <c r="F44" s="52">
        <f>SUM($C26:F26)*'Model Parameters'!$C$8</f>
        <v>420224.42494673585</v>
      </c>
      <c r="G44" s="52">
        <f>SUM($C26:G26)*'Model Parameters'!$C$8</f>
        <v>517284.19775490655</v>
      </c>
      <c r="H44" s="52">
        <f>SUM($C26:H26)*'Model Parameters'!$C$8</f>
        <v>607967.33997771738</v>
      </c>
      <c r="I44" s="52">
        <f>SUM($C26:I26)*'Model Parameters'!$C$8</f>
        <v>697470.16060588416</v>
      </c>
      <c r="J44" s="52">
        <f>SUM($C26:J26)*'Model Parameters'!$C$8</f>
        <v>789997.5777316431</v>
      </c>
      <c r="K44" s="52">
        <f>SUM($C26:K26)*'Model Parameters'!$C$8</f>
        <v>881327.49640164664</v>
      </c>
      <c r="L44" s="52">
        <f>SUM($C26:L26)*'Model Parameters'!$C$8</f>
        <v>975718.55353007908</v>
      </c>
      <c r="M44" s="52">
        <f>SUMPRODUCT($C44:$L44,'Supporting Calculations'!$C$20:$L$20)</f>
        <v>3974282.9209648548</v>
      </c>
    </row>
    <row r="45" spans="2:13" x14ac:dyDescent="0.2">
      <c r="B45" s="18" t="s">
        <v>3</v>
      </c>
      <c r="C45" s="54">
        <f t="shared" ref="C45:L45" si="12">SUM(C43:C44)</f>
        <v>112524.63598054493</v>
      </c>
      <c r="D45" s="54">
        <f t="shared" si="12"/>
        <v>232332.4475568599</v>
      </c>
      <c r="E45" s="54">
        <f t="shared" si="12"/>
        <v>341432.64721173921</v>
      </c>
      <c r="F45" s="54">
        <f t="shared" si="12"/>
        <v>447016.08294763998</v>
      </c>
      <c r="G45" s="54">
        <f t="shared" si="12"/>
        <v>550597.83183550683</v>
      </c>
      <c r="H45" s="54">
        <f t="shared" si="12"/>
        <v>646806.61962830555</v>
      </c>
      <c r="I45" s="54">
        <f t="shared" si="12"/>
        <v>741557.95579890395</v>
      </c>
      <c r="J45" s="54">
        <f t="shared" si="12"/>
        <v>839624.03074117796</v>
      </c>
      <c r="K45" s="54">
        <f t="shared" si="12"/>
        <v>936208.41391536128</v>
      </c>
      <c r="L45" s="54">
        <f t="shared" si="12"/>
        <v>1036144.1968012919</v>
      </c>
      <c r="M45" s="54">
        <f>SUMPRODUCT($C45:$L45,'Supporting Calculations'!$C$20:$L$20)</f>
        <v>4225206.7856539534</v>
      </c>
    </row>
    <row r="46" spans="2:13" s="3" customFormat="1" x14ac:dyDescent="0.2">
      <c r="B46" s="34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8" spans="2:13" x14ac:dyDescent="0.2">
      <c r="B48" s="33" t="s">
        <v>132</v>
      </c>
      <c r="C48" s="33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50" spans="2:14" x14ac:dyDescent="0.2">
      <c r="B50" s="63" t="s">
        <v>124</v>
      </c>
      <c r="C50" s="23" t="str">
        <f t="shared" ref="C50:L50" si="13">C16</f>
        <v>2024-25</v>
      </c>
      <c r="D50" s="23" t="str">
        <f t="shared" si="13"/>
        <v>2025-26</v>
      </c>
      <c r="E50" s="23" t="str">
        <f t="shared" si="13"/>
        <v>2026-27</v>
      </c>
      <c r="F50" s="23" t="str">
        <f t="shared" si="13"/>
        <v>2027-28</v>
      </c>
      <c r="G50" s="23" t="str">
        <f t="shared" si="13"/>
        <v>2028-29</v>
      </c>
      <c r="H50" s="23" t="str">
        <f t="shared" si="13"/>
        <v>2029-30</v>
      </c>
      <c r="I50" s="23" t="str">
        <f t="shared" si="13"/>
        <v>2030-31</v>
      </c>
      <c r="J50" s="23" t="str">
        <f t="shared" si="13"/>
        <v>2031-32</v>
      </c>
      <c r="K50" s="23" t="str">
        <f t="shared" si="13"/>
        <v>2032-33</v>
      </c>
      <c r="L50" s="23" t="str">
        <f t="shared" si="13"/>
        <v>2033-34</v>
      </c>
      <c r="M50" s="23" t="s">
        <v>122</v>
      </c>
    </row>
    <row r="51" spans="2:14" x14ac:dyDescent="0.2">
      <c r="B51" s="2" t="s">
        <v>123</v>
      </c>
      <c r="C51" s="55">
        <f>SUM('LRMC Program of Works'!AL$8:AL$20)/1000</f>
        <v>11.921727018696522</v>
      </c>
      <c r="D51" s="55">
        <f>SUM('LRMC Program of Works'!AM$8:AM$20)/1000</f>
        <v>11.542057029706532</v>
      </c>
      <c r="E51" s="55">
        <f>SUM('LRMC Program of Works'!AN$8:AN$20)/1000</f>
        <v>12.001297355286901</v>
      </c>
      <c r="F51" s="55">
        <f>SUM('LRMC Program of Works'!AO$8:AO$20)/1000</f>
        <v>11.25728031388855</v>
      </c>
      <c r="G51" s="55">
        <f>SUM('LRMC Program of Works'!AP$8:AP$20)/1000</f>
        <v>11.800278242061394</v>
      </c>
      <c r="H51" s="55">
        <f>SUM('LRMC Program of Works'!AQ$8:AQ$20)/1000</f>
        <v>11.760562641052548</v>
      </c>
      <c r="I51" s="55">
        <f>SUM('LRMC Program of Works'!AR$8:AR$20)/1000</f>
        <v>11.364072286773688</v>
      </c>
      <c r="J51" s="55">
        <f>SUM('LRMC Program of Works'!AS$8:AS$20)/1000</f>
        <v>12.063575188692049</v>
      </c>
      <c r="K51" s="55">
        <f>SUM('LRMC Program of Works'!AT$8:AT$20)/1000</f>
        <v>11.658275217441449</v>
      </c>
      <c r="L51" s="55">
        <f>SUM('LRMC Program of Works'!AU$8:AU$20)/1000</f>
        <v>12.363662177973165</v>
      </c>
      <c r="M51" s="56">
        <f>SUMPRODUCT(C51:L51,'Supporting Calculations'!C20:L20)</f>
        <v>92.00082042816021</v>
      </c>
    </row>
    <row r="52" spans="2:14" x14ac:dyDescent="0.2">
      <c r="B52" s="13" t="str">
        <f>"Incremental Capacity: "&amp;B43</f>
        <v>Incremental Capacity: High Voltage</v>
      </c>
      <c r="C52" s="55">
        <f>'Supporting Calculations'!$C$14*C$51</f>
        <v>1.4222995480646505</v>
      </c>
      <c r="D52" s="55">
        <f>'Supporting Calculations'!$C$14*D$51</f>
        <v>1.3770037236503438</v>
      </c>
      <c r="E52" s="55">
        <f>'Supporting Calculations'!$C$14*E$51</f>
        <v>1.4317925396081042</v>
      </c>
      <c r="F52" s="55">
        <f>'Supporting Calculations'!$C$14*F$51</f>
        <v>1.3430289653311809</v>
      </c>
      <c r="G52" s="55">
        <f>'Supporting Calculations'!$C$14*G$51</f>
        <v>1.4078103268427378</v>
      </c>
      <c r="H52" s="55">
        <f>'Supporting Calculations'!$C$14*H$51</f>
        <v>1.4030721306671829</v>
      </c>
      <c r="I52" s="55">
        <f>'Supporting Calculations'!$C$14*I$51</f>
        <v>1.3557695837443737</v>
      </c>
      <c r="J52" s="55">
        <f>'Supporting Calculations'!$C$14*J$51</f>
        <v>1.4392224811063177</v>
      </c>
      <c r="K52" s="55">
        <f>'Supporting Calculations'!$C$14*K$51</f>
        <v>1.3908689191570884</v>
      </c>
      <c r="L52" s="55">
        <f>'Supporting Calculations'!$C$14*L$51</f>
        <v>1.4750238032272867</v>
      </c>
      <c r="M52" s="55">
        <f>SUMPRODUCT($C52:$L52,'Supporting Calculations'!$C$20:$L$20)</f>
        <v>10.975987380967252</v>
      </c>
      <c r="N52" s="42"/>
    </row>
    <row r="53" spans="2:14" x14ac:dyDescent="0.2">
      <c r="B53" s="13" t="str">
        <f>"Incremental Capacity: "&amp;B44</f>
        <v>Incremental Capacity: Low Voltage</v>
      </c>
      <c r="C53" s="55">
        <f>'Supporting Calculations'!$D$14*C$51</f>
        <v>10.499427470631872</v>
      </c>
      <c r="D53" s="55">
        <f>'Supporting Calculations'!$D$14*D$51</f>
        <v>10.165053306056189</v>
      </c>
      <c r="E53" s="55">
        <f>'Supporting Calculations'!$D$14*E$51</f>
        <v>10.569504815678798</v>
      </c>
      <c r="F53" s="55">
        <f>'Supporting Calculations'!$D$14*F$51</f>
        <v>9.9142513485573698</v>
      </c>
      <c r="G53" s="55">
        <f>'Supporting Calculations'!$D$14*G$51</f>
        <v>10.392467915218656</v>
      </c>
      <c r="H53" s="55">
        <f>'Supporting Calculations'!$D$14*H$51</f>
        <v>10.357490510385365</v>
      </c>
      <c r="I53" s="55">
        <f>'Supporting Calculations'!$D$14*I$51</f>
        <v>10.008302703029313</v>
      </c>
      <c r="J53" s="55">
        <f>'Supporting Calculations'!$D$14*J$51</f>
        <v>10.62435270758573</v>
      </c>
      <c r="K53" s="55">
        <f>'Supporting Calculations'!$D$14*K$51</f>
        <v>10.267406298284362</v>
      </c>
      <c r="L53" s="55">
        <f>'Supporting Calculations'!$D$14*L$51</f>
        <v>10.888638374745877</v>
      </c>
      <c r="M53" s="55">
        <f>SUMPRODUCT($C53:$L53,'Supporting Calculations'!$C$20:$L$20)</f>
        <v>81.024833047192956</v>
      </c>
      <c r="N53" s="42"/>
    </row>
    <row r="54" spans="2:14" x14ac:dyDescent="0.2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9"/>
    </row>
    <row r="55" spans="2:14" x14ac:dyDescent="0.2">
      <c r="B55" s="4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44"/>
    </row>
    <row r="61" spans="2:14" x14ac:dyDescent="0.2">
      <c r="C61" s="46"/>
      <c r="E61" s="45"/>
    </row>
    <row r="66" spans="1:18" x14ac:dyDescent="0.2">
      <c r="A66" s="5"/>
      <c r="B66" s="5"/>
      <c r="C66" s="5"/>
      <c r="D66" s="5"/>
      <c r="E66" s="5"/>
      <c r="F66" s="72"/>
      <c r="G66" s="72"/>
      <c r="I66" s="5"/>
    </row>
    <row r="67" spans="1:18" x14ac:dyDescent="0.2">
      <c r="F67" s="45"/>
    </row>
    <row r="68" spans="1:18" x14ac:dyDescent="0.2">
      <c r="F68" s="45"/>
    </row>
    <row r="69" spans="1:18" x14ac:dyDescent="0.2">
      <c r="F69" s="45"/>
      <c r="I69" s="47"/>
      <c r="J69" s="47"/>
      <c r="K69" s="47"/>
      <c r="L69" s="47"/>
      <c r="M69" s="47"/>
      <c r="N69" s="47"/>
      <c r="O69" s="47"/>
      <c r="P69" s="47"/>
      <c r="Q69" s="47"/>
    </row>
    <row r="70" spans="1:18" x14ac:dyDescent="0.2">
      <c r="F70" s="45"/>
    </row>
    <row r="71" spans="1:18" x14ac:dyDescent="0.2">
      <c r="F71" s="45"/>
      <c r="R71" s="48"/>
    </row>
    <row r="72" spans="1:18" x14ac:dyDescent="0.2">
      <c r="E72" s="9"/>
      <c r="F72" s="45"/>
      <c r="R72" s="45"/>
    </row>
    <row r="73" spans="1:18" x14ac:dyDescent="0.2">
      <c r="B73" s="42"/>
      <c r="E73" s="9"/>
      <c r="F73" s="45"/>
      <c r="R73" s="45"/>
    </row>
    <row r="74" spans="1:18" x14ac:dyDescent="0.2">
      <c r="B74" s="42"/>
      <c r="E74" s="9"/>
      <c r="F74" s="45"/>
      <c r="R74" s="45"/>
    </row>
    <row r="75" spans="1:18" x14ac:dyDescent="0.2">
      <c r="B75" s="42"/>
      <c r="E75" s="9"/>
      <c r="F75" s="45"/>
      <c r="R75" s="45"/>
    </row>
    <row r="76" spans="1:18" x14ac:dyDescent="0.2">
      <c r="B76" s="42"/>
      <c r="E76" s="9"/>
      <c r="F76" s="45"/>
      <c r="R76" s="45"/>
    </row>
    <row r="77" spans="1:18" x14ac:dyDescent="0.2">
      <c r="B77" s="42"/>
      <c r="E77" s="9"/>
      <c r="F77" s="45"/>
      <c r="R77" s="45"/>
    </row>
    <row r="78" spans="1:18" x14ac:dyDescent="0.2">
      <c r="B78" s="42"/>
      <c r="E78" s="9"/>
      <c r="F78" s="45"/>
      <c r="R78" s="45"/>
    </row>
    <row r="79" spans="1:18" x14ac:dyDescent="0.2">
      <c r="B79" s="42"/>
      <c r="E79" s="9"/>
      <c r="F79" s="45"/>
      <c r="R79" s="45"/>
    </row>
    <row r="80" spans="1:18" x14ac:dyDescent="0.2">
      <c r="B80" s="42"/>
      <c r="R80" s="45"/>
    </row>
    <row r="81" spans="1:17" x14ac:dyDescent="0.2">
      <c r="I81" s="47"/>
      <c r="J81" s="47"/>
      <c r="K81" s="47"/>
      <c r="L81" s="47"/>
      <c r="M81" s="47"/>
      <c r="N81" s="47"/>
      <c r="O81" s="47"/>
      <c r="P81" s="47"/>
      <c r="Q81" s="47"/>
    </row>
    <row r="84" spans="1:17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7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7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</row>
    <row r="87" spans="1:17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1:17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</row>
    <row r="89" spans="1:17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</row>
    <row r="90" spans="1:17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</row>
    <row r="91" spans="1:17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</row>
  </sheetData>
  <mergeCells count="1">
    <mergeCell ref="F66:G66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F278-C17F-408B-8138-D49219B04292}">
  <sheetPr>
    <tabColor theme="3"/>
  </sheetPr>
  <dimension ref="A1"/>
  <sheetViews>
    <sheetView workbookViewId="0">
      <selection activeCell="O24" sqref="O2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8841-5E12-4491-A286-59C5F1DE31E1}">
  <dimension ref="B1:C8"/>
  <sheetViews>
    <sheetView showGridLines="0" tabSelected="1" workbookViewId="0">
      <selection activeCell="N34" sqref="N34"/>
    </sheetView>
  </sheetViews>
  <sheetFormatPr defaultRowHeight="12.75" x14ac:dyDescent="0.2"/>
  <cols>
    <col min="1" max="1" width="9.140625" style="2"/>
    <col min="2" max="3" width="20.42578125" style="2" customWidth="1"/>
    <col min="4" max="16384" width="9.140625" style="2"/>
  </cols>
  <sheetData>
    <row r="1" spans="2:3" ht="21" x14ac:dyDescent="0.35">
      <c r="B1" s="65" t="s">
        <v>138</v>
      </c>
    </row>
    <row r="2" spans="2:3" ht="15" x14ac:dyDescent="0.25">
      <c r="B2" s="64" t="s">
        <v>139</v>
      </c>
    </row>
    <row r="4" spans="2:3" x14ac:dyDescent="0.2">
      <c r="B4" s="73" t="s">
        <v>137</v>
      </c>
      <c r="C4" s="73"/>
    </row>
    <row r="6" spans="2:3" x14ac:dyDescent="0.2">
      <c r="B6" s="49" t="s">
        <v>125</v>
      </c>
      <c r="C6" s="23" t="s">
        <v>126</v>
      </c>
    </row>
    <row r="7" spans="2:3" x14ac:dyDescent="0.2">
      <c r="B7" s="2" t="s">
        <v>4</v>
      </c>
      <c r="C7" s="61">
        <f>(('LRMC Calculations'!M35+'LRMC Calculations'!M43)/'LRMC Calculations'!M52)/1000</f>
        <v>56.088466895012417</v>
      </c>
    </row>
    <row r="8" spans="2:3" x14ac:dyDescent="0.2">
      <c r="B8" s="2" t="s">
        <v>5</v>
      </c>
      <c r="C8" s="61">
        <f>(('LRMC Calculations'!M36+'LRMC Calculations'!M44)/'LRMC Calculations'!M53)/1000</f>
        <v>120.35459653917322</v>
      </c>
    </row>
  </sheetData>
  <mergeCells count="1"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493e50-f4fa-4672-bec5-6587e791f720">
      <Value>59</Value>
      <Value>16</Value>
      <Value>64</Value>
    </TaxCatchAll>
    <Business_x0020_Groups xmlns="8f493e50-f4fa-4672-bec5-6587e791f720">Stakeholder</Business_x0020_Groups>
    <Person_x0020_or_x0020_Group xmlns="cdf0dde9-ebef-4e0b-9cde-c91850d92f2d">
      <UserInfo>
        <DisplayName>Julie Morrison</DisplayName>
        <AccountId>7765</AccountId>
        <AccountType/>
      </UserInfo>
    </Person_x0020_or_x0020_Group>
    <Published_x0020_Externally xmlns="8f493e50-f4fa-4672-bec5-6587e791f720">Yes</Published_x0020_Externally>
    <Document_x0020_Category xmlns="8f493e50-f4fa-4672-bec5-6587e791f720">Supporting Information</Document_x0020_Category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Record_x0020_Number xmlns="8f493e50-f4fa-4672-bec5-6587e791f720">R0002356514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Distribution</TermName>
          <TermId xmlns="http://schemas.microsoft.com/office/infopath/2007/PartnerControls">288a0529-be6b-41c1-b0c2-a8aa572a898a</TermId>
        </TermInfo>
      </Terms>
    </d515513357cb4f278bf18cadf524fc2b>
  </documentManagement>
</p:properti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654A6-054A-4170-B41F-EFBD640361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87BEB-A6BC-43A1-BC7F-1FAD41357F1E}">
  <ds:schemaRefs>
    <ds:schemaRef ds:uri="http://schemas.microsoft.com/office/infopath/2007/PartnerControls"/>
    <ds:schemaRef ds:uri="http://www.w3.org/XML/1998/namespace"/>
    <ds:schemaRef ds:uri="http://purl.org/dc/terms/"/>
    <ds:schemaRef ds:uri="cdf0dde9-ebef-4e0b-9cde-c91850d92f2d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f493e50-f4fa-4672-bec5-6587e791f72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DF9ECA-82A7-43E4-8629-CC55B49B781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5A1F0F7-0124-4762-9448-7920DEA7427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Inputs&gt;&gt;&gt;</vt:lpstr>
      <vt:lpstr>Model Parameters</vt:lpstr>
      <vt:lpstr>LRMC Program of Works</vt:lpstr>
      <vt:lpstr>Calculations&gt;&gt;&gt;</vt:lpstr>
      <vt:lpstr>Supporting Calculations</vt:lpstr>
      <vt:lpstr>LRMC Calculations</vt:lpstr>
      <vt:lpstr>Outputs&gt;&gt;&gt;</vt:lpstr>
      <vt:lpstr>LRMC by VL</vt:lpstr>
      <vt:lpstr>'LRMC Calculations'!_GoBack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2021-03-14T21:55:22Z</dcterms:created>
  <dcterms:modified xsi:type="dcterms:W3CDTF">2023-01-16T03:14:23Z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{8e0b9e72-cb0e-419f-9434-fcb6fc7f2c26}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RecordPoint_RecordNumberSubmitted">
    <vt:lpwstr>R0002356514</vt:lpwstr>
  </property>
  <property fmtid="{D5CDD505-2E9C-101B-9397-08002B2CF9AE}" pid="9" name="RecordPoint_SubmissionCompleted">
    <vt:lpwstr>2023-01-23T10:40:16.6333584+11:00</vt:lpwstr>
  </property>
  <property fmtid="{D5CDD505-2E9C-101B-9397-08002B2CF9AE}" pid="10" name="RecordPoint_SubmissionDate">
    <vt:lpwstr/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lated Job">
    <vt:lpwstr>1261</vt:lpwstr>
  </property>
  <property fmtid="{D5CDD505-2E9C-101B-9397-08002B2CF9AE}" pid="14" name="Client Account">
    <vt:lpwstr>198</vt:lpwstr>
  </property>
  <property fmtid="{D5CDD505-2E9C-101B-9397-08002B2CF9AE}" pid="15" name="SharedWithUsers">
    <vt:lpwstr>1230;#Lewis Fung</vt:lpwstr>
  </property>
  <property fmtid="{D5CDD505-2E9C-101B-9397-08002B2CF9AE}" pid="16" name="MediaServiceImageTags">
    <vt:lpwstr/>
  </property>
  <property fmtid="{D5CDD505-2E9C-101B-9397-08002B2CF9AE}" pid="17" name="Determination Category">
    <vt:lpwstr>59;#Models and Pricing Tariffs|2d578944-a888-48cf-9157-a3f07df87eae</vt:lpwstr>
  </property>
  <property fmtid="{D5CDD505-2E9C-101B-9397-08002B2CF9AE}" pid="18" name="Determination Activity">
    <vt:lpwstr>16;#Revenue Proposal|f3980111-814c-44b7-9aa4-fe076fe6d80d</vt:lpwstr>
  </property>
  <property fmtid="{D5CDD505-2E9C-101B-9397-08002B2CF9AE}" pid="19" name="Network">
    <vt:lpwstr>64;#Distribution|288a0529-be6b-41c1-b0c2-a8aa572a898a</vt:lpwstr>
  </property>
</Properties>
</file>