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 defaultThemeVersion="124226"/>
  <xr:revisionPtr revIDLastSave="0" documentId="13_ncr:1_{8E92FF93-5491-44CD-8C7A-ACB4D7AE1F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Summary" sheetId="15" r:id="rId7"/>
    <sheet name="Overspend recovery" sheetId="16" r:id="rId8"/>
  </sheets>
  <externalReferences>
    <externalReference r:id="rId9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3" l="1"/>
  <c r="J13" i="13"/>
  <c r="I13" i="13"/>
  <c r="G13" i="13"/>
  <c r="F13" i="13"/>
  <c r="H13" i="13"/>
  <c r="K23" i="13" l="1"/>
  <c r="J23" i="13"/>
  <c r="H9" i="4" s="1"/>
  <c r="I23" i="13"/>
  <c r="G9" i="4" s="1"/>
  <c r="G10" i="16"/>
  <c r="F10" i="16"/>
  <c r="D10" i="16"/>
  <c r="F5" i="16"/>
  <c r="D5" i="16"/>
  <c r="G5" i="16"/>
  <c r="E5" i="16"/>
  <c r="J5" i="16" s="1"/>
  <c r="F23" i="13"/>
  <c r="D9" i="4" s="1"/>
  <c r="D27" i="4"/>
  <c r="D19" i="4"/>
  <c r="D8" i="4"/>
  <c r="E8" i="4"/>
  <c r="F8" i="4"/>
  <c r="G8" i="4"/>
  <c r="G23" i="13"/>
  <c r="E9" i="4" s="1"/>
  <c r="H13" i="2"/>
  <c r="M6" i="3" s="1"/>
  <c r="M16" i="3" s="1"/>
  <c r="D18" i="2"/>
  <c r="E25" i="4"/>
  <c r="I8" i="4"/>
  <c r="H8" i="4"/>
  <c r="B1" i="2"/>
  <c r="B1" i="5" s="1"/>
  <c r="I27" i="3"/>
  <c r="L7" i="13"/>
  <c r="L20" i="13" s="1"/>
  <c r="D41" i="4"/>
  <c r="J6" i="10" s="1"/>
  <c r="F8" i="10" s="1"/>
  <c r="C45" i="4" s="1"/>
  <c r="E18" i="2"/>
  <c r="J27" i="3" s="1"/>
  <c r="E9" i="16"/>
  <c r="E10" i="16" s="1"/>
  <c r="J10" i="16" s="1"/>
  <c r="C43" i="4" l="1"/>
  <c r="F25" i="4"/>
  <c r="G13" i="2"/>
  <c r="M7" i="13"/>
  <c r="M20" i="13" s="1"/>
  <c r="K7" i="13"/>
  <c r="K20" i="13" s="1"/>
  <c r="E41" i="4"/>
  <c r="K6" i="10" s="1"/>
  <c r="F18" i="2"/>
  <c r="I7" i="4"/>
  <c r="D42" i="4"/>
  <c r="H23" i="3"/>
  <c r="C4" i="15" s="1"/>
  <c r="B1" i="4"/>
  <c r="B1" i="10"/>
  <c r="B1" i="3"/>
  <c r="B1" i="13"/>
  <c r="H12" i="3"/>
  <c r="C3" i="15" s="1"/>
  <c r="M12" i="3"/>
  <c r="E42" i="4"/>
  <c r="F42" i="4" s="1"/>
  <c r="G42" i="4" s="1"/>
  <c r="H42" i="4" s="1"/>
  <c r="I9" i="4"/>
  <c r="H20" i="4" s="1"/>
  <c r="G20" i="4" s="1"/>
  <c r="F20" i="4" s="1"/>
  <c r="D26" i="4"/>
  <c r="D10" i="4" l="1"/>
  <c r="K27" i="3"/>
  <c r="F41" i="4"/>
  <c r="L6" i="10" s="1"/>
  <c r="G18" i="2"/>
  <c r="G25" i="4"/>
  <c r="N7" i="13"/>
  <c r="N20" i="13" s="1"/>
  <c r="H7" i="4"/>
  <c r="L6" i="3"/>
  <c r="F13" i="2"/>
  <c r="J7" i="13"/>
  <c r="C5" i="15"/>
  <c r="D11" i="4"/>
  <c r="D12" i="4"/>
  <c r="H13" i="4" s="1"/>
  <c r="D28" i="4"/>
  <c r="D29" i="4" s="1"/>
  <c r="H23" i="13"/>
  <c r="F9" i="4" s="1"/>
  <c r="E20" i="4" s="1"/>
  <c r="L16" i="3" l="1"/>
  <c r="L12" i="3"/>
  <c r="H18" i="2"/>
  <c r="O7" i="13"/>
  <c r="O20" i="13" s="1"/>
  <c r="G41" i="4"/>
  <c r="M6" i="10" s="1"/>
  <c r="H25" i="4"/>
  <c r="L27" i="3"/>
  <c r="G7" i="4"/>
  <c r="E13" i="2"/>
  <c r="K6" i="3"/>
  <c r="J20" i="13"/>
  <c r="I7" i="13"/>
  <c r="I13" i="4"/>
  <c r="E13" i="4"/>
  <c r="E19" i="4" s="1"/>
  <c r="E22" i="4" s="1"/>
  <c r="F13" i="4"/>
  <c r="G13" i="4"/>
  <c r="D20" i="4"/>
  <c r="H41" i="4" l="1"/>
  <c r="N6" i="10" s="1"/>
  <c r="I25" i="4"/>
  <c r="P7" i="13"/>
  <c r="P20" i="13" s="1"/>
  <c r="M27" i="3"/>
  <c r="F10" i="3"/>
  <c r="F8" i="3"/>
  <c r="F30" i="3"/>
  <c r="H7" i="13"/>
  <c r="I20" i="13"/>
  <c r="F9" i="3"/>
  <c r="K16" i="3"/>
  <c r="K23" i="3" s="1"/>
  <c r="K12" i="3"/>
  <c r="D13" i="2"/>
  <c r="F7" i="4"/>
  <c r="J6" i="3"/>
  <c r="D22" i="4"/>
  <c r="D21" i="4"/>
  <c r="G7" i="13" l="1"/>
  <c r="H20" i="13"/>
  <c r="I6" i="3"/>
  <c r="E7" i="4"/>
  <c r="F4" i="15"/>
  <c r="G11" i="4"/>
  <c r="J16" i="3"/>
  <c r="J12" i="3"/>
  <c r="I16" i="3" l="1"/>
  <c r="I23" i="3" s="1"/>
  <c r="I12" i="3"/>
  <c r="G15" i="13"/>
  <c r="H15" i="13" s="1"/>
  <c r="I15" i="13" s="1"/>
  <c r="G10" i="13"/>
  <c r="H10" i="13" s="1"/>
  <c r="I10" i="13" s="1"/>
  <c r="F7" i="13"/>
  <c r="G20" i="13"/>
  <c r="F20" i="13" l="1"/>
  <c r="C10" i="13"/>
  <c r="C15" i="13"/>
  <c r="F12" i="3"/>
  <c r="J10" i="13"/>
  <c r="F3" i="15"/>
  <c r="F5" i="15" s="1"/>
  <c r="E3" i="15"/>
  <c r="E10" i="4"/>
  <c r="D3" i="15"/>
  <c r="G10" i="4"/>
  <c r="G12" i="4" s="1"/>
  <c r="J15" i="13"/>
  <c r="F10" i="4"/>
  <c r="D4" i="15"/>
  <c r="E11" i="4"/>
  <c r="L23" i="13"/>
  <c r="E26" i="4" s="1"/>
  <c r="E28" i="4" s="1"/>
  <c r="M14" i="13"/>
  <c r="N14" i="13" s="1"/>
  <c r="K10" i="13" l="1"/>
  <c r="G3" i="15"/>
  <c r="K15" i="13"/>
  <c r="H10" i="4"/>
  <c r="E12" i="4"/>
  <c r="H16" i="4"/>
  <c r="I16" i="4"/>
  <c r="G21" i="4"/>
  <c r="D5" i="15"/>
  <c r="M23" i="13"/>
  <c r="F26" i="4" s="1"/>
  <c r="F28" i="4" s="1"/>
  <c r="O14" i="13"/>
  <c r="N23" i="13"/>
  <c r="G26" i="4" s="1"/>
  <c r="I10" i="4" l="1"/>
  <c r="L15" i="13"/>
  <c r="M15" i="13" s="1"/>
  <c r="N15" i="13" s="1"/>
  <c r="O15" i="13" s="1"/>
  <c r="I14" i="4"/>
  <c r="H14" i="4"/>
  <c r="E21" i="4"/>
  <c r="G14" i="4"/>
  <c r="F14" i="4"/>
  <c r="F19" i="4" s="1"/>
  <c r="F22" i="4" s="1"/>
  <c r="H3" i="15"/>
  <c r="I3" i="15" s="1"/>
  <c r="L10" i="13"/>
  <c r="I30" i="3"/>
  <c r="I31" i="3" s="1"/>
  <c r="E27" i="4" s="1"/>
  <c r="E29" i="4" s="1"/>
  <c r="G28" i="4"/>
  <c r="O23" i="13"/>
  <c r="H26" i="4" s="1"/>
  <c r="H28" i="4" s="1"/>
  <c r="P14" i="13"/>
  <c r="P15" i="13" l="1"/>
  <c r="J30" i="3"/>
  <c r="J31" i="3" s="1"/>
  <c r="F27" i="4" s="1"/>
  <c r="F29" i="4" s="1"/>
  <c r="M10" i="13"/>
  <c r="P23" i="13"/>
  <c r="I26" i="4" s="1"/>
  <c r="I28" i="4" s="1"/>
  <c r="K30" i="3" l="1"/>
  <c r="K31" i="3" s="1"/>
  <c r="G27" i="4" s="1"/>
  <c r="G29" i="4" s="1"/>
  <c r="N10" i="13"/>
  <c r="O10" i="13" l="1"/>
  <c r="L30" i="3"/>
  <c r="L31" i="3" s="1"/>
  <c r="H27" i="4" s="1"/>
  <c r="H29" i="4" s="1"/>
  <c r="J23" i="3"/>
  <c r="M30" i="3" l="1"/>
  <c r="M31" i="3" s="1"/>
  <c r="I27" i="4" s="1"/>
  <c r="I29" i="4" s="1"/>
  <c r="P10" i="13"/>
  <c r="E4" i="15"/>
  <c r="F11" i="4"/>
  <c r="F12" i="4" s="1"/>
  <c r="L23" i="3"/>
  <c r="M23" i="3"/>
  <c r="I11" i="4" l="1"/>
  <c r="I12" i="4" s="1"/>
  <c r="I21" i="4" s="1"/>
  <c r="H4" i="15"/>
  <c r="H5" i="15" s="1"/>
  <c r="G4" i="15"/>
  <c r="G5" i="15" s="1"/>
  <c r="H11" i="4"/>
  <c r="H12" i="4" s="1"/>
  <c r="H15" i="4"/>
  <c r="H19" i="4" s="1"/>
  <c r="H22" i="4" s="1"/>
  <c r="F21" i="4"/>
  <c r="G15" i="4"/>
  <c r="G19" i="4" s="1"/>
  <c r="G22" i="4" s="1"/>
  <c r="I15" i="4"/>
  <c r="E5" i="15"/>
  <c r="H21" i="4" l="1"/>
  <c r="D32" i="4" s="1"/>
  <c r="I17" i="4"/>
  <c r="I19" i="4" s="1"/>
  <c r="I22" i="4" s="1"/>
  <c r="D36" i="4" s="1"/>
  <c r="I4" i="15"/>
  <c r="I5" i="15" s="1"/>
  <c r="D35" i="4" l="1"/>
  <c r="D37" i="4" s="1"/>
  <c r="D43" i="4" s="1"/>
  <c r="D34" i="4"/>
  <c r="E43" i="4" l="1"/>
  <c r="J8" i="10"/>
  <c r="F43" i="4" l="1"/>
  <c r="K8" i="10"/>
  <c r="L8" i="10" l="1"/>
  <c r="G43" i="4"/>
  <c r="M8" i="10" l="1"/>
  <c r="H43" i="4"/>
  <c r="N8" i="10" s="1"/>
  <c r="O8" i="10" l="1"/>
  <c r="D45" i="4"/>
  <c r="J6" i="15" s="1"/>
</calcChain>
</file>

<file path=xl/sharedStrings.xml><?xml version="1.0" encoding="utf-8"?>
<sst xmlns="http://schemas.openxmlformats.org/spreadsheetml/2006/main" count="249" uniqueCount="126">
  <si>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</si>
  <si>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</si>
  <si>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</si>
  <si>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</si>
  <si>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</si>
  <si>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</si>
  <si>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</si>
  <si>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</si>
  <si>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</si>
  <si>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</si>
  <si>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</si>
  <si>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</si>
  <si>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</si>
  <si>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</si>
  <si>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</si>
  <si>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</si>
  <si>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</si>
  <si>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</si>
  <si>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</si>
  <si>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</si>
  <si>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</si>
  <si>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</si>
  <si>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</si>
  <si>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</si>
  <si>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</si>
  <si>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</si>
  <si>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</si>
  <si>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</si>
  <si>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</si>
  <si>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</si>
  <si>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</si>
  <si>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</si>
  <si>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</si>
  <si>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</si>
  <si>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</si>
  <si>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</si>
  <si>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</si>
  <si>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</si>
  <si>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</si>
  <si>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</si>
  <si>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</si>
  <si>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</si>
  <si>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</si>
  <si>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</si>
  <si>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</si>
  <si>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</si>
  <si>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</si>
  <si>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</si>
  <si>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</si>
  <si>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</si>
  <si>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</si>
  <si>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</si>
  <si>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</si>
  <si>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</si>
  <si>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</si>
  <si>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</si>
  <si>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</si>
  <si>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</si>
  <si>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</si>
  <si>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</si>
  <si>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</si>
  <si>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</si>
  <si>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</si>
  <si>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</si>
  <si>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</si>
  <si>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</si>
  <si>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</si>
  <si>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</si>
  <si>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</si>
  <si>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</si>
  <si>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</si>
  <si>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</si>
  <si>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</si>
  <si>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</si>
  <si>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</si>
  <si>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</si>
  <si>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</si>
  <si>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</si>
  <si>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</si>
  <si>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</si>
  <si>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</si>
  <si>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</si>
  <si>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</si>
  <si>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</si>
  <si>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</si>
  <si>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</si>
  <si>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</si>
  <si>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</si>
  <si>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</si>
  <si>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</si>
  <si>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</si>
  <si>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</si>
  <si>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</si>
  <si>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</si>
  <si>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</si>
  <si>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</si>
  <si>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</si>
  <si>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</si>
  <si>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</si>
  <si>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</si>
  <si>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</si>
  <si>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</si>
  <si>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AER Final Decision</t>
  </si>
  <si>
    <t>TasNetworks DX</t>
  </si>
  <si>
    <t>AER final decision</t>
  </si>
  <si>
    <t>2024-29</t>
  </si>
  <si>
    <t>2024-25</t>
  </si>
  <si>
    <t>2018-19</t>
  </si>
  <si>
    <t>Year 6 benefit</t>
  </si>
  <si>
    <t>CPI Index (base year 2016-17)</t>
  </si>
  <si>
    <t xml:space="preserve">2018-19 </t>
  </si>
  <si>
    <t>2019-20</t>
  </si>
  <si>
    <t>2020-21</t>
  </si>
  <si>
    <t>2021-22</t>
  </si>
  <si>
    <t>2022-23</t>
  </si>
  <si>
    <t>2023-24</t>
  </si>
  <si>
    <t>Total 2024-29 ($2023-24)</t>
  </si>
  <si>
    <t>Capex Allowance (Net)</t>
  </si>
  <si>
    <t>Capex Forecast (Net)</t>
  </si>
  <si>
    <t>Total CESS Benefit/(Penalty)</t>
  </si>
  <si>
    <t>Standard Control CESS ($m)</t>
  </si>
  <si>
    <t>Underspend/(Overspend)</t>
  </si>
  <si>
    <t>Updated CPI in line with Corp Plan</t>
  </si>
  <si>
    <t>Original CPI updated until 2019-20</t>
  </si>
  <si>
    <t>Actual</t>
  </si>
  <si>
    <t>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</si>
</sst>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_(#,##0.00_);\(#,##0.00\);_(&quot;-&quot;_)"/>
  </numFmts>
  <fonts count="10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4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4" fillId="56" borderId="0">
      <alignment vertical="center"/>
      <protection locked="0"/>
    </xf>
    <xf numFmtId="0" fontId="23" fillId="0" borderId="0" applyFill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1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0" fontId="101" fillId="54" borderId="0" xfId="265" applyFont="1" applyFill="1" applyBorder="1" applyAlignment="1" applyProtection="1">
      <alignment horizontal="center" vertical="center"/>
    </xf>
    <xf numFmtId="10" fontId="17" fillId="54" borderId="2" xfId="268" applyNumberFormat="1" applyFont="1" applyFill="1" applyBorder="1" applyAlignment="1" applyProtection="1">
      <alignment horizontal="right" vertical="center"/>
    </xf>
    <xf numFmtId="10" fontId="17" fillId="54" borderId="37" xfId="268" applyNumberFormat="1" applyFont="1" applyFill="1" applyBorder="1" applyAlignment="1" applyProtection="1">
      <alignment horizontal="right" vertical="center"/>
    </xf>
    <xf numFmtId="2" fontId="17" fillId="54" borderId="0" xfId="265" applyNumberFormat="1" applyFont="1" applyFill="1" applyBorder="1" applyAlignment="1" applyProtection="1">
      <alignment horizontal="right" vertical="center"/>
    </xf>
    <xf numFmtId="2" fontId="17" fillId="54" borderId="35" xfId="265" applyNumberFormat="1" applyFont="1" applyFill="1" applyBorder="1" applyAlignment="1" applyProtection="1">
      <alignment horizontal="right" vertical="center"/>
    </xf>
    <xf numFmtId="10" fontId="17" fillId="54" borderId="7" xfId="268" applyNumberFormat="1" applyFont="1" applyFill="1" applyBorder="1" applyAlignment="1" applyProtection="1">
      <alignment horizontal="right" vertical="center"/>
    </xf>
    <xf numFmtId="10" fontId="17" fillId="54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17" fillId="54" borderId="5" xfId="265" applyNumberFormat="1" applyFont="1" applyFill="1" applyBorder="1" applyAlignment="1" applyProtection="1">
      <alignment horizontal="right" vertical="center"/>
    </xf>
    <xf numFmtId="189" fontId="15" fillId="0" borderId="26" xfId="268" applyNumberFormat="1" applyFont="1" applyFill="1" applyBorder="1" applyAlignment="1">
      <alignment horizontal="center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0" borderId="26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0" fontId="12" fillId="3" borderId="33" xfId="0" applyFont="1" applyFill="1" applyBorder="1" applyAlignment="1"/>
    <xf numFmtId="2" fontId="15" fillId="0" borderId="34" xfId="0" applyNumberFormat="1" applyFont="1" applyFill="1" applyBorder="1" applyAlignment="1">
      <alignment horizontal="right"/>
    </xf>
    <xf numFmtId="2" fontId="15" fillId="0" borderId="43" xfId="0" applyNumberFormat="1" applyFont="1" applyFill="1" applyBorder="1" applyAlignment="1">
      <alignment horizontal="right"/>
    </xf>
    <xf numFmtId="10" fontId="17" fillId="54" borderId="34" xfId="268" applyNumberFormat="1" applyFont="1" applyFill="1" applyBorder="1" applyAlignment="1" applyProtection="1">
      <alignment horizontal="right" vertical="center"/>
    </xf>
    <xf numFmtId="189" fontId="15" fillId="0" borderId="0" xfId="268" applyNumberFormat="1" applyFont="1" applyFill="1" applyBorder="1" applyAlignment="1">
      <alignment horizontal="center" vertical="center"/>
    </xf>
    <xf numFmtId="189" fontId="15" fillId="3" borderId="0" xfId="268" applyNumberFormat="1" applyFont="1" applyFill="1" applyBorder="1" applyAlignment="1">
      <alignment horizontal="center" vertical="center"/>
    </xf>
    <xf numFmtId="189" fontId="15" fillId="0" borderId="41" xfId="268" applyNumberFormat="1" applyFont="1" applyFill="1" applyBorder="1" applyAlignment="1">
      <alignment horizontal="center" vertical="center"/>
    </xf>
    <xf numFmtId="189" fontId="15" fillId="54" borderId="26" xfId="268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304" applyFont="1"/>
    <xf numFmtId="0" fontId="105" fillId="0" borderId="44" xfId="0" applyFont="1" applyBorder="1" applyAlignment="1">
      <alignment vertical="center"/>
    </xf>
    <xf numFmtId="0" fontId="105" fillId="0" borderId="45" xfId="0" applyFont="1" applyBorder="1" applyAlignment="1">
      <alignment horizontal="center" vertical="center"/>
    </xf>
    <xf numFmtId="0" fontId="105" fillId="0" borderId="46" xfId="0" applyFont="1" applyBorder="1" applyAlignment="1">
      <alignment horizontal="center" vertical="center"/>
    </xf>
    <xf numFmtId="0" fontId="105" fillId="0" borderId="47" xfId="0" applyFont="1" applyBorder="1" applyAlignment="1">
      <alignment vertical="center"/>
    </xf>
    <xf numFmtId="43" fontId="105" fillId="0" borderId="48" xfId="304" applyFont="1" applyBorder="1" applyAlignment="1">
      <alignment vertical="center"/>
    </xf>
    <xf numFmtId="43" fontId="105" fillId="0" borderId="0" xfId="304" applyFont="1" applyAlignment="1">
      <alignment vertical="center"/>
    </xf>
    <xf numFmtId="0" fontId="105" fillId="0" borderId="48" xfId="0" applyFont="1" applyBorder="1" applyAlignment="1">
      <alignment vertical="center"/>
    </xf>
    <xf numFmtId="43" fontId="105" fillId="0" borderId="49" xfId="304" applyFont="1" applyBorder="1" applyAlignment="1">
      <alignment vertical="center"/>
    </xf>
    <xf numFmtId="43" fontId="105" fillId="0" borderId="3" xfId="304" applyFont="1" applyBorder="1" applyAlignment="1">
      <alignment vertical="center"/>
    </xf>
    <xf numFmtId="0" fontId="105" fillId="0" borderId="50" xfId="0" applyFont="1" applyBorder="1" applyAlignment="1">
      <alignment vertical="center"/>
    </xf>
    <xf numFmtId="0" fontId="105" fillId="0" borderId="49" xfId="0" applyFont="1" applyBorder="1" applyAlignment="1">
      <alignment vertical="center"/>
    </xf>
    <xf numFmtId="0" fontId="105" fillId="0" borderId="3" xfId="0" applyFont="1" applyBorder="1" applyAlignment="1">
      <alignment vertical="center"/>
    </xf>
    <xf numFmtId="43" fontId="105" fillId="0" borderId="51" xfId="304" applyFont="1" applyBorder="1" applyAlignment="1">
      <alignment vertical="center"/>
    </xf>
    <xf numFmtId="2" fontId="0" fillId="0" borderId="0" xfId="0" applyNumberFormat="1"/>
    <xf numFmtId="43" fontId="24" fillId="0" borderId="2" xfId="304" applyNumberFormat="1" applyFont="1" applyFill="1" applyBorder="1" applyAlignment="1">
      <alignment horizontal="right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vertical="center"/>
    </xf>
    <xf numFmtId="192" fontId="105" fillId="0" borderId="3" xfId="304" applyNumberFormat="1" applyFont="1" applyBorder="1" applyAlignment="1">
      <alignment vertical="center"/>
    </xf>
    <xf numFmtId="192" fontId="105" fillId="0" borderId="49" xfId="304" applyNumberFormat="1" applyFont="1" applyBorder="1" applyAlignment="1">
      <alignment vertical="center"/>
    </xf>
    <xf numFmtId="192" fontId="105" fillId="0" borderId="49" xfId="0" applyNumberFormat="1" applyFont="1" applyBorder="1" applyAlignment="1">
      <alignment vertical="center"/>
    </xf>
    <xf numFmtId="2" fontId="24" fillId="59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424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2 2 2" xfId="361" xr:uid="{00000000-0005-0000-0000-00003C000000}"/>
    <cellStyle name="Blockout 3" xfId="305" xr:uid="{00000000-0005-0000-0000-00003D000000}"/>
    <cellStyle name="Blockout 3 2" xfId="360" xr:uid="{00000000-0005-0000-0000-00003E000000}"/>
    <cellStyle name="Blue" xfId="61" xr:uid="{00000000-0005-0000-0000-00003F000000}"/>
    <cellStyle name="Calcs_Divider" xfId="62" xr:uid="{00000000-0005-0000-0000-000040000000}"/>
    <cellStyle name="Calculation 2" xfId="63" xr:uid="{00000000-0005-0000-0000-000041000000}"/>
    <cellStyle name="Calculation 2 2" xfId="275" xr:uid="{00000000-0005-0000-0000-000042000000}"/>
    <cellStyle name="Check" xfId="64" xr:uid="{00000000-0005-0000-0000-000043000000}"/>
    <cellStyle name="Check 2" xfId="280" xr:uid="{00000000-0005-0000-0000-000044000000}"/>
    <cellStyle name="Check Cell 2" xfId="65" xr:uid="{00000000-0005-0000-0000-000045000000}"/>
    <cellStyle name="Column_Heading_1" xfId="66" xr:uid="{00000000-0005-0000-0000-000046000000}"/>
    <cellStyle name="Comma" xfId="304" builtinId="3"/>
    <cellStyle name="Comma [0]7Z_87C" xfId="67" xr:uid="{00000000-0005-0000-0000-000048000000}"/>
    <cellStyle name="Comma 0" xfId="68" xr:uid="{00000000-0005-0000-0000-000049000000}"/>
    <cellStyle name="Comma 1" xfId="69" xr:uid="{00000000-0005-0000-0000-00004A000000}"/>
    <cellStyle name="Comma 1 2" xfId="70" xr:uid="{00000000-0005-0000-0000-00004B000000}"/>
    <cellStyle name="Comma 10" xfId="274" xr:uid="{00000000-0005-0000-0000-00004C000000}"/>
    <cellStyle name="Comma 10 2" xfId="334" xr:uid="{00000000-0005-0000-0000-00004D000000}"/>
    <cellStyle name="Comma 10 2 2" xfId="389" xr:uid="{00000000-0005-0000-0000-00004E000000}"/>
    <cellStyle name="Comma 10 3" xfId="422" xr:uid="{00000000-0005-0000-0000-00004F000000}"/>
    <cellStyle name="Comma 10 4" xfId="357" xr:uid="{00000000-0005-0000-0000-000050000000}"/>
    <cellStyle name="Comma 11" xfId="269" xr:uid="{00000000-0005-0000-0000-000051000000}"/>
    <cellStyle name="Comma 11 2" xfId="333" xr:uid="{00000000-0005-0000-0000-000052000000}"/>
    <cellStyle name="Comma 11 2 2" xfId="388" xr:uid="{00000000-0005-0000-0000-000053000000}"/>
    <cellStyle name="Comma 11 3" xfId="421" xr:uid="{00000000-0005-0000-0000-000054000000}"/>
    <cellStyle name="Comma 11 4" xfId="356" xr:uid="{00000000-0005-0000-0000-000055000000}"/>
    <cellStyle name="Comma 12" xfId="337" xr:uid="{00000000-0005-0000-0000-000056000000}"/>
    <cellStyle name="Comma 12 2" xfId="392" xr:uid="{00000000-0005-0000-0000-000057000000}"/>
    <cellStyle name="Comma 13" xfId="338" xr:uid="{00000000-0005-0000-0000-000058000000}"/>
    <cellStyle name="Comma 13 2" xfId="393" xr:uid="{00000000-0005-0000-0000-000059000000}"/>
    <cellStyle name="Comma 14" xfId="395" xr:uid="{00000000-0005-0000-0000-00005A000000}"/>
    <cellStyle name="Comma 15" xfId="359" xr:uid="{00000000-0005-0000-0000-00005B000000}"/>
    <cellStyle name="Comma 2" xfId="71" xr:uid="{00000000-0005-0000-0000-00005C000000}"/>
    <cellStyle name="Comma 2 2" xfId="72" xr:uid="{00000000-0005-0000-0000-00005D000000}"/>
    <cellStyle name="Comma 2 2 2" xfId="308" xr:uid="{00000000-0005-0000-0000-00005E000000}"/>
    <cellStyle name="Comma 2 2 2 2" xfId="363" xr:uid="{00000000-0005-0000-0000-00005F000000}"/>
    <cellStyle name="Comma 2 2 3" xfId="405" xr:uid="{00000000-0005-0000-0000-000060000000}"/>
    <cellStyle name="Comma 2 2 4" xfId="340" xr:uid="{00000000-0005-0000-0000-000061000000}"/>
    <cellStyle name="Comma 2 3" xfId="73" xr:uid="{00000000-0005-0000-0000-000062000000}"/>
    <cellStyle name="Comma 2 3 2" xfId="74" xr:uid="{00000000-0005-0000-0000-000063000000}"/>
    <cellStyle name="Comma 2 3 2 2" xfId="310" xr:uid="{00000000-0005-0000-0000-000064000000}"/>
    <cellStyle name="Comma 2 3 2 2 2" xfId="365" xr:uid="{00000000-0005-0000-0000-000065000000}"/>
    <cellStyle name="Comma 2 3 2 3" xfId="407" xr:uid="{00000000-0005-0000-0000-000066000000}"/>
    <cellStyle name="Comma 2 3 2 4" xfId="342" xr:uid="{00000000-0005-0000-0000-000067000000}"/>
    <cellStyle name="Comma 2 3 3" xfId="309" xr:uid="{00000000-0005-0000-0000-000068000000}"/>
    <cellStyle name="Comma 2 3 3 2" xfId="364" xr:uid="{00000000-0005-0000-0000-000069000000}"/>
    <cellStyle name="Comma 2 3 4" xfId="406" xr:uid="{00000000-0005-0000-0000-00006A000000}"/>
    <cellStyle name="Comma 2 3 5" xfId="341" xr:uid="{00000000-0005-0000-0000-00006B000000}"/>
    <cellStyle name="Comma 2 4" xfId="75" xr:uid="{00000000-0005-0000-0000-00006C000000}"/>
    <cellStyle name="Comma 2 4 2" xfId="311" xr:uid="{00000000-0005-0000-0000-00006D000000}"/>
    <cellStyle name="Comma 2 4 2 2" xfId="366" xr:uid="{00000000-0005-0000-0000-00006E000000}"/>
    <cellStyle name="Comma 2 4 3" xfId="408" xr:uid="{00000000-0005-0000-0000-00006F000000}"/>
    <cellStyle name="Comma 2 4 4" xfId="343" xr:uid="{00000000-0005-0000-0000-000070000000}"/>
    <cellStyle name="Comma 2 5" xfId="76" xr:uid="{00000000-0005-0000-0000-000071000000}"/>
    <cellStyle name="Comma 2 5 2" xfId="312" xr:uid="{00000000-0005-0000-0000-000072000000}"/>
    <cellStyle name="Comma 2 5 2 2" xfId="367" xr:uid="{00000000-0005-0000-0000-000073000000}"/>
    <cellStyle name="Comma 2 6" xfId="307" xr:uid="{00000000-0005-0000-0000-000074000000}"/>
    <cellStyle name="Comma 2 6 2" xfId="362" xr:uid="{00000000-0005-0000-0000-000075000000}"/>
    <cellStyle name="Comma 2 7" xfId="404" xr:uid="{00000000-0005-0000-0000-000076000000}"/>
    <cellStyle name="Comma 2 8" xfId="339" xr:uid="{00000000-0005-0000-0000-000077000000}"/>
    <cellStyle name="Comma 3" xfId="77" xr:uid="{00000000-0005-0000-0000-000078000000}"/>
    <cellStyle name="Comma 3 2" xfId="78" xr:uid="{00000000-0005-0000-0000-000079000000}"/>
    <cellStyle name="Comma 3 3" xfId="79" xr:uid="{00000000-0005-0000-0000-00007A000000}"/>
    <cellStyle name="Comma 3 3 2" xfId="313" xr:uid="{00000000-0005-0000-0000-00007B000000}"/>
    <cellStyle name="Comma 3 3 2 2" xfId="368" xr:uid="{00000000-0005-0000-0000-00007C000000}"/>
    <cellStyle name="Comma 4" xfId="80" xr:uid="{00000000-0005-0000-0000-00007D000000}"/>
    <cellStyle name="Comma 4 2" xfId="314" xr:uid="{00000000-0005-0000-0000-00007E000000}"/>
    <cellStyle name="Comma 4 2 2" xfId="369" xr:uid="{00000000-0005-0000-0000-00007F000000}"/>
    <cellStyle name="Comma 5" xfId="81" xr:uid="{00000000-0005-0000-0000-000080000000}"/>
    <cellStyle name="Comma 5 2" xfId="315" xr:uid="{00000000-0005-0000-0000-000081000000}"/>
    <cellStyle name="Comma 5 2 2" xfId="370" xr:uid="{00000000-0005-0000-0000-000082000000}"/>
    <cellStyle name="Comma 6" xfId="82" xr:uid="{00000000-0005-0000-0000-000083000000}"/>
    <cellStyle name="Comma 6 2" xfId="316" xr:uid="{00000000-0005-0000-0000-000084000000}"/>
    <cellStyle name="Comma 6 2 2" xfId="371" xr:uid="{00000000-0005-0000-0000-000085000000}"/>
    <cellStyle name="Comma 7" xfId="83" xr:uid="{00000000-0005-0000-0000-000086000000}"/>
    <cellStyle name="Comma 7 2" xfId="317" xr:uid="{00000000-0005-0000-0000-000087000000}"/>
    <cellStyle name="Comma 7 2 2" xfId="372" xr:uid="{00000000-0005-0000-0000-000088000000}"/>
    <cellStyle name="Comma 7 3" xfId="409" xr:uid="{00000000-0005-0000-0000-000089000000}"/>
    <cellStyle name="Comma 7 4" xfId="344" xr:uid="{00000000-0005-0000-0000-00008A000000}"/>
    <cellStyle name="Comma 8" xfId="84" xr:uid="{00000000-0005-0000-0000-00008B000000}"/>
    <cellStyle name="Comma 8 2" xfId="318" xr:uid="{00000000-0005-0000-0000-00008C000000}"/>
    <cellStyle name="Comma 8 2 2" xfId="373" xr:uid="{00000000-0005-0000-0000-00008D000000}"/>
    <cellStyle name="Comma 8 3" xfId="410" xr:uid="{00000000-0005-0000-0000-00008E000000}"/>
    <cellStyle name="Comma 8 4" xfId="345" xr:uid="{00000000-0005-0000-0000-00008F000000}"/>
    <cellStyle name="Comma 9" xfId="267" xr:uid="{00000000-0005-0000-0000-000090000000}"/>
    <cellStyle name="Comma 9 2" xfId="332" xr:uid="{00000000-0005-0000-0000-000091000000}"/>
    <cellStyle name="Comma 9 2 2" xfId="387" xr:uid="{00000000-0005-0000-0000-000092000000}"/>
    <cellStyle name="Comma 9 3" xfId="420" xr:uid="{00000000-0005-0000-0000-000093000000}"/>
    <cellStyle name="Comma 9 4" xfId="355" xr:uid="{00000000-0005-0000-0000-000094000000}"/>
    <cellStyle name="Comma0" xfId="85" xr:uid="{00000000-0005-0000-0000-000095000000}"/>
    <cellStyle name="Currency 11" xfId="86" xr:uid="{00000000-0005-0000-0000-000096000000}"/>
    <cellStyle name="Currency 11 2" xfId="87" xr:uid="{00000000-0005-0000-0000-000097000000}"/>
    <cellStyle name="Currency 11 2 2" xfId="320" xr:uid="{00000000-0005-0000-0000-000098000000}"/>
    <cellStyle name="Currency 11 2 2 2" xfId="375" xr:uid="{00000000-0005-0000-0000-000099000000}"/>
    <cellStyle name="Currency 11 2 3" xfId="412" xr:uid="{00000000-0005-0000-0000-00009A000000}"/>
    <cellStyle name="Currency 11 2 4" xfId="347" xr:uid="{00000000-0005-0000-0000-00009B000000}"/>
    <cellStyle name="Currency 11 3" xfId="319" xr:uid="{00000000-0005-0000-0000-00009C000000}"/>
    <cellStyle name="Currency 11 3 2" xfId="374" xr:uid="{00000000-0005-0000-0000-00009D000000}"/>
    <cellStyle name="Currency 11 4" xfId="411" xr:uid="{00000000-0005-0000-0000-00009E000000}"/>
    <cellStyle name="Currency 11 5" xfId="346" xr:uid="{00000000-0005-0000-0000-00009F000000}"/>
    <cellStyle name="Currency 2" xfId="88" xr:uid="{00000000-0005-0000-0000-0000A0000000}"/>
    <cellStyle name="Currency 2 2" xfId="89" xr:uid="{00000000-0005-0000-0000-0000A1000000}"/>
    <cellStyle name="Currency 2 2 2" xfId="322" xr:uid="{00000000-0005-0000-0000-0000A2000000}"/>
    <cellStyle name="Currency 2 2 2 2" xfId="401" xr:uid="{00000000-0005-0000-0000-0000A3000000}"/>
    <cellStyle name="Currency 2 2 2 3" xfId="377" xr:uid="{00000000-0005-0000-0000-0000A4000000}"/>
    <cellStyle name="Currency 2 2 3" xfId="414" xr:uid="{00000000-0005-0000-0000-0000A5000000}"/>
    <cellStyle name="Currency 2 2 4" xfId="349" xr:uid="{00000000-0005-0000-0000-0000A6000000}"/>
    <cellStyle name="Currency 2 3" xfId="321" xr:uid="{00000000-0005-0000-0000-0000A7000000}"/>
    <cellStyle name="Currency 2 3 2" xfId="402" xr:uid="{00000000-0005-0000-0000-0000A8000000}"/>
    <cellStyle name="Currency 2 3 3" xfId="397" xr:uid="{00000000-0005-0000-0000-0000A9000000}"/>
    <cellStyle name="Currency 2 3 4" xfId="376" xr:uid="{00000000-0005-0000-0000-0000AA000000}"/>
    <cellStyle name="Currency 2 4" xfId="413" xr:uid="{00000000-0005-0000-0000-0000AB000000}"/>
    <cellStyle name="Currency 2 5" xfId="348" xr:uid="{00000000-0005-0000-0000-0000AC000000}"/>
    <cellStyle name="Currency 3" xfId="90" xr:uid="{00000000-0005-0000-0000-0000AD000000}"/>
    <cellStyle name="Currency 3 2" xfId="91" xr:uid="{00000000-0005-0000-0000-0000AE000000}"/>
    <cellStyle name="Currency 3 2 2" xfId="324" xr:uid="{00000000-0005-0000-0000-0000AF000000}"/>
    <cellStyle name="Currency 3 2 2 2" xfId="379" xr:uid="{00000000-0005-0000-0000-0000B0000000}"/>
    <cellStyle name="Currency 3 2 3" xfId="416" xr:uid="{00000000-0005-0000-0000-0000B1000000}"/>
    <cellStyle name="Currency 3 2 4" xfId="351" xr:uid="{00000000-0005-0000-0000-0000B2000000}"/>
    <cellStyle name="Currency 3 3" xfId="323" xr:uid="{00000000-0005-0000-0000-0000B3000000}"/>
    <cellStyle name="Currency 3 3 2" xfId="378" xr:uid="{00000000-0005-0000-0000-0000B4000000}"/>
    <cellStyle name="Currency 3 4" xfId="415" xr:uid="{00000000-0005-0000-0000-0000B5000000}"/>
    <cellStyle name="Currency 3 5" xfId="350" xr:uid="{00000000-0005-0000-0000-0000B6000000}"/>
    <cellStyle name="Currency 4" xfId="92" xr:uid="{00000000-0005-0000-0000-0000B7000000}"/>
    <cellStyle name="Currency 4 2" xfId="93" xr:uid="{00000000-0005-0000-0000-0000B8000000}"/>
    <cellStyle name="Currency 4 2 2" xfId="326" xr:uid="{00000000-0005-0000-0000-0000B9000000}"/>
    <cellStyle name="Currency 4 2 2 2" xfId="381" xr:uid="{00000000-0005-0000-0000-0000BA000000}"/>
    <cellStyle name="Currency 4 2 3" xfId="418" xr:uid="{00000000-0005-0000-0000-0000BB000000}"/>
    <cellStyle name="Currency 4 2 4" xfId="353" xr:uid="{00000000-0005-0000-0000-0000BC000000}"/>
    <cellStyle name="Currency 4 3" xfId="325" xr:uid="{00000000-0005-0000-0000-0000BD000000}"/>
    <cellStyle name="Currency 4 3 2" xfId="380" xr:uid="{00000000-0005-0000-0000-0000BE000000}"/>
    <cellStyle name="Currency 4 4" xfId="417" xr:uid="{00000000-0005-0000-0000-0000BF000000}"/>
    <cellStyle name="Currency 4 5" xfId="352" xr:uid="{00000000-0005-0000-0000-0000C0000000}"/>
    <cellStyle name="Currency 5" xfId="94" xr:uid="{00000000-0005-0000-0000-0000C1000000}"/>
    <cellStyle name="Currency 5 2" xfId="284" xr:uid="{00000000-0005-0000-0000-0000C2000000}"/>
    <cellStyle name="Currency 5 2 2" xfId="335" xr:uid="{00000000-0005-0000-0000-0000C3000000}"/>
    <cellStyle name="Currency 5 2 2 2" xfId="390" xr:uid="{00000000-0005-0000-0000-0000C4000000}"/>
    <cellStyle name="Currency 5 2 3" xfId="423" xr:uid="{00000000-0005-0000-0000-0000C5000000}"/>
    <cellStyle name="Currency 5 2 4" xfId="358" xr:uid="{00000000-0005-0000-0000-0000C6000000}"/>
    <cellStyle name="Currency 5 3" xfId="327" xr:uid="{00000000-0005-0000-0000-0000C7000000}"/>
    <cellStyle name="Currency 5 3 2" xfId="382" xr:uid="{00000000-0005-0000-0000-0000C8000000}"/>
    <cellStyle name="Currency 5 4" xfId="419" xr:uid="{00000000-0005-0000-0000-0000C9000000}"/>
    <cellStyle name="Currency 5 5" xfId="354" xr:uid="{00000000-0005-0000-0000-0000CA000000}"/>
    <cellStyle name="D4_B8B1_005004B79812_.wvu.PrintTitlest" xfId="95" xr:uid="{00000000-0005-0000-0000-0000CB000000}"/>
    <cellStyle name="Date" xfId="96" xr:uid="{00000000-0005-0000-0000-0000CC000000}"/>
    <cellStyle name="Date 2" xfId="97" xr:uid="{00000000-0005-0000-0000-0000CD000000}"/>
    <cellStyle name="Emphasis 1" xfId="98" xr:uid="{00000000-0005-0000-0000-0000CE000000}"/>
    <cellStyle name="Emphasis 2" xfId="99" xr:uid="{00000000-0005-0000-0000-0000CF000000}"/>
    <cellStyle name="Emphasis 3" xfId="100" xr:uid="{00000000-0005-0000-0000-0000D0000000}"/>
    <cellStyle name="Empty_Cell" xfId="101" xr:uid="{00000000-0005-0000-0000-0000D1000000}"/>
    <cellStyle name="Euro" xfId="102" xr:uid="{00000000-0005-0000-0000-0000D2000000}"/>
    <cellStyle name="Explanatory Text 2" xfId="103" xr:uid="{00000000-0005-0000-0000-0000D3000000}"/>
    <cellStyle name="Fixed" xfId="104" xr:uid="{00000000-0005-0000-0000-0000D4000000}"/>
    <cellStyle name="Fixed 2" xfId="105" xr:uid="{00000000-0005-0000-0000-0000D5000000}"/>
    <cellStyle name="Gilsans" xfId="106" xr:uid="{00000000-0005-0000-0000-0000D6000000}"/>
    <cellStyle name="Gilsansl" xfId="107" xr:uid="{00000000-0005-0000-0000-0000D7000000}"/>
    <cellStyle name="Good 2" xfId="108" xr:uid="{00000000-0005-0000-0000-0000D8000000}"/>
    <cellStyle name="Header1" xfId="109" xr:uid="{00000000-0005-0000-0000-0000D9000000}"/>
    <cellStyle name="Header2" xfId="110" xr:uid="{00000000-0005-0000-0000-0000DA000000}"/>
    <cellStyle name="Header3" xfId="111" xr:uid="{00000000-0005-0000-0000-0000DB000000}"/>
    <cellStyle name="Header4" xfId="112" xr:uid="{00000000-0005-0000-0000-0000DC000000}"/>
    <cellStyle name="Header5" xfId="113" xr:uid="{00000000-0005-0000-0000-0000DD000000}"/>
    <cellStyle name="Heading 1 2" xfId="114" xr:uid="{00000000-0005-0000-0000-0000DE000000}"/>
    <cellStyle name="Heading 1 2 2" xfId="115" xr:uid="{00000000-0005-0000-0000-0000DF000000}"/>
    <cellStyle name="Heading 1 3" xfId="116" xr:uid="{00000000-0005-0000-0000-0000E0000000}"/>
    <cellStyle name="Heading 2 2" xfId="117" xr:uid="{00000000-0005-0000-0000-0000E1000000}"/>
    <cellStyle name="Heading 2 2 2" xfId="118" xr:uid="{00000000-0005-0000-0000-0000E2000000}"/>
    <cellStyle name="Heading 2 3" xfId="119" xr:uid="{00000000-0005-0000-0000-0000E3000000}"/>
    <cellStyle name="Heading 3 2" xfId="120" xr:uid="{00000000-0005-0000-0000-0000E4000000}"/>
    <cellStyle name="Heading 3 2 2" xfId="121" xr:uid="{00000000-0005-0000-0000-0000E5000000}"/>
    <cellStyle name="Heading 3 3" xfId="122" xr:uid="{00000000-0005-0000-0000-0000E6000000}"/>
    <cellStyle name="Heading 4 2" xfId="123" xr:uid="{00000000-0005-0000-0000-0000E7000000}"/>
    <cellStyle name="Heading 4 2 2" xfId="124" xr:uid="{00000000-0005-0000-0000-0000E8000000}"/>
    <cellStyle name="Heading 4 3" xfId="125" xr:uid="{00000000-0005-0000-0000-0000E9000000}"/>
    <cellStyle name="Heading(4)" xfId="126" xr:uid="{00000000-0005-0000-0000-0000EA000000}"/>
    <cellStyle name="Hyperlink" xfId="2" builtinId="8"/>
    <cellStyle name="Hyperlink 2" xfId="127" xr:uid="{00000000-0005-0000-0000-0000EC000000}"/>
    <cellStyle name="Hyperlink 3" xfId="263" xr:uid="{00000000-0005-0000-0000-0000ED000000}"/>
    <cellStyle name="Hyperlink 4" xfId="282" xr:uid="{00000000-0005-0000-0000-0000EE000000}"/>
    <cellStyle name="Hyperlink Arrow" xfId="128" xr:uid="{00000000-0005-0000-0000-0000EF000000}"/>
    <cellStyle name="Hyperlink Text" xfId="129" xr:uid="{00000000-0005-0000-0000-0000F0000000}"/>
    <cellStyle name="import" xfId="293" xr:uid="{00000000-0005-0000-0000-0000F1000000}"/>
    <cellStyle name="import%" xfId="294" xr:uid="{00000000-0005-0000-0000-0000F2000000}"/>
    <cellStyle name="import_ICRC Electricity model 1-1  (1 Feb 2003) " xfId="295" xr:uid="{00000000-0005-0000-0000-0000F3000000}"/>
    <cellStyle name="Input" xfId="1" builtinId="20"/>
    <cellStyle name="Input 2" xfId="130" xr:uid="{00000000-0005-0000-0000-0000F5000000}"/>
    <cellStyle name="Input 2 2" xfId="276" xr:uid="{00000000-0005-0000-0000-0000F6000000}"/>
    <cellStyle name="Input|Date" xfId="131" xr:uid="{00000000-0005-0000-0000-0000F7000000}"/>
    <cellStyle name="Input1" xfId="132" xr:uid="{00000000-0005-0000-0000-0000F8000000}"/>
    <cellStyle name="Input1 2" xfId="133" xr:uid="{00000000-0005-0000-0000-0000F9000000}"/>
    <cellStyle name="Input1 2 2" xfId="329" xr:uid="{00000000-0005-0000-0000-0000FA000000}"/>
    <cellStyle name="Input1 2 2 2" xfId="384" xr:uid="{00000000-0005-0000-0000-0000FB000000}"/>
    <cellStyle name="Input1 3" xfId="296" xr:uid="{00000000-0005-0000-0000-0000FC000000}"/>
    <cellStyle name="Input1 3 2" xfId="336" xr:uid="{00000000-0005-0000-0000-0000FD000000}"/>
    <cellStyle name="Input1 3 2 2" xfId="391" xr:uid="{00000000-0005-0000-0000-0000FE000000}"/>
    <cellStyle name="Input1 4" xfId="328" xr:uid="{00000000-0005-0000-0000-0000FF000000}"/>
    <cellStyle name="Input1 4 2" xfId="383" xr:uid="{00000000-0005-0000-0000-000000010000}"/>
    <cellStyle name="Input1%" xfId="297" xr:uid="{00000000-0005-0000-0000-000001010000}"/>
    <cellStyle name="Input1_ICRC Electricity model 1-1  (1 Feb 2003) " xfId="298" xr:uid="{00000000-0005-0000-0000-000002010000}"/>
    <cellStyle name="Input1default" xfId="299" xr:uid="{00000000-0005-0000-0000-000003010000}"/>
    <cellStyle name="Input1default%" xfId="300" xr:uid="{00000000-0005-0000-0000-000004010000}"/>
    <cellStyle name="Input2" xfId="134" xr:uid="{00000000-0005-0000-0000-000005010000}"/>
    <cellStyle name="Input2 2" xfId="135" xr:uid="{00000000-0005-0000-0000-000006010000}"/>
    <cellStyle name="Input3" xfId="136" xr:uid="{00000000-0005-0000-0000-000007010000}"/>
    <cellStyle name="Input3 2" xfId="137" xr:uid="{00000000-0005-0000-0000-000008010000}"/>
    <cellStyle name="Input3 2 2" xfId="331" xr:uid="{00000000-0005-0000-0000-000009010000}"/>
    <cellStyle name="Input3 2 2 2" xfId="386" xr:uid="{00000000-0005-0000-0000-00000A010000}"/>
    <cellStyle name="Input3 3" xfId="330" xr:uid="{00000000-0005-0000-0000-00000B010000}"/>
    <cellStyle name="Input3 3 2" xfId="385" xr:uid="{00000000-0005-0000-0000-00000C010000}"/>
    <cellStyle name="Inputs_Divider" xfId="138" xr:uid="{00000000-0005-0000-0000-00000D010000}"/>
    <cellStyle name="InSheet" xfId="139" xr:uid="{00000000-0005-0000-0000-00000E010000}"/>
    <cellStyle name="key result" xfId="301" xr:uid="{00000000-0005-0000-0000-00000F010000}"/>
    <cellStyle name="Lines" xfId="140" xr:uid="{00000000-0005-0000-0000-000010010000}"/>
    <cellStyle name="Linked Cell 2" xfId="141" xr:uid="{00000000-0005-0000-0000-000011010000}"/>
    <cellStyle name="Local import" xfId="302" xr:uid="{00000000-0005-0000-0000-000012010000}"/>
    <cellStyle name="Local import %" xfId="303" xr:uid="{00000000-0005-0000-0000-000013010000}"/>
    <cellStyle name="Mine" xfId="142" xr:uid="{00000000-0005-0000-0000-000014010000}"/>
    <cellStyle name="Model Name" xfId="143" xr:uid="{00000000-0005-0000-0000-000015010000}"/>
    <cellStyle name="Neutral 2" xfId="144" xr:uid="{00000000-0005-0000-0000-000016010000}"/>
    <cellStyle name="Normal" xfId="0" builtinId="0"/>
    <cellStyle name="Normal - Style1" xfId="145" xr:uid="{00000000-0005-0000-0000-000018010000}"/>
    <cellStyle name="Normal 10" xfId="146" xr:uid="{00000000-0005-0000-0000-000019010000}"/>
    <cellStyle name="Normal 10 2" xfId="285" xr:uid="{00000000-0005-0000-0000-00001A010000}"/>
    <cellStyle name="Normal 11" xfId="265" xr:uid="{00000000-0005-0000-0000-00001B010000}"/>
    <cellStyle name="Normal 114" xfId="400" xr:uid="{00000000-0005-0000-0000-00001C010000}"/>
    <cellStyle name="Normal 12" xfId="281" xr:uid="{00000000-0005-0000-0000-00001D010000}"/>
    <cellStyle name="Normal 13" xfId="147" xr:uid="{00000000-0005-0000-0000-00001E010000}"/>
    <cellStyle name="Normal 13 2" xfId="148" xr:uid="{00000000-0005-0000-0000-00001F010000}"/>
    <cellStyle name="Normal 13_29(d) - Gas extensions -tariffs" xfId="149" xr:uid="{00000000-0005-0000-0000-000020010000}"/>
    <cellStyle name="Normal 14" xfId="271" xr:uid="{00000000-0005-0000-0000-000021010000}"/>
    <cellStyle name="Normal 15" xfId="150" xr:uid="{00000000-0005-0000-0000-000022010000}"/>
    <cellStyle name="Normal 16" xfId="151" xr:uid="{00000000-0005-0000-0000-000023010000}"/>
    <cellStyle name="Normal 17" xfId="394" xr:uid="{00000000-0005-0000-0000-000024010000}"/>
    <cellStyle name="Normal 2" xfId="3" xr:uid="{00000000-0005-0000-0000-000025010000}"/>
    <cellStyle name="Normal 2 2" xfId="152" xr:uid="{00000000-0005-0000-0000-000026010000}"/>
    <cellStyle name="Normal 2 2 2" xfId="153" xr:uid="{00000000-0005-0000-0000-000027010000}"/>
    <cellStyle name="Normal 2 3" xfId="154" xr:uid="{00000000-0005-0000-0000-000028010000}"/>
    <cellStyle name="Normal 2 3 2" xfId="155" xr:uid="{00000000-0005-0000-0000-000029010000}"/>
    <cellStyle name="Normal 2 3_29(d) - Gas extensions -tariffs" xfId="156" xr:uid="{00000000-0005-0000-0000-00002A010000}"/>
    <cellStyle name="Normal 2 4" xfId="157" xr:uid="{00000000-0005-0000-0000-00002B010000}"/>
    <cellStyle name="Normal 2 5" xfId="158" xr:uid="{00000000-0005-0000-0000-00002C010000}"/>
    <cellStyle name="Normal 2 6" xfId="283" xr:uid="{00000000-0005-0000-0000-00002D010000}"/>
    <cellStyle name="Normal 2_29(d) - Gas extensions -tariffs" xfId="159" xr:uid="{00000000-0005-0000-0000-00002E010000}"/>
    <cellStyle name="Normal 3" xfId="160" xr:uid="{00000000-0005-0000-0000-00002F010000}"/>
    <cellStyle name="Normal 3 2" xfId="161" xr:uid="{00000000-0005-0000-0000-000030010000}"/>
    <cellStyle name="Normal 3 3" xfId="290" xr:uid="{00000000-0005-0000-0000-000031010000}"/>
    <cellStyle name="Normal 3_29(d) - Gas extensions -tariffs" xfId="162" xr:uid="{00000000-0005-0000-0000-000032010000}"/>
    <cellStyle name="Normal 34" xfId="270" xr:uid="{00000000-0005-0000-0000-000033010000}"/>
    <cellStyle name="Normal 38" xfId="163" xr:uid="{00000000-0005-0000-0000-000034010000}"/>
    <cellStyle name="Normal 38 2" xfId="164" xr:uid="{00000000-0005-0000-0000-000035010000}"/>
    <cellStyle name="Normal 38_29(d) - Gas extensions -tariffs" xfId="165" xr:uid="{00000000-0005-0000-0000-000036010000}"/>
    <cellStyle name="Normal 4" xfId="166" xr:uid="{00000000-0005-0000-0000-000037010000}"/>
    <cellStyle name="Normal 4 2" xfId="167" xr:uid="{00000000-0005-0000-0000-000038010000}"/>
    <cellStyle name="Normal 4 2 2" xfId="403" xr:uid="{00000000-0005-0000-0000-000039010000}"/>
    <cellStyle name="Normal 4 3" xfId="168" xr:uid="{00000000-0005-0000-0000-00003A010000}"/>
    <cellStyle name="Normal 4 3 2" xfId="286" xr:uid="{00000000-0005-0000-0000-00003B010000}"/>
    <cellStyle name="Normal 4_29(d) - Gas extensions -tariffs" xfId="169" xr:uid="{00000000-0005-0000-0000-00003C010000}"/>
    <cellStyle name="Normal 40" xfId="170" xr:uid="{00000000-0005-0000-0000-00003D010000}"/>
    <cellStyle name="Normal 40 2" xfId="171" xr:uid="{00000000-0005-0000-0000-00003E010000}"/>
    <cellStyle name="Normal 40_29(d) - Gas extensions -tariffs" xfId="172" xr:uid="{00000000-0005-0000-0000-00003F010000}"/>
    <cellStyle name="Normal 5" xfId="173" xr:uid="{00000000-0005-0000-0000-000040010000}"/>
    <cellStyle name="Normal 5 2" xfId="174" xr:uid="{00000000-0005-0000-0000-000041010000}"/>
    <cellStyle name="Normal 6" xfId="175" xr:uid="{00000000-0005-0000-0000-000042010000}"/>
    <cellStyle name="Normal 6 2" xfId="176" xr:uid="{00000000-0005-0000-0000-000043010000}"/>
    <cellStyle name="Normal 7" xfId="177" xr:uid="{00000000-0005-0000-0000-000044010000}"/>
    <cellStyle name="Normal 7 2" xfId="178" xr:uid="{00000000-0005-0000-0000-000045010000}"/>
    <cellStyle name="Normal 7 2 2" xfId="287" xr:uid="{00000000-0005-0000-0000-000046010000}"/>
    <cellStyle name="Normal 8" xfId="179" xr:uid="{00000000-0005-0000-0000-000047010000}"/>
    <cellStyle name="Normal 9" xfId="180" xr:uid="{00000000-0005-0000-0000-000048010000}"/>
    <cellStyle name="Note 2" xfId="181" xr:uid="{00000000-0005-0000-0000-000049010000}"/>
    <cellStyle name="Note 2 2" xfId="277" xr:uid="{00000000-0005-0000-0000-00004A010000}"/>
    <cellStyle name="OffSheet" xfId="182" xr:uid="{00000000-0005-0000-0000-00004B010000}"/>
    <cellStyle name="Output 2" xfId="183" xr:uid="{00000000-0005-0000-0000-00004C010000}"/>
    <cellStyle name="Output 2 2" xfId="278" xr:uid="{00000000-0005-0000-0000-00004D010000}"/>
    <cellStyle name="Per cent" xfId="268" builtinId="5"/>
    <cellStyle name="Percent [2]" xfId="184" xr:uid="{00000000-0005-0000-0000-00004F010000}"/>
    <cellStyle name="Percent [2] 2" xfId="185" xr:uid="{00000000-0005-0000-0000-000050010000}"/>
    <cellStyle name="Percent [2]_29(d) - Gas extensions -tariffs" xfId="186" xr:uid="{00000000-0005-0000-0000-000051010000}"/>
    <cellStyle name="Percent 10" xfId="272" xr:uid="{00000000-0005-0000-0000-000052010000}"/>
    <cellStyle name="Percent 11" xfId="396" xr:uid="{00000000-0005-0000-0000-000053010000}"/>
    <cellStyle name="Percent 2" xfId="187" xr:uid="{00000000-0005-0000-0000-000054010000}"/>
    <cellStyle name="Percent 2 2" xfId="188" xr:uid="{00000000-0005-0000-0000-000055010000}"/>
    <cellStyle name="Percent 2 3" xfId="291" xr:uid="{00000000-0005-0000-0000-000056010000}"/>
    <cellStyle name="Percent 3" xfId="189" xr:uid="{00000000-0005-0000-0000-000057010000}"/>
    <cellStyle name="Percent 3 2" xfId="190" xr:uid="{00000000-0005-0000-0000-000058010000}"/>
    <cellStyle name="Percent 4" xfId="191" xr:uid="{00000000-0005-0000-0000-000059010000}"/>
    <cellStyle name="Percent 5" xfId="192" xr:uid="{00000000-0005-0000-0000-00005A010000}"/>
    <cellStyle name="Percent 5 2" xfId="288" xr:uid="{00000000-0005-0000-0000-00005B010000}"/>
    <cellStyle name="Percent 6" xfId="264" xr:uid="{00000000-0005-0000-0000-00005C010000}"/>
    <cellStyle name="Percent 7" xfId="193" xr:uid="{00000000-0005-0000-0000-00005D010000}"/>
    <cellStyle name="Percent 8" xfId="266" xr:uid="{00000000-0005-0000-0000-00005E010000}"/>
    <cellStyle name="Percent 9" xfId="289" xr:uid="{00000000-0005-0000-0000-00005F010000}"/>
    <cellStyle name="Percentage" xfId="194" xr:uid="{00000000-0005-0000-0000-000060010000}"/>
    <cellStyle name="Period Title" xfId="195" xr:uid="{00000000-0005-0000-0000-000061010000}"/>
    <cellStyle name="PSChar" xfId="196" xr:uid="{00000000-0005-0000-0000-000062010000}"/>
    <cellStyle name="PSDate" xfId="197" xr:uid="{00000000-0005-0000-0000-000063010000}"/>
    <cellStyle name="PSDec" xfId="198" xr:uid="{00000000-0005-0000-0000-000064010000}"/>
    <cellStyle name="PSDetail" xfId="199" xr:uid="{00000000-0005-0000-0000-000065010000}"/>
    <cellStyle name="PSHeading" xfId="200" xr:uid="{00000000-0005-0000-0000-000066010000}"/>
    <cellStyle name="PSInt" xfId="201" xr:uid="{00000000-0005-0000-0000-000067010000}"/>
    <cellStyle name="PSSpacer" xfId="202" xr:uid="{00000000-0005-0000-0000-000068010000}"/>
    <cellStyle name="Ratio" xfId="203" xr:uid="{00000000-0005-0000-0000-000069010000}"/>
    <cellStyle name="Ratio 2" xfId="204" xr:uid="{00000000-0005-0000-0000-00006A010000}"/>
    <cellStyle name="Ratio_29(d) - Gas extensions -tariffs" xfId="205" xr:uid="{00000000-0005-0000-0000-00006B010000}"/>
    <cellStyle name="Right Date" xfId="206" xr:uid="{00000000-0005-0000-0000-00006C010000}"/>
    <cellStyle name="Right Number" xfId="207" xr:uid="{00000000-0005-0000-0000-00006D010000}"/>
    <cellStyle name="Right Year" xfId="208" xr:uid="{00000000-0005-0000-0000-00006E010000}"/>
    <cellStyle name="SAPError" xfId="209" xr:uid="{00000000-0005-0000-0000-00006F010000}"/>
    <cellStyle name="SAPError 2" xfId="210" xr:uid="{00000000-0005-0000-0000-000070010000}"/>
    <cellStyle name="SAPKey" xfId="211" xr:uid="{00000000-0005-0000-0000-000071010000}"/>
    <cellStyle name="SAPKey 2" xfId="212" xr:uid="{00000000-0005-0000-0000-000072010000}"/>
    <cellStyle name="SAPLocked" xfId="213" xr:uid="{00000000-0005-0000-0000-000073010000}"/>
    <cellStyle name="SAPLocked 2" xfId="214" xr:uid="{00000000-0005-0000-0000-000074010000}"/>
    <cellStyle name="SAPOutput" xfId="215" xr:uid="{00000000-0005-0000-0000-000075010000}"/>
    <cellStyle name="SAPOutput 2" xfId="216" xr:uid="{00000000-0005-0000-0000-000076010000}"/>
    <cellStyle name="SAPSpace" xfId="217" xr:uid="{00000000-0005-0000-0000-000077010000}"/>
    <cellStyle name="SAPSpace 2" xfId="218" xr:uid="{00000000-0005-0000-0000-000078010000}"/>
    <cellStyle name="SAPText" xfId="219" xr:uid="{00000000-0005-0000-0000-000079010000}"/>
    <cellStyle name="SAPText 2" xfId="220" xr:uid="{00000000-0005-0000-0000-00007A010000}"/>
    <cellStyle name="SAPUnLocked" xfId="221" xr:uid="{00000000-0005-0000-0000-00007B010000}"/>
    <cellStyle name="SAPUnLocked 2" xfId="222" xr:uid="{00000000-0005-0000-0000-00007C010000}"/>
    <cellStyle name="Sheet Title" xfId="223" xr:uid="{00000000-0005-0000-0000-00007D010000}"/>
    <cellStyle name="SheetHeader1" xfId="224" xr:uid="{00000000-0005-0000-0000-00007E010000}"/>
    <cellStyle name="SheetHeader2" xfId="225" xr:uid="{00000000-0005-0000-0000-00007F010000}"/>
    <cellStyle name="SheetHeader3" xfId="226" xr:uid="{00000000-0005-0000-0000-000080010000}"/>
    <cellStyle name="Style 1" xfId="227" xr:uid="{00000000-0005-0000-0000-000081010000}"/>
    <cellStyle name="Style 1 2" xfId="228" xr:uid="{00000000-0005-0000-0000-000082010000}"/>
    <cellStyle name="Style 1_29(d) - Gas extensions -tariffs" xfId="229" xr:uid="{00000000-0005-0000-0000-000083010000}"/>
    <cellStyle name="Style2" xfId="230" xr:uid="{00000000-0005-0000-0000-000084010000}"/>
    <cellStyle name="Style3" xfId="231" xr:uid="{00000000-0005-0000-0000-000085010000}"/>
    <cellStyle name="Style4" xfId="232" xr:uid="{00000000-0005-0000-0000-000086010000}"/>
    <cellStyle name="Style4 2" xfId="233" xr:uid="{00000000-0005-0000-0000-000087010000}"/>
    <cellStyle name="Style4_29(d) - Gas extensions -tariffs" xfId="234" xr:uid="{00000000-0005-0000-0000-000088010000}"/>
    <cellStyle name="Style5" xfId="235" xr:uid="{00000000-0005-0000-0000-000089010000}"/>
    <cellStyle name="Style5 2" xfId="236" xr:uid="{00000000-0005-0000-0000-00008A010000}"/>
    <cellStyle name="Style5_29(d) - Gas extensions -tariffs" xfId="237" xr:uid="{00000000-0005-0000-0000-00008B010000}"/>
    <cellStyle name="Table Head Green" xfId="238" xr:uid="{00000000-0005-0000-0000-00008C010000}"/>
    <cellStyle name="Table Head_pldt" xfId="239" xr:uid="{00000000-0005-0000-0000-00008D010000}"/>
    <cellStyle name="Table Source" xfId="240" xr:uid="{00000000-0005-0000-0000-00008E010000}"/>
    <cellStyle name="Table Units" xfId="241" xr:uid="{00000000-0005-0000-0000-00008F010000}"/>
    <cellStyle name="Table_Heading" xfId="242" xr:uid="{00000000-0005-0000-0000-000090010000}"/>
    <cellStyle name="TableLvl2" xfId="398" xr:uid="{00000000-0005-0000-0000-000091010000}"/>
    <cellStyle name="TableLvl3" xfId="399" xr:uid="{00000000-0005-0000-0000-000092010000}"/>
    <cellStyle name="Technical_Input" xfId="243" xr:uid="{00000000-0005-0000-0000-000093010000}"/>
    <cellStyle name="Text" xfId="244" xr:uid="{00000000-0005-0000-0000-000094010000}"/>
    <cellStyle name="Text 2" xfId="245" xr:uid="{00000000-0005-0000-0000-000095010000}"/>
    <cellStyle name="Text 3" xfId="246" xr:uid="{00000000-0005-0000-0000-000096010000}"/>
    <cellStyle name="Text Head 1" xfId="247" xr:uid="{00000000-0005-0000-0000-000097010000}"/>
    <cellStyle name="Text Head 2" xfId="248" xr:uid="{00000000-0005-0000-0000-000098010000}"/>
    <cellStyle name="Text Indent 2" xfId="249" xr:uid="{00000000-0005-0000-0000-000099010000}"/>
    <cellStyle name="Theirs" xfId="250" xr:uid="{00000000-0005-0000-0000-00009A010000}"/>
    <cellStyle name="Title 2" xfId="251" xr:uid="{00000000-0005-0000-0000-00009B010000}"/>
    <cellStyle name="TOC 1" xfId="252" xr:uid="{00000000-0005-0000-0000-00009C010000}"/>
    <cellStyle name="TOC 2" xfId="253" xr:uid="{00000000-0005-0000-0000-00009D010000}"/>
    <cellStyle name="TOC 3" xfId="254" xr:uid="{00000000-0005-0000-0000-00009E010000}"/>
    <cellStyle name="Total 2" xfId="255" xr:uid="{00000000-0005-0000-0000-00009F010000}"/>
    <cellStyle name="Total 2 2" xfId="279" xr:uid="{00000000-0005-0000-0000-0000A0010000}"/>
    <cellStyle name="Totals" xfId="256" xr:uid="{00000000-0005-0000-0000-0000A1010000}"/>
    <cellStyle name="unit" xfId="257" xr:uid="{00000000-0005-0000-0000-0000A2010000}"/>
    <cellStyle name="User_Input" xfId="258" xr:uid="{00000000-0005-0000-0000-0000A3010000}"/>
    <cellStyle name="Warning Text 2" xfId="259" xr:uid="{00000000-0005-0000-0000-0000A4010000}"/>
    <cellStyle name="year" xfId="260" xr:uid="{00000000-0005-0000-0000-0000A5010000}"/>
    <cellStyle name="year 2" xfId="261" xr:uid="{00000000-0005-0000-0000-0000A6010000}"/>
    <cellStyle name="year_29(d) - Gas extensions -tariffs" xfId="262" xr:uid="{00000000-0005-0000-0000-0000A7010000}"/>
  </cellStyles>
  <dxfs count="12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CCCCFF"/>
      <color rgb="FFFFCCFF"/>
      <color rgb="FFDAEEF3"/>
      <color rgb="FFFF00FF"/>
      <color rgb="FF00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tabSelected="1" workbookViewId="0"/>
  </sheetViews>
  <sheetFormatPr defaultColWidth="0" defaultRowHeight="18" customHeight="1" zeroHeight="1"/>
  <cols>
    <col min="1" max="2" width="1.42578125" style="2" customWidth="1"/>
    <col min="3" max="3" width="26.42578125" style="1" customWidth="1"/>
    <col min="4" max="4" width="79.42578125" style="1" customWidth="1"/>
    <col min="5" max="5" width="2.85546875" style="1" customWidth="1"/>
    <col min="6" max="6" width="2.85546875" style="2" customWidth="1"/>
    <col min="7" max="28" width="12.570312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TasNetworks DX 2024-29 Proposal - Capital expenditure sharing scheme model</v>
      </c>
      <c r="D1" s="4"/>
      <c r="E1" s="4"/>
    </row>
    <row r="2" spans="2:13" ht="18" customHeight="1">
      <c r="B2" s="33" t="s">
        <v>29</v>
      </c>
    </row>
    <row r="3" spans="2:13" ht="3" customHeight="1">
      <c r="C3" s="2"/>
    </row>
    <row r="4" spans="2:13" s="8" customFormat="1" ht="12.75" customHeight="1">
      <c r="C4" s="29" t="s">
        <v>30</v>
      </c>
      <c r="D4" s="7"/>
      <c r="E4" s="7"/>
    </row>
    <row r="5" spans="2:13" ht="11.25" customHeight="1"/>
    <row r="6" spans="2:13" ht="11.25" customHeight="1">
      <c r="C6" s="31" t="s">
        <v>31</v>
      </c>
      <c r="D6" s="31" t="s">
        <v>32</v>
      </c>
      <c r="E6" s="31"/>
    </row>
    <row r="7" spans="2:13" ht="11.25" customHeight="1">
      <c r="C7" s="107" t="s">
        <v>34</v>
      </c>
      <c r="D7" s="32" t="s">
        <v>45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54</v>
      </c>
      <c r="D9" s="32" t="s">
        <v>37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57</v>
      </c>
      <c r="D10" s="32" t="s">
        <v>38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80</v>
      </c>
      <c r="D11" s="32" t="s">
        <v>53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7" t="s">
        <v>81</v>
      </c>
      <c r="D12" s="32" t="s">
        <v>58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33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42578125" style="14" customWidth="1"/>
    <col min="3" max="3" width="56.5703125" style="15" customWidth="1"/>
    <col min="4" max="8" width="12.5703125" style="14" customWidth="1"/>
    <col min="9" max="10" width="9.42578125" style="14" customWidth="1"/>
    <col min="11" max="12" width="2.85546875" style="14" customWidth="1"/>
    <col min="13" max="22" width="9.140625" style="14" hidden="1" customWidth="1"/>
    <col min="23" max="16384" width="12.57031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TasNetworks DX 2024-29 Proposal - Capital expenditure sharing scheme model</v>
      </c>
      <c r="F1" s="103"/>
      <c r="G1" s="104" t="s">
        <v>46</v>
      </c>
      <c r="H1" s="152" t="s">
        <v>47</v>
      </c>
      <c r="I1" s="156" t="s">
        <v>35</v>
      </c>
      <c r="M1" s="105"/>
    </row>
    <row r="2" spans="1:13" s="11" customFormat="1" ht="18" customHeight="1">
      <c r="B2" s="13" t="s">
        <v>34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34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3" t="s">
        <v>103</v>
      </c>
      <c r="J6" s="79"/>
      <c r="K6" s="79"/>
      <c r="L6" s="79"/>
      <c r="M6" s="79"/>
    </row>
    <row r="7" spans="1:13" s="70" customFormat="1" ht="11.25" customHeight="1">
      <c r="C7" s="69" t="s">
        <v>90</v>
      </c>
      <c r="D7" s="153" t="s">
        <v>125</v>
      </c>
      <c r="I7" s="79"/>
      <c r="J7" s="79"/>
      <c r="K7" s="79"/>
      <c r="L7" s="79"/>
    </row>
    <row r="8" spans="1:13" s="70" customFormat="1" ht="11.25" customHeight="1">
      <c r="C8" s="69" t="s">
        <v>91</v>
      </c>
      <c r="D8" s="153" t="s">
        <v>105</v>
      </c>
      <c r="J8" s="79"/>
      <c r="K8" s="79"/>
      <c r="L8" s="79"/>
      <c r="M8" s="79"/>
    </row>
    <row r="9" spans="1:13" s="70" customFormat="1" ht="11.25" customHeight="1">
      <c r="C9" s="180" t="s">
        <v>101</v>
      </c>
      <c r="D9" s="153" t="s">
        <v>106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2" t="s">
        <v>89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79" t="str">
        <f t="shared" ref="D13:F13" si="0">IF(LEN(E13)&gt;4,CONCATENATE(LEFT(E13,4)-1&amp;"–"&amp;IF(RIGHT(E13,2)="00","99",IF(RIGHT(E13,2)-1&lt;10,"0","")&amp;RIGHT(E13,2)-1)),E13-1)</f>
        <v>2019–20</v>
      </c>
      <c r="E13" s="179" t="str">
        <f t="shared" si="0"/>
        <v>2020–21</v>
      </c>
      <c r="F13" s="179" t="str">
        <f t="shared" si="0"/>
        <v>2021–22</v>
      </c>
      <c r="G13" s="179" t="str">
        <f>IF(LEN(H13)&gt;4,CONCATENATE(LEFT(H13,4)-1&amp;"–"&amp;IF(RIGHT(H13,2)="00","99",IF(RIGHT(H13,2)-1&lt;10,"0","")&amp;RIGHT(H13,2)-1)),H13-1)</f>
        <v>2022–23</v>
      </c>
      <c r="H13" s="179" t="str">
        <f>IF(LEN(D9)&gt;4,CONCATENATE(LEFT(D9,4)-1&amp;"–"&amp;IF(RIGHT(D9,2)="00","99",IF(RIGHT(D9,2)-1&lt;10,"0","")&amp;RIGHT(D9,2)-1)),D9-1)</f>
        <v>2023–24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3" t="s">
        <v>7</v>
      </c>
      <c r="E14" s="153" t="s">
        <v>7</v>
      </c>
      <c r="F14" s="153" t="s">
        <v>7</v>
      </c>
      <c r="G14" s="153" t="s">
        <v>7</v>
      </c>
      <c r="H14" s="153" t="s">
        <v>7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3" t="s">
        <v>124</v>
      </c>
      <c r="E15" s="153" t="s">
        <v>124</v>
      </c>
      <c r="F15" s="153" t="s">
        <v>124</v>
      </c>
      <c r="G15" s="153" t="s">
        <v>28</v>
      </c>
      <c r="H15" s="153" t="s">
        <v>28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79" t="str">
        <f>D9</f>
        <v>2024-25</v>
      </c>
      <c r="E18" s="179" t="str">
        <f>IF(LEN(D18)&gt;4,CONCATENATE(LEFT(D18,4)+1&amp;"–"&amp;IF(RIGHT(D18,2)+1&gt;9,"","0")&amp;RIGHT(D18,2)+1),D18+1)</f>
        <v>2025–26</v>
      </c>
      <c r="F18" s="179" t="str">
        <f t="shared" ref="F18:H18" si="1">IF(LEN(E18)&gt;4,CONCATENATE(LEFT(E18,4)+1&amp;"–"&amp;IF(RIGHT(E18,2)+1&gt;9,"","0")&amp;RIGHT(E18,2)+1),E18+1)</f>
        <v>2026–27</v>
      </c>
      <c r="G18" s="179" t="str">
        <f t="shared" si="1"/>
        <v>2027–28</v>
      </c>
      <c r="H18" s="179" t="str">
        <f t="shared" si="1"/>
        <v>2028–29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33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9"/>
  <sheetViews>
    <sheetView workbookViewId="0"/>
  </sheetViews>
  <sheetFormatPr defaultColWidth="0" defaultRowHeight="18" customHeight="1" zeroHeight="1"/>
  <cols>
    <col min="1" max="2" width="1.140625" style="24" customWidth="1"/>
    <col min="3" max="3" width="36.5703125" style="24" customWidth="1"/>
    <col min="4" max="5" width="22.85546875" style="24" customWidth="1"/>
    <col min="6" max="6" width="12.5703125" style="24" customWidth="1"/>
    <col min="7" max="7" width="12.5703125" style="11" customWidth="1"/>
    <col min="8" max="8" width="13.140625" style="11" customWidth="1"/>
    <col min="9" max="12" width="12.5703125" style="11" customWidth="1"/>
    <col min="13" max="13" width="12.5703125" style="22" customWidth="1"/>
    <col min="14" max="16" width="12.5703125" style="24" customWidth="1"/>
    <col min="17" max="18" width="2.85546875" style="24" customWidth="1"/>
    <col min="19" max="32" width="12.570312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TasNetworks DX 2024-29 Proposal - Capital expenditure sharing scheme model</v>
      </c>
      <c r="D1" s="12"/>
      <c r="E1" s="12"/>
      <c r="F1" s="12"/>
      <c r="G1" s="103"/>
      <c r="I1" s="104" t="s">
        <v>46</v>
      </c>
      <c r="J1" s="152" t="s">
        <v>47</v>
      </c>
      <c r="K1" s="156" t="s">
        <v>35</v>
      </c>
      <c r="L1" s="182" t="s">
        <v>102</v>
      </c>
      <c r="N1" s="105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92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42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51</v>
      </c>
      <c r="F6" s="75"/>
      <c r="G6" s="184"/>
      <c r="H6" s="184"/>
      <c r="I6" s="184"/>
      <c r="N6" s="11"/>
    </row>
    <row r="7" spans="1:20" ht="11.25" customHeight="1">
      <c r="A7" s="11"/>
      <c r="B7" s="11"/>
      <c r="C7" s="16"/>
      <c r="D7" s="79"/>
      <c r="E7" s="79"/>
      <c r="F7" s="166" t="str">
        <f t="shared" ref="F7:H7" si="0">IF(LEN(G7)&gt;4,CONCATENATE(LEFT(G7,4)-1&amp;"–"&amp;IF(RIGHT(G7,2)="00","99",IF(RIGHT(G7,2)-1&lt;10,"0","")&amp;RIGHT(G7,2)-1)),G7-1)</f>
        <v>2018–19</v>
      </c>
      <c r="G7" s="166" t="str">
        <f t="shared" si="0"/>
        <v>2019–20</v>
      </c>
      <c r="H7" s="166" t="str">
        <f t="shared" si="0"/>
        <v>2020–21</v>
      </c>
      <c r="I7" s="166" t="str">
        <f>IF(LEN(J7)&gt;4,CONCATENATE(LEFT(J7,4)-1&amp;"–"&amp;IF(RIGHT(J7,2)="00","99",IF(RIGHT(J7,2)-1&lt;10,"0","")&amp;RIGHT(J7,2)-1)),J7-1)</f>
        <v>2021–22</v>
      </c>
      <c r="J7" s="165" t="str">
        <f>'Input | General'!G13</f>
        <v>2022–23</v>
      </c>
      <c r="K7" s="165" t="str">
        <f>'Input | General'!H13</f>
        <v>2023–24</v>
      </c>
      <c r="L7" s="165" t="str">
        <f>'Input | General'!D18</f>
        <v>2024-25</v>
      </c>
      <c r="M7" s="165" t="str">
        <f>'Input | General'!E18</f>
        <v>2025–26</v>
      </c>
      <c r="N7" s="165" t="str">
        <f>'Input | General'!F18</f>
        <v>2026–27</v>
      </c>
      <c r="O7" s="165" t="str">
        <f>'Input | General'!G18</f>
        <v>2027–28</v>
      </c>
      <c r="P7" s="165" t="str">
        <f>'Input | General'!H18</f>
        <v>2028–29</v>
      </c>
    </row>
    <row r="8" spans="1:20" ht="11.25" customHeight="1">
      <c r="A8" s="11"/>
      <c r="B8" s="11"/>
      <c r="C8" s="80" t="s">
        <v>82</v>
      </c>
      <c r="D8" s="78" t="s">
        <v>87</v>
      </c>
      <c r="E8" s="78" t="s">
        <v>50</v>
      </c>
      <c r="F8" s="154">
        <v>1.7841213202497874E-2</v>
      </c>
      <c r="G8" s="154">
        <v>1.8404907975460238E-2</v>
      </c>
      <c r="H8" s="183">
        <v>8.6058519793459354E-3</v>
      </c>
      <c r="I8" s="183">
        <v>3.5000000000000003E-2</v>
      </c>
      <c r="J8" s="183">
        <v>0.08</v>
      </c>
      <c r="K8" s="183">
        <v>4.7E-2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83</v>
      </c>
      <c r="D9" s="78" t="s">
        <v>87</v>
      </c>
      <c r="E9" s="78" t="s">
        <v>50</v>
      </c>
      <c r="F9" s="78"/>
      <c r="G9" s="78"/>
      <c r="H9" s="78"/>
      <c r="I9" s="78"/>
      <c r="J9" s="127"/>
      <c r="K9" s="127"/>
      <c r="L9" s="183">
        <v>4.2000000000000003E-2</v>
      </c>
      <c r="M9" s="183">
        <v>3.7750000000000006E-2</v>
      </c>
      <c r="N9" s="183">
        <v>3.3500000000000002E-2</v>
      </c>
      <c r="O9" s="183">
        <v>2.9250000000000002E-2</v>
      </c>
      <c r="P9" s="183">
        <v>2.5000000000000001E-2</v>
      </c>
    </row>
    <row r="10" spans="1:20" ht="11.25" customHeight="1">
      <c r="A10" s="11"/>
      <c r="B10" s="11"/>
      <c r="C10" s="136" t="str">
        <f>"CPI Index (base year "&amp;F7&amp;")"</f>
        <v>CPI Index (base year 2018–19)</v>
      </c>
      <c r="D10" s="78" t="s">
        <v>87</v>
      </c>
      <c r="E10" s="78" t="s">
        <v>29</v>
      </c>
      <c r="F10" s="87">
        <v>1</v>
      </c>
      <c r="G10" s="189">
        <f>IF(G7&lt;&gt;"",(F10*(1+G8)),"")</f>
        <v>1.0184049079754602</v>
      </c>
      <c r="H10" s="189">
        <f t="shared" ref="H10:J10" si="1">IF(H7&lt;&gt;"",(G10*(1+H8)),"")</f>
        <v>1.0271691498685365</v>
      </c>
      <c r="I10" s="189">
        <f t="shared" si="1"/>
        <v>1.0631200701139352</v>
      </c>
      <c r="J10" s="189">
        <f t="shared" si="1"/>
        <v>1.14816967572305</v>
      </c>
      <c r="K10" s="121">
        <f>IF(K7&lt;&gt;"",(J10*(1+K8)),"")</f>
        <v>1.2021336504820332</v>
      </c>
      <c r="L10" s="87">
        <f t="shared" ref="L10:P10" si="2">IF(L7&lt;&gt;"",(K10*(1+L9)),"")</f>
        <v>1.2526232638022787</v>
      </c>
      <c r="M10" s="87">
        <f t="shared" si="2"/>
        <v>1.2999097920108147</v>
      </c>
      <c r="N10" s="87">
        <f t="shared" si="2"/>
        <v>1.343456770043177</v>
      </c>
      <c r="O10" s="87">
        <f t="shared" si="2"/>
        <v>1.38275288056694</v>
      </c>
      <c r="P10" s="87">
        <f t="shared" si="2"/>
        <v>1.4173217025811133</v>
      </c>
    </row>
    <row r="11" spans="1:20" ht="11.25" customHeight="1">
      <c r="A11" s="11"/>
      <c r="B11" s="11"/>
      <c r="C11" s="80"/>
      <c r="D11" s="78"/>
      <c r="E11" s="78"/>
      <c r="F11" s="78"/>
      <c r="G11" s="78"/>
      <c r="H11" s="78"/>
      <c r="I11" s="185"/>
      <c r="J11" s="86"/>
      <c r="K11" s="128"/>
      <c r="L11" s="128"/>
      <c r="M11" s="128"/>
      <c r="N11" s="128"/>
      <c r="O11" s="128"/>
      <c r="P11" s="128"/>
    </row>
    <row r="12" spans="1:20" ht="11.25" customHeight="1">
      <c r="A12" s="11"/>
      <c r="B12" s="11"/>
      <c r="C12" s="80"/>
      <c r="D12" s="78"/>
      <c r="E12" s="78"/>
      <c r="F12" s="78"/>
      <c r="G12" s="78"/>
      <c r="H12" s="78"/>
      <c r="I12" s="78"/>
      <c r="J12" s="124"/>
      <c r="K12" s="24"/>
      <c r="L12" s="24"/>
      <c r="M12" s="24"/>
    </row>
    <row r="13" spans="1:20" ht="11.25" customHeight="1">
      <c r="A13" s="11"/>
      <c r="B13" s="11"/>
      <c r="C13" s="80" t="s">
        <v>82</v>
      </c>
      <c r="D13" s="78" t="s">
        <v>48</v>
      </c>
      <c r="E13" s="78" t="s">
        <v>50</v>
      </c>
      <c r="F13" s="154">
        <f>F8</f>
        <v>1.7841213202497874E-2</v>
      </c>
      <c r="G13" s="154">
        <f t="shared" ref="G13:K13" si="3">G8</f>
        <v>1.8404907975460238E-2</v>
      </c>
      <c r="H13" s="183">
        <f t="shared" si="3"/>
        <v>8.6058519793459354E-3</v>
      </c>
      <c r="I13" s="183">
        <f t="shared" si="3"/>
        <v>3.5000000000000003E-2</v>
      </c>
      <c r="J13" s="183">
        <f t="shared" si="3"/>
        <v>0.08</v>
      </c>
      <c r="K13" s="183">
        <f t="shared" si="3"/>
        <v>4.7E-2</v>
      </c>
      <c r="L13" s="124"/>
      <c r="M13" s="124"/>
      <c r="N13" s="124"/>
      <c r="O13" s="124"/>
      <c r="P13" s="124"/>
    </row>
    <row r="14" spans="1:20" ht="11.25" customHeight="1">
      <c r="A14" s="11"/>
      <c r="B14" s="11"/>
      <c r="C14" s="80" t="s">
        <v>83</v>
      </c>
      <c r="D14" s="78" t="s">
        <v>48</v>
      </c>
      <c r="E14" s="78" t="s">
        <v>50</v>
      </c>
      <c r="F14" s="78"/>
      <c r="G14" s="78"/>
      <c r="H14" s="78"/>
      <c r="I14" s="185"/>
      <c r="J14" s="86"/>
      <c r="K14" s="86"/>
      <c r="L14" s="183">
        <v>3.0599999999999999E-2</v>
      </c>
      <c r="M14" s="183">
        <f t="shared" ref="M14:P14" si="4">L14</f>
        <v>3.0599999999999999E-2</v>
      </c>
      <c r="N14" s="183">
        <f t="shared" si="4"/>
        <v>3.0599999999999999E-2</v>
      </c>
      <c r="O14" s="183">
        <f t="shared" si="4"/>
        <v>3.0599999999999999E-2</v>
      </c>
      <c r="P14" s="183">
        <f t="shared" si="4"/>
        <v>3.0599999999999999E-2</v>
      </c>
    </row>
    <row r="15" spans="1:20" ht="11.25" customHeight="1">
      <c r="A15" s="11"/>
      <c r="B15" s="11"/>
      <c r="C15" s="136" t="str">
        <f>"CPI Index (base year "&amp;F7&amp;")"</f>
        <v>CPI Index (base year 2018–19)</v>
      </c>
      <c r="D15" s="78" t="s">
        <v>48</v>
      </c>
      <c r="E15" s="78" t="s">
        <v>29</v>
      </c>
      <c r="F15" s="188">
        <v>1</v>
      </c>
      <c r="G15" s="188">
        <f>IF(G7&lt;&gt;"",(F15*(1+G13)),"")</f>
        <v>1.0184049079754602</v>
      </c>
      <c r="H15" s="188">
        <f>IF(H7&lt;&gt;"",(G15*(1+H13)),"")</f>
        <v>1.0271691498685365</v>
      </c>
      <c r="I15" s="188">
        <f>IF(I7&lt;&gt;"",(H15*(1+I13)),"")</f>
        <v>1.0631200701139352</v>
      </c>
      <c r="J15" s="121">
        <f>IF(J7&lt;&gt;"",(I15*(1+J13)),"")</f>
        <v>1.14816967572305</v>
      </c>
      <c r="K15" s="87">
        <f>IF(K7&lt;&gt;"",(J15*(1+K13)),"")</f>
        <v>1.2021336504820332</v>
      </c>
      <c r="L15" s="87">
        <f t="shared" ref="L15:P15" si="5">IF(L7&lt;&gt;"",(K15*(1+L14)),"")</f>
        <v>1.2389189401867835</v>
      </c>
      <c r="M15" s="87">
        <f t="shared" si="5"/>
        <v>1.2768298597564991</v>
      </c>
      <c r="N15" s="87">
        <f t="shared" si="5"/>
        <v>1.3159008534650478</v>
      </c>
      <c r="O15" s="87">
        <f t="shared" si="5"/>
        <v>1.3561674195810782</v>
      </c>
      <c r="P15" s="87">
        <f t="shared" si="5"/>
        <v>1.3976661426202592</v>
      </c>
    </row>
    <row r="16" spans="1:20" ht="11.25" customHeight="1">
      <c r="A16" s="11"/>
      <c r="B16" s="11"/>
      <c r="C16" s="136" t="s">
        <v>109</v>
      </c>
      <c r="D16" s="78"/>
      <c r="E16" s="78"/>
      <c r="F16" s="201">
        <v>1.0372727272727273</v>
      </c>
      <c r="G16" s="198"/>
      <c r="H16" s="198"/>
      <c r="I16" s="198"/>
      <c r="J16" s="199"/>
      <c r="K16" s="200"/>
      <c r="L16" s="200"/>
      <c r="M16" s="200"/>
      <c r="N16" s="200"/>
      <c r="O16" s="200"/>
      <c r="P16" s="200"/>
    </row>
    <row r="17" spans="1:16" s="126" customFormat="1" ht="11.25" customHeight="1">
      <c r="A17" s="2"/>
      <c r="B17" s="2"/>
      <c r="C17" s="80"/>
      <c r="D17" s="125"/>
      <c r="E17" s="125"/>
      <c r="F17" s="125"/>
      <c r="G17" s="86"/>
      <c r="H17" s="86"/>
      <c r="I17" s="86"/>
      <c r="J17" s="86"/>
      <c r="K17" s="129"/>
      <c r="L17" s="129"/>
      <c r="M17" s="129"/>
      <c r="N17" s="129"/>
      <c r="O17" s="129"/>
      <c r="P17" s="129"/>
    </row>
    <row r="18" spans="1:16" s="81" customFormat="1" ht="12.75" customHeight="1">
      <c r="C18" s="29" t="s">
        <v>68</v>
      </c>
      <c r="D18" s="82"/>
      <c r="E18" s="82"/>
      <c r="F18" s="82"/>
      <c r="M18" s="83"/>
    </row>
    <row r="19" spans="1:16" ht="11.25" customHeight="1">
      <c r="A19" s="16"/>
      <c r="B19" s="79"/>
      <c r="C19" s="79"/>
      <c r="D19" s="79"/>
      <c r="E19" s="79"/>
      <c r="F19" s="75"/>
      <c r="N19" s="11"/>
    </row>
    <row r="20" spans="1:16" ht="11.25" customHeight="1">
      <c r="C20" s="16"/>
      <c r="D20" s="75" t="s">
        <v>6</v>
      </c>
      <c r="E20" s="75" t="s">
        <v>51</v>
      </c>
      <c r="F20" s="165" t="str">
        <f t="shared" ref="F20:I20" si="6">F7</f>
        <v>2018–19</v>
      </c>
      <c r="G20" s="165" t="str">
        <f t="shared" si="6"/>
        <v>2019–20</v>
      </c>
      <c r="H20" s="165" t="str">
        <f t="shared" si="6"/>
        <v>2020–21</v>
      </c>
      <c r="I20" s="165" t="str">
        <f t="shared" si="6"/>
        <v>2021–22</v>
      </c>
      <c r="J20" s="165" t="str">
        <f t="shared" ref="J20:P20" si="7">J7</f>
        <v>2022–23</v>
      </c>
      <c r="K20" s="165" t="str">
        <f t="shared" si="7"/>
        <v>2023–24</v>
      </c>
      <c r="L20" s="165" t="str">
        <f t="shared" si="7"/>
        <v>2024-25</v>
      </c>
      <c r="M20" s="165" t="str">
        <f t="shared" si="7"/>
        <v>2025–26</v>
      </c>
      <c r="N20" s="165" t="str">
        <f t="shared" si="7"/>
        <v>2026–27</v>
      </c>
      <c r="O20" s="165" t="str">
        <f t="shared" si="7"/>
        <v>2027–28</v>
      </c>
      <c r="P20" s="165" t="str">
        <f t="shared" si="7"/>
        <v>2028–29</v>
      </c>
    </row>
    <row r="21" spans="1:16" ht="11.25" customHeight="1">
      <c r="C21" s="80" t="s">
        <v>9</v>
      </c>
      <c r="D21" s="78" t="s">
        <v>48</v>
      </c>
      <c r="E21" s="78" t="s">
        <v>50</v>
      </c>
      <c r="F21" s="154">
        <v>3.450578979249519E-2</v>
      </c>
      <c r="G21" s="183">
        <v>2.7930700466405556E-2</v>
      </c>
      <c r="H21" s="183">
        <v>2.6417785467881982E-2</v>
      </c>
      <c r="I21" s="183">
        <v>2.483248802855953E-2</v>
      </c>
      <c r="J21" s="183">
        <v>2.4190277210643929E-2</v>
      </c>
      <c r="K21" s="183">
        <v>2.4903931631566234E-2</v>
      </c>
      <c r="L21" s="86"/>
      <c r="M21" s="86"/>
      <c r="N21" s="86"/>
      <c r="O21" s="86"/>
      <c r="P21" s="86"/>
    </row>
    <row r="22" spans="1:16" ht="11.25" customHeight="1">
      <c r="C22" s="148" t="s">
        <v>97</v>
      </c>
      <c r="D22" s="78" t="s">
        <v>48</v>
      </c>
      <c r="E22" s="78" t="s">
        <v>50</v>
      </c>
      <c r="F22" s="79"/>
      <c r="J22" s="79"/>
      <c r="K22" s="79"/>
      <c r="L22" s="183">
        <v>4.2000000000000003E-2</v>
      </c>
      <c r="M22" s="183">
        <v>3.7750000000000006E-2</v>
      </c>
      <c r="N22" s="183">
        <v>3.3500000000000002E-2</v>
      </c>
      <c r="O22" s="183">
        <v>2.9250000000000002E-2</v>
      </c>
      <c r="P22" s="183">
        <v>2.5000000000000001E-2</v>
      </c>
    </row>
    <row r="23" spans="1:16" ht="11.25" customHeight="1">
      <c r="C23" s="80" t="s">
        <v>69</v>
      </c>
      <c r="D23" s="78" t="s">
        <v>60</v>
      </c>
      <c r="E23" s="78" t="s">
        <v>50</v>
      </c>
      <c r="F23" s="191">
        <f t="shared" ref="F23:I23" si="8">IF(AND(F13&lt;&gt;"",F21&lt;&gt;""),((1+F21)*(1+F13)-1),"")</f>
        <v>5.2962628147401603E-2</v>
      </c>
      <c r="G23" s="191">
        <f t="shared" si="8"/>
        <v>4.6849670413640077E-2</v>
      </c>
      <c r="H23" s="191">
        <f t="shared" si="8"/>
        <v>3.5250984998586699E-2</v>
      </c>
      <c r="I23" s="191">
        <f t="shared" si="8"/>
        <v>6.0701625109559121E-2</v>
      </c>
      <c r="J23" s="139">
        <f>IF(AND(J13&lt;&gt;"",J21&lt;&gt;""),((1+J21)*(1+J13)-1),"")</f>
        <v>0.1061254993874956</v>
      </c>
      <c r="K23" s="139">
        <f>IF(AND(K13&lt;&gt;"",K21&lt;&gt;""),((1+K21)*(1+K13)-1),"")</f>
        <v>7.3074416418249744E-2</v>
      </c>
      <c r="L23" s="139">
        <f>IF(AND(L14&lt;&gt;"",L22&lt;&gt;""),((1+L22)*(1+L14)-1),"")</f>
        <v>7.3885200000000095E-2</v>
      </c>
      <c r="M23" s="139">
        <f t="shared" ref="M23:P23" si="9">IF(AND(M14&lt;&gt;"",M22&lt;&gt;""),((1+M22)*(1+M14)-1),"")</f>
        <v>6.9505149999999905E-2</v>
      </c>
      <c r="N23" s="139">
        <f t="shared" si="9"/>
        <v>6.5125100000000158E-2</v>
      </c>
      <c r="O23" s="139">
        <f t="shared" si="9"/>
        <v>6.0745049999999967E-2</v>
      </c>
      <c r="P23" s="139">
        <f t="shared" si="9"/>
        <v>5.6364999999999776E-2</v>
      </c>
    </row>
    <row r="24" spans="1:16" ht="11.25" customHeight="1">
      <c r="A24" s="11"/>
      <c r="B24" s="11"/>
      <c r="C24" s="80"/>
      <c r="D24" s="78"/>
      <c r="E24" s="78"/>
      <c r="F24" s="79"/>
      <c r="G24" s="86"/>
      <c r="H24" s="20"/>
      <c r="I24" s="20"/>
      <c r="J24" s="20"/>
      <c r="K24" s="20"/>
      <c r="N24" s="11"/>
    </row>
    <row r="25" spans="1:16" s="62" customFormat="1" ht="12.75" customHeight="1">
      <c r="A25" s="8"/>
      <c r="B25" s="29" t="s">
        <v>33</v>
      </c>
      <c r="D25" s="63"/>
      <c r="E25" s="63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>
      <c r="G29" s="85"/>
      <c r="H29" s="85"/>
      <c r="I29" s="85"/>
      <c r="J29" s="85"/>
      <c r="K29" s="85"/>
      <c r="L29" s="85"/>
      <c r="M29" s="85"/>
    </row>
    <row r="108" ht="18" customHeight="1"/>
    <row r="109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X68"/>
  <sheetViews>
    <sheetView workbookViewId="0"/>
  </sheetViews>
  <sheetFormatPr defaultColWidth="0" defaultRowHeight="18" customHeight="1" zeroHeight="1"/>
  <cols>
    <col min="1" max="2" width="1.42578125" style="11" customWidth="1"/>
    <col min="3" max="3" width="32.85546875" style="16" customWidth="1"/>
    <col min="4" max="4" width="12.28515625" style="16" customWidth="1"/>
    <col min="5" max="5" width="13.42578125" style="16" customWidth="1"/>
    <col min="6" max="6" width="9.140625" style="16" customWidth="1"/>
    <col min="7" max="7" width="2.85546875" style="16" customWidth="1"/>
    <col min="8" max="8" width="16.85546875" style="16" customWidth="1"/>
    <col min="9" max="13" width="13.5703125" style="11" bestFit="1" customWidth="1"/>
    <col min="14" max="15" width="2.85546875" style="11" customWidth="1"/>
    <col min="16" max="24" width="0" style="11" hidden="1" customWidth="1"/>
    <col min="25" max="16384" width="12.5703125" style="11" hidden="1"/>
  </cols>
  <sheetData>
    <row r="1" spans="2:15" ht="18" customHeight="1">
      <c r="B1" s="3" t="str">
        <f>'Input | General'!$B$1</f>
        <v>TasNetworks DX 2024-29 Proposal - Capital expenditure sharing scheme model</v>
      </c>
      <c r="D1" s="12"/>
      <c r="E1" s="12"/>
      <c r="F1" s="12"/>
      <c r="G1" s="12"/>
      <c r="H1" s="12"/>
      <c r="I1" s="103"/>
      <c r="J1" s="104" t="s">
        <v>46</v>
      </c>
      <c r="K1" s="152" t="s">
        <v>47</v>
      </c>
      <c r="L1" s="156" t="s">
        <v>35</v>
      </c>
      <c r="M1" s="182" t="s">
        <v>104</v>
      </c>
    </row>
    <row r="2" spans="2:15" ht="18" customHeight="1">
      <c r="B2" s="13" t="s">
        <v>36</v>
      </c>
      <c r="D2" s="13"/>
      <c r="E2" s="13"/>
      <c r="F2" s="13"/>
      <c r="G2" s="13"/>
      <c r="H2" s="13"/>
    </row>
    <row r="3" spans="2:15" ht="3" customHeight="1">
      <c r="C3" s="10"/>
      <c r="D3" s="10"/>
      <c r="E3" s="10"/>
      <c r="F3" s="10"/>
      <c r="G3" s="10"/>
      <c r="H3" s="10"/>
    </row>
    <row r="4" spans="2:15" s="8" customFormat="1" ht="12.75" customHeight="1">
      <c r="B4" s="29" t="s">
        <v>39</v>
      </c>
      <c r="D4" s="6"/>
      <c r="E4" s="6"/>
      <c r="F4" s="6"/>
      <c r="G4" s="6"/>
      <c r="H4" s="6"/>
    </row>
    <row r="5" spans="2:15" ht="10.5" customHeight="1">
      <c r="D5" s="68"/>
      <c r="E5" s="68"/>
      <c r="F5" s="68"/>
      <c r="G5" s="68"/>
      <c r="H5" s="68"/>
    </row>
    <row r="6" spans="2:15" s="68" customFormat="1" ht="10.5" customHeight="1">
      <c r="D6" s="75" t="s">
        <v>6</v>
      </c>
      <c r="E6" s="75" t="s">
        <v>51</v>
      </c>
      <c r="F6" s="75" t="s">
        <v>4</v>
      </c>
      <c r="G6" s="64"/>
      <c r="H6" s="167" t="s">
        <v>107</v>
      </c>
      <c r="I6" s="167" t="str">
        <f>IF('Input | General'!D14="Yes",'Input | General'!D13,"n/a")</f>
        <v>2019–20</v>
      </c>
      <c r="J6" s="167" t="str">
        <f>IF('Input | General'!E14="Yes",'Input | General'!E13,"n/a")</f>
        <v>2020–21</v>
      </c>
      <c r="K6" s="167" t="str">
        <f>IF('Input | General'!F14="Yes",'Input | General'!F13,"n/a")</f>
        <v>2021–22</v>
      </c>
      <c r="L6" s="167" t="str">
        <f>IF('Input | General'!G14="Yes",'Input | General'!G13,"n/a")</f>
        <v>2022–23</v>
      </c>
      <c r="M6" s="167" t="str">
        <f>IF('Input | General'!H14="Yes",'Input | General'!H13,"n/a")</f>
        <v>2023–24</v>
      </c>
      <c r="N6" s="106"/>
      <c r="O6" s="106"/>
    </row>
    <row r="7" spans="2:15" s="68" customFormat="1" ht="10.5" customHeight="1">
      <c r="N7" s="106"/>
      <c r="O7" s="106"/>
    </row>
    <row r="8" spans="2:15" ht="10.5" customHeight="1">
      <c r="C8" s="80" t="s">
        <v>3</v>
      </c>
      <c r="D8" s="78" t="s">
        <v>48</v>
      </c>
      <c r="E8" s="78" t="s">
        <v>49</v>
      </c>
      <c r="F8" s="170" t="str">
        <f>'Input | Inflation and Disc Rate'!$I$7</f>
        <v>2021–22</v>
      </c>
      <c r="G8" s="68"/>
      <c r="H8" s="155">
        <v>111.54164590419822</v>
      </c>
      <c r="I8" s="186">
        <v>151.63653298814179</v>
      </c>
      <c r="J8" s="186">
        <v>142.66608740968815</v>
      </c>
      <c r="K8" s="186">
        <v>130.69909744748037</v>
      </c>
      <c r="L8" s="186">
        <v>139.30936195707775</v>
      </c>
      <c r="M8" s="186">
        <v>143.43922690277748</v>
      </c>
      <c r="N8" s="2"/>
      <c r="O8" s="2"/>
    </row>
    <row r="9" spans="2:15" ht="10.5" customHeight="1">
      <c r="C9" s="80" t="s">
        <v>99</v>
      </c>
      <c r="D9" s="78" t="s">
        <v>48</v>
      </c>
      <c r="E9" s="78" t="s">
        <v>49</v>
      </c>
      <c r="F9" s="170" t="str">
        <f>'Input | Inflation and Disc Rate'!$I$7</f>
        <v>2021–22</v>
      </c>
      <c r="G9" s="68"/>
      <c r="H9" s="155">
        <v>9.2668430000000015</v>
      </c>
      <c r="I9" s="186">
        <v>9.3868888760917173</v>
      </c>
      <c r="J9" s="186">
        <v>10.298249341372328</v>
      </c>
      <c r="K9" s="186">
        <v>10.374827877286391</v>
      </c>
      <c r="L9" s="186">
        <v>10.704728460552882</v>
      </c>
      <c r="M9" s="186">
        <v>10.879029075149358</v>
      </c>
      <c r="N9" s="2"/>
      <c r="O9" s="2"/>
    </row>
    <row r="10" spans="2:15" ht="10.5" customHeight="1">
      <c r="C10" s="80" t="s">
        <v>93</v>
      </c>
      <c r="D10" s="78" t="s">
        <v>48</v>
      </c>
      <c r="E10" s="78" t="s">
        <v>49</v>
      </c>
      <c r="F10" s="170" t="str">
        <f>'Input | Inflation and Disc Rate'!$I$7</f>
        <v>2021–22</v>
      </c>
      <c r="G10" s="68"/>
      <c r="H10" s="155">
        <v>0.79279135693398139</v>
      </c>
      <c r="I10" s="186">
        <v>0.76083791383106192</v>
      </c>
      <c r="J10" s="186">
        <v>0.7608097189001507</v>
      </c>
      <c r="K10" s="186">
        <v>0.77253093993694877</v>
      </c>
      <c r="L10" s="186">
        <v>0.77282364088179623</v>
      </c>
      <c r="M10" s="186">
        <v>0.77211945844415431</v>
      </c>
      <c r="N10" s="2"/>
      <c r="O10" s="2"/>
    </row>
    <row r="11" spans="2:15" s="68" customFormat="1" ht="10.5" customHeight="1">
      <c r="H11" s="67"/>
      <c r="I11" s="67"/>
      <c r="J11" s="67"/>
      <c r="K11" s="67"/>
      <c r="L11" s="67"/>
      <c r="M11" s="67"/>
      <c r="N11" s="106"/>
      <c r="O11" s="106"/>
    </row>
    <row r="12" spans="2:15" ht="10.5" customHeight="1">
      <c r="C12" s="77" t="s">
        <v>5</v>
      </c>
      <c r="D12" s="76" t="s">
        <v>60</v>
      </c>
      <c r="E12" s="168" t="s">
        <v>49</v>
      </c>
      <c r="F12" s="169" t="str">
        <f>'Input | Inflation and Disc Rate'!$F$7</f>
        <v>2018–19</v>
      </c>
      <c r="G12" s="68"/>
      <c r="H12" s="66">
        <f>IF(H6="", "", H8-H9-H10)</f>
        <v>101.48201154726425</v>
      </c>
      <c r="I12" s="66">
        <f>IF(I6="", "", I8-I9-I10)</f>
        <v>141.48880619821901</v>
      </c>
      <c r="J12" s="66">
        <f t="shared" ref="J12:M12" si="0">IF(J6="", "", J8-J9-J10)</f>
        <v>131.60702834941566</v>
      </c>
      <c r="K12" s="66">
        <f t="shared" si="0"/>
        <v>119.55173863025703</v>
      </c>
      <c r="L12" s="66">
        <f t="shared" si="0"/>
        <v>127.83180985564309</v>
      </c>
      <c r="M12" s="66">
        <f t="shared" si="0"/>
        <v>131.78807836918395</v>
      </c>
      <c r="N12" s="2"/>
      <c r="O12" s="2"/>
    </row>
    <row r="13" spans="2:15" ht="10.5" customHeight="1">
      <c r="D13" s="68"/>
      <c r="E13" s="68"/>
      <c r="F13" s="68"/>
      <c r="G13" s="68"/>
      <c r="H13" s="68"/>
      <c r="N13" s="72"/>
      <c r="O13" s="72"/>
    </row>
    <row r="14" spans="2:15" s="8" customFormat="1" ht="12.75" customHeight="1">
      <c r="B14" s="74" t="s">
        <v>40</v>
      </c>
      <c r="D14" s="18"/>
      <c r="E14" s="18"/>
      <c r="F14" s="18"/>
      <c r="G14" s="18"/>
      <c r="H14" s="18"/>
    </row>
    <row r="15" spans="2:15" s="2" customFormat="1" ht="10.5" customHeight="1">
      <c r="B15" s="73"/>
      <c r="D15" s="21"/>
      <c r="E15" s="21"/>
      <c r="F15" s="21"/>
      <c r="G15" s="21"/>
      <c r="H15" s="21"/>
    </row>
    <row r="16" spans="2:15" s="2" customFormat="1" ht="10.5" customHeight="1">
      <c r="B16" s="73"/>
      <c r="C16" s="68"/>
      <c r="D16" s="75" t="s">
        <v>6</v>
      </c>
      <c r="E16" s="75" t="s">
        <v>51</v>
      </c>
      <c r="F16" s="75" t="s">
        <v>4</v>
      </c>
      <c r="G16" s="64"/>
      <c r="H16" s="167" t="s">
        <v>107</v>
      </c>
      <c r="I16" s="167" t="str">
        <f>I6</f>
        <v>2019–20</v>
      </c>
      <c r="J16" s="167" t="str">
        <f t="shared" ref="J16:M16" si="1">J6</f>
        <v>2020–21</v>
      </c>
      <c r="K16" s="167" t="str">
        <f t="shared" si="1"/>
        <v>2021–22</v>
      </c>
      <c r="L16" s="167" t="str">
        <f t="shared" si="1"/>
        <v>2022–23</v>
      </c>
      <c r="M16" s="167" t="str">
        <f t="shared" si="1"/>
        <v>2023–24</v>
      </c>
      <c r="N16" s="106"/>
      <c r="O16" s="106"/>
    </row>
    <row r="17" spans="2:15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06"/>
      <c r="O17" s="106"/>
    </row>
    <row r="18" spans="2:15" s="2" customFormat="1" ht="10.5" customHeight="1">
      <c r="B18" s="73"/>
      <c r="C18" s="80" t="s">
        <v>77</v>
      </c>
      <c r="D18" s="78" t="s">
        <v>48</v>
      </c>
      <c r="E18" s="78" t="s">
        <v>49</v>
      </c>
      <c r="F18" s="78" t="s">
        <v>52</v>
      </c>
      <c r="G18" s="68"/>
      <c r="H18" s="155">
        <v>118.86170904789108</v>
      </c>
      <c r="I18" s="155">
        <v>132.06448712820415</v>
      </c>
      <c r="J18" s="219">
        <v>152.26623141908371</v>
      </c>
      <c r="K18" s="219">
        <v>147.03573739706712</v>
      </c>
      <c r="L18" s="155">
        <v>156.45700818545555</v>
      </c>
      <c r="M18" s="155">
        <v>170.47609995876775</v>
      </c>
    </row>
    <row r="19" spans="2:15" s="2" customFormat="1" ht="10.5" customHeight="1">
      <c r="B19" s="73"/>
      <c r="C19" s="80" t="s">
        <v>99</v>
      </c>
      <c r="D19" s="78" t="s">
        <v>48</v>
      </c>
      <c r="E19" s="78" t="s">
        <v>49</v>
      </c>
      <c r="F19" s="78" t="s">
        <v>52</v>
      </c>
      <c r="G19" s="138"/>
      <c r="H19" s="155">
        <v>12.384735019999997</v>
      </c>
      <c r="I19" s="155">
        <v>16.568841082362784</v>
      </c>
      <c r="J19" s="219">
        <v>18.615686175516359</v>
      </c>
      <c r="K19" s="219">
        <v>28.900760650168799</v>
      </c>
      <c r="L19" s="155">
        <v>14.532187869999998</v>
      </c>
      <c r="M19" s="155">
        <v>13.628698537226194</v>
      </c>
    </row>
    <row r="20" spans="2:15" s="2" customFormat="1" ht="10.5" customHeight="1">
      <c r="B20" s="73"/>
      <c r="C20" s="137" t="s">
        <v>93</v>
      </c>
      <c r="D20" s="78" t="s">
        <v>48</v>
      </c>
      <c r="E20" s="78" t="s">
        <v>49</v>
      </c>
      <c r="F20" s="78" t="s">
        <v>52</v>
      </c>
      <c r="G20" s="138"/>
      <c r="H20" s="155">
        <v>0.43627616750152676</v>
      </c>
      <c r="I20" s="155">
        <v>1.1185896847344772</v>
      </c>
      <c r="J20" s="155">
        <v>0.13948965561120336</v>
      </c>
      <c r="K20" s="155">
        <v>0.48816641560176555</v>
      </c>
      <c r="L20" s="155">
        <v>0.83626274117969357</v>
      </c>
      <c r="M20" s="155">
        <v>0.90234081455886039</v>
      </c>
    </row>
    <row r="21" spans="2:15" s="2" customFormat="1" ht="10.5" customHeight="1">
      <c r="B21" s="73"/>
      <c r="C21" s="149" t="s">
        <v>98</v>
      </c>
      <c r="D21" s="78" t="s">
        <v>48</v>
      </c>
      <c r="E21" s="78" t="s">
        <v>49</v>
      </c>
      <c r="F21" s="78" t="s">
        <v>52</v>
      </c>
      <c r="G21" s="68"/>
      <c r="H21" s="155"/>
      <c r="I21" s="155"/>
      <c r="J21" s="155"/>
      <c r="K21" s="155"/>
      <c r="L21" s="155"/>
      <c r="M21" s="155"/>
    </row>
    <row r="22" spans="2:15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67"/>
      <c r="N22" s="106"/>
      <c r="O22" s="106"/>
    </row>
    <row r="23" spans="2:15" s="2" customFormat="1" ht="10.5" customHeight="1">
      <c r="B23" s="73"/>
      <c r="C23" s="77" t="s">
        <v>76</v>
      </c>
      <c r="D23" s="76" t="s">
        <v>60</v>
      </c>
      <c r="E23" s="171" t="s">
        <v>49</v>
      </c>
      <c r="F23" s="171" t="s">
        <v>52</v>
      </c>
      <c r="G23" s="68"/>
      <c r="H23" s="66">
        <f t="shared" ref="H23:M23" si="2">IF(H16="", "", H18-H19-H20-H21)</f>
        <v>106.04069786038956</v>
      </c>
      <c r="I23" s="66">
        <f t="shared" si="2"/>
        <v>114.3770563611069</v>
      </c>
      <c r="J23" s="66">
        <f t="shared" si="2"/>
        <v>133.51105558795615</v>
      </c>
      <c r="K23" s="66">
        <f t="shared" si="2"/>
        <v>117.64681033129656</v>
      </c>
      <c r="L23" s="66">
        <f t="shared" si="2"/>
        <v>141.08855757427585</v>
      </c>
      <c r="M23" s="66">
        <f t="shared" si="2"/>
        <v>155.94506060698268</v>
      </c>
    </row>
    <row r="24" spans="2:15" s="2" customFormat="1" ht="10.5" customHeight="1">
      <c r="B24" s="73"/>
      <c r="D24" s="21"/>
      <c r="E24" s="21"/>
      <c r="F24" s="21"/>
      <c r="G24" s="21"/>
      <c r="H24" s="21"/>
      <c r="N24" s="72"/>
      <c r="O24" s="72"/>
    </row>
    <row r="25" spans="2:15" s="8" customFormat="1" ht="12.75" customHeight="1">
      <c r="B25" s="74" t="s">
        <v>41</v>
      </c>
      <c r="D25" s="18"/>
      <c r="E25" s="18"/>
      <c r="F25" s="18"/>
      <c r="G25" s="18"/>
      <c r="H25" s="18"/>
    </row>
    <row r="26" spans="2:15" ht="10.5" customHeight="1">
      <c r="D26" s="68"/>
      <c r="E26" s="68"/>
      <c r="F26" s="68"/>
      <c r="G26" s="68"/>
      <c r="H26" s="68"/>
      <c r="N26" s="2"/>
      <c r="O26" s="2"/>
    </row>
    <row r="27" spans="2:15" ht="10.5" customHeight="1">
      <c r="D27" s="68"/>
      <c r="E27" s="68"/>
      <c r="F27" s="68"/>
      <c r="G27" s="68"/>
      <c r="H27" s="68"/>
      <c r="I27" s="167" t="str">
        <f>'Input | General'!D18</f>
        <v>2024-25</v>
      </c>
      <c r="J27" s="167" t="str">
        <f>'Input | General'!E18</f>
        <v>2025–26</v>
      </c>
      <c r="K27" s="167" t="str">
        <f>'Input | General'!F18</f>
        <v>2026–27</v>
      </c>
      <c r="L27" s="167" t="str">
        <f>'Input | General'!G18</f>
        <v>2027–28</v>
      </c>
      <c r="M27" s="167" t="str">
        <f>'Input | General'!H18</f>
        <v>2028–29</v>
      </c>
      <c r="N27" s="2"/>
      <c r="O27" s="2"/>
    </row>
    <row r="28" spans="2:15" s="17" customFormat="1" ht="10.5" customHeight="1">
      <c r="C28" s="16"/>
      <c r="D28" s="68"/>
      <c r="E28" s="68"/>
      <c r="F28" s="68"/>
      <c r="G28" s="68"/>
      <c r="H28" s="68"/>
      <c r="N28" s="19"/>
      <c r="O28" s="19"/>
    </row>
    <row r="29" spans="2:15" ht="11.25" customHeight="1">
      <c r="C29" s="84" t="s">
        <v>86</v>
      </c>
      <c r="D29" s="65" t="s">
        <v>87</v>
      </c>
      <c r="E29" s="78" t="s">
        <v>49</v>
      </c>
      <c r="F29" s="78" t="s">
        <v>52</v>
      </c>
      <c r="G29" s="68"/>
      <c r="H29" s="68"/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2"/>
      <c r="O29" s="2"/>
    </row>
    <row r="30" spans="2:15" ht="11.25" customHeight="1">
      <c r="C30" s="84" t="s">
        <v>86</v>
      </c>
      <c r="D30" s="65" t="s">
        <v>60</v>
      </c>
      <c r="E30" s="78" t="s">
        <v>49</v>
      </c>
      <c r="F30" s="78" t="str">
        <f>'Input | Inflation and Disc Rate'!$I$7</f>
        <v>2021–22</v>
      </c>
      <c r="G30" s="68"/>
      <c r="H30" s="68"/>
      <c r="I30" s="143">
        <f>IF(I29&lt;&gt;"",I29/('Input | Inflation and Disc Rate'!K10*(1+'Input | Inflation and Disc Rate'!L9)^0.5),"")</f>
        <v>0</v>
      </c>
      <c r="J30" s="143">
        <f>IF(J29&lt;&gt;"",J29/('Input | Inflation and Disc Rate'!L10*(1+'Input | Inflation and Disc Rate'!M9)^0.5),"")</f>
        <v>0</v>
      </c>
      <c r="K30" s="143">
        <f>IF(K29&lt;&gt;"",K29/('Input | Inflation and Disc Rate'!M10*(1+'Input | Inflation and Disc Rate'!N9)^0.5),"")</f>
        <v>0</v>
      </c>
      <c r="L30" s="143">
        <f>IF(L29&lt;&gt;"",L29/('Input | Inflation and Disc Rate'!N10*(1+'Input | Inflation and Disc Rate'!O9)^0.5),"")</f>
        <v>0</v>
      </c>
      <c r="M30" s="143">
        <f>IF(M29&lt;&gt;"",M29/('Input | Inflation and Disc Rate'!O10*(1+'Input | Inflation and Disc Rate'!P9)^0.5),"")</f>
        <v>0</v>
      </c>
      <c r="N30" s="2"/>
      <c r="O30" s="2"/>
    </row>
    <row r="31" spans="2:15" ht="11.25" customHeight="1">
      <c r="C31" s="84" t="s">
        <v>86</v>
      </c>
      <c r="D31" s="65" t="s">
        <v>48</v>
      </c>
      <c r="E31" s="78" t="s">
        <v>49</v>
      </c>
      <c r="F31" s="78" t="s">
        <v>52</v>
      </c>
      <c r="G31" s="68"/>
      <c r="H31" s="68"/>
      <c r="I31" s="143">
        <f>IF(I29&lt;&gt;"",I30*'Input | Inflation and Disc Rate'!K15*(1+'Input | Inflation and Disc Rate'!L14)^0.5,"")</f>
        <v>0</v>
      </c>
      <c r="J31" s="143">
        <f>IF(J29&lt;&gt;"",J30*'Input | Inflation and Disc Rate'!L15*(1+'Input | Inflation and Disc Rate'!M14)^0.5,"")</f>
        <v>0</v>
      </c>
      <c r="K31" s="143">
        <f>IF(K29&lt;&gt;"",K30*'Input | Inflation and Disc Rate'!M15*(1+'Input | Inflation and Disc Rate'!N14)^0.5,"")</f>
        <v>0</v>
      </c>
      <c r="L31" s="143">
        <f>IF(L29&lt;&gt;"",L30*'Input | Inflation and Disc Rate'!N15*(1+'Input | Inflation and Disc Rate'!O14)^0.5,"")</f>
        <v>0</v>
      </c>
      <c r="M31" s="143">
        <f>IF(M29&lt;&gt;"",M30*'Input | Inflation and Disc Rate'!O15*(1+'Input | Inflation and Disc Rate'!P14)^0.5,"")</f>
        <v>0</v>
      </c>
      <c r="N31" s="2"/>
      <c r="O31" s="2"/>
    </row>
    <row r="32" spans="2:15" ht="10.5" customHeight="1">
      <c r="D32" s="68"/>
      <c r="E32" s="68"/>
      <c r="F32" s="68"/>
      <c r="G32" s="68"/>
      <c r="H32" s="68"/>
      <c r="N32" s="72"/>
      <c r="O32" s="72"/>
    </row>
    <row r="33" spans="1:6" s="62" customFormat="1" ht="12.75" customHeight="1">
      <c r="A33" s="8"/>
      <c r="B33" s="29" t="s">
        <v>33</v>
      </c>
      <c r="D33" s="63"/>
      <c r="E33" s="63"/>
      <c r="F33" s="63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5" s="2" customFormat="1" ht="18" hidden="1" customHeight="1"/>
    <row r="55" spans="3:15" s="17" customFormat="1" ht="18" hidden="1" customHeight="1"/>
    <row r="63" spans="3:15" ht="18" hidden="1" customHeight="1">
      <c r="C63" s="21"/>
      <c r="D63" s="21"/>
      <c r="E63" s="21"/>
      <c r="F63" s="21"/>
      <c r="G63" s="21"/>
      <c r="H63" s="21"/>
      <c r="I63" s="2"/>
      <c r="J63" s="2"/>
      <c r="K63" s="2"/>
      <c r="L63" s="2"/>
      <c r="M63" s="2"/>
      <c r="N63" s="2"/>
      <c r="O63" s="2"/>
    </row>
    <row r="64" spans="3:15" ht="18" hidden="1" customHeight="1">
      <c r="C64" s="21"/>
      <c r="D64" s="21"/>
      <c r="E64" s="21"/>
      <c r="F64" s="21"/>
      <c r="G64" s="21"/>
      <c r="H64" s="21"/>
      <c r="I64" s="19"/>
      <c r="J64" s="19"/>
      <c r="K64" s="19"/>
      <c r="L64" s="19"/>
      <c r="M64" s="19"/>
      <c r="N64" s="19"/>
      <c r="O64" s="19"/>
    </row>
    <row r="65" spans="3:15" ht="18" hidden="1" customHeight="1">
      <c r="C65" s="21"/>
      <c r="D65" s="21"/>
      <c r="E65" s="21"/>
      <c r="F65" s="21"/>
      <c r="G65" s="21"/>
      <c r="H65" s="21"/>
      <c r="I65" s="2"/>
      <c r="J65" s="2"/>
      <c r="K65" s="2"/>
      <c r="L65" s="2"/>
      <c r="M65" s="2"/>
      <c r="N65" s="2"/>
      <c r="O65" s="2"/>
    </row>
    <row r="66" spans="3:15" ht="18" hidden="1" customHeight="1">
      <c r="C66" s="21"/>
      <c r="D66" s="21"/>
      <c r="E66" s="21"/>
      <c r="F66" s="21"/>
      <c r="G66" s="21"/>
      <c r="H66" s="21"/>
      <c r="I66" s="2"/>
      <c r="J66" s="2"/>
      <c r="K66" s="2"/>
      <c r="L66" s="2"/>
      <c r="M66" s="2"/>
      <c r="N66" s="2"/>
      <c r="O66" s="2"/>
    </row>
    <row r="67" spans="3:15" ht="18" hidden="1" customHeight="1">
      <c r="C67" s="21"/>
      <c r="D67" s="21"/>
      <c r="E67" s="21"/>
      <c r="F67" s="21"/>
      <c r="G67" s="21"/>
      <c r="H67" s="21"/>
      <c r="I67" s="2"/>
      <c r="J67" s="2"/>
      <c r="K67" s="2"/>
      <c r="L67" s="2"/>
      <c r="M67" s="2"/>
      <c r="N67" s="2"/>
      <c r="O67" s="2"/>
    </row>
    <row r="68" spans="3:15" ht="18" hidden="1" customHeight="1">
      <c r="C68" s="21"/>
      <c r="D68" s="21"/>
      <c r="E68" s="21"/>
      <c r="F68" s="21"/>
      <c r="G68" s="21"/>
      <c r="H68" s="21"/>
      <c r="I68" s="2"/>
      <c r="J68" s="2"/>
      <c r="K68" s="2"/>
      <c r="L68" s="2"/>
      <c r="M68" s="2"/>
      <c r="N68" s="2"/>
      <c r="O68" s="2"/>
    </row>
  </sheetData>
  <conditionalFormatting sqref="I8:M10">
    <cfRule type="expression" dxfId="11" priority="28">
      <formula>IF($I$6&lt;&gt;"","FALSE","TRUE")</formula>
    </cfRule>
  </conditionalFormatting>
  <conditionalFormatting sqref="I18:M18">
    <cfRule type="expression" dxfId="10" priority="23">
      <formula>IF($I$6&lt;&gt;"","FALSE","TRUE")</formula>
    </cfRule>
  </conditionalFormatting>
  <conditionalFormatting sqref="I20">
    <cfRule type="expression" dxfId="9" priority="18">
      <formula>IF($I$6&lt;&gt;"","FALSE","TRUE")</formula>
    </cfRule>
  </conditionalFormatting>
  <conditionalFormatting sqref="J19:M20">
    <cfRule type="expression" dxfId="8" priority="13">
      <formula>IF($I$6&lt;&gt;"","FALSE","TRUE")</formula>
    </cfRule>
  </conditionalFormatting>
  <conditionalFormatting sqref="I29:M29">
    <cfRule type="expression" dxfId="7" priority="12">
      <formula>IF($I$6&lt;&gt;"","FALSE","TRUE")</formula>
    </cfRule>
  </conditionalFormatting>
  <conditionalFormatting sqref="I21">
    <cfRule type="expression" dxfId="6" priority="11">
      <formula>IF($I$6&lt;&gt;"","FALSE","TRUE")</formula>
    </cfRule>
  </conditionalFormatting>
  <conditionalFormatting sqref="J21:M21">
    <cfRule type="expression" dxfId="5" priority="10">
      <formula>IF($I$6&lt;&gt;"","FALSE","TRUE")</formula>
    </cfRule>
  </conditionalFormatting>
  <conditionalFormatting sqref="H8:H10">
    <cfRule type="expression" dxfId="4" priority="5">
      <formula>IF($H$6&lt;&gt;"","FALSE","TRUE")</formula>
    </cfRule>
  </conditionalFormatting>
  <conditionalFormatting sqref="H21">
    <cfRule type="expression" dxfId="3" priority="4">
      <formula>IF($I$6&lt;&gt;"","FALSE","TRUE")</formula>
    </cfRule>
  </conditionalFormatting>
  <conditionalFormatting sqref="H18">
    <cfRule type="expression" dxfId="2" priority="3">
      <formula>IF($H$6&lt;&gt;"","FALSE","TRUE")</formula>
    </cfRule>
  </conditionalFormatting>
  <conditionalFormatting sqref="H19:H20">
    <cfRule type="expression" dxfId="1" priority="2">
      <formula>IF($H$6&lt;&gt;"","FALSE","TRUE")</formula>
    </cfRule>
  </conditionalFormatting>
  <conditionalFormatting sqref="I19">
    <cfRule type="expression" dxfId="0" priority="1">
      <formula>IF($I$6&lt;&gt;"","FALSE","TRUE")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4"/>
  <sheetViews>
    <sheetView workbookViewId="0"/>
  </sheetViews>
  <sheetFormatPr defaultColWidth="0" defaultRowHeight="0" customHeight="1" zeroHeight="1"/>
  <cols>
    <col min="1" max="2" width="1.42578125" style="2" customWidth="1"/>
    <col min="3" max="3" width="33.5703125" style="9" customWidth="1"/>
    <col min="4" max="4" width="16.140625" style="9" customWidth="1"/>
    <col min="5" max="9" width="12.5703125" style="2" customWidth="1"/>
    <col min="10" max="10" width="2.42578125" style="2" customWidth="1"/>
    <col min="11" max="11" width="12.5703125" style="1" customWidth="1"/>
    <col min="12" max="15" width="12.5703125" style="2" customWidth="1"/>
    <col min="16" max="17" width="2.85546875" style="2" customWidth="1"/>
    <col min="18" max="16383" width="0" style="2" hidden="1"/>
    <col min="16384" max="16384" width="12.5703125" style="2" hidden="1"/>
  </cols>
  <sheetData>
    <row r="1" spans="2:24" s="11" customFormat="1" ht="18" customHeight="1">
      <c r="B1" s="3" t="str">
        <f>'Input | General'!$B$1</f>
        <v>TasNetworks DX 2024-29 Proposal - Capital expenditure sharing scheme model</v>
      </c>
      <c r="K1" s="120"/>
      <c r="L1" s="104" t="s">
        <v>46</v>
      </c>
      <c r="M1" s="152" t="s">
        <v>47</v>
      </c>
      <c r="N1" s="156" t="s">
        <v>35</v>
      </c>
      <c r="O1"/>
      <c r="R1" s="105"/>
      <c r="S1" s="79"/>
      <c r="T1" s="79"/>
      <c r="U1" s="79"/>
      <c r="V1" s="79"/>
      <c r="W1" s="79"/>
      <c r="X1" s="79"/>
    </row>
    <row r="2" spans="2:24" s="11" customFormat="1" ht="18" customHeight="1">
      <c r="B2" s="13" t="s">
        <v>85</v>
      </c>
      <c r="K2" s="22"/>
      <c r="L2" s="22"/>
      <c r="M2" s="22"/>
    </row>
    <row r="3" spans="2:24" s="11" customFormat="1" ht="3" customHeight="1">
      <c r="C3" s="10"/>
      <c r="D3" s="10"/>
      <c r="K3" s="22"/>
      <c r="L3" s="22"/>
    </row>
    <row r="4" spans="2:24" s="8" customFormat="1" ht="12" customHeight="1">
      <c r="B4" s="29" t="s">
        <v>43</v>
      </c>
      <c r="K4" s="23"/>
      <c r="L4" s="23"/>
    </row>
    <row r="5" spans="2:24" ht="11.25" customHeight="1">
      <c r="C5" s="93"/>
      <c r="D5" s="93"/>
      <c r="E5" s="93"/>
      <c r="F5" s="93"/>
      <c r="G5" s="93"/>
      <c r="H5" s="93"/>
      <c r="I5" s="93"/>
      <c r="J5" s="88"/>
      <c r="K5" s="88"/>
      <c r="L5" s="88"/>
      <c r="M5" s="88"/>
      <c r="N5" s="88"/>
      <c r="O5" s="88"/>
      <c r="P5" s="88"/>
    </row>
    <row r="6" spans="2:24" ht="11.25" customHeight="1">
      <c r="C6" s="116" t="s">
        <v>10</v>
      </c>
      <c r="D6" s="194"/>
      <c r="E6" s="117"/>
      <c r="F6" s="118"/>
      <c r="G6" s="118"/>
      <c r="H6" s="118"/>
      <c r="I6" s="118"/>
      <c r="J6" s="95"/>
    </row>
    <row r="7" spans="2:24" ht="11.25" customHeight="1">
      <c r="C7" s="115" t="s">
        <v>8</v>
      </c>
      <c r="D7" s="167" t="s">
        <v>107</v>
      </c>
      <c r="E7" s="167" t="str">
        <f>IF('Input | General'!D14="Yes",'Input | General'!D13,"n/a")</f>
        <v>2019–20</v>
      </c>
      <c r="F7" s="167" t="str">
        <f>IF('Input | General'!E14="Yes",'Input | General'!E13,"n/a")</f>
        <v>2020–21</v>
      </c>
      <c r="G7" s="167" t="str">
        <f>IF('Input | General'!F14="Yes",'Input | General'!F13,"n/a")</f>
        <v>2021–22</v>
      </c>
      <c r="H7" s="167" t="str">
        <f>IF('Input | General'!G14="Yes",'Input | General'!G13,"n/a")</f>
        <v>2022–23</v>
      </c>
      <c r="I7" s="172" t="str">
        <f>IF('Input | General'!H14="Yes",'Input | General'!H13,"n/a")</f>
        <v>2023–24</v>
      </c>
      <c r="J7" s="95"/>
    </row>
    <row r="8" spans="2:24" ht="11.25" customHeight="1">
      <c r="C8" s="140" t="s">
        <v>95</v>
      </c>
      <c r="D8" s="197">
        <f>'Input | Inflation and Disc Rate'!F21</f>
        <v>3.450578979249519E-2</v>
      </c>
      <c r="E8" s="157">
        <f>'Input | Inflation and Disc Rate'!G21</f>
        <v>2.7930700466405556E-2</v>
      </c>
      <c r="F8" s="157">
        <f>'Input | Inflation and Disc Rate'!H21</f>
        <v>2.6417785467881982E-2</v>
      </c>
      <c r="G8" s="157">
        <f>'Input | Inflation and Disc Rate'!I21</f>
        <v>2.483248802855953E-2</v>
      </c>
      <c r="H8" s="157">
        <f>'Input | Inflation and Disc Rate'!J21</f>
        <v>2.4190277210643929E-2</v>
      </c>
      <c r="I8" s="158">
        <f>'Input | Inflation and Disc Rate'!K21</f>
        <v>2.4903931631566234E-2</v>
      </c>
      <c r="J8" s="95"/>
      <c r="K8" s="79"/>
      <c r="L8" s="79"/>
    </row>
    <row r="9" spans="2:24" ht="11.25" customHeight="1">
      <c r="C9" s="140" t="s">
        <v>96</v>
      </c>
      <c r="D9" s="197">
        <f>'Input | Inflation and Disc Rate'!F23</f>
        <v>5.2962628147401603E-2</v>
      </c>
      <c r="E9" s="157">
        <f>'Input | Inflation and Disc Rate'!G23</f>
        <v>4.6849670413640077E-2</v>
      </c>
      <c r="F9" s="157">
        <f>'Input | Inflation and Disc Rate'!H23</f>
        <v>3.5250984998586699E-2</v>
      </c>
      <c r="G9" s="157">
        <f>'Input | Inflation and Disc Rate'!I23</f>
        <v>6.0701625109559121E-2</v>
      </c>
      <c r="H9" s="157">
        <f>'Input | Inflation and Disc Rate'!J23</f>
        <v>0.1061254993874956</v>
      </c>
      <c r="I9" s="158">
        <f>'Input | Inflation and Disc Rate'!K23</f>
        <v>7.3074416418249744E-2</v>
      </c>
      <c r="J9" s="95"/>
      <c r="K9" s="79"/>
      <c r="L9" s="79"/>
    </row>
    <row r="10" spans="2:24" ht="11.25" customHeight="1">
      <c r="C10" s="111" t="s">
        <v>12</v>
      </c>
      <c r="D10" s="187">
        <f>'Input | Reported Capex'!H$12*'Input | Inflation and Disc Rate'!F$16*(1+'Input | Inflation and Disc Rate'!F$21)^0.5</f>
        <v>107.06523859510092</v>
      </c>
      <c r="E10" s="159">
        <f>'Input | Reported Capex'!I$12*'Input | Inflation and Disc Rate'!G$15*(1+'Input | Inflation and Disc Rate'!G$21)^0.5</f>
        <v>146.09134397591444</v>
      </c>
      <c r="F10" s="159">
        <f>'Input | Reported Capex'!J$12*'Input | Inflation and Disc Rate'!H$15*(1+'Input | Inflation and Disc Rate'!H$21)^0.5</f>
        <v>136.9566531967377</v>
      </c>
      <c r="G10" s="159">
        <f>'Input | Reported Capex'!K$12*'Input | Inflation and Disc Rate'!I$15*(1+'Input | Inflation and Disc Rate'!I$21)^0.5</f>
        <v>128.66625359288813</v>
      </c>
      <c r="H10" s="159">
        <f>'Input | Reported Capex'!L$12*'Input | Inflation and Disc Rate'!J$15*(1+'Input | Inflation and Disc Rate'!J$21)^0.5</f>
        <v>148.53723476648528</v>
      </c>
      <c r="I10" s="160">
        <f>'Input | Reported Capex'!M$12*'Input | Inflation and Disc Rate'!K$15*(1+'Input | Inflation and Disc Rate'!K$21)^0.5</f>
        <v>160.38747831866323</v>
      </c>
      <c r="J10" s="95"/>
      <c r="K10" s="79"/>
      <c r="L10" s="79"/>
      <c r="O10" s="135"/>
    </row>
    <row r="11" spans="2:24" ht="11.25" customHeight="1">
      <c r="C11" s="111" t="s">
        <v>14</v>
      </c>
      <c r="D11" s="187">
        <f>'Input | Reported Capex'!H23*(1+D$9)^0.5</f>
        <v>108.81256700869834</v>
      </c>
      <c r="E11" s="159">
        <f>'Input | Reported Capex'!I23*(1+E$9)^0.5</f>
        <v>117.02565364704994</v>
      </c>
      <c r="F11" s="159">
        <f>'Input | Reported Capex'!J23*(1+F$9)^0.5</f>
        <v>135.8438732193965</v>
      </c>
      <c r="G11" s="159">
        <f>'Input | Reported Capex'!K23*(1+G$9)^0.5</f>
        <v>121.16488490133348</v>
      </c>
      <c r="H11" s="159">
        <f>'Input | Reported Capex'!L23*(1+H$9)^0.5</f>
        <v>148.38636480867069</v>
      </c>
      <c r="I11" s="160">
        <f>'Input | Reported Capex'!M23*((1+I$9)^0.5)</f>
        <v>161.54240486955524</v>
      </c>
      <c r="J11" s="95"/>
      <c r="K11" s="79"/>
      <c r="L11" s="79"/>
    </row>
    <row r="12" spans="2:24" s="19" customFormat="1" ht="11.25" customHeight="1">
      <c r="C12" s="111" t="s">
        <v>16</v>
      </c>
      <c r="D12" s="151">
        <f t="shared" ref="D12:E12" si="0">(D10-D11)</f>
        <v>-1.7473284135974154</v>
      </c>
      <c r="E12" s="192">
        <f t="shared" si="0"/>
        <v>29.065690328864505</v>
      </c>
      <c r="F12" s="192">
        <f t="shared" ref="F12:G12" si="1">(F10-F11)</f>
        <v>1.112779977341205</v>
      </c>
      <c r="G12" s="192">
        <f t="shared" si="1"/>
        <v>7.5013686915546458</v>
      </c>
      <c r="H12" s="141">
        <f t="shared" ref="H12:I12" si="2">(H10-H11)</f>
        <v>0.15086995781459223</v>
      </c>
      <c r="I12" s="144">
        <f t="shared" si="2"/>
        <v>-1.1549265508920143</v>
      </c>
      <c r="J12" s="95"/>
      <c r="K12" s="79"/>
      <c r="L12" s="79"/>
    </row>
    <row r="13" spans="2:24" ht="11.25" customHeight="1">
      <c r="C13" s="111" t="s">
        <v>71</v>
      </c>
      <c r="D13" s="151"/>
      <c r="E13" s="192">
        <f>$D$12*$D$8*(1+'Input | Inflation and Disc Rate'!F13)</f>
        <v>-6.136864625897509E-2</v>
      </c>
      <c r="F13" s="192">
        <f>$D$12*$D$8*(1+'Input | Inflation and Disc Rate'!F13)*(1+'Input | Inflation and Disc Rate'!G13)</f>
        <v>-6.2498130545950097E-2</v>
      </c>
      <c r="G13" s="192">
        <f>$D$12*$D$8*(1+'Input | Inflation and Disc Rate'!F13)*(1+'Input | Inflation and Disc Rate'!G13)*(1+'Input | Inflation and Disc Rate'!H13)</f>
        <v>-6.3035980206414377E-2</v>
      </c>
      <c r="H13" s="192">
        <f>$D$12*$D$8*(1+'Input | Inflation and Disc Rate'!F13)*(1+'Input | Inflation and Disc Rate'!G13)*(1+'Input | Inflation and Disc Rate'!H13)*(1+'Input | Inflation and Disc Rate'!I13)</f>
        <v>-6.5242239513638875E-2</v>
      </c>
      <c r="I13" s="144">
        <f>$D$12*$D$8*(1+'Input | Inflation and Disc Rate'!F13)*(1+'Input | Inflation and Disc Rate'!G13)*(1+'Input | Inflation and Disc Rate'!H13)*(1+'Input | Inflation and Disc Rate'!I13)*(1+'Input | Inflation and Disc Rate'!J13)</f>
        <v>-7.0461618674729984E-2</v>
      </c>
      <c r="J13" s="95"/>
      <c r="K13" s="79"/>
      <c r="L13" s="79"/>
      <c r="M13" s="94"/>
      <c r="N13" s="94"/>
      <c r="O13" s="94"/>
      <c r="P13" s="94"/>
    </row>
    <row r="14" spans="2:24" ht="11.25" customHeight="1">
      <c r="C14" s="111" t="s">
        <v>72</v>
      </c>
      <c r="D14" s="151"/>
      <c r="E14" s="192"/>
      <c r="F14" s="192">
        <f>$E$12*$E$8*(1+'Input | Inflation and Disc Rate'!G13)</f>
        <v>0.82676665650625369</v>
      </c>
      <c r="G14" s="192">
        <f>$E$12*$E$8*(1+'Input | Inflation and Disc Rate'!G13)*(1+'Input | Inflation and Disc Rate'!H13)</f>
        <v>0.83388168797360529</v>
      </c>
      <c r="H14" s="192">
        <f>$E$12*$E$8*(1+'Input | Inflation and Disc Rate'!G13)*(1+'Input | Inflation and Disc Rate'!H13)*(1+'Input | Inflation and Disc Rate'!I13)</f>
        <v>0.86306754705268141</v>
      </c>
      <c r="I14" s="144">
        <f>$E$12*$E$8*(1+'Input | Inflation and Disc Rate'!G13)*(1+'Input | Inflation and Disc Rate'!H13)*(1+'Input | Inflation and Disc Rate'!I13)*(1+'Input | Inflation and Disc Rate'!J13)</f>
        <v>0.93211295081689594</v>
      </c>
      <c r="J14" s="95"/>
      <c r="K14" s="79"/>
      <c r="L14" s="79"/>
      <c r="M14" s="94"/>
      <c r="N14" s="94"/>
      <c r="O14" s="95"/>
      <c r="P14" s="95"/>
    </row>
    <row r="15" spans="2:24" ht="11.25" customHeight="1">
      <c r="C15" s="111" t="s">
        <v>73</v>
      </c>
      <c r="D15" s="151"/>
      <c r="E15" s="192"/>
      <c r="F15" s="192"/>
      <c r="G15" s="192">
        <f>$F$12*$F$8*(1+'Input | Inflation and Disc Rate'!H13)</f>
        <v>2.965017051740405E-2</v>
      </c>
      <c r="H15" s="192">
        <f>$F$12*$F$8*(1+'Input | Inflation and Disc Rate'!H13)*(1+'Input | Inflation and Disc Rate'!I13)</f>
        <v>3.0687926485513189E-2</v>
      </c>
      <c r="I15" s="144">
        <f>$F$12*$F$8*(1+'Input | Inflation and Disc Rate'!H13)*(1+'Input | Inflation and Disc Rate'!I13)*(1+'Input | Inflation and Disc Rate'!J13)</f>
        <v>3.3142960604354246E-2</v>
      </c>
      <c r="J15" s="95"/>
      <c r="K15" s="79"/>
      <c r="L15" s="79"/>
      <c r="M15" s="94"/>
      <c r="N15" s="94"/>
      <c r="O15" s="94"/>
      <c r="P15" s="94"/>
    </row>
    <row r="16" spans="2:24" ht="11.25" customHeight="1">
      <c r="C16" s="111" t="s">
        <v>74</v>
      </c>
      <c r="D16" s="151"/>
      <c r="E16" s="192"/>
      <c r="F16" s="192"/>
      <c r="G16" s="192"/>
      <c r="H16" s="192">
        <f>$G$12*$G$8*(1+'Input | Inflation and Disc Rate'!I13)</f>
        <v>0.19279736591892147</v>
      </c>
      <c r="I16" s="144">
        <f>$G$12*$G$8*(1+'Input | Inflation and Disc Rate'!I13)*(1+'Input | Inflation and Disc Rate'!J13)</f>
        <v>0.2082211551924352</v>
      </c>
      <c r="J16" s="95"/>
      <c r="K16" s="79"/>
      <c r="L16" s="79"/>
      <c r="M16" s="94"/>
      <c r="N16" s="94"/>
      <c r="O16" s="94"/>
      <c r="P16" s="94"/>
    </row>
    <row r="17" spans="3:16" ht="11.25" customHeight="1">
      <c r="C17" s="111" t="s">
        <v>75</v>
      </c>
      <c r="D17" s="151"/>
      <c r="E17" s="192"/>
      <c r="F17" s="192"/>
      <c r="G17" s="192"/>
      <c r="H17" s="141"/>
      <c r="I17" s="144">
        <f>$H$12*$H$8*(1+'Input | Inflation and Disc Rate'!J13)</f>
        <v>3.9415529904765932E-3</v>
      </c>
      <c r="J17" s="95"/>
      <c r="K17" s="79"/>
      <c r="L17" s="79"/>
      <c r="M17" s="94"/>
      <c r="N17" s="94"/>
      <c r="O17" s="94"/>
      <c r="P17" s="94"/>
    </row>
    <row r="18" spans="3:16" ht="11.25" customHeight="1">
      <c r="C18" s="111" t="s">
        <v>108</v>
      </c>
      <c r="D18" s="151"/>
      <c r="E18" s="192"/>
      <c r="F18" s="192"/>
      <c r="G18" s="192"/>
      <c r="H18" s="192"/>
      <c r="I18" s="144"/>
      <c r="J18" s="95"/>
      <c r="K18" s="79"/>
      <c r="L18" s="79"/>
      <c r="M18" s="94"/>
      <c r="N18" s="94"/>
      <c r="O18" s="94"/>
      <c r="P18" s="94"/>
    </row>
    <row r="19" spans="3:16" s="19" customFormat="1" ht="11.25" customHeight="1">
      <c r="C19" s="112" t="s">
        <v>18</v>
      </c>
      <c r="D19" s="190">
        <f t="shared" ref="D19:E19" si="3">SUM(D13:D17)</f>
        <v>0</v>
      </c>
      <c r="E19" s="193">
        <f t="shared" si="3"/>
        <v>-6.136864625897509E-2</v>
      </c>
      <c r="F19" s="193">
        <f t="shared" ref="F19:G19" si="4">SUM(F13:F17)</f>
        <v>0.76426852596030359</v>
      </c>
      <c r="G19" s="193">
        <f t="shared" si="4"/>
        <v>0.8004958782845949</v>
      </c>
      <c r="H19" s="145">
        <f t="shared" ref="H19:I19" si="5">SUM(H13:H17)</f>
        <v>1.0213105999434773</v>
      </c>
      <c r="I19" s="146">
        <f t="shared" si="5"/>
        <v>1.1069570009294318</v>
      </c>
      <c r="J19" s="95"/>
      <c r="K19" s="79"/>
      <c r="L19" s="79"/>
      <c r="M19" s="94"/>
      <c r="N19" s="94"/>
      <c r="O19" s="94"/>
      <c r="P19" s="94"/>
    </row>
    <row r="20" spans="3:16" ht="11.25" customHeight="1">
      <c r="C20" s="113" t="s">
        <v>94</v>
      </c>
      <c r="D20" s="195">
        <f t="shared" ref="D20:G20" si="6">E20*(1+E$9)</f>
        <v>1.3644494552395878</v>
      </c>
      <c r="E20" s="193">
        <f t="shared" si="6"/>
        <v>1.3033862394974582</v>
      </c>
      <c r="F20" s="193">
        <f t="shared" si="6"/>
        <v>1.2590050706392109</v>
      </c>
      <c r="G20" s="193">
        <f t="shared" si="6"/>
        <v>1.1869549747405819</v>
      </c>
      <c r="H20" s="145">
        <f>I20*(1+I$9)</f>
        <v>1.0730744164182497</v>
      </c>
      <c r="I20" s="147">
        <v>1</v>
      </c>
      <c r="J20" s="95"/>
      <c r="K20" s="79"/>
      <c r="L20" s="79"/>
      <c r="M20" s="95"/>
      <c r="N20" s="95"/>
      <c r="O20" s="95"/>
      <c r="P20" s="95"/>
    </row>
    <row r="21" spans="3:16" s="19" customFormat="1" ht="11.25" customHeight="1">
      <c r="C21" s="111" t="s">
        <v>19</v>
      </c>
      <c r="D21" s="196">
        <f t="shared" ref="D21" si="7">D12*D20</f>
        <v>-2.3841413020576465</v>
      </c>
      <c r="E21" s="192">
        <f>E12*E20</f>
        <v>37.88382081613635</v>
      </c>
      <c r="F21" s="192">
        <f t="shared" ref="F21:G21" si="8">F12*F20</f>
        <v>1.4009956339783634</v>
      </c>
      <c r="G21" s="192">
        <f t="shared" si="8"/>
        <v>8.9037868858040365</v>
      </c>
      <c r="H21" s="141">
        <f t="shared" ref="H21:I21" si="9">H12*H20</f>
        <v>0.16189469193693951</v>
      </c>
      <c r="I21" s="144">
        <f t="shared" si="9"/>
        <v>-1.1549265508920143</v>
      </c>
      <c r="J21" s="95"/>
      <c r="K21" s="79"/>
      <c r="L21" s="79"/>
      <c r="M21" s="95"/>
      <c r="N21" s="95"/>
      <c r="O21" s="95"/>
      <c r="P21" s="95"/>
    </row>
    <row r="22" spans="3:16" s="19" customFormat="1" ht="11.25" customHeight="1">
      <c r="C22" s="112" t="s">
        <v>20</v>
      </c>
      <c r="D22" s="190">
        <f t="shared" ref="D22:E22" si="10">D19*D20</f>
        <v>0</v>
      </c>
      <c r="E22" s="193">
        <f t="shared" si="10"/>
        <v>-7.9987049070535304E-2</v>
      </c>
      <c r="F22" s="193">
        <f t="shared" ref="F22:G22" si="11">F19*F20</f>
        <v>0.96221794951397754</v>
      </c>
      <c r="G22" s="193">
        <f t="shared" si="11"/>
        <v>0.95015256498923129</v>
      </c>
      <c r="H22" s="145">
        <f t="shared" ref="H22:I22" si="12">H19*H20</f>
        <v>1.0959422760161195</v>
      </c>
      <c r="I22" s="146">
        <f t="shared" si="12"/>
        <v>1.1069570009294318</v>
      </c>
      <c r="J22" s="95"/>
      <c r="K22" s="79"/>
      <c r="L22" s="79"/>
      <c r="M22" s="95"/>
      <c r="N22" s="95"/>
      <c r="O22" s="95"/>
      <c r="P22" s="95"/>
    </row>
    <row r="23" spans="3:16" s="79" customFormat="1" ht="11.25" customHeight="1"/>
    <row r="24" spans="3:16" ht="11.25" customHeight="1">
      <c r="C24" s="116" t="s">
        <v>11</v>
      </c>
      <c r="D24" s="117"/>
      <c r="E24" s="117"/>
      <c r="F24" s="118"/>
      <c r="G24" s="118"/>
      <c r="H24" s="118"/>
      <c r="I24" s="118"/>
      <c r="J24" s="95"/>
      <c r="K24" s="79"/>
      <c r="L24" s="79"/>
      <c r="M24" s="95"/>
      <c r="N24" s="95"/>
      <c r="O24" s="95"/>
      <c r="P24" s="95"/>
    </row>
    <row r="25" spans="3:16" ht="11.25" customHeight="1">
      <c r="C25" s="110" t="s">
        <v>8</v>
      </c>
      <c r="D25" s="173"/>
      <c r="E25" s="173" t="str">
        <f>'Input | General'!$D$18</f>
        <v>2024-25</v>
      </c>
      <c r="F25" s="173" t="str">
        <f>'Input | General'!$E$18</f>
        <v>2025–26</v>
      </c>
      <c r="G25" s="173" t="str">
        <f>'Input | General'!$F$18</f>
        <v>2026–27</v>
      </c>
      <c r="H25" s="173" t="str">
        <f>'Input | General'!$G$18</f>
        <v>2027–28</v>
      </c>
      <c r="I25" s="174" t="str">
        <f>'Input | General'!$H$18</f>
        <v>2028–29</v>
      </c>
      <c r="J25" s="95"/>
      <c r="K25" s="79"/>
      <c r="L25" s="79"/>
      <c r="M25" s="95"/>
      <c r="N25" s="95"/>
      <c r="O25" s="95"/>
      <c r="P25" s="95"/>
    </row>
    <row r="26" spans="3:16" ht="11.25" customHeight="1">
      <c r="C26" s="114" t="s">
        <v>70</v>
      </c>
      <c r="D26" s="161">
        <f>'Input | Inflation and Disc Rate'!K$23</f>
        <v>7.3074416418249744E-2</v>
      </c>
      <c r="E26" s="161">
        <f>'Input | Inflation and Disc Rate'!L$23</f>
        <v>7.3885200000000095E-2</v>
      </c>
      <c r="F26" s="161">
        <f>'Input | Inflation and Disc Rate'!M$23</f>
        <v>6.9505149999999905E-2</v>
      </c>
      <c r="G26" s="161">
        <f>'Input | Inflation and Disc Rate'!N$23</f>
        <v>6.5125100000000158E-2</v>
      </c>
      <c r="H26" s="161">
        <f>'Input | Inflation and Disc Rate'!O$23</f>
        <v>6.0745049999999967E-2</v>
      </c>
      <c r="I26" s="162">
        <f>'Input | Inflation and Disc Rate'!P$23</f>
        <v>5.6364999999999776E-2</v>
      </c>
      <c r="J26" s="95"/>
      <c r="K26" s="79"/>
      <c r="L26" s="79"/>
      <c r="M26" s="95"/>
      <c r="N26" s="95"/>
      <c r="O26" s="95"/>
      <c r="P26" s="95"/>
    </row>
    <row r="27" spans="3:16" ht="11.25" customHeight="1">
      <c r="C27" s="115" t="s">
        <v>13</v>
      </c>
      <c r="D27" s="159">
        <f>'Input | Reported Capex'!H31</f>
        <v>0</v>
      </c>
      <c r="E27" s="159">
        <f>'Input | Reported Capex'!I31</f>
        <v>0</v>
      </c>
      <c r="F27" s="159">
        <f>'Input | Reported Capex'!J31</f>
        <v>0</v>
      </c>
      <c r="G27" s="159">
        <f>'Input | Reported Capex'!K31</f>
        <v>0</v>
      </c>
      <c r="H27" s="159">
        <f>'Input | Reported Capex'!L31</f>
        <v>0</v>
      </c>
      <c r="I27" s="160">
        <f>'Input | Reported Capex'!M31</f>
        <v>0</v>
      </c>
      <c r="J27" s="95"/>
      <c r="K27" s="79"/>
      <c r="L27" s="79"/>
      <c r="M27" s="95"/>
      <c r="N27" s="95"/>
      <c r="O27" s="95"/>
      <c r="P27" s="95"/>
    </row>
    <row r="28" spans="3:16" ht="11.25" customHeight="1">
      <c r="C28" s="115" t="s">
        <v>15</v>
      </c>
      <c r="D28" s="122">
        <f>1/(1+D26)^(0.5)</f>
        <v>0.96535061944204437</v>
      </c>
      <c r="E28" s="122">
        <f>1/((1+E26)^(0.5)*(1+D26))</f>
        <v>0.8992723299460933</v>
      </c>
      <c r="F28" s="122">
        <f>1/((1+F26)^(0.5)*(1+E26)*(1+D26))</f>
        <v>0.83911379708454126</v>
      </c>
      <c r="G28" s="122">
        <f>1/((1+G26)^(0.5)*(1+F26)*(1+E26)*(1+D26))</f>
        <v>0.7861928908293272</v>
      </c>
      <c r="H28" s="122">
        <f>1/((1+H26)^(0.5)*(1+G26)*(1+F26)*(1+E26)*(1+D26))</f>
        <v>0.73964494920430313</v>
      </c>
      <c r="I28" s="123">
        <f>1/((1+I26)^(0.5)*(1+H26)*(1+G26)*(1+F26)*(1+E26)*(1+D26))</f>
        <v>0.69873224790539878</v>
      </c>
      <c r="J28" s="95"/>
      <c r="K28" s="79"/>
      <c r="L28" s="79"/>
      <c r="M28" s="95"/>
      <c r="N28" s="95"/>
      <c r="O28" s="95"/>
      <c r="P28" s="95"/>
    </row>
    <row r="29" spans="3:16" ht="11.25" customHeight="1">
      <c r="C29" s="110" t="s">
        <v>17</v>
      </c>
      <c r="D29" s="89">
        <f>D27*D28</f>
        <v>0</v>
      </c>
      <c r="E29" s="89">
        <f>E27*E28</f>
        <v>0</v>
      </c>
      <c r="F29" s="89">
        <f t="shared" ref="F29:H29" si="13">F27*F28</f>
        <v>0</v>
      </c>
      <c r="G29" s="89">
        <f t="shared" si="13"/>
        <v>0</v>
      </c>
      <c r="H29" s="89">
        <f t="shared" si="13"/>
        <v>0</v>
      </c>
      <c r="I29" s="90">
        <f>I27*I28</f>
        <v>0</v>
      </c>
      <c r="J29" s="95"/>
      <c r="K29" s="79"/>
      <c r="L29" s="79"/>
      <c r="M29" s="95"/>
      <c r="N29" s="95"/>
      <c r="O29" s="95"/>
      <c r="P29" s="95"/>
    </row>
    <row r="30" spans="3:16" ht="11.25" customHeight="1">
      <c r="C30" s="94"/>
      <c r="D30" s="94"/>
      <c r="E30" s="96"/>
      <c r="F30" s="96"/>
      <c r="G30" s="96"/>
      <c r="H30" s="96"/>
      <c r="I30" s="96"/>
      <c r="J30" s="95"/>
      <c r="K30" s="79"/>
      <c r="L30" s="79"/>
      <c r="M30" s="95"/>
      <c r="N30" s="95"/>
      <c r="O30" s="95"/>
      <c r="P30" s="95"/>
    </row>
    <row r="31" spans="3:16" ht="11.25" customHeight="1">
      <c r="C31" s="109" t="s">
        <v>21</v>
      </c>
      <c r="D31" s="119"/>
      <c r="F31" s="94"/>
      <c r="G31" s="94"/>
      <c r="H31" s="94"/>
      <c r="I31" s="94"/>
      <c r="J31" s="95"/>
      <c r="K31" s="79"/>
      <c r="L31" s="79"/>
      <c r="M31" s="95"/>
      <c r="N31" s="95"/>
      <c r="O31" s="95"/>
      <c r="P31" s="95"/>
    </row>
    <row r="32" spans="3:16" ht="11.25" customHeight="1">
      <c r="C32" s="111" t="s">
        <v>22</v>
      </c>
      <c r="D32" s="100">
        <f>SUM(D21:I21)-SUM(E29:I29)</f>
        <v>44.811430174906022</v>
      </c>
      <c r="F32" s="94"/>
      <c r="G32" s="94"/>
      <c r="H32" s="94"/>
      <c r="I32" s="94"/>
      <c r="J32" s="95"/>
      <c r="K32" s="79"/>
      <c r="L32" s="79"/>
      <c r="M32" s="95"/>
      <c r="N32" s="95"/>
      <c r="O32" s="95"/>
      <c r="P32" s="95"/>
    </row>
    <row r="33" spans="1:16383" ht="11.25" customHeight="1">
      <c r="C33" s="111" t="s">
        <v>23</v>
      </c>
      <c r="D33" s="99">
        <v>0.3</v>
      </c>
      <c r="F33" s="94"/>
      <c r="G33" s="96"/>
      <c r="H33" s="94"/>
      <c r="I33" s="94"/>
      <c r="J33" s="95"/>
      <c r="K33" s="79"/>
      <c r="L33" s="79"/>
      <c r="M33" s="95"/>
      <c r="N33" s="95"/>
      <c r="O33" s="95"/>
      <c r="P33" s="95"/>
    </row>
    <row r="34" spans="1:16383" ht="11.25" customHeight="1">
      <c r="C34" s="111" t="s">
        <v>24</v>
      </c>
      <c r="D34" s="100">
        <f>(1-D33)*D32</f>
        <v>31.368001122434212</v>
      </c>
      <c r="F34" s="94"/>
      <c r="G34" s="94"/>
      <c r="H34" s="94"/>
      <c r="I34" s="94"/>
      <c r="J34" s="95"/>
      <c r="K34" s="79"/>
      <c r="L34" s="79"/>
      <c r="M34" s="95"/>
      <c r="N34" s="95"/>
      <c r="O34" s="95"/>
      <c r="P34" s="95"/>
    </row>
    <row r="35" spans="1:16383" ht="11.25" customHeight="1">
      <c r="C35" s="111" t="s">
        <v>25</v>
      </c>
      <c r="D35" s="100">
        <f>D33*D32</f>
        <v>13.443429052471807</v>
      </c>
      <c r="F35" s="94"/>
      <c r="G35" s="94"/>
      <c r="H35" s="94"/>
      <c r="I35" s="94"/>
      <c r="J35" s="95"/>
      <c r="K35" s="79"/>
      <c r="L35" s="79"/>
      <c r="M35" s="95"/>
      <c r="N35" s="95"/>
      <c r="O35" s="95"/>
      <c r="P35" s="95"/>
    </row>
    <row r="36" spans="1:16383" ht="11.25" customHeight="1">
      <c r="C36" s="111" t="s">
        <v>26</v>
      </c>
      <c r="D36" s="100">
        <f>SUM(E22:I22)</f>
        <v>4.0352827423782252</v>
      </c>
      <c r="F36" s="94"/>
      <c r="G36" s="94"/>
      <c r="H36" s="94"/>
      <c r="I36" s="94"/>
      <c r="J36" s="95"/>
      <c r="K36" s="79"/>
      <c r="L36" s="79"/>
      <c r="M36" s="95"/>
      <c r="N36" s="95"/>
      <c r="O36" s="95"/>
      <c r="P36" s="95"/>
    </row>
    <row r="37" spans="1:16383" ht="11.25" customHeight="1">
      <c r="C37" s="112" t="s">
        <v>27</v>
      </c>
      <c r="D37" s="101">
        <f>D35-D36</f>
        <v>9.4081463100935814</v>
      </c>
      <c r="F37" s="94"/>
      <c r="G37" s="94"/>
      <c r="H37" s="94"/>
      <c r="I37" s="94"/>
      <c r="J37" s="95"/>
      <c r="K37" s="79"/>
      <c r="L37" s="79"/>
      <c r="M37" s="95"/>
      <c r="N37" s="95"/>
      <c r="O37" s="95"/>
      <c r="P37" s="95"/>
    </row>
    <row r="38" spans="1:16383" ht="11.25" customHeight="1">
      <c r="E38" s="25"/>
      <c r="K38" s="2"/>
    </row>
    <row r="39" spans="1:16383" s="8" customFormat="1" ht="12" customHeight="1">
      <c r="B39" s="29" t="s">
        <v>44</v>
      </c>
      <c r="K39" s="23"/>
      <c r="L39" s="23"/>
    </row>
    <row r="40" spans="1:16383" s="26" customFormat="1" ht="11.25" customHeight="1">
      <c r="F40" s="27"/>
      <c r="G40" s="27"/>
      <c r="H40" s="27"/>
      <c r="I40" s="28"/>
      <c r="J40" s="27"/>
    </row>
    <row r="41" spans="1:16383" s="30" customFormat="1" ht="11.25" customHeight="1">
      <c r="C41" s="91"/>
      <c r="D41" s="175" t="str">
        <f>'Input | General'!D18</f>
        <v>2024-25</v>
      </c>
      <c r="E41" s="175" t="str">
        <f>'Input | General'!E18</f>
        <v>2025–26</v>
      </c>
      <c r="F41" s="175" t="str">
        <f>'Input | General'!F18</f>
        <v>2026–27</v>
      </c>
      <c r="G41" s="175" t="str">
        <f>'Input | General'!G18</f>
        <v>2027–28</v>
      </c>
      <c r="H41" s="175" t="str">
        <f>'Input | General'!H18</f>
        <v>2028–29</v>
      </c>
      <c r="J41" s="92"/>
      <c r="K41" s="92"/>
      <c r="L41" s="92"/>
      <c r="M41" s="92"/>
      <c r="N41" s="92"/>
      <c r="O41" s="92"/>
      <c r="P41" s="92"/>
    </row>
    <row r="42" spans="1:16383" s="30" customFormat="1" ht="11.25" customHeight="1">
      <c r="C42" s="98" t="s">
        <v>100</v>
      </c>
      <c r="D42" s="218">
        <f>1/(1+'Input | Inflation and Disc Rate'!L22)</f>
        <v>0.95969289827255277</v>
      </c>
      <c r="E42" s="163">
        <f>D42/(1+'Input | Inflation and Disc Rate'!M22)</f>
        <v>0.92478236403040504</v>
      </c>
      <c r="F42" s="163">
        <f>E42/(1+'Input | Inflation and Disc Rate'!N22)</f>
        <v>0.89480635126309138</v>
      </c>
      <c r="G42" s="163">
        <f>F42/(1+'Input | Inflation and Disc Rate'!O22)</f>
        <v>0.86937707190973168</v>
      </c>
      <c r="H42" s="164">
        <f>G42/(1+'Input | Inflation and Disc Rate'!P22)</f>
        <v>0.84817275308266515</v>
      </c>
      <c r="J42" s="92"/>
      <c r="K42" s="92"/>
      <c r="L42" s="92"/>
      <c r="M42" s="92"/>
      <c r="N42" s="92"/>
      <c r="O42" s="92"/>
      <c r="P42" s="92"/>
    </row>
    <row r="43" spans="1:16383" s="30" customFormat="1" ht="11.25" customHeight="1">
      <c r="C43" s="181" t="str">
        <f>CONCATENATE("CESS Payment Per Year ($", 'Output | Models'!$F$8," million)")</f>
        <v>CESS Payment Per Year ($2023–24 million)</v>
      </c>
      <c r="D43" s="108">
        <f>D37/(SUM(D42:H42))</f>
        <v>2.092172330370818</v>
      </c>
      <c r="E43" s="108">
        <f>D43</f>
        <v>2.092172330370818</v>
      </c>
      <c r="F43" s="108">
        <f t="shared" ref="F43:H43" si="14">E43</f>
        <v>2.092172330370818</v>
      </c>
      <c r="G43" s="108">
        <f t="shared" si="14"/>
        <v>2.092172330370818</v>
      </c>
      <c r="H43" s="142">
        <f t="shared" si="14"/>
        <v>2.092172330370818</v>
      </c>
      <c r="J43" s="92"/>
      <c r="K43" s="92"/>
      <c r="L43" s="92"/>
      <c r="M43" s="92"/>
      <c r="N43" s="92"/>
      <c r="O43" s="92"/>
      <c r="P43" s="92"/>
    </row>
    <row r="44" spans="1:16383" s="79" customFormat="1" ht="11.25" customHeight="1"/>
    <row r="45" spans="1:16383" s="30" customFormat="1" ht="11.25" customHeight="1">
      <c r="C45" s="181" t="str">
        <f>CONCATENATE("Total CESS Payment ($", 'Output | Models'!$F$8," million)")</f>
        <v>Total CESS Payment ($2023–24 million)</v>
      </c>
      <c r="D45" s="150">
        <f>SUM(D43:H43)</f>
        <v>10.46086165185409</v>
      </c>
      <c r="E45" s="70"/>
      <c r="F45" s="70"/>
      <c r="G45" s="70"/>
      <c r="H45" s="70"/>
      <c r="J45" s="92"/>
      <c r="K45" s="92"/>
      <c r="L45" s="92"/>
      <c r="M45" s="92"/>
      <c r="N45" s="92"/>
      <c r="O45" s="92"/>
      <c r="P45" s="92"/>
    </row>
    <row r="46" spans="1:16383" s="30" customFormat="1" ht="11.25" customHeight="1">
      <c r="C46" s="69"/>
      <c r="D46" s="69"/>
      <c r="E46" s="97"/>
      <c r="F46" s="70"/>
      <c r="G46" s="70"/>
      <c r="H46" s="70"/>
      <c r="I46" s="70"/>
      <c r="J46" s="92"/>
      <c r="K46" s="92"/>
      <c r="L46" s="92"/>
      <c r="M46" s="92"/>
      <c r="N46" s="92"/>
      <c r="O46" s="92"/>
      <c r="P46" s="92"/>
    </row>
    <row r="47" spans="1:16383" s="30" customFormat="1" ht="11.25" customHeight="1"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16383" ht="12" customHeight="1">
      <c r="A48" s="29"/>
      <c r="B48" s="29" t="s">
        <v>33</v>
      </c>
      <c r="C48" s="63"/>
      <c r="D48" s="63"/>
      <c r="E48" s="63"/>
      <c r="F48" s="63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  <c r="XFC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425781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42578125" style="51" customWidth="1"/>
    <col min="16" max="17" width="3" style="51" customWidth="1"/>
    <col min="18" max="24" width="9.425781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TasNetworks DX 2024-29 Proposal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46</v>
      </c>
      <c r="L1" s="152" t="s">
        <v>47</v>
      </c>
      <c r="M1" s="156" t="s">
        <v>35</v>
      </c>
      <c r="R1" s="105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25"/>
      <c r="K3" s="225"/>
      <c r="L3" s="225"/>
      <c r="M3" s="42"/>
      <c r="N3" s="225"/>
      <c r="O3" s="225"/>
      <c r="P3" s="225"/>
      <c r="Q3" s="225"/>
      <c r="R3" s="225"/>
      <c r="S3" s="225"/>
      <c r="T3" s="225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55</v>
      </c>
      <c r="C4" s="44"/>
      <c r="D4" s="44"/>
      <c r="E4" s="44"/>
      <c r="F4" s="44"/>
      <c r="G4" s="46"/>
      <c r="H4" s="46"/>
      <c r="I4" s="46"/>
      <c r="J4" s="47" t="s">
        <v>56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51</v>
      </c>
      <c r="F6" s="55" t="s">
        <v>4</v>
      </c>
      <c r="H6" s="55"/>
      <c r="I6" s="55"/>
      <c r="J6" s="176" t="str">
        <f>'Calc | CESS Revenue Increments'!D41</f>
        <v>2024-25</v>
      </c>
      <c r="K6" s="176" t="str">
        <f>'Calc | CESS Revenue Increments'!E41</f>
        <v>2025–26</v>
      </c>
      <c r="L6" s="176" t="str">
        <f>'Calc | CESS Revenue Increments'!F41</f>
        <v>2026–27</v>
      </c>
      <c r="M6" s="176" t="str">
        <f>'Calc | CESS Revenue Increments'!G41</f>
        <v>2027–28</v>
      </c>
      <c r="N6" s="176" t="str">
        <f>'Calc | CESS Revenue Increments'!H41</f>
        <v>2028–29</v>
      </c>
      <c r="O6" s="56" t="s">
        <v>88</v>
      </c>
      <c r="P6" s="133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84</v>
      </c>
      <c r="D8" s="178" t="s">
        <v>57</v>
      </c>
      <c r="E8" s="52" t="s">
        <v>49</v>
      </c>
      <c r="F8" s="177" t="str">
        <f>IF(LEN(J6)&gt;4,CONCATENATE(LEFT(J6,4)-1&amp;"–"&amp;IF(RIGHT(J6,2)="00","99",IF(RIGHT(J6,2)-1&lt;10,"0","")&amp;RIGHT(J6,2)-1)),J6-1)</f>
        <v>2023–24</v>
      </c>
      <c r="H8" s="55"/>
      <c r="I8" s="55"/>
      <c r="J8" s="224">
        <f>'Calc | CESS Revenue Increments'!D43</f>
        <v>2.092172330370818</v>
      </c>
      <c r="K8" s="130">
        <f>'Calc | CESS Revenue Increments'!E43</f>
        <v>2.092172330370818</v>
      </c>
      <c r="L8" s="130">
        <f>'Calc | CESS Revenue Increments'!F43</f>
        <v>2.092172330370818</v>
      </c>
      <c r="M8" s="130">
        <f>'Calc | CESS Revenue Increments'!G43</f>
        <v>2.092172330370818</v>
      </c>
      <c r="N8" s="130">
        <f>'Calc | CESS Revenue Increments'!H43</f>
        <v>2.092172330370818</v>
      </c>
      <c r="O8" s="60">
        <f>SUM(J8:N8)</f>
        <v>10.46086165185409</v>
      </c>
      <c r="P8" s="134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1"/>
      <c r="K10" s="131"/>
      <c r="L10" s="131"/>
      <c r="M10" s="131"/>
      <c r="N10" s="131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33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30"/>
  <sheetViews>
    <sheetView workbookViewId="0"/>
  </sheetViews>
  <sheetFormatPr defaultRowHeight="15"/>
  <cols>
    <col min="2" max="2" width="34.85546875" bestFit="1" customWidth="1"/>
    <col min="3" max="8" width="14.5703125" bestFit="1" customWidth="1"/>
    <col min="9" max="9" width="14.5703125" customWidth="1"/>
    <col min="10" max="10" width="22.85546875" customWidth="1"/>
  </cols>
  <sheetData>
    <row r="1" spans="2:10" ht="15.75" thickBot="1"/>
    <row r="2" spans="2:10" ht="15.75" thickBot="1">
      <c r="B2" s="204" t="s">
        <v>120</v>
      </c>
      <c r="C2" s="205" t="s">
        <v>110</v>
      </c>
      <c r="D2" s="206" t="s">
        <v>111</v>
      </c>
      <c r="E2" s="206" t="s">
        <v>112</v>
      </c>
      <c r="F2" s="206" t="s">
        <v>113</v>
      </c>
      <c r="G2" s="206" t="s">
        <v>114</v>
      </c>
      <c r="H2" s="205" t="s">
        <v>115</v>
      </c>
      <c r="I2" s="205" t="s">
        <v>88</v>
      </c>
      <c r="J2" s="205" t="s">
        <v>116</v>
      </c>
    </row>
    <row r="3" spans="2:10">
      <c r="B3" s="207" t="s">
        <v>117</v>
      </c>
      <c r="C3" s="208">
        <f>'Input | Reported Capex'!H12</f>
        <v>101.48201154726425</v>
      </c>
      <c r="D3" s="209">
        <f>'Input | Reported Capex'!I12*'Input | Inflation and Disc Rate'!G10</f>
        <v>144.09289465585496</v>
      </c>
      <c r="E3" s="209">
        <f>'Input | Reported Capex'!J12*'Input | Inflation and Disc Rate'!H10</f>
        <v>135.18267942639366</v>
      </c>
      <c r="F3" s="209">
        <f>'Input | Reported Capex'!K12*'Input | Inflation and Disc Rate'!I10</f>
        <v>127.09785275484171</v>
      </c>
      <c r="G3" s="209">
        <f>'Input | Reported Capex'!L12*'Input | Inflation and Disc Rate'!J10</f>
        <v>146.77260766904431</v>
      </c>
      <c r="H3" s="216">
        <f>'Input | Reported Capex'!M12*'Input | Inflation and Disc Rate'!K10</f>
        <v>158.42688373995938</v>
      </c>
      <c r="I3" s="208">
        <f>SUM(C3:H3)</f>
        <v>813.05492979335827</v>
      </c>
      <c r="J3" s="210"/>
    </row>
    <row r="4" spans="2:10" ht="15.75" thickBot="1">
      <c r="B4" s="207" t="s">
        <v>118</v>
      </c>
      <c r="C4" s="211">
        <f>'Input | Reported Capex'!H23</f>
        <v>106.04069786038956</v>
      </c>
      <c r="D4" s="212">
        <f>'Input | Reported Capex'!I23</f>
        <v>114.3770563611069</v>
      </c>
      <c r="E4" s="212">
        <f>'Input | Reported Capex'!J23</f>
        <v>133.51105558795615</v>
      </c>
      <c r="F4" s="212">
        <f>'Input | Reported Capex'!K23</f>
        <v>117.64681033129656</v>
      </c>
      <c r="G4" s="212">
        <f>'Input | Reported Capex'!L23</f>
        <v>141.08855757427585</v>
      </c>
      <c r="H4" s="211">
        <f>'Input | Reported Capex'!M23</f>
        <v>155.94506060698268</v>
      </c>
      <c r="I4" s="208">
        <f>SUM(C4:H4)</f>
        <v>768.60923832200774</v>
      </c>
      <c r="J4" s="210"/>
    </row>
    <row r="5" spans="2:10" ht="15.75" thickBot="1">
      <c r="B5" s="213" t="s">
        <v>121</v>
      </c>
      <c r="C5" s="221">
        <f t="shared" ref="C5:H5" si="0">C3-C4</f>
        <v>-4.5586863131253068</v>
      </c>
      <c r="D5" s="221">
        <f t="shared" si="0"/>
        <v>29.715838294748067</v>
      </c>
      <c r="E5" s="221">
        <f t="shared" si="0"/>
        <v>1.6716238384375117</v>
      </c>
      <c r="F5" s="221">
        <f t="shared" si="0"/>
        <v>9.4510424235451467</v>
      </c>
      <c r="G5" s="221">
        <f t="shared" si="0"/>
        <v>5.6840500947684518</v>
      </c>
      <c r="H5" s="222">
        <f t="shared" si="0"/>
        <v>2.4818231329767002</v>
      </c>
      <c r="I5" s="222">
        <f>I3-I4</f>
        <v>44.445691471350528</v>
      </c>
      <c r="J5" s="223"/>
    </row>
    <row r="6" spans="2:10" ht="15.75" thickBot="1">
      <c r="B6" s="213" t="s">
        <v>119</v>
      </c>
      <c r="C6" s="215"/>
      <c r="D6" s="215"/>
      <c r="E6" s="215"/>
      <c r="F6" s="215"/>
      <c r="G6" s="215"/>
      <c r="H6" s="214"/>
      <c r="I6" s="223"/>
      <c r="J6" s="223">
        <f>'Calc | CESS Revenue Increments'!D45</f>
        <v>10.46086165185409</v>
      </c>
    </row>
    <row r="8" spans="2:10">
      <c r="D8" s="202"/>
      <c r="E8" s="202"/>
      <c r="F8" s="202"/>
      <c r="J8" s="203"/>
    </row>
    <row r="9" spans="2:10">
      <c r="F9" s="202"/>
    </row>
    <row r="11" spans="2:10">
      <c r="D11" s="217"/>
      <c r="F11" s="202"/>
    </row>
    <row r="12" spans="2:10">
      <c r="F12" s="202"/>
      <c r="G12" s="202"/>
      <c r="H12" s="202"/>
    </row>
    <row r="13" spans="2:10" hidden="1">
      <c r="F13" s="202"/>
    </row>
    <row r="14" spans="2:10" hidden="1">
      <c r="B14" t="s">
        <v>122</v>
      </c>
    </row>
    <row r="15" spans="2:10" ht="15.75" hidden="1" thickBot="1">
      <c r="B15" s="204" t="s">
        <v>120</v>
      </c>
      <c r="C15" s="205" t="s">
        <v>110</v>
      </c>
      <c r="D15" s="206" t="s">
        <v>111</v>
      </c>
      <c r="E15" s="206" t="s">
        <v>112</v>
      </c>
      <c r="F15" s="206" t="s">
        <v>113</v>
      </c>
      <c r="G15" s="206" t="s">
        <v>114</v>
      </c>
      <c r="H15" s="205" t="s">
        <v>115</v>
      </c>
      <c r="I15" s="205" t="s">
        <v>88</v>
      </c>
      <c r="J15" s="205" t="s">
        <v>116</v>
      </c>
    </row>
    <row r="16" spans="2:10" hidden="1">
      <c r="B16" s="207" t="s">
        <v>117</v>
      </c>
      <c r="C16" s="208">
        <v>101.48201154726425</v>
      </c>
      <c r="D16" s="209">
        <v>144.09289465585496</v>
      </c>
      <c r="E16" s="209">
        <v>136.496039489499</v>
      </c>
      <c r="F16" s="209">
        <v>125.05997781514317</v>
      </c>
      <c r="G16" s="209">
        <v>135.05876135854044</v>
      </c>
      <c r="H16" s="216">
        <v>141.32727735108557</v>
      </c>
      <c r="I16" s="208">
        <v>783.51696221738734</v>
      </c>
      <c r="J16" s="210"/>
    </row>
    <row r="17" spans="2:10" ht="15.75" hidden="1" thickBot="1">
      <c r="B17" s="207" t="s">
        <v>118</v>
      </c>
      <c r="C17" s="211">
        <v>106.04069786038956</v>
      </c>
      <c r="D17" s="212">
        <v>114.37705636110692</v>
      </c>
      <c r="E17" s="212">
        <v>146.86057547244124</v>
      </c>
      <c r="F17" s="212">
        <v>125.05997781514317</v>
      </c>
      <c r="G17" s="212">
        <v>135.05876135854044</v>
      </c>
      <c r="H17" s="211">
        <v>141.32727735108557</v>
      </c>
      <c r="I17" s="208">
        <v>768.72434621870684</v>
      </c>
      <c r="J17" s="210"/>
    </row>
    <row r="18" spans="2:10" ht="15.75" hidden="1" thickBot="1">
      <c r="B18" s="213" t="s">
        <v>121</v>
      </c>
      <c r="C18" s="221">
        <v>-4.5586863131253068</v>
      </c>
      <c r="D18" s="221">
        <v>29.715838294748039</v>
      </c>
      <c r="E18" s="221">
        <v>-10.364535982942243</v>
      </c>
      <c r="F18" s="221">
        <v>0</v>
      </c>
      <c r="G18" s="221">
        <v>0</v>
      </c>
      <c r="H18" s="222">
        <v>0</v>
      </c>
      <c r="I18" s="222">
        <v>14.792615998680503</v>
      </c>
      <c r="J18" s="223"/>
    </row>
    <row r="19" spans="2:10" ht="15.75" hidden="1" thickBot="1">
      <c r="B19" s="213" t="s">
        <v>119</v>
      </c>
      <c r="C19" s="215"/>
      <c r="D19" s="215"/>
      <c r="E19" s="215"/>
      <c r="F19" s="215"/>
      <c r="G19" s="215"/>
      <c r="H19" s="214"/>
      <c r="I19" s="223"/>
      <c r="J19" s="223">
        <v>2.9329728222035953</v>
      </c>
    </row>
    <row r="20" spans="2:10" hidden="1"/>
    <row r="21" spans="2:10" hidden="1">
      <c r="B21" s="220" t="s">
        <v>123</v>
      </c>
    </row>
    <row r="22" spans="2:10" ht="15.75" hidden="1" thickBot="1">
      <c r="B22" s="204" t="s">
        <v>120</v>
      </c>
      <c r="C22" s="205" t="s">
        <v>110</v>
      </c>
      <c r="D22" s="206" t="s">
        <v>111</v>
      </c>
      <c r="E22" s="206" t="s">
        <v>112</v>
      </c>
      <c r="F22" s="206" t="s">
        <v>113</v>
      </c>
      <c r="G22" s="206" t="s">
        <v>114</v>
      </c>
      <c r="H22" s="205" t="s">
        <v>115</v>
      </c>
      <c r="I22" s="205" t="s">
        <v>88</v>
      </c>
      <c r="J22" s="205" t="s">
        <v>116</v>
      </c>
    </row>
    <row r="23" spans="2:10" hidden="1">
      <c r="B23" s="207" t="s">
        <v>117</v>
      </c>
      <c r="C23" s="208">
        <v>101.48201154726425</v>
      </c>
      <c r="D23" s="209">
        <v>144.09289465585496</v>
      </c>
      <c r="E23" s="209">
        <v>137.27928475674037</v>
      </c>
      <c r="F23" s="209">
        <v>127.72833834654271</v>
      </c>
      <c r="G23" s="209">
        <v>139.88648090547184</v>
      </c>
      <c r="H23" s="216">
        <v>147.71288271020967</v>
      </c>
      <c r="I23" s="208">
        <v>798.18189292208376</v>
      </c>
      <c r="J23" s="210"/>
    </row>
    <row r="24" spans="2:10" ht="15.75" hidden="1" thickBot="1">
      <c r="B24" s="207" t="s">
        <v>118</v>
      </c>
      <c r="C24" s="211">
        <v>106.04069786038956</v>
      </c>
      <c r="D24" s="212">
        <v>114.37705636110692</v>
      </c>
      <c r="E24" s="212">
        <v>147.82807041843799</v>
      </c>
      <c r="F24" s="212">
        <v>127.72833834654271</v>
      </c>
      <c r="G24" s="212">
        <v>139.88648090547193</v>
      </c>
      <c r="H24" s="211">
        <v>147.71288271020967</v>
      </c>
      <c r="I24" s="208">
        <v>783.57352660215872</v>
      </c>
      <c r="J24" s="210"/>
    </row>
    <row r="25" spans="2:10" ht="15.75" hidden="1" thickBot="1">
      <c r="B25" s="213" t="s">
        <v>121</v>
      </c>
      <c r="C25" s="221">
        <v>-4.5586863131253068</v>
      </c>
      <c r="D25" s="221">
        <v>29.715838294748039</v>
      </c>
      <c r="E25" s="221">
        <v>-10.548785661697622</v>
      </c>
      <c r="F25" s="221">
        <v>0</v>
      </c>
      <c r="G25" s="221">
        <v>0</v>
      </c>
      <c r="H25" s="222">
        <v>0</v>
      </c>
      <c r="I25" s="222">
        <v>14.60836631992504</v>
      </c>
      <c r="J25" s="223"/>
    </row>
    <row r="26" spans="2:10" ht="15.75" hidden="1" thickBot="1">
      <c r="B26" s="213" t="s">
        <v>119</v>
      </c>
      <c r="C26" s="215"/>
      <c r="D26" s="215"/>
      <c r="E26" s="215"/>
      <c r="F26" s="215"/>
      <c r="G26" s="215"/>
      <c r="H26" s="214"/>
      <c r="I26" s="223"/>
      <c r="J26" s="223">
        <v>2.1125128484188287</v>
      </c>
    </row>
    <row r="27" spans="2:10" hidden="1"/>
    <row r="28" spans="2:10" hidden="1"/>
    <row r="29" spans="2:10" hidden="1"/>
    <row r="30" spans="2:10" hidden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J10"/>
  <sheetViews>
    <sheetView workbookViewId="0"/>
  </sheetViews>
  <sheetFormatPr defaultRowHeight="15"/>
  <sheetData>
    <row r="3" spans="4:10">
      <c r="D3">
        <v>-14.8</v>
      </c>
      <c r="E3">
        <v>154.59</v>
      </c>
      <c r="F3">
        <v>144.97999999999999</v>
      </c>
      <c r="G3">
        <v>136.82</v>
      </c>
    </row>
    <row r="4" spans="4:10">
      <c r="E4">
        <v>132.81</v>
      </c>
      <c r="F4">
        <v>154.88999999999999</v>
      </c>
      <c r="G4">
        <v>133.9</v>
      </c>
    </row>
    <row r="5" spans="4:10">
      <c r="D5">
        <f t="shared" ref="D5" si="0">D3-D4</f>
        <v>-14.8</v>
      </c>
      <c r="E5">
        <f>E3-E4</f>
        <v>21.78</v>
      </c>
      <c r="F5">
        <f>F3-F4</f>
        <v>-9.9099999999999966</v>
      </c>
      <c r="G5">
        <f>G3-G4</f>
        <v>2.9199999999999875</v>
      </c>
      <c r="J5">
        <f>SUM(D5:I5)</f>
        <v>-1.0000000000008669E-2</v>
      </c>
    </row>
    <row r="8" spans="4:10">
      <c r="D8">
        <v>-14.8</v>
      </c>
      <c r="E8">
        <v>154.59</v>
      </c>
      <c r="F8">
        <v>144.97999999999999</v>
      </c>
      <c r="G8">
        <v>136.82</v>
      </c>
    </row>
    <row r="9" spans="4:10">
      <c r="E9" s="217">
        <f>'Input | Reported Capex'!I18</f>
        <v>132.06448712820415</v>
      </c>
      <c r="F9">
        <v>154.88999999999999</v>
      </c>
      <c r="G9">
        <v>133.9</v>
      </c>
    </row>
    <row r="10" spans="4:10">
      <c r="D10">
        <f t="shared" ref="D10" si="1">D8-D9</f>
        <v>-14.8</v>
      </c>
      <c r="E10">
        <f>E8-E9</f>
        <v>22.525512871795854</v>
      </c>
      <c r="F10">
        <f>F8-F9</f>
        <v>-9.9099999999999966</v>
      </c>
      <c r="G10">
        <f>G8-G9</f>
        <v>2.9199999999999875</v>
      </c>
      <c r="J10">
        <f>SUM(D10:I10)</f>
        <v>0.73551287179584435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Groups xmlns="8f493e50-f4fa-4672-bec5-6587e791f720" xsi:nil="true"/>
    <TaxCatchAll xmlns="8f493e50-f4fa-4672-bec5-6587e791f720">
      <Value>59</Value>
      <Value>16</Value>
    </TaxCatchAll>
    <Person_x0020_or_x0020_Group xmlns="cdf0dde9-ebef-4e0b-9cde-c91850d92f2d">
      <UserInfo>
        <DisplayName/>
        <AccountId xsi:nil="true"/>
        <AccountType/>
      </UserInfo>
    </Person_x0020_or_x0020_Group>
    <Published_x0020_Externally xmlns="8f493e50-f4fa-4672-bec5-6587e791f720">Yes</Published_x0020_Externally>
    <Document_x0020_Category xmlns="8f493e50-f4fa-4672-bec5-6587e791f720">Submission</Document_x0020_Category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Final</Document_x0020_Status>
    <Confidential1 xmlns="8f493e50-f4fa-4672-bec5-6587e791f720">No</Confidential1>
    <Attachment_x0020_ID xmlns="8f493e50-f4fa-4672-bec5-6587e791f720" xsi:nil="true"/>
    <Record_x0020_Number xmlns="8f493e50-f4fa-4672-bec5-6587e791f720">R0002366957</Record_x0020_Number>
    <d515513357cb4f278bf18cadf524fc2b xmlns="8f493e50-f4fa-4672-bec5-6587e791f720">
      <Terms xmlns="http://schemas.microsoft.com/office/infopath/2007/PartnerControls"/>
    </d515513357cb4f278bf18cadf524fc2b>
  </documentManagement>
</p:properties>
</file>

<file path=customXml/itemProps1.xml><?xml version="1.0" encoding="utf-8"?>
<ds:datastoreItem xmlns:ds="http://schemas.openxmlformats.org/officeDocument/2006/customXml" ds:itemID="{782A956A-4957-4504-98DF-0C37E110A748}"/>
</file>

<file path=customXml/itemProps2.xml><?xml version="1.0" encoding="utf-8"?>
<ds:datastoreItem xmlns:ds="http://schemas.openxmlformats.org/officeDocument/2006/customXml" ds:itemID="{7F1F62C6-623F-40CC-B42C-A9AF9E69EB91}"/>
</file>

<file path=customXml/itemProps3.xml><?xml version="1.0" encoding="utf-8"?>
<ds:datastoreItem xmlns:ds="http://schemas.openxmlformats.org/officeDocument/2006/customXml" ds:itemID="{2C0F4BD4-6218-4769-88D5-9AB5E099BD94}"/>
</file>

<file path=customXml/itemProps4.xml><?xml version="1.0" encoding="utf-8"?>
<ds:datastoreItem xmlns:ds="http://schemas.openxmlformats.org/officeDocument/2006/customXml" ds:itemID="{2E55788B-59F6-4FED-BE90-B628EBD6F77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Summary</vt:lpstr>
      <vt:lpstr>Overspend recovery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2023-01-19T21:28:36Z</dcterms:created>
  <dcterms:modified xsi:type="dcterms:W3CDTF">2023-01-19T21:28:53Z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{440636e7-291b-425b-bb9e-5a56dca30173}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Determination Category">
    <vt:lpwstr>59;#Models and Pricing Tariffs|2d578944-a888-48cf-9157-a3f07df87eae</vt:lpwstr>
  </property>
  <property fmtid="{D5CDD505-2E9C-101B-9397-08002B2CF9AE}" pid="9" name="Determination Activity">
    <vt:lpwstr>16;#Revenue Proposal|f3980111-814c-44b7-9aa4-fe076fe6d80d</vt:lpwstr>
  </property>
  <property fmtid="{D5CDD505-2E9C-101B-9397-08002B2CF9AE}" pid="10" name="Network">
    <vt:lpwstr/>
  </property>
  <property fmtid="{D5CDD505-2E9C-101B-9397-08002B2CF9AE}" pid="11" name="RecordPoint_RecordNumberSubmitted">
    <vt:lpwstr>R0002366957</vt:lpwstr>
  </property>
  <property fmtid="{D5CDD505-2E9C-101B-9397-08002B2CF9AE}" pid="12" name="RecordPoint_SubmissionCompleted">
    <vt:lpwstr>2023-01-26T11:20:34.5062969+11:00</vt:lpwstr>
  </property>
</Properties>
</file>