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regulatoryzone.tnad.tasnetworks.com.au/reset/reset19/revenueproposal/"/>
    </mc:Choice>
  </mc:AlternateContent>
  <bookViews>
    <workbookView xWindow="-30" yWindow="780" windowWidth="23490" windowHeight="10275" tabRatio="807" activeTab="7"/>
  </bookViews>
  <sheets>
    <sheet name="Index" sheetId="1" r:id="rId1"/>
    <sheet name="Input|General" sheetId="54" r:id="rId2"/>
    <sheet name="Input|Inflation" sheetId="55" r:id="rId3"/>
    <sheet name="Input|Reported opex" sheetId="3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 calcMode="manual"/>
</workbook>
</file>

<file path=xl/calcChain.xml><?xml version="1.0" encoding="utf-8"?>
<calcChain xmlns="http://schemas.openxmlformats.org/spreadsheetml/2006/main">
  <c r="P4" i="44" l="1"/>
  <c r="P11" i="44" s="1"/>
  <c r="P4" i="42"/>
  <c r="P55" i="42" s="1"/>
  <c r="J4" i="2"/>
  <c r="J10" i="2" s="1"/>
  <c r="J23" i="2" s="1"/>
  <c r="L4" i="2"/>
  <c r="L14" i="2" s="1"/>
  <c r="M4" i="2"/>
  <c r="M91" i="2" s="1"/>
  <c r="N4" i="2"/>
  <c r="N14" i="2" s="1"/>
  <c r="O4" i="2"/>
  <c r="O91" i="2" s="1"/>
  <c r="K4" i="42"/>
  <c r="K10" i="42" s="1"/>
  <c r="L4" i="42"/>
  <c r="L10" i="42" s="1"/>
  <c r="L14" i="42" s="1"/>
  <c r="M4" i="42"/>
  <c r="M10" i="42" s="1"/>
  <c r="N4" i="42"/>
  <c r="N10" i="42" s="1"/>
  <c r="M46" i="38"/>
  <c r="O4" i="42"/>
  <c r="O10" i="42" s="1"/>
  <c r="Q4" i="42"/>
  <c r="Q10" i="42" s="1"/>
  <c r="Q24" i="42" s="1"/>
  <c r="R4" i="42"/>
  <c r="R10" i="42" s="1"/>
  <c r="S4" i="42"/>
  <c r="S10" i="42" s="1"/>
  <c r="S33" i="42" s="1"/>
  <c r="Q4" i="44"/>
  <c r="Q11" i="44" s="1"/>
  <c r="R4" i="44"/>
  <c r="R11" i="44" s="1"/>
  <c r="S4" i="44"/>
  <c r="S11" i="44" s="1"/>
  <c r="O4" i="44"/>
  <c r="O11" i="44" s="1"/>
  <c r="F14" i="42"/>
  <c r="F16" i="42"/>
  <c r="F12" i="44"/>
  <c r="E12" i="44"/>
  <c r="F17" i="44"/>
  <c r="E17" i="44"/>
  <c r="P74" i="2"/>
  <c r="R74" i="2"/>
  <c r="S74" i="2"/>
  <c r="T74" i="2"/>
  <c r="S73" i="2"/>
  <c r="R72" i="2"/>
  <c r="S72" i="2"/>
  <c r="Q71" i="2"/>
  <c r="R71" i="2"/>
  <c r="L24" i="38"/>
  <c r="M12" i="2"/>
  <c r="L19" i="2" s="1"/>
  <c r="E54" i="55"/>
  <c r="E58" i="55" s="1"/>
  <c r="O12" i="2" s="1"/>
  <c r="N12" i="2"/>
  <c r="N19" i="2" s="1"/>
  <c r="N28" i="2" s="1"/>
  <c r="P71" i="2"/>
  <c r="O47" i="42"/>
  <c r="P47" i="42"/>
  <c r="Q47" i="42"/>
  <c r="R47" i="42"/>
  <c r="T73" i="2"/>
  <c r="S47" i="42"/>
  <c r="L12" i="2"/>
  <c r="L17" i="2"/>
  <c r="M17" i="2" s="1"/>
  <c r="K12" i="2"/>
  <c r="K16" i="2" s="1"/>
  <c r="J12" i="2"/>
  <c r="E52" i="55"/>
  <c r="E51" i="55"/>
  <c r="S51" i="55" s="1"/>
  <c r="S52" i="55"/>
  <c r="E53" i="55"/>
  <c r="S53" i="55"/>
  <c r="S54" i="55"/>
  <c r="E56" i="55"/>
  <c r="E55" i="55" s="1"/>
  <c r="S55" i="55" s="1"/>
  <c r="F86" i="42"/>
  <c r="F33" i="42"/>
  <c r="F30" i="42"/>
  <c r="F27" i="42"/>
  <c r="F24" i="42"/>
  <c r="E24" i="42"/>
  <c r="F21" i="42"/>
  <c r="C33" i="42"/>
  <c r="C30" i="42"/>
  <c r="C31" i="42" s="1"/>
  <c r="C27" i="42"/>
  <c r="C24" i="42"/>
  <c r="C25" i="42"/>
  <c r="C21" i="42"/>
  <c r="C22" i="42" s="1"/>
  <c r="C34" i="42"/>
  <c r="C28" i="42"/>
  <c r="F34" i="42"/>
  <c r="E34" i="42"/>
  <c r="F31" i="42"/>
  <c r="E31" i="42"/>
  <c r="F28" i="42"/>
  <c r="E28" i="42"/>
  <c r="F25" i="42"/>
  <c r="E25" i="42"/>
  <c r="F22" i="42"/>
  <c r="E22" i="42"/>
  <c r="C76" i="42"/>
  <c r="F80" i="42"/>
  <c r="E80" i="42"/>
  <c r="F78" i="42"/>
  <c r="E78" i="42"/>
  <c r="F77" i="42"/>
  <c r="E77" i="42"/>
  <c r="F76" i="42"/>
  <c r="E76" i="42"/>
  <c r="E56" i="38"/>
  <c r="E33" i="42" s="1"/>
  <c r="E55" i="38"/>
  <c r="E30" i="42" s="1"/>
  <c r="E54" i="38"/>
  <c r="E27" i="42" s="1"/>
  <c r="E53" i="38"/>
  <c r="F33" i="38"/>
  <c r="E33" i="38"/>
  <c r="C65" i="42"/>
  <c r="S47" i="55"/>
  <c r="S43" i="55"/>
  <c r="S44" i="55"/>
  <c r="S45" i="55"/>
  <c r="S46" i="55"/>
  <c r="S48" i="55"/>
  <c r="S50" i="55"/>
  <c r="S49" i="55"/>
  <c r="K4" i="44"/>
  <c r="K11" i="44" s="1"/>
  <c r="K12" i="44" s="1"/>
  <c r="K4" i="53"/>
  <c r="K27" i="53" s="1"/>
  <c r="K4" i="38"/>
  <c r="K29" i="38" s="1"/>
  <c r="S41" i="55"/>
  <c r="S39" i="55"/>
  <c r="S40" i="55"/>
  <c r="S42" i="55"/>
  <c r="F87" i="42"/>
  <c r="E87" i="42"/>
  <c r="F17" i="42"/>
  <c r="F15" i="42"/>
  <c r="F38" i="42"/>
  <c r="F36" i="42"/>
  <c r="M51" i="38"/>
  <c r="L51" i="38"/>
  <c r="K51" i="38"/>
  <c r="J51" i="38"/>
  <c r="E52" i="38"/>
  <c r="E21" i="42" s="1"/>
  <c r="T56" i="2"/>
  <c r="C58" i="42"/>
  <c r="C59" i="42"/>
  <c r="C60" i="42"/>
  <c r="C61" i="42"/>
  <c r="C62" i="42"/>
  <c r="C63" i="42"/>
  <c r="C64" i="42"/>
  <c r="C66" i="42"/>
  <c r="C67" i="42"/>
  <c r="C68" i="42"/>
  <c r="L4" i="44"/>
  <c r="L11" i="44" s="1"/>
  <c r="L12" i="44" s="1"/>
  <c r="M4" i="44"/>
  <c r="M11" i="44" s="1"/>
  <c r="M12" i="44" s="1"/>
  <c r="N4" i="44"/>
  <c r="N11" i="44" s="1"/>
  <c r="N12" i="44" s="1"/>
  <c r="F12" i="42"/>
  <c r="E12" i="42"/>
  <c r="E14" i="42"/>
  <c r="E16" i="42"/>
  <c r="M18" i="2"/>
  <c r="M27" i="2" s="1"/>
  <c r="S4" i="2"/>
  <c r="S34" i="2" s="1"/>
  <c r="R4" i="2"/>
  <c r="R69" i="2" s="1"/>
  <c r="Q4" i="2"/>
  <c r="Q10" i="2" s="1"/>
  <c r="P4" i="2"/>
  <c r="P69" i="2" s="1"/>
  <c r="K18" i="2"/>
  <c r="S33" i="55"/>
  <c r="S34" i="55"/>
  <c r="S35" i="55"/>
  <c r="S36" i="55"/>
  <c r="S37" i="55"/>
  <c r="S38" i="55"/>
  <c r="K4" i="2"/>
  <c r="E38" i="42"/>
  <c r="F19" i="42"/>
  <c r="E36" i="42"/>
  <c r="F13" i="42"/>
  <c r="E13" i="42"/>
  <c r="J4" i="42"/>
  <c r="J42" i="42" s="1"/>
  <c r="E15" i="42"/>
  <c r="E34" i="38"/>
  <c r="F34" i="38"/>
  <c r="E35" i="38"/>
  <c r="F35" i="38"/>
  <c r="E36" i="38"/>
  <c r="F36" i="38"/>
  <c r="E37" i="38"/>
  <c r="F37" i="38"/>
  <c r="E41" i="38"/>
  <c r="F41" i="38"/>
  <c r="E42" i="38"/>
  <c r="F42" i="38"/>
  <c r="E43" i="38"/>
  <c r="F43" i="38"/>
  <c r="E44" i="38"/>
  <c r="F44" i="38"/>
  <c r="E32" i="38"/>
  <c r="F32" i="38"/>
  <c r="E14" i="38"/>
  <c r="E15" i="38"/>
  <c r="E16" i="38"/>
  <c r="E17" i="38"/>
  <c r="E18" i="38"/>
  <c r="E19" i="38"/>
  <c r="E20" i="38"/>
  <c r="E21" i="38"/>
  <c r="E22" i="38"/>
  <c r="E13" i="38"/>
  <c r="E86" i="42"/>
  <c r="J84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70" i="42"/>
  <c r="E19" i="42"/>
  <c r="F58" i="42"/>
  <c r="F59" i="42"/>
  <c r="F60" i="42"/>
  <c r="F61" i="42"/>
  <c r="F62" i="42"/>
  <c r="F63" i="42"/>
  <c r="F64" i="42"/>
  <c r="F65" i="42"/>
  <c r="F66" i="42"/>
  <c r="F67" i="42"/>
  <c r="F68" i="42"/>
  <c r="F57" i="42"/>
  <c r="F70" i="42"/>
  <c r="L27" i="2"/>
  <c r="K10" i="2"/>
  <c r="K23" i="2"/>
  <c r="T4" i="2"/>
  <c r="T45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/>
  <c r="S9" i="54"/>
  <c r="S12" i="54"/>
  <c r="S1" i="38"/>
  <c r="G11" i="16"/>
  <c r="G14" i="16"/>
  <c r="S1" i="44"/>
  <c r="G15" i="16" s="1"/>
  <c r="B1" i="55"/>
  <c r="E12" i="2"/>
  <c r="O4" i="38"/>
  <c r="O10" i="38" s="1"/>
  <c r="P75" i="2"/>
  <c r="P76" i="2"/>
  <c r="O49" i="42"/>
  <c r="J45" i="42"/>
  <c r="J47" i="42"/>
  <c r="J49" i="42"/>
  <c r="J51" i="42" s="1"/>
  <c r="K45" i="42"/>
  <c r="K51" i="42" s="1"/>
  <c r="K47" i="42"/>
  <c r="K49" i="42"/>
  <c r="L45" i="42"/>
  <c r="L51" i="42" s="1"/>
  <c r="L47" i="42"/>
  <c r="L49" i="42"/>
  <c r="M45" i="42"/>
  <c r="M47" i="42"/>
  <c r="M49" i="42"/>
  <c r="N45" i="42"/>
  <c r="N47" i="42"/>
  <c r="N49" i="42"/>
  <c r="P4" i="38"/>
  <c r="P29" i="38" s="1"/>
  <c r="Q4" i="38"/>
  <c r="Q10" i="38" s="1"/>
  <c r="R4" i="38"/>
  <c r="R29" i="38" s="1"/>
  <c r="S4" i="38"/>
  <c r="S29" i="38" s="1"/>
  <c r="M4" i="38"/>
  <c r="M29" i="38" s="1"/>
  <c r="N4" i="38"/>
  <c r="N51" i="38" s="1"/>
  <c r="J4" i="38"/>
  <c r="C57" i="42"/>
  <c r="P49" i="42"/>
  <c r="Q75" i="2"/>
  <c r="R75" i="2"/>
  <c r="S75" i="2"/>
  <c r="T75" i="2"/>
  <c r="Q76" i="2"/>
  <c r="R76" i="2"/>
  <c r="S76" i="2"/>
  <c r="T76" i="2"/>
  <c r="U69" i="2"/>
  <c r="C72" i="2"/>
  <c r="C73" i="2"/>
  <c r="C74" i="2"/>
  <c r="C75" i="2"/>
  <c r="C76" i="2"/>
  <c r="C71" i="2"/>
  <c r="C81" i="2"/>
  <c r="C82" i="2"/>
  <c r="C83" i="2"/>
  <c r="C84" i="2"/>
  <c r="C85" i="2"/>
  <c r="C80" i="2"/>
  <c r="S7" i="54"/>
  <c r="S8" i="54"/>
  <c r="S1" i="54" s="1"/>
  <c r="G10" i="16" s="1"/>
  <c r="S1" i="16" s="1"/>
  <c r="S10" i="54"/>
  <c r="S11" i="54"/>
  <c r="S1" i="53"/>
  <c r="G13" i="16"/>
  <c r="C11" i="16"/>
  <c r="D11" i="16" s="1"/>
  <c r="C12" i="16"/>
  <c r="D12" i="16"/>
  <c r="C13" i="16"/>
  <c r="D13" i="16" s="1"/>
  <c r="C14" i="16"/>
  <c r="D14" i="16"/>
  <c r="C15" i="16"/>
  <c r="D15" i="16" s="1"/>
  <c r="C10" i="16"/>
  <c r="D10" i="16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S35" i="53" s="1"/>
  <c r="R4" i="53"/>
  <c r="R27" i="53" s="1"/>
  <c r="Q4" i="53"/>
  <c r="Q27" i="53" s="1"/>
  <c r="P4" i="53"/>
  <c r="P35" i="53" s="1"/>
  <c r="O4" i="53"/>
  <c r="O10" i="53" s="1"/>
  <c r="N4" i="53"/>
  <c r="N10" i="53" s="1"/>
  <c r="M4" i="53"/>
  <c r="M10" i="53" s="1"/>
  <c r="L4" i="53"/>
  <c r="L35" i="53" s="1"/>
  <c r="J4" i="53"/>
  <c r="J27" i="53"/>
  <c r="E93" i="2"/>
  <c r="L4" i="38"/>
  <c r="L10" i="38" s="1"/>
  <c r="B2" i="2"/>
  <c r="B1" i="2"/>
  <c r="K46" i="38"/>
  <c r="N46" i="38"/>
  <c r="O46" i="38"/>
  <c r="P46" i="38"/>
  <c r="Q46" i="38"/>
  <c r="R46" i="38"/>
  <c r="S46" i="38"/>
  <c r="J46" i="38"/>
  <c r="O24" i="38"/>
  <c r="P24" i="38"/>
  <c r="Q24" i="38"/>
  <c r="R24" i="38"/>
  <c r="S24" i="38"/>
  <c r="C24" i="4"/>
  <c r="B2" i="54"/>
  <c r="B1" i="54"/>
  <c r="E42" i="2"/>
  <c r="E43" i="2"/>
  <c r="B2" i="44"/>
  <c r="B2" i="42"/>
  <c r="C2" i="38"/>
  <c r="B1" i="44"/>
  <c r="B1" i="42"/>
  <c r="E41" i="2"/>
  <c r="E40" i="2"/>
  <c r="E39" i="2"/>
  <c r="E38" i="2"/>
  <c r="E37" i="2"/>
  <c r="E36" i="2"/>
  <c r="C1" i="38"/>
  <c r="B2" i="16"/>
  <c r="B1" i="16"/>
  <c r="C9" i="4"/>
  <c r="B2" i="4"/>
  <c r="B1" i="4"/>
  <c r="J29" i="38"/>
  <c r="K14" i="2"/>
  <c r="K91" i="2"/>
  <c r="K69" i="2"/>
  <c r="K60" i="2"/>
  <c r="K34" i="2"/>
  <c r="K45" i="2"/>
  <c r="J35" i="53"/>
  <c r="J10" i="53"/>
  <c r="J10" i="42"/>
  <c r="J14" i="42" s="1"/>
  <c r="W56" i="2"/>
  <c r="M51" i="42"/>
  <c r="T1" i="2"/>
  <c r="G12" i="16" s="1"/>
  <c r="J17" i="2"/>
  <c r="J26" i="2" s="1"/>
  <c r="N18" i="2"/>
  <c r="N27" i="2" s="1"/>
  <c r="K26" i="2"/>
  <c r="J18" i="2"/>
  <c r="J27" i="2" s="1"/>
  <c r="N51" i="42"/>
  <c r="J10" i="38"/>
  <c r="J19" i="42"/>
  <c r="L26" i="2"/>
  <c r="J25" i="2"/>
  <c r="J21" i="42"/>
  <c r="J30" i="42"/>
  <c r="L46" i="38"/>
  <c r="N17" i="2" l="1"/>
  <c r="N26" i="2" s="1"/>
  <c r="M26" i="2"/>
  <c r="V1" i="54"/>
  <c r="V1" i="4"/>
  <c r="V1" i="38"/>
  <c r="V1" i="44"/>
  <c r="V1" i="42"/>
  <c r="V1" i="55"/>
  <c r="W1" i="2"/>
  <c r="V1" i="53"/>
  <c r="L16" i="2"/>
  <c r="K25" i="2"/>
  <c r="K19" i="2"/>
  <c r="L28" i="2"/>
  <c r="J27" i="42"/>
  <c r="J24" i="42"/>
  <c r="M28" i="2"/>
  <c r="J55" i="42"/>
  <c r="N29" i="2"/>
  <c r="J74" i="42"/>
  <c r="J16" i="42"/>
  <c r="J12" i="42"/>
  <c r="J33" i="42"/>
  <c r="K27" i="2"/>
  <c r="M20" i="2"/>
  <c r="E57" i="55"/>
  <c r="S57" i="55" s="1"/>
  <c r="O20" i="2"/>
  <c r="O29" i="2" s="1"/>
  <c r="N21" i="2"/>
  <c r="O30" i="2"/>
  <c r="O19" i="2"/>
  <c r="O28" i="2" s="1"/>
  <c r="O18" i="2"/>
  <c r="O27" i="2" s="1"/>
  <c r="S56" i="55"/>
  <c r="S1" i="55" s="1"/>
  <c r="S58" i="55"/>
  <c r="O17" i="2"/>
  <c r="O26" i="2" s="1"/>
  <c r="S71" i="2"/>
  <c r="T72" i="2"/>
  <c r="S45" i="42" s="1"/>
  <c r="S51" i="42" s="1"/>
  <c r="P72" i="2"/>
  <c r="P60" i="2"/>
  <c r="R45" i="42"/>
  <c r="R51" i="42" s="1"/>
  <c r="T71" i="2"/>
  <c r="Q74" i="2"/>
  <c r="R73" i="2"/>
  <c r="Q73" i="2"/>
  <c r="P73" i="2"/>
  <c r="O45" i="42" s="1"/>
  <c r="O51" i="42" s="1"/>
  <c r="Q45" i="42"/>
  <c r="Q51" i="42" s="1"/>
  <c r="Q72" i="2"/>
  <c r="P45" i="42" s="1"/>
  <c r="P51" i="42" s="1"/>
  <c r="P42" i="42"/>
  <c r="P45" i="2"/>
  <c r="T91" i="2"/>
  <c r="T34" i="2"/>
  <c r="N91" i="2"/>
  <c r="Q10" i="53"/>
  <c r="P74" i="42"/>
  <c r="L55" i="42"/>
  <c r="N45" i="2"/>
  <c r="J24" i="38"/>
  <c r="M24" i="38"/>
  <c r="M14" i="42" s="1"/>
  <c r="K24" i="38"/>
  <c r="S91" i="2"/>
  <c r="P91" i="2"/>
  <c r="O27" i="53"/>
  <c r="P10" i="2"/>
  <c r="T60" i="2"/>
  <c r="N69" i="2"/>
  <c r="P34" i="2"/>
  <c r="T10" i="2"/>
  <c r="T69" i="2"/>
  <c r="K42" i="42"/>
  <c r="L74" i="42"/>
  <c r="N60" i="2"/>
  <c r="N34" i="2"/>
  <c r="M42" i="42"/>
  <c r="N24" i="38"/>
  <c r="K74" i="42"/>
  <c r="L27" i="53"/>
  <c r="L84" i="42"/>
  <c r="M34" i="2"/>
  <c r="K10" i="53"/>
  <c r="R45" i="2"/>
  <c r="L42" i="42"/>
  <c r="M45" i="2"/>
  <c r="M69" i="2"/>
  <c r="L91" i="2"/>
  <c r="R10" i="38"/>
  <c r="L10" i="53"/>
  <c r="S69" i="2"/>
  <c r="P10" i="38"/>
  <c r="S45" i="2"/>
  <c r="S10" i="2"/>
  <c r="N27" i="53"/>
  <c r="S60" i="2"/>
  <c r="R91" i="2"/>
  <c r="R10" i="2"/>
  <c r="N74" i="42"/>
  <c r="O29" i="38"/>
  <c r="L29" i="38"/>
  <c r="Q35" i="53"/>
  <c r="O34" i="2"/>
  <c r="Q60" i="2"/>
  <c r="K10" i="38"/>
  <c r="R35" i="53"/>
  <c r="Q91" i="2"/>
  <c r="Q30" i="42"/>
  <c r="Q74" i="42"/>
  <c r="N84" i="42"/>
  <c r="M10" i="38"/>
  <c r="O69" i="2"/>
  <c r="Q45" i="2"/>
  <c r="R10" i="53"/>
  <c r="O10" i="2"/>
  <c r="C16" i="2" s="1" a="1"/>
  <c r="M60" i="2"/>
  <c r="R60" i="2"/>
  <c r="N42" i="42"/>
  <c r="N55" i="42"/>
  <c r="O45" i="2"/>
  <c r="Q55" i="42"/>
  <c r="N35" i="53"/>
  <c r="Q34" i="2"/>
  <c r="P10" i="53"/>
  <c r="P27" i="53"/>
  <c r="Q42" i="42"/>
  <c r="Q84" i="42"/>
  <c r="N10" i="2"/>
  <c r="Q69" i="2"/>
  <c r="S55" i="42"/>
  <c r="R34" i="2"/>
  <c r="O12" i="42"/>
  <c r="O24" i="42"/>
  <c r="O27" i="42"/>
  <c r="O21" i="42"/>
  <c r="O33" i="42"/>
  <c r="O16" i="42"/>
  <c r="O30" i="42"/>
  <c r="K19" i="42"/>
  <c r="K30" i="42"/>
  <c r="K21" i="42"/>
  <c r="K33" i="42"/>
  <c r="K14" i="42"/>
  <c r="K24" i="42"/>
  <c r="K27" i="42"/>
  <c r="L45" i="2"/>
  <c r="S74" i="42"/>
  <c r="K55" i="42"/>
  <c r="S10" i="53"/>
  <c r="S84" i="42"/>
  <c r="S27" i="42"/>
  <c r="L10" i="2"/>
  <c r="K84" i="42"/>
  <c r="S42" i="42"/>
  <c r="M74" i="42"/>
  <c r="L34" i="2"/>
  <c r="L60" i="2"/>
  <c r="O42" i="42"/>
  <c r="K35" i="53"/>
  <c r="O55" i="42"/>
  <c r="L69" i="2"/>
  <c r="M55" i="42"/>
  <c r="O74" i="42"/>
  <c r="M84" i="42"/>
  <c r="O84" i="42"/>
  <c r="R12" i="42"/>
  <c r="R16" i="42"/>
  <c r="R19" i="42"/>
  <c r="R14" i="42"/>
  <c r="R21" i="42"/>
  <c r="R27" i="42"/>
  <c r="R33" i="42"/>
  <c r="R24" i="42"/>
  <c r="R30" i="42"/>
  <c r="M21" i="42"/>
  <c r="M27" i="42"/>
  <c r="M33" i="42"/>
  <c r="M19" i="42"/>
  <c r="M12" i="42"/>
  <c r="M16" i="42"/>
  <c r="O35" i="53"/>
  <c r="M35" i="53"/>
  <c r="R55" i="42"/>
  <c r="M27" i="53"/>
  <c r="S27" i="53"/>
  <c r="N29" i="38"/>
  <c r="S10" i="38"/>
  <c r="Q29" i="38"/>
  <c r="S12" i="42"/>
  <c r="S24" i="42"/>
  <c r="S30" i="42"/>
  <c r="S19" i="42"/>
  <c r="S14" i="42"/>
  <c r="M24" i="42"/>
  <c r="O14" i="2"/>
  <c r="O60" i="2"/>
  <c r="N16" i="42"/>
  <c r="N12" i="42"/>
  <c r="N14" i="42"/>
  <c r="N21" i="42"/>
  <c r="N27" i="42"/>
  <c r="N33" i="42"/>
  <c r="N24" i="42"/>
  <c r="N30" i="42"/>
  <c r="R74" i="42"/>
  <c r="S16" i="42"/>
  <c r="Q12" i="42"/>
  <c r="Q21" i="42"/>
  <c r="Q27" i="42"/>
  <c r="Q33" i="42"/>
  <c r="Q14" i="42"/>
  <c r="Q19" i="42"/>
  <c r="L19" i="42"/>
  <c r="L21" i="42"/>
  <c r="L27" i="42"/>
  <c r="L33" i="42"/>
  <c r="L16" i="42"/>
  <c r="L24" i="42"/>
  <c r="L30" i="42"/>
  <c r="L12" i="42"/>
  <c r="M14" i="2"/>
  <c r="M10" i="2"/>
  <c r="P84" i="42"/>
  <c r="P10" i="42"/>
  <c r="R42" i="42"/>
  <c r="N10" i="38"/>
  <c r="R84" i="42"/>
  <c r="S21" i="42"/>
  <c r="Q16" i="42"/>
  <c r="M30" i="42"/>
  <c r="K16" i="42"/>
  <c r="O14" i="42"/>
  <c r="J14" i="2"/>
  <c r="O19" i="42"/>
  <c r="K12" i="42"/>
  <c r="C17" i="2" l="1"/>
  <c r="C16" i="2"/>
  <c r="O22" i="42" s="1"/>
  <c r="L20" i="2"/>
  <c r="M29" i="2"/>
  <c r="C25" i="2" a="1"/>
  <c r="C20" i="2"/>
  <c r="L25" i="2"/>
  <c r="M16" i="2"/>
  <c r="K28" i="2"/>
  <c r="J19" i="2"/>
  <c r="J28" i="2" s="1"/>
  <c r="M21" i="2"/>
  <c r="N30" i="2"/>
  <c r="C30" i="2"/>
  <c r="C21" i="2"/>
  <c r="O23" i="2"/>
  <c r="C29" i="2"/>
  <c r="N23" i="2"/>
  <c r="K22" i="42"/>
  <c r="C27" i="2"/>
  <c r="C18" i="2"/>
  <c r="L23" i="2"/>
  <c r="C19" i="2"/>
  <c r="C28" i="2"/>
  <c r="M23" i="2"/>
  <c r="Q34" i="42"/>
  <c r="O25" i="42"/>
  <c r="M22" i="42"/>
  <c r="S22" i="42"/>
  <c r="P12" i="42"/>
  <c r="P16" i="42"/>
  <c r="P14" i="42"/>
  <c r="P24" i="42"/>
  <c r="P25" i="42" s="1"/>
  <c r="P30" i="42"/>
  <c r="P21" i="42"/>
  <c r="P27" i="42"/>
  <c r="P33" i="42"/>
  <c r="P34" i="42" s="1"/>
  <c r="P19" i="42"/>
  <c r="Q28" i="42"/>
  <c r="S34" i="42"/>
  <c r="L34" i="42"/>
  <c r="J31" i="42"/>
  <c r="R25" i="42"/>
  <c r="N22" i="42" l="1"/>
  <c r="J34" i="42"/>
  <c r="K28" i="42"/>
  <c r="P22" i="42"/>
  <c r="S31" i="42"/>
  <c r="S28" i="42"/>
  <c r="L25" i="42"/>
  <c r="R34" i="42"/>
  <c r="R36" i="42" s="1"/>
  <c r="R38" i="42" s="1"/>
  <c r="L28" i="42"/>
  <c r="M25" i="2"/>
  <c r="N16" i="2"/>
  <c r="J25" i="42"/>
  <c r="M34" i="42"/>
  <c r="J28" i="42"/>
  <c r="N31" i="42"/>
  <c r="R31" i="42"/>
  <c r="K25" i="42"/>
  <c r="K36" i="42" s="1"/>
  <c r="K38" i="42" s="1"/>
  <c r="Q25" i="42"/>
  <c r="J22" i="42"/>
  <c r="J36" i="42" s="1"/>
  <c r="J38" i="42" s="1"/>
  <c r="Q22" i="42"/>
  <c r="S25" i="42"/>
  <c r="P31" i="42"/>
  <c r="P36" i="42" s="1"/>
  <c r="P38" i="42" s="1"/>
  <c r="R28" i="42"/>
  <c r="M25" i="42"/>
  <c r="O31" i="42"/>
  <c r="M28" i="42"/>
  <c r="L31" i="42"/>
  <c r="N25" i="42"/>
  <c r="K31" i="42"/>
  <c r="L29" i="2"/>
  <c r="K20" i="2"/>
  <c r="R22" i="42"/>
  <c r="N28" i="42"/>
  <c r="P28" i="42"/>
  <c r="K34" i="42"/>
  <c r="O28" i="42"/>
  <c r="N34" i="42"/>
  <c r="L22" i="42"/>
  <c r="Q31" i="42"/>
  <c r="O34" i="42"/>
  <c r="M31" i="42"/>
  <c r="C26" i="2"/>
  <c r="C25" i="2"/>
  <c r="L21" i="2"/>
  <c r="M30" i="2"/>
  <c r="L13" i="42" s="1"/>
  <c r="L86" i="42" s="1"/>
  <c r="S58" i="42"/>
  <c r="O57" i="42"/>
  <c r="M60" i="42"/>
  <c r="O36" i="42"/>
  <c r="O38" i="42" s="1"/>
  <c r="K76" i="42"/>
  <c r="K78" i="42"/>
  <c r="N68" i="42"/>
  <c r="R67" i="42"/>
  <c r="P66" i="42"/>
  <c r="S76" i="42"/>
  <c r="K65" i="42"/>
  <c r="R62" i="42"/>
  <c r="L61" i="42"/>
  <c r="M64" i="42"/>
  <c r="J65" i="42"/>
  <c r="O64" i="42"/>
  <c r="N67" i="42"/>
  <c r="P57" i="42"/>
  <c r="S67" i="42"/>
  <c r="J61" i="42"/>
  <c r="N77" i="42"/>
  <c r="P68" i="42"/>
  <c r="M62" i="42"/>
  <c r="P60" i="42"/>
  <c r="M78" i="42"/>
  <c r="S78" i="42"/>
  <c r="R65" i="42"/>
  <c r="Q67" i="42"/>
  <c r="Q62" i="42"/>
  <c r="P64" i="42"/>
  <c r="J77" i="42"/>
  <c r="J67" i="42"/>
  <c r="M58" i="42"/>
  <c r="L64" i="42"/>
  <c r="M67" i="42"/>
  <c r="P78" i="42"/>
  <c r="Q61" i="42"/>
  <c r="O67" i="42"/>
  <c r="P67" i="42"/>
  <c r="P62" i="42"/>
  <c r="N13" i="42"/>
  <c r="S13" i="42"/>
  <c r="L63" i="42"/>
  <c r="O78" i="42"/>
  <c r="N63" i="42"/>
  <c r="J60" i="42"/>
  <c r="L76" i="42"/>
  <c r="N59" i="42"/>
  <c r="L57" i="42"/>
  <c r="L68" i="42"/>
  <c r="S62" i="42"/>
  <c r="M61" i="42"/>
  <c r="K67" i="42"/>
  <c r="L59" i="42"/>
  <c r="M57" i="42"/>
  <c r="J62" i="42"/>
  <c r="M76" i="42"/>
  <c r="O76" i="42"/>
  <c r="R76" i="42"/>
  <c r="M77" i="42"/>
  <c r="M65" i="42"/>
  <c r="S60" i="42"/>
  <c r="N58" i="42"/>
  <c r="J57" i="42"/>
  <c r="N60" i="42"/>
  <c r="K57" i="42"/>
  <c r="L65" i="42"/>
  <c r="S64" i="42"/>
  <c r="S65" i="42"/>
  <c r="R61" i="42"/>
  <c r="Q57" i="42"/>
  <c r="O63" i="42"/>
  <c r="S63" i="42"/>
  <c r="R63" i="42"/>
  <c r="Q63" i="42"/>
  <c r="P63" i="42"/>
  <c r="R58" i="42"/>
  <c r="Q58" i="42"/>
  <c r="P58" i="42"/>
  <c r="P13" i="42"/>
  <c r="O13" i="42"/>
  <c r="Q13" i="42"/>
  <c r="R13" i="42"/>
  <c r="L58" i="42"/>
  <c r="S68" i="42"/>
  <c r="L62" i="42"/>
  <c r="K62" i="42"/>
  <c r="K64" i="42"/>
  <c r="J58" i="42"/>
  <c r="N76" i="42"/>
  <c r="O66" i="42"/>
  <c r="R66" i="42"/>
  <c r="K60" i="42"/>
  <c r="N57" i="42"/>
  <c r="N65" i="42"/>
  <c r="N61" i="42"/>
  <c r="M66" i="42"/>
  <c r="K68" i="42"/>
  <c r="O62" i="42"/>
  <c r="R60" i="42"/>
  <c r="K77" i="42"/>
  <c r="K59" i="42"/>
  <c r="Q78" i="42"/>
  <c r="N78" i="42"/>
  <c r="J59" i="42"/>
  <c r="J66" i="42"/>
  <c r="J64" i="42"/>
  <c r="O68" i="42"/>
  <c r="R68" i="42"/>
  <c r="O65" i="42"/>
  <c r="S61" i="42"/>
  <c r="R57" i="42"/>
  <c r="P65" i="42"/>
  <c r="O59" i="42"/>
  <c r="S59" i="42"/>
  <c r="R59" i="42"/>
  <c r="Q59" i="42"/>
  <c r="P59" i="42"/>
  <c r="Q76" i="42"/>
  <c r="P76" i="42"/>
  <c r="S36" i="42"/>
  <c r="S38" i="42" s="1"/>
  <c r="M13" i="42"/>
  <c r="L36" i="42"/>
  <c r="L38" i="42" s="1"/>
  <c r="J63" i="42"/>
  <c r="J76" i="42"/>
  <c r="R64" i="42"/>
  <c r="J68" i="42"/>
  <c r="K61" i="42"/>
  <c r="K63" i="42"/>
  <c r="L67" i="42"/>
  <c r="L60" i="42"/>
  <c r="O58" i="42"/>
  <c r="Q60" i="42"/>
  <c r="J78" i="42"/>
  <c r="R78" i="42"/>
  <c r="N64" i="42"/>
  <c r="K58" i="42"/>
  <c r="L78" i="42"/>
  <c r="M63" i="42"/>
  <c r="S66" i="42"/>
  <c r="Q68" i="42"/>
  <c r="N66" i="42"/>
  <c r="L66" i="42"/>
  <c r="N62" i="42"/>
  <c r="K66" i="42"/>
  <c r="L77" i="42"/>
  <c r="M59" i="42"/>
  <c r="M68" i="42"/>
  <c r="O60" i="42"/>
  <c r="Q64" i="42"/>
  <c r="O61" i="42"/>
  <c r="S57" i="42"/>
  <c r="Q65" i="42"/>
  <c r="P61" i="42"/>
  <c r="O77" i="42"/>
  <c r="S77" i="42"/>
  <c r="R77" i="42"/>
  <c r="Q77" i="42"/>
  <c r="P77" i="42"/>
  <c r="Q66" i="42"/>
  <c r="Q36" i="42"/>
  <c r="Q38" i="42" s="1"/>
  <c r="M36" i="42"/>
  <c r="M38" i="42" s="1"/>
  <c r="K29" i="2" l="1"/>
  <c r="J20" i="2"/>
  <c r="J29" i="2" s="1"/>
  <c r="N25" i="2"/>
  <c r="O16" i="2"/>
  <c r="K21" i="2"/>
  <c r="L30" i="2"/>
  <c r="K13" i="42" s="1"/>
  <c r="K86" i="42" s="1"/>
  <c r="M86" i="42"/>
  <c r="S80" i="42"/>
  <c r="O80" i="42"/>
  <c r="K80" i="42"/>
  <c r="O70" i="42"/>
  <c r="N80" i="42"/>
  <c r="P80" i="42"/>
  <c r="S70" i="42"/>
  <c r="Q80" i="42"/>
  <c r="R80" i="42"/>
  <c r="M70" i="42"/>
  <c r="L80" i="42"/>
  <c r="Q70" i="42"/>
  <c r="K70" i="42"/>
  <c r="J80" i="42"/>
  <c r="P70" i="42"/>
  <c r="J70" i="42"/>
  <c r="N70" i="42"/>
  <c r="L70" i="42"/>
  <c r="R70" i="42"/>
  <c r="M80" i="42"/>
  <c r="O25" i="2" l="1"/>
  <c r="J17" i="42"/>
  <c r="L15" i="42"/>
  <c r="K17" i="42"/>
  <c r="S15" i="42"/>
  <c r="M15" i="42"/>
  <c r="N17" i="42"/>
  <c r="R15" i="42"/>
  <c r="P17" i="42"/>
  <c r="O17" i="42"/>
  <c r="J15" i="42"/>
  <c r="S17" i="42"/>
  <c r="K15" i="42"/>
  <c r="P15" i="42"/>
  <c r="R17" i="42"/>
  <c r="Q15" i="42"/>
  <c r="L17" i="42"/>
  <c r="Q17" i="42"/>
  <c r="N15" i="42"/>
  <c r="M17" i="42"/>
  <c r="O15" i="42"/>
  <c r="J21" i="2"/>
  <c r="J30" i="2" s="1"/>
  <c r="K30" i="2"/>
  <c r="J13" i="42" s="1"/>
  <c r="J86" i="42" l="1"/>
  <c r="N19" i="42"/>
  <c r="N36" i="42" l="1"/>
  <c r="N38" i="42" s="1"/>
  <c r="N86" i="42"/>
  <c r="R86" i="42" l="1" a="1"/>
  <c r="R86" i="42" s="1"/>
  <c r="O86" i="42" a="1"/>
  <c r="O86" i="42" s="1"/>
  <c r="P86" i="42" a="1"/>
  <c r="P86" i="42" s="1"/>
  <c r="Q86" i="42" a="1"/>
  <c r="Q86" i="42" s="1"/>
  <c r="S86" i="42" a="1"/>
  <c r="S86" i="42" s="1"/>
  <c r="P12" i="44" l="1"/>
  <c r="P17" i="44" s="1"/>
  <c r="P87" i="42"/>
  <c r="O12" i="44"/>
  <c r="O87" i="42"/>
  <c r="Q87" i="42"/>
  <c r="Q12" i="44"/>
  <c r="Q17" i="44" s="1"/>
  <c r="S87" i="42"/>
  <c r="S12" i="44"/>
  <c r="S17" i="44" s="1"/>
  <c r="R12" i="44"/>
  <c r="R17" i="44" s="1"/>
  <c r="R87" i="42"/>
  <c r="O17" i="44" l="1"/>
  <c r="S13" i="44"/>
</calcChain>
</file>

<file path=xl/sharedStrings.xml><?xml version="1.0" encoding="utf-8"?>
<sst xmlns="http://schemas.openxmlformats.org/spreadsheetml/2006/main" count="641" uniqueCount="168">
  <si>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</si>
  <si>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</si>
  <si>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</si>
  <si>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</si>
  <si>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</si>
  <si>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</si>
  <si>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</si>
  <si>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</si>
  <si>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</si>
  <si>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</si>
  <si>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</si>
  <si>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</si>
  <si>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</si>
  <si>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</si>
  <si>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</si>
  <si>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</si>
  <si>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</si>
  <si>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</si>
  <si>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</si>
  <si>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</si>
  <si>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</si>
  <si>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</si>
  <si>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</si>
  <si>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</si>
  <si>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</si>
  <si>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</si>
  <si>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</si>
  <si>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</si>
  <si>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</si>
  <si>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</si>
  <si>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</si>
  <si>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</si>
  <si>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</si>
  <si>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</si>
  <si>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</si>
  <si>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</si>
  <si>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</si>
  <si>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</si>
  <si>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</si>
  <si>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</si>
  <si>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</si>
  <si>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</si>
  <si>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</si>
  <si>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</si>
  <si>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</si>
  <si>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</si>
  <si>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</si>
  <si>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</si>
  <si>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</si>
  <si>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</si>
  <si>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</si>
  <si>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</si>
  <si>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</si>
  <si>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</si>
  <si>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</si>
  <si>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</si>
  <si>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</si>
  <si>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</si>
  <si>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</si>
  <si>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</si>
  <si>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</si>
  <si>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</si>
  <si>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</si>
  <si>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</si>
  <si>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</si>
  <si>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</si>
  <si>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</si>
  <si>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</si>
  <si>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</si>
  <si>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</si>
  <si>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</si>
  <si>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</si>
  <si>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</si>
  <si>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</si>
  <si>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</si>
  <si>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</si>
  <si>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</si>
  <si>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</si>
  <si>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</si>
  <si>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</si>
  <si>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</si>
  <si>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</si>
  <si>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</si>
  <si>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</si>
  <si>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</si>
  <si>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</si>
  <si>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</si>
  <si>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</si>
  <si>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</si>
  <si>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</si>
  <si>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</si>
  <si>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</si>
  <si>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</si>
  <si>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</si>
  <si>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</si>
  <si>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</si>
  <si>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</si>
  <si>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</si>
  <si>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</si>
  <si>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</si>
  <si>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</si>
  <si>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</si>
  <si>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</si>
  <si>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</si>
  <si>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</si>
  <si>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</si>
  <si>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</si>
  <si>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</si>
  <si>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</si>
  <si>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</si>
  <si>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</si>
  <si>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</si>
  <si>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</si>
  <si>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</si>
  <si>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</si>
  <si>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</si>
  <si>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</si>
  <si>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</si>
  <si>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</si>
  <si>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</si>
  <si>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</si>
  <si>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</si>
  <si>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</si>
  <si>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</si>
  <si>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</si>
  <si>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</si>
  <si>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</si>
  <si>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</si>
  <si>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</si>
  <si>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</si>
  <si>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</si>
  <si>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</si>
  <si>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</si>
  <si>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Calc | Opex forecast</t>
  </si>
  <si>
    <t>Estimated final year opex</t>
  </si>
  <si>
    <t>2007-08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</si>
  <si>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</si>
  <si>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</si>
  <si>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</si>
  <si>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</si>
  <si>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</si>
  <si>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</si>
  <si>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Wage Price Index</t>
  </si>
  <si>
    <t>Efficiency adjusted final year opex</t>
  </si>
  <si>
    <t>Remove movement in provisions</t>
  </si>
  <si>
    <t>DRC not recorded as opex.</t>
  </si>
  <si>
    <t>Forecast using a 5 year average</t>
  </si>
  <si>
    <t>Expenditure related to category specific forecasts</t>
  </si>
  <si>
    <t>Input | Adjustment</t>
  </si>
  <si>
    <t>Adjustment</t>
  </si>
  <si>
    <t>Adjustment 1</t>
  </si>
  <si>
    <t>Input | Category specifc forecasts</t>
  </si>
  <si>
    <t>Category specific forecasts</t>
  </si>
  <si>
    <t>Calc | Category specific forecasts</t>
  </si>
  <si>
    <t>Total category specific forecasts</t>
  </si>
  <si>
    <t>Adjustment 2</t>
  </si>
  <si>
    <t>Adjustment 3</t>
  </si>
  <si>
    <t>Adjustment 4</t>
  </si>
  <si>
    <t>Adjustment 5</t>
  </si>
  <si>
    <t>Category specific forecast</t>
  </si>
  <si>
    <t>Electrical safety levy</t>
  </si>
  <si>
    <t>NEM levy</t>
  </si>
  <si>
    <t>TasNetworks Transmission</t>
  </si>
  <si>
    <t>Energy</t>
  </si>
  <si>
    <t>Weighted entry and exit connections</t>
  </si>
  <si>
    <t>Calculates the opex forecast from RY2020 to RY2024</t>
  </si>
  <si>
    <t>Efficiency Savings Targeted</t>
  </si>
  <si>
    <t>1% of CPI absorbed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</si>
</sst>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#,##0.0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i/>
      <sz val="8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2" applyNumberFormat="0" applyAlignment="0" applyProtection="0"/>
    <xf numFmtId="0" fontId="29" fillId="31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2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8" applyNumberFormat="0" applyFont="0" applyAlignment="0" applyProtection="0"/>
    <xf numFmtId="0" fontId="53" fillId="14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5">
      <alignment horizontal="center"/>
    </xf>
    <xf numFmtId="0" fontId="75" fillId="43" borderId="6">
      <alignment horizontal="center" vertical="center"/>
    </xf>
    <xf numFmtId="0" fontId="19" fillId="44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6" applyNumberFormat="0" applyFont="0" applyAlignment="0"/>
    <xf numFmtId="0" fontId="81" fillId="7" borderId="27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2" applyNumberFormat="0" applyAlignment="0">
      <alignment horizontal="right"/>
    </xf>
    <xf numFmtId="0" fontId="21" fillId="38" borderId="26" applyNumberFormat="0" applyAlignment="0"/>
    <xf numFmtId="0" fontId="74" fillId="0" borderId="0" applyNumberFormat="0" applyFill="0" applyBorder="0"/>
    <xf numFmtId="0" fontId="87" fillId="49" borderId="26" applyNumberFormat="0">
      <protection locked="0"/>
    </xf>
  </cellStyleXfs>
  <cellXfs count="18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" fontId="3" fillId="41" borderId="3" xfId="2" applyNumberFormat="1" applyFont="1" applyFill="1" applyBorder="1" applyAlignment="1" applyProtection="1">
      <alignment horizontal="center"/>
      <protection locked="0"/>
    </xf>
    <xf numFmtId="194" fontId="3" fillId="41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10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2" borderId="2" xfId="0" applyNumberFormat="1" applyFont="1" applyFill="1" applyBorder="1" applyProtection="1"/>
    <xf numFmtId="0" fontId="7" fillId="2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39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3" fillId="8" borderId="3" xfId="2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1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44" fontId="16" fillId="39" borderId="4" xfId="0" applyNumberFormat="1" applyFont="1" applyFill="1" applyBorder="1" applyAlignment="1" applyProtection="1">
      <alignment wrapText="1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43" fontId="0" fillId="39" borderId="4" xfId="0" applyNumberFormat="1" applyFill="1" applyBorder="1" applyAlignment="1" applyProtection="1">
      <alignment wrapText="1"/>
    </xf>
    <xf numFmtId="164" fontId="88" fillId="0" borderId="0" xfId="0" applyNumberFormat="1" applyFont="1" applyAlignment="1" applyProtection="1">
      <alignment horizontal="center"/>
    </xf>
    <xf numFmtId="201" fontId="17" fillId="0" borderId="0" xfId="0" applyNumberFormat="1" applyFont="1" applyAlignment="1" applyProtection="1">
      <alignment horizontal="center"/>
    </xf>
    <xf numFmtId="10" fontId="0" fillId="39" borderId="4" xfId="0" applyNumberFormat="1" applyFill="1" applyBorder="1" applyAlignment="1" applyProtection="1">
      <alignment wrapText="1"/>
    </xf>
    <xf numFmtId="4" fontId="3" fillId="0" borderId="0" xfId="0" applyNumberFormat="1" applyFont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3" fontId="3" fillId="41" borderId="3" xfId="2" applyNumberFormat="1" applyFont="1" applyFill="1" applyBorder="1" applyAlignment="1" applyProtection="1">
      <alignment horizontal="center"/>
      <protection locked="0"/>
    </xf>
    <xf numFmtId="201" fontId="17" fillId="50" borderId="0" xfId="0" applyNumberFormat="1" applyFont="1" applyFill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AEEF3"/>
      <color rgb="FFCCFFCC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D13" sqref="D1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121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47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79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77</v>
      </c>
      <c r="D7" s="7" t="s">
        <v>78</v>
      </c>
    </row>
    <row r="8" spans="1:47">
      <c r="C8" s="19" t="s">
        <v>35</v>
      </c>
      <c r="D8" s="7" t="s">
        <v>123</v>
      </c>
    </row>
    <row r="9" spans="1:47">
      <c r="C9" s="19" t="s">
        <v>72</v>
      </c>
      <c r="D9" s="7" t="s">
        <v>73</v>
      </c>
    </row>
    <row r="10" spans="1:47">
      <c r="C10" s="19" t="s">
        <v>71</v>
      </c>
      <c r="D10" s="7" t="s">
        <v>57</v>
      </c>
    </row>
    <row r="11" spans="1:47">
      <c r="C11" s="19" t="s">
        <v>76</v>
      </c>
      <c r="D11" s="7" t="s">
        <v>58</v>
      </c>
    </row>
    <row r="12" spans="1:47">
      <c r="C12" s="19" t="s">
        <v>66</v>
      </c>
      <c r="D12" s="7" t="s">
        <v>165</v>
      </c>
    </row>
    <row r="13" spans="1:47">
      <c r="C13" s="19" t="s">
        <v>65</v>
      </c>
      <c r="D13" s="7" t="s">
        <v>74</v>
      </c>
    </row>
    <row r="14" spans="1:47">
      <c r="C14" s="19" t="s">
        <v>60</v>
      </c>
      <c r="D14" s="7" t="s">
        <v>75</v>
      </c>
    </row>
    <row r="15" spans="1:47">
      <c r="C15" s="19" t="s">
        <v>25</v>
      </c>
      <c r="D15" s="7" t="s">
        <v>59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J10" sqref="J10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IF(COUNTA($S$5:$S$13)=COUNTIF($S5:$S14,"OK"),"OK","Check")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Index!$C$7</f>
        <v>Input | General</v>
      </c>
      <c r="C2" s="81"/>
      <c r="D2" s="81"/>
      <c r="E2" s="81"/>
      <c r="F2" s="82"/>
      <c r="G2" s="82"/>
      <c r="H2" s="82"/>
      <c r="I2" s="82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7" customFormat="1" ht="12.75">
      <c r="A4" s="98"/>
      <c r="B4" s="99" t="s">
        <v>119</v>
      </c>
      <c r="C4" s="98"/>
      <c r="D4" s="98"/>
      <c r="E4" s="98"/>
      <c r="F4" s="100"/>
      <c r="G4" s="100"/>
      <c r="H4" s="100"/>
      <c r="I4" s="100"/>
      <c r="J4" s="101"/>
      <c r="K4" s="102"/>
      <c r="L4" s="101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3"/>
      <c r="Y4" s="103"/>
      <c r="Z4" s="103"/>
      <c r="AA4" s="103"/>
      <c r="AB4" s="104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</row>
    <row r="5" spans="1:47"/>
    <row r="6" spans="1:47">
      <c r="C6" s="31" t="s">
        <v>120</v>
      </c>
      <c r="D6" s="32" t="s">
        <v>7</v>
      </c>
      <c r="E6" s="32"/>
      <c r="F6" s="33"/>
      <c r="G6" s="33" t="s">
        <v>85</v>
      </c>
      <c r="H6" s="33"/>
      <c r="I6" s="29"/>
    </row>
    <row r="7" spans="1:47">
      <c r="C7" s="29" t="s">
        <v>80</v>
      </c>
      <c r="D7" s="30" t="s">
        <v>86</v>
      </c>
      <c r="E7" s="29"/>
      <c r="F7" s="29"/>
      <c r="G7" s="52" t="s">
        <v>162</v>
      </c>
      <c r="H7" s="29"/>
      <c r="I7" s="29"/>
      <c r="S7" s="139" t="str">
        <f>IF(COUNTBLANK($G7),"Check","Ok")</f>
        <v>Ok</v>
      </c>
    </row>
    <row r="8" spans="1:47">
      <c r="C8" s="29" t="s">
        <v>81</v>
      </c>
      <c r="D8" s="30" t="s">
        <v>86</v>
      </c>
      <c r="E8" s="29"/>
      <c r="F8" s="29"/>
      <c r="G8" s="52" t="s">
        <v>41</v>
      </c>
      <c r="H8" s="29"/>
      <c r="I8" s="29"/>
      <c r="S8" s="139" t="str">
        <f t="shared" ref="S8:S12" si="0">IF(COUNTBLANK($G8),"Check","Ok")</f>
        <v>Ok</v>
      </c>
    </row>
    <row r="9" spans="1:47">
      <c r="C9" s="29" t="s">
        <v>94</v>
      </c>
      <c r="D9" s="30" t="s">
        <v>86</v>
      </c>
      <c r="E9" s="29"/>
      <c r="F9" s="29"/>
      <c r="G9" s="52" t="s">
        <v>44</v>
      </c>
      <c r="H9" s="29"/>
      <c r="I9" s="29"/>
      <c r="S9" s="139" t="str">
        <f t="shared" si="0"/>
        <v>Ok</v>
      </c>
    </row>
    <row r="10" spans="1:47">
      <c r="C10" s="29" t="s">
        <v>82</v>
      </c>
      <c r="D10" s="30" t="s">
        <v>86</v>
      </c>
      <c r="E10" s="29"/>
      <c r="F10" s="29"/>
      <c r="G10" s="52" t="s">
        <v>45</v>
      </c>
      <c r="H10" s="29"/>
      <c r="I10" s="29"/>
      <c r="S10" s="139" t="str">
        <f t="shared" si="0"/>
        <v>Ok</v>
      </c>
    </row>
    <row r="11" spans="1:47">
      <c r="C11" s="29" t="s">
        <v>83</v>
      </c>
      <c r="D11" s="30" t="s">
        <v>86</v>
      </c>
      <c r="E11" s="29"/>
      <c r="F11" s="29"/>
      <c r="G11" s="52" t="s">
        <v>46</v>
      </c>
      <c r="H11" s="29"/>
      <c r="I11" s="29"/>
      <c r="S11" s="139" t="str">
        <f t="shared" si="0"/>
        <v>Ok</v>
      </c>
    </row>
    <row r="12" spans="1:47">
      <c r="C12" s="29" t="s">
        <v>84</v>
      </c>
      <c r="D12" s="30" t="s">
        <v>86</v>
      </c>
      <c r="E12" s="29"/>
      <c r="F12" s="29"/>
      <c r="G12" s="52" t="s">
        <v>93</v>
      </c>
      <c r="H12" s="29"/>
      <c r="I12" s="29"/>
      <c r="S12" s="139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7" customFormat="1" ht="12.75">
      <c r="A14" s="98"/>
      <c r="B14" s="99" t="s">
        <v>21</v>
      </c>
      <c r="C14" s="98"/>
      <c r="D14" s="98"/>
      <c r="E14" s="98"/>
      <c r="F14" s="100"/>
      <c r="G14" s="100"/>
      <c r="H14" s="100"/>
      <c r="I14" s="100"/>
      <c r="J14" s="101"/>
      <c r="K14" s="102"/>
      <c r="L14" s="101"/>
      <c r="M14" s="102"/>
      <c r="N14" s="101"/>
      <c r="O14" s="101"/>
      <c r="P14" s="101"/>
      <c r="Q14" s="101"/>
      <c r="R14" s="101"/>
      <c r="S14" s="101"/>
      <c r="T14" s="101"/>
      <c r="U14" s="101"/>
      <c r="V14" s="102"/>
      <c r="W14" s="102"/>
      <c r="X14" s="103"/>
      <c r="Y14" s="103"/>
      <c r="Z14" s="103"/>
      <c r="AA14" s="103"/>
      <c r="AB14" s="104"/>
      <c r="AC14" s="105"/>
      <c r="AD14" s="105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71"/>
  <sheetViews>
    <sheetView showGridLines="0" workbookViewId="0">
      <selection activeCell="E51" sqref="E51:E58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IF(COUNTA($S$5:$S$59)=COUNTIF($S5:$S60,"OK"),"OK","Check")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Index!$C$7</f>
        <v>Input | General</v>
      </c>
      <c r="C2" s="81"/>
      <c r="D2" s="81"/>
      <c r="E2" s="81"/>
      <c r="F2" s="82"/>
      <c r="G2" s="82"/>
      <c r="H2" s="82"/>
      <c r="I2" s="82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7" customFormat="1" ht="12.75">
      <c r="A4" s="98"/>
      <c r="B4" s="99" t="s">
        <v>119</v>
      </c>
      <c r="C4" s="98"/>
      <c r="D4" s="98"/>
      <c r="E4" s="98"/>
      <c r="F4" s="100"/>
      <c r="G4" s="100"/>
      <c r="H4" s="100"/>
      <c r="I4" s="100"/>
      <c r="J4" s="101"/>
      <c r="K4" s="102"/>
      <c r="L4" s="101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3"/>
      <c r="Y4" s="103"/>
      <c r="Z4" s="103"/>
      <c r="AA4" s="103"/>
      <c r="AB4" s="104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</row>
    <row r="5" spans="1:47" ht="11.25" customHeight="1"/>
    <row r="6" spans="1:47" ht="21.75">
      <c r="D6" s="65" t="s">
        <v>124</v>
      </c>
      <c r="E6" s="65" t="s">
        <v>125</v>
      </c>
      <c r="F6" s="65"/>
      <c r="G6" s="65"/>
      <c r="H6" s="29"/>
      <c r="I6" s="29"/>
    </row>
    <row r="7" spans="1:47">
      <c r="C7" s="70" t="s">
        <v>7</v>
      </c>
      <c r="D7" s="69" t="s">
        <v>122</v>
      </c>
      <c r="E7" s="69" t="s">
        <v>122</v>
      </c>
      <c r="F7" s="69"/>
      <c r="G7" s="69"/>
      <c r="H7" s="29"/>
      <c r="I7" s="29"/>
    </row>
    <row r="8" spans="1:47">
      <c r="C8" s="70" t="s">
        <v>8</v>
      </c>
      <c r="D8" s="69" t="s">
        <v>106</v>
      </c>
      <c r="E8" s="69" t="s">
        <v>106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39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39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39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39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39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39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39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39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39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39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39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39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39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39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39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39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39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39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39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39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39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39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39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39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39" t="str">
        <f t="shared" ref="S33:S58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39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39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39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39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39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39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39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39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39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39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39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39" t="str">
        <f t="shared" si="2"/>
        <v>Ok</v>
      </c>
    </row>
    <row r="46" spans="3:19">
      <c r="C46" s="67">
        <v>42551</v>
      </c>
      <c r="D46" s="29"/>
      <c r="E46" s="66">
        <v>108.6</v>
      </c>
      <c r="F46" s="169"/>
      <c r="G46" s="68"/>
      <c r="H46" s="29"/>
      <c r="I46" s="29"/>
      <c r="S46" s="139" t="str">
        <f t="shared" si="2"/>
        <v>Ok</v>
      </c>
    </row>
    <row r="47" spans="3:19">
      <c r="C47" s="67">
        <v>42643</v>
      </c>
      <c r="D47" s="29"/>
      <c r="E47" s="66">
        <v>109.4</v>
      </c>
      <c r="F47" s="169"/>
      <c r="G47" s="68"/>
      <c r="H47" s="29"/>
      <c r="I47" s="29"/>
      <c r="S47" s="139" t="str">
        <f t="shared" si="2"/>
        <v>Ok</v>
      </c>
    </row>
    <row r="48" spans="3:19">
      <c r="C48" s="67">
        <v>42735</v>
      </c>
      <c r="D48" s="29"/>
      <c r="E48" s="66">
        <v>110</v>
      </c>
      <c r="F48" s="169"/>
      <c r="G48" s="68"/>
      <c r="H48" s="29"/>
      <c r="I48" s="29"/>
      <c r="S48" s="139" t="str">
        <f t="shared" si="2"/>
        <v>Ok</v>
      </c>
    </row>
    <row r="49" spans="1:47">
      <c r="C49" s="67">
        <v>42825</v>
      </c>
      <c r="D49" s="29"/>
      <c r="E49" s="66">
        <v>110.5</v>
      </c>
      <c r="F49" s="169"/>
      <c r="G49" s="68"/>
      <c r="H49" s="29"/>
      <c r="I49" s="29"/>
      <c r="S49" s="139" t="str">
        <f t="shared" si="2"/>
        <v>Ok</v>
      </c>
    </row>
    <row r="50" spans="1:47">
      <c r="C50" s="67">
        <v>42916</v>
      </c>
      <c r="D50" s="29"/>
      <c r="E50" s="66">
        <v>110.7</v>
      </c>
      <c r="F50" s="169"/>
      <c r="G50" s="68"/>
      <c r="H50" s="29"/>
      <c r="I50" s="29"/>
      <c r="S50" s="139" t="str">
        <f t="shared" si="2"/>
        <v>Ok</v>
      </c>
    </row>
    <row r="51" spans="1:47">
      <c r="C51" s="67">
        <v>43008</v>
      </c>
      <c r="D51" s="29"/>
      <c r="E51" s="66">
        <f>AVERAGE(E50,E52)</f>
        <v>111.69749999999999</v>
      </c>
      <c r="F51" s="169" t="s">
        <v>97</v>
      </c>
      <c r="G51" s="68"/>
      <c r="H51" s="29"/>
      <c r="I51" s="29"/>
      <c r="S51" s="139" t="str">
        <f t="shared" si="2"/>
        <v>Ok</v>
      </c>
    </row>
    <row r="52" spans="1:47">
      <c r="C52" s="67">
        <v>43100</v>
      </c>
      <c r="D52" s="29"/>
      <c r="E52" s="66">
        <f>E48*1.0245</f>
        <v>112.69499999999999</v>
      </c>
      <c r="F52" s="169" t="s">
        <v>97</v>
      </c>
      <c r="G52" s="68"/>
      <c r="H52" s="29"/>
      <c r="I52" s="29"/>
      <c r="S52" s="139" t="str">
        <f t="shared" si="2"/>
        <v>Ok</v>
      </c>
    </row>
    <row r="53" spans="1:47">
      <c r="C53" s="67">
        <v>43190</v>
      </c>
      <c r="D53" s="29"/>
      <c r="E53" s="66">
        <f>AVERAGE(E52,E54)</f>
        <v>113.053575</v>
      </c>
      <c r="F53" s="169" t="s">
        <v>97</v>
      </c>
      <c r="G53" s="68"/>
      <c r="H53" s="29"/>
      <c r="I53" s="29"/>
      <c r="S53" s="139" t="str">
        <f t="shared" si="2"/>
        <v>Ok</v>
      </c>
    </row>
    <row r="54" spans="1:47">
      <c r="C54" s="67">
        <v>43281</v>
      </c>
      <c r="D54" s="29"/>
      <c r="E54" s="66">
        <f>E50*1.0245</f>
        <v>113.41215</v>
      </c>
      <c r="F54" s="169" t="s">
        <v>97</v>
      </c>
      <c r="G54" s="68"/>
      <c r="H54" s="29"/>
      <c r="I54" s="29"/>
      <c r="S54" s="139" t="str">
        <f t="shared" si="2"/>
        <v>Ok</v>
      </c>
    </row>
    <row r="55" spans="1:47">
      <c r="C55" s="67">
        <v>43373</v>
      </c>
      <c r="D55" s="29"/>
      <c r="E55" s="66">
        <f>AVERAGE(E54,E56)</f>
        <v>114.43408875</v>
      </c>
      <c r="F55" s="169" t="s">
        <v>97</v>
      </c>
      <c r="G55" s="68"/>
      <c r="H55" s="29"/>
      <c r="I55" s="29"/>
      <c r="S55" s="139" t="str">
        <f t="shared" si="2"/>
        <v>Ok</v>
      </c>
    </row>
    <row r="56" spans="1:47">
      <c r="C56" s="67">
        <v>43465</v>
      </c>
      <c r="D56" s="29"/>
      <c r="E56" s="66">
        <f>E52*1.0245</f>
        <v>115.45602749999999</v>
      </c>
      <c r="F56" s="169" t="s">
        <v>97</v>
      </c>
      <c r="G56" s="68"/>
      <c r="H56" s="29"/>
      <c r="I56" s="29"/>
      <c r="S56" s="139" t="str">
        <f t="shared" si="2"/>
        <v>Ok</v>
      </c>
    </row>
    <row r="57" spans="1:47">
      <c r="C57" s="67">
        <v>43555</v>
      </c>
      <c r="D57" s="29"/>
      <c r="E57" s="66">
        <f>AVERAGE(E56,E58)</f>
        <v>115.82338758749999</v>
      </c>
      <c r="F57" s="169" t="s">
        <v>97</v>
      </c>
      <c r="G57" s="68"/>
      <c r="H57" s="29"/>
      <c r="I57" s="29"/>
      <c r="S57" s="139" t="str">
        <f t="shared" si="2"/>
        <v>Ok</v>
      </c>
    </row>
    <row r="58" spans="1:47">
      <c r="C58" s="67">
        <v>43646</v>
      </c>
      <c r="D58" s="29"/>
      <c r="E58" s="66">
        <f>E54*1.0245</f>
        <v>116.190747675</v>
      </c>
      <c r="F58" s="169" t="s">
        <v>97</v>
      </c>
      <c r="G58" s="68"/>
      <c r="H58" s="29"/>
      <c r="I58" s="29"/>
      <c r="S58" s="139" t="str">
        <f t="shared" si="2"/>
        <v>Ok</v>
      </c>
    </row>
    <row r="59" spans="1:47">
      <c r="E59" s="29"/>
      <c r="F59" s="29"/>
      <c r="G59" s="29"/>
      <c r="H59" s="29"/>
      <c r="I59" s="29"/>
      <c r="S59" s="140"/>
    </row>
    <row r="60" spans="1:47" s="107" customFormat="1" ht="12.75">
      <c r="A60" s="98"/>
      <c r="B60" s="99" t="s">
        <v>21</v>
      </c>
      <c r="C60" s="98"/>
      <c r="D60" s="98"/>
      <c r="E60" s="98"/>
      <c r="F60" s="100"/>
      <c r="G60" s="100"/>
      <c r="H60" s="100"/>
      <c r="I60" s="100"/>
      <c r="J60" s="101"/>
      <c r="K60" s="102"/>
      <c r="L60" s="101"/>
      <c r="M60" s="102"/>
      <c r="N60" s="101"/>
      <c r="O60" s="101"/>
      <c r="P60" s="101"/>
      <c r="Q60" s="101"/>
      <c r="R60" s="101"/>
      <c r="S60" s="101"/>
      <c r="T60" s="101"/>
      <c r="U60" s="101"/>
      <c r="V60" s="102"/>
      <c r="W60" s="102"/>
      <c r="X60" s="103"/>
      <c r="Y60" s="103"/>
      <c r="Z60" s="103"/>
      <c r="AA60" s="103"/>
      <c r="AB60" s="104"/>
      <c r="AC60" s="105"/>
      <c r="AD60" s="105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1:47" hidden="1">
      <c r="G61" s="32"/>
      <c r="H61" s="32"/>
    </row>
    <row r="62" spans="1:47" hidden="1">
      <c r="G62" s="32"/>
      <c r="H62" s="32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s="30" customFormat="1" hidden="1">
      <c r="A65" s="29"/>
      <c r="B65" s="29"/>
      <c r="C65" s="29"/>
      <c r="G65" s="32"/>
      <c r="H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30" customFormat="1" hidden="1">
      <c r="A66" s="29"/>
      <c r="B66" s="29"/>
      <c r="C66" s="29"/>
      <c r="G66" s="32"/>
      <c r="H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s="30" customFormat="1" hidden="1">
      <c r="A67" s="29"/>
      <c r="B67" s="29"/>
      <c r="C67" s="29"/>
      <c r="G67" s="32"/>
      <c r="H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s="30" customFormat="1" hidden="1">
      <c r="A68" s="29"/>
      <c r="B68" s="29"/>
      <c r="C68" s="29"/>
      <c r="G68" s="32"/>
      <c r="H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  <row r="69" spans="1:47" s="30" customFormat="1" hidden="1">
      <c r="A69" s="29"/>
      <c r="B69" s="29"/>
      <c r="C69" s="29"/>
      <c r="G69" s="32"/>
      <c r="H69" s="3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</row>
    <row r="70" spans="1:47" s="30" customFormat="1" hidden="1">
      <c r="A70" s="29"/>
      <c r="B70" s="29"/>
      <c r="C70" s="29"/>
      <c r="G70" s="32"/>
      <c r="H70" s="3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</row>
    <row r="71" spans="1:47" ht="11.25" customHeight="1"/>
  </sheetData>
  <conditionalFormatting sqref="W14:W59 S9:S59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disablePrompts="1" count="2">
    <dataValidation type="list" allowBlank="1" showInputMessage="1" showErrorMessage="1" sqref="F59">
      <formula1>"Real 2010,Real 2011,Real 2012,Real 2013,Real 2014,Real 2015,Nominal"</formula1>
    </dataValidation>
    <dataValidation type="list" allowBlank="1" showInputMessage="1" showErrorMessage="1" sqref="I12:I59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E51:E5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U231"/>
  <sheetViews>
    <sheetView showGridLines="0" workbookViewId="0">
      <selection activeCell="L32" sqref="L32"/>
    </sheetView>
  </sheetViews>
  <sheetFormatPr defaultColWidth="0" defaultRowHeight="11.25" zeroHeight="1" outlineLevelRow="1"/>
  <cols>
    <col min="1" max="2" width="1.5" style="29" customWidth="1"/>
    <col min="3" max="3" width="65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/>
      <c r="C1" s="73" t="str">
        <f>Index!$B$1</f>
        <v>AER opex model</v>
      </c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IF(COUNTA($W$32:$W$252)=COUNTIF($W$32:$W$252,"OK"),"OK","Check")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/>
      <c r="C2" s="81" t="str">
        <f>Index!$C$9</f>
        <v>Input | Reported opex</v>
      </c>
      <c r="D2" s="81"/>
      <c r="E2" s="81"/>
      <c r="F2" s="82"/>
      <c r="G2" s="82"/>
      <c r="H2" s="82"/>
      <c r="I2" s="82"/>
    </row>
    <row r="3" spans="1:47" s="146" customFormat="1">
      <c r="A3" s="141"/>
      <c r="B3" s="141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  <c r="X3" s="145"/>
      <c r="Y3" s="145"/>
      <c r="Z3" s="145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3" t="str">
        <f>'Input|General'!$G$8</f>
        <v>2014-15</v>
      </c>
      <c r="K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3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2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3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3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3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3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3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153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51</v>
      </c>
      <c r="C8" s="98"/>
      <c r="D8" s="98"/>
      <c r="E8" s="98"/>
      <c r="F8" s="100"/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outlineLevel="1">
      <c r="G9" s="32"/>
      <c r="H9" s="32"/>
    </row>
    <row r="10" spans="1:47" outlineLevel="1">
      <c r="C10" s="70" t="s">
        <v>99</v>
      </c>
      <c r="D10" s="32" t="s">
        <v>7</v>
      </c>
      <c r="E10" s="32" t="s">
        <v>8</v>
      </c>
      <c r="F10" s="32" t="s">
        <v>22</v>
      </c>
      <c r="G10" s="32"/>
      <c r="H10" s="32"/>
      <c r="J10" s="110" t="str">
        <f>IF(RIGHT(J$4,2)&lt;=RIGHT('Input|General'!$G$10,2),'Input|Reported opex'!J$4,"")</f>
        <v>2014-15</v>
      </c>
      <c r="K10" s="110" t="str">
        <f ca="1">IF(RIGHT(K$4,2)&lt;=RIGHT('Input|General'!$G$10,2),'Input|Reported opex'!K$4,"")</f>
        <v>2015-16</v>
      </c>
      <c r="L10" s="110" t="str">
        <f ca="1">IF(RIGHT(L$4,2)&lt;=RIGHT('Input|General'!$G$10,2),'Input|Reported opex'!L$4,"")</f>
        <v>2016-17</v>
      </c>
      <c r="M10" s="110" t="str">
        <f ca="1">IF(RIGHT(M$4,2)&lt;=RIGHT('Input|General'!$G$10,2),'Input|Reported opex'!M$4,"")</f>
        <v>2017-18</v>
      </c>
      <c r="N10" s="110" t="str">
        <f ca="1">IF(RIGHT(N$4,2)&lt;=RIGHT('Input|General'!$G$10,2),'Input|Reported opex'!N$4,"")</f>
        <v>2018-19</v>
      </c>
      <c r="O10" s="110" t="str">
        <f ca="1">IF(RIGHT(O$4,2)&lt;=RIGHT('Input|General'!$G$10,2),'Input|Reported opex'!O$4,"")</f>
        <v/>
      </c>
      <c r="P10" s="110" t="str">
        <f ca="1">IF(RIGHT(P$4,2)&lt;=RIGHT('Input|General'!$G$10,2),'Input|Reported opex'!P$4,"")</f>
        <v/>
      </c>
      <c r="Q10" s="110" t="str">
        <f ca="1">IF(RIGHT(Q$4,2)&lt;=RIGHT('Input|General'!$G$10,2),'Input|Reported opex'!Q$4,"")</f>
        <v/>
      </c>
      <c r="R10" s="110" t="str">
        <f ca="1">IF(RIGHT(R$4,2)&lt;=RIGHT('Input|General'!$G$10,2),'Input|Reported opex'!R$4,"")</f>
        <v/>
      </c>
      <c r="S10" s="110" t="str">
        <f ca="1">IF(RIGHT(S$4,2)&lt;=RIGHT('Input|General'!$G$10,2),'Input|Reported opex'!S$4,"")</f>
        <v/>
      </c>
      <c r="T10" s="147" t="s">
        <v>67</v>
      </c>
      <c r="U10" s="148"/>
      <c r="V10" s="148"/>
    </row>
    <row r="11" spans="1:47" outlineLevel="1">
      <c r="C11" s="116"/>
      <c r="G11" s="32"/>
      <c r="H11" s="32"/>
      <c r="J11" s="23"/>
      <c r="K11" s="23"/>
      <c r="L11" s="23"/>
      <c r="M11" s="23"/>
      <c r="N11" s="23"/>
    </row>
    <row r="12" spans="1:47" outlineLevel="1">
      <c r="C12" s="116"/>
      <c r="G12" s="32"/>
      <c r="H12" s="32"/>
      <c r="J12" s="23"/>
      <c r="K12" s="23"/>
      <c r="L12" s="23"/>
      <c r="M12" s="23"/>
      <c r="N12" s="23"/>
    </row>
    <row r="13" spans="1:47" outlineLevel="1">
      <c r="C13" s="62" t="s">
        <v>96</v>
      </c>
      <c r="D13" s="30" t="s">
        <v>87</v>
      </c>
      <c r="E13" s="30" t="str">
        <f>$E$24</f>
        <v>$millions</v>
      </c>
      <c r="F13" s="109" t="s">
        <v>64</v>
      </c>
      <c r="G13" s="32"/>
      <c r="H13" s="32"/>
      <c r="J13" s="60">
        <v>44.007198952090185</v>
      </c>
      <c r="K13" s="60">
        <v>43.406553172998535</v>
      </c>
      <c r="L13" s="60">
        <v>43.640687773711043</v>
      </c>
      <c r="M13" s="60">
        <v>43.867839857018978</v>
      </c>
      <c r="N13" s="60">
        <v>43.38250439141644</v>
      </c>
      <c r="T13" s="167"/>
    </row>
    <row r="14" spans="1:47" outlineLevel="1">
      <c r="C14" s="62" t="s">
        <v>136</v>
      </c>
      <c r="D14" s="30" t="s">
        <v>87</v>
      </c>
      <c r="E14" s="30" t="str">
        <f t="shared" ref="E14:E22" si="0">$E$24</f>
        <v>$millions</v>
      </c>
      <c r="F14" s="109" t="s">
        <v>64</v>
      </c>
      <c r="G14" s="32"/>
      <c r="H14" s="32"/>
      <c r="J14" s="60">
        <v>-0.95088589137279544</v>
      </c>
      <c r="K14" s="60">
        <v>-0.95108295314160207</v>
      </c>
      <c r="L14" s="60">
        <v>-0.95971565952553095</v>
      </c>
      <c r="M14" s="60">
        <v>-0.9622680863706583</v>
      </c>
      <c r="N14" s="60">
        <v>-0.96057075792693236</v>
      </c>
      <c r="T14" s="167"/>
    </row>
    <row r="15" spans="1:47" outlineLevel="1">
      <c r="C15" s="62"/>
      <c r="D15" s="30" t="s">
        <v>87</v>
      </c>
      <c r="E15" s="30" t="str">
        <f t="shared" si="0"/>
        <v>$millions</v>
      </c>
      <c r="F15" s="109" t="s">
        <v>64</v>
      </c>
      <c r="G15" s="32"/>
      <c r="H15" s="32"/>
      <c r="J15" s="60"/>
      <c r="K15" s="60"/>
      <c r="L15" s="60"/>
      <c r="M15" s="60"/>
      <c r="N15" s="60"/>
      <c r="T15" s="167"/>
    </row>
    <row r="16" spans="1:47" outlineLevel="1">
      <c r="C16" s="62"/>
      <c r="D16" s="30" t="s">
        <v>87</v>
      </c>
      <c r="E16" s="30" t="str">
        <f t="shared" si="0"/>
        <v>$millions</v>
      </c>
      <c r="F16" s="109" t="s">
        <v>64</v>
      </c>
      <c r="G16" s="32"/>
      <c r="H16" s="32"/>
      <c r="J16" s="60"/>
      <c r="K16" s="60"/>
      <c r="L16" s="60"/>
      <c r="M16" s="60"/>
      <c r="N16" s="60"/>
      <c r="T16" s="167"/>
    </row>
    <row r="17" spans="1:47" outlineLevel="1">
      <c r="C17" s="62"/>
      <c r="D17" s="30" t="s">
        <v>87</v>
      </c>
      <c r="E17" s="30" t="str">
        <f t="shared" si="0"/>
        <v>$millions</v>
      </c>
      <c r="F17" s="109" t="s">
        <v>64</v>
      </c>
      <c r="G17" s="32"/>
      <c r="H17" s="32"/>
      <c r="J17" s="60"/>
      <c r="K17" s="60"/>
      <c r="L17" s="60"/>
      <c r="M17" s="60"/>
      <c r="N17" s="60"/>
      <c r="T17" s="167"/>
    </row>
    <row r="18" spans="1:47" outlineLevel="1">
      <c r="C18" s="62"/>
      <c r="D18" s="30" t="s">
        <v>87</v>
      </c>
      <c r="E18" s="30" t="str">
        <f t="shared" si="0"/>
        <v>$millions</v>
      </c>
      <c r="F18" s="109" t="s">
        <v>64</v>
      </c>
      <c r="G18" s="32"/>
      <c r="H18" s="32"/>
      <c r="J18" s="60"/>
      <c r="K18" s="60"/>
      <c r="L18" s="60"/>
      <c r="M18" s="60"/>
      <c r="N18" s="60"/>
      <c r="T18" s="167"/>
    </row>
    <row r="19" spans="1:47" outlineLevel="1">
      <c r="C19" s="62"/>
      <c r="D19" s="30" t="s">
        <v>87</v>
      </c>
      <c r="E19" s="30" t="str">
        <f t="shared" si="0"/>
        <v>$millions</v>
      </c>
      <c r="F19" s="109" t="s">
        <v>64</v>
      </c>
      <c r="G19" s="32"/>
      <c r="H19" s="32"/>
      <c r="J19" s="60"/>
      <c r="K19" s="60"/>
      <c r="L19" s="60"/>
      <c r="M19" s="60"/>
      <c r="N19" s="60"/>
      <c r="T19" s="167"/>
    </row>
    <row r="20" spans="1:47" outlineLevel="1">
      <c r="C20" s="62"/>
      <c r="D20" s="30" t="s">
        <v>87</v>
      </c>
      <c r="E20" s="30" t="str">
        <f t="shared" si="0"/>
        <v>$millions</v>
      </c>
      <c r="F20" s="109" t="s">
        <v>64</v>
      </c>
      <c r="G20" s="32"/>
      <c r="H20" s="32"/>
      <c r="J20" s="60"/>
      <c r="K20" s="60"/>
      <c r="L20" s="60"/>
      <c r="M20" s="60"/>
      <c r="N20" s="60"/>
      <c r="T20" s="167"/>
    </row>
    <row r="21" spans="1:47" outlineLevel="1">
      <c r="C21" s="62"/>
      <c r="D21" s="30" t="s">
        <v>87</v>
      </c>
      <c r="E21" s="30" t="str">
        <f t="shared" si="0"/>
        <v>$millions</v>
      </c>
      <c r="F21" s="109" t="s">
        <v>64</v>
      </c>
      <c r="G21" s="32"/>
      <c r="H21" s="32"/>
      <c r="J21" s="60"/>
      <c r="K21" s="60"/>
      <c r="L21" s="60"/>
      <c r="M21" s="60"/>
      <c r="N21" s="60"/>
      <c r="T21" s="167"/>
    </row>
    <row r="22" spans="1:47" outlineLevel="1">
      <c r="C22" s="62"/>
      <c r="D22" s="30" t="s">
        <v>87</v>
      </c>
      <c r="E22" s="30" t="str">
        <f t="shared" si="0"/>
        <v>$millions</v>
      </c>
      <c r="F22" s="109" t="s">
        <v>64</v>
      </c>
      <c r="G22" s="32"/>
      <c r="H22" s="32"/>
      <c r="J22" s="60"/>
      <c r="K22" s="60"/>
      <c r="L22" s="60"/>
      <c r="M22" s="60"/>
      <c r="N22" s="60"/>
      <c r="T22" s="167"/>
    </row>
    <row r="23" spans="1:47" outlineLevel="1">
      <c r="C23" s="116"/>
      <c r="G23" s="32"/>
      <c r="H23" s="32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47" outlineLevel="1">
      <c r="C24" s="149" t="s">
        <v>96</v>
      </c>
      <c r="D24" s="150" t="s">
        <v>30</v>
      </c>
      <c r="E24" s="138" t="s">
        <v>15</v>
      </c>
      <c r="F24" s="138" t="s">
        <v>64</v>
      </c>
      <c r="G24" s="32"/>
      <c r="H24" s="32"/>
      <c r="J24" s="137">
        <f t="shared" ref="J24:S24" si="1">SUM(J13:J22)</f>
        <v>43.056313060717393</v>
      </c>
      <c r="K24" s="137">
        <f t="shared" si="1"/>
        <v>42.455470219856934</v>
      </c>
      <c r="L24" s="137">
        <f t="shared" si="1"/>
        <v>42.680972114185515</v>
      </c>
      <c r="M24" s="137">
        <f t="shared" si="1"/>
        <v>42.905571770648322</v>
      </c>
      <c r="N24" s="137">
        <f t="shared" si="1"/>
        <v>42.421933633489509</v>
      </c>
      <c r="O24" s="137">
        <f t="shared" si="1"/>
        <v>0</v>
      </c>
      <c r="P24" s="137">
        <f t="shared" si="1"/>
        <v>0</v>
      </c>
      <c r="Q24" s="137">
        <f t="shared" si="1"/>
        <v>0</v>
      </c>
      <c r="R24" s="137">
        <f t="shared" si="1"/>
        <v>0</v>
      </c>
      <c r="S24" s="137">
        <f t="shared" si="1"/>
        <v>0</v>
      </c>
    </row>
    <row r="25" spans="1:47">
      <c r="G25" s="32"/>
      <c r="H25" s="32"/>
    </row>
    <row r="26" spans="1:47" s="107" customFormat="1" ht="12.75">
      <c r="A26" s="98"/>
      <c r="B26" s="99" t="s">
        <v>72</v>
      </c>
      <c r="C26" s="98"/>
      <c r="D26" s="98"/>
      <c r="E26" s="98"/>
      <c r="F26" s="100"/>
      <c r="G26" s="100"/>
      <c r="H26" s="100"/>
      <c r="I26" s="100"/>
      <c r="J26" s="101"/>
      <c r="K26" s="102"/>
      <c r="L26" s="101"/>
      <c r="M26" s="102"/>
      <c r="N26" s="101"/>
      <c r="O26" s="101"/>
      <c r="P26" s="101"/>
      <c r="Q26" s="101"/>
      <c r="R26" s="101"/>
      <c r="S26" s="101"/>
      <c r="T26" s="101"/>
      <c r="U26" s="101"/>
      <c r="V26" s="102"/>
      <c r="W26" s="102"/>
      <c r="X26" s="103"/>
      <c r="Y26" s="103"/>
      <c r="Z26" s="103"/>
      <c r="AA26" s="103"/>
      <c r="AB26" s="104"/>
      <c r="AC26" s="105"/>
      <c r="AD26" s="105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</row>
    <row r="27" spans="1:47" outlineLevel="1"/>
    <row r="28" spans="1:47" outlineLevel="1">
      <c r="J28" s="52" t="s">
        <v>23</v>
      </c>
      <c r="K28" s="52" t="s">
        <v>23</v>
      </c>
      <c r="L28" s="52" t="s">
        <v>23</v>
      </c>
      <c r="M28" s="52" t="s">
        <v>97</v>
      </c>
      <c r="N28" s="52" t="s">
        <v>97</v>
      </c>
    </row>
    <row r="29" spans="1:47" outlineLevel="1">
      <c r="C29" s="70" t="s">
        <v>99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10" t="str">
        <f>IF(RIGHT(J4,2)&lt;=RIGHT('Input|General'!$G$10,2),'Input|Reported opex'!J4,"")</f>
        <v>2014-15</v>
      </c>
      <c r="K29" s="110" t="str">
        <f ca="1">IF(RIGHT(K4,2)&lt;=RIGHT('Input|General'!$G$10,2),'Input|Reported opex'!K4,"")</f>
        <v>2015-16</v>
      </c>
      <c r="L29" s="110" t="str">
        <f ca="1">IF(RIGHT(L4,2)&lt;=RIGHT('Input|General'!$G$10,2),'Input|Reported opex'!L4,"")</f>
        <v>2016-17</v>
      </c>
      <c r="M29" s="110" t="str">
        <f ca="1">IF(RIGHT(M4,2)&lt;=RIGHT('Input|General'!$G$10,2),'Input|Reported opex'!M4,"")</f>
        <v>2017-18</v>
      </c>
      <c r="N29" s="110" t="str">
        <f ca="1">IF(RIGHT(N4,2)&lt;=RIGHT('Input|General'!$G$10,2),'Input|Reported opex'!N4,"")</f>
        <v>2018-19</v>
      </c>
      <c r="O29" s="110" t="str">
        <f ca="1">IF(RIGHT(O4,2)&lt;=RIGHT('Input|General'!$G$10,2),'Input|Reported opex'!O4,"")</f>
        <v/>
      </c>
      <c r="P29" s="110" t="str">
        <f ca="1">IF(RIGHT(P4,2)&lt;=RIGHT('Input|General'!$G$10,2),'Input|Reported opex'!P4,"")</f>
        <v/>
      </c>
      <c r="Q29" s="110" t="str">
        <f ca="1">IF(RIGHT(Q4,2)&lt;=RIGHT('Input|General'!$G$10,2),'Input|Reported opex'!Q4,"")</f>
        <v/>
      </c>
      <c r="R29" s="110" t="str">
        <f ca="1">IF(RIGHT(R4,2)&lt;=RIGHT('Input|General'!$G$10,2),'Input|Reported opex'!R4,"")</f>
        <v/>
      </c>
      <c r="S29" s="110" t="str">
        <f ca="1">IF(RIGHT(S4,2)&lt;=RIGHT('Input|General'!$G$10,2),'Input|Reported opex'!S4,"")</f>
        <v/>
      </c>
      <c r="T29" s="147" t="s">
        <v>67</v>
      </c>
      <c r="U29" s="148"/>
      <c r="V29" s="148"/>
    </row>
    <row r="30" spans="1:47" outlineLevel="1">
      <c r="C30" s="116"/>
      <c r="G30" s="32"/>
      <c r="H30" s="32"/>
    </row>
    <row r="31" spans="1:47" outlineLevel="1">
      <c r="C31" s="116"/>
      <c r="G31" s="32"/>
      <c r="H31" s="32"/>
      <c r="T31" s="167"/>
    </row>
    <row r="32" spans="1:47" outlineLevel="1">
      <c r="C32" s="62" t="s">
        <v>96</v>
      </c>
      <c r="D32" s="30" t="s">
        <v>98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J32" s="60"/>
      <c r="K32" s="60"/>
      <c r="L32" s="60"/>
      <c r="M32" s="60">
        <v>37.070566006537319</v>
      </c>
      <c r="N32" s="60"/>
      <c r="P32"/>
      <c r="T32" s="167"/>
    </row>
    <row r="33" spans="3:20" outlineLevel="1">
      <c r="C33" s="62"/>
      <c r="D33" s="30" t="s">
        <v>98</v>
      </c>
      <c r="E33" s="30" t="str">
        <f t="shared" si="2"/>
        <v>$millions</v>
      </c>
      <c r="F33" s="30" t="str">
        <f t="shared" si="3"/>
        <v>nominal</v>
      </c>
      <c r="G33" s="32"/>
      <c r="H33" s="32"/>
      <c r="J33" s="60"/>
      <c r="K33" s="60"/>
      <c r="L33" s="60"/>
      <c r="M33" s="60"/>
      <c r="N33" s="60"/>
      <c r="T33" s="167"/>
    </row>
    <row r="34" spans="3:20" outlineLevel="1">
      <c r="C34" s="62"/>
      <c r="D34" s="30" t="s">
        <v>98</v>
      </c>
      <c r="E34" s="30" t="str">
        <f t="shared" si="2"/>
        <v>$millions</v>
      </c>
      <c r="F34" s="30" t="str">
        <f t="shared" si="3"/>
        <v>nominal</v>
      </c>
      <c r="G34" s="32"/>
      <c r="H34" s="32"/>
      <c r="J34" s="60"/>
      <c r="K34" s="60"/>
      <c r="L34" s="60"/>
      <c r="M34" s="60"/>
      <c r="N34" s="60"/>
      <c r="T34" s="167"/>
    </row>
    <row r="35" spans="3:20" outlineLevel="1">
      <c r="C35" s="62"/>
      <c r="D35" s="30" t="s">
        <v>98</v>
      </c>
      <c r="E35" s="30" t="str">
        <f t="shared" si="2"/>
        <v>$millions</v>
      </c>
      <c r="F35" s="30" t="str">
        <f t="shared" si="3"/>
        <v>nominal</v>
      </c>
      <c r="G35" s="32"/>
      <c r="H35" s="32"/>
      <c r="J35" s="60"/>
      <c r="K35" s="60"/>
      <c r="L35" s="60"/>
      <c r="M35" s="60"/>
      <c r="N35" s="60"/>
      <c r="T35" s="167"/>
    </row>
    <row r="36" spans="3:20" outlineLevel="1">
      <c r="C36" s="62"/>
      <c r="D36" s="30" t="s">
        <v>98</v>
      </c>
      <c r="E36" s="30" t="str">
        <f t="shared" si="2"/>
        <v>$millions</v>
      </c>
      <c r="F36" s="30" t="str">
        <f t="shared" si="3"/>
        <v>nominal</v>
      </c>
      <c r="G36" s="32"/>
      <c r="H36" s="32"/>
      <c r="J36" s="60"/>
      <c r="K36" s="60"/>
      <c r="L36" s="60"/>
      <c r="M36" s="60"/>
      <c r="N36" s="60"/>
      <c r="T36" s="167"/>
    </row>
    <row r="37" spans="3:20" outlineLevel="1">
      <c r="C37" s="62" t="s">
        <v>144</v>
      </c>
      <c r="D37" s="30" t="s">
        <v>98</v>
      </c>
      <c r="E37" s="30" t="str">
        <f t="shared" si="2"/>
        <v>$millions</v>
      </c>
      <c r="F37" s="30" t="str">
        <f t="shared" si="3"/>
        <v>nominal</v>
      </c>
      <c r="G37" s="32"/>
      <c r="H37" s="32"/>
      <c r="J37" s="60"/>
      <c r="K37" s="60"/>
      <c r="L37" s="60"/>
      <c r="M37" s="60"/>
      <c r="N37" s="60"/>
      <c r="T37" s="167"/>
    </row>
    <row r="38" spans="3:20" outlineLevel="1">
      <c r="T38" s="167"/>
    </row>
    <row r="39" spans="3:20" outlineLevel="1">
      <c r="C39" s="70" t="s">
        <v>147</v>
      </c>
      <c r="T39" s="167"/>
    </row>
    <row r="40" spans="3:20" outlineLevel="1">
      <c r="T40" s="167"/>
    </row>
    <row r="41" spans="3:20" outlineLevel="1">
      <c r="C41" s="62"/>
      <c r="D41" s="30" t="s">
        <v>98</v>
      </c>
      <c r="E41" s="30" t="str">
        <f>$E$46</f>
        <v>$millions</v>
      </c>
      <c r="F41" s="30" t="str">
        <f>$F$46</f>
        <v>nominal</v>
      </c>
      <c r="G41" s="32"/>
      <c r="H41" s="32"/>
      <c r="J41" s="60"/>
      <c r="K41" s="60"/>
      <c r="L41" s="60"/>
      <c r="M41" s="60"/>
      <c r="N41" s="60"/>
      <c r="P41" s="29" t="s">
        <v>145</v>
      </c>
      <c r="T41" s="167"/>
    </row>
    <row r="42" spans="3:20" outlineLevel="1">
      <c r="C42" s="62"/>
      <c r="D42" s="30" t="s">
        <v>98</v>
      </c>
      <c r="E42" s="30" t="str">
        <f>$E$46</f>
        <v>$millions</v>
      </c>
      <c r="F42" s="30" t="str">
        <f>$F$46</f>
        <v>nominal</v>
      </c>
      <c r="G42" s="32"/>
      <c r="H42" s="32"/>
      <c r="J42" s="60"/>
      <c r="K42" s="60"/>
      <c r="L42" s="60"/>
      <c r="M42" s="60"/>
      <c r="N42" s="60"/>
      <c r="P42" s="29" t="s">
        <v>146</v>
      </c>
      <c r="T42" s="167"/>
    </row>
    <row r="43" spans="3:20" outlineLevel="1">
      <c r="C43" s="62"/>
      <c r="D43" s="30" t="s">
        <v>98</v>
      </c>
      <c r="E43" s="30" t="str">
        <f>$E$46</f>
        <v>$millions</v>
      </c>
      <c r="F43" s="30" t="str">
        <f>$F$46</f>
        <v>nominal</v>
      </c>
      <c r="G43" s="32"/>
      <c r="H43" s="32"/>
      <c r="J43" s="60"/>
      <c r="K43" s="60"/>
      <c r="L43" s="60"/>
      <c r="M43" s="60"/>
      <c r="N43" s="60"/>
      <c r="T43" s="167"/>
    </row>
    <row r="44" spans="3:20" outlineLevel="1">
      <c r="C44" s="62"/>
      <c r="D44" s="30" t="s">
        <v>98</v>
      </c>
      <c r="E44" s="30" t="str">
        <f>$E$46</f>
        <v>$millions</v>
      </c>
      <c r="F44" s="30" t="str">
        <f>$F$46</f>
        <v>nominal</v>
      </c>
      <c r="G44" s="32"/>
      <c r="H44" s="32"/>
      <c r="J44" s="60"/>
      <c r="K44" s="60"/>
      <c r="L44" s="60"/>
      <c r="M44" s="60"/>
      <c r="N44" s="60"/>
      <c r="T44" s="167"/>
    </row>
    <row r="45" spans="3:20" outlineLevel="1">
      <c r="C45" s="116"/>
      <c r="G45" s="32"/>
      <c r="H45" s="32"/>
      <c r="N45" s="151"/>
    </row>
    <row r="46" spans="3:20" outlineLevel="1">
      <c r="C46" s="149" t="s">
        <v>96</v>
      </c>
      <c r="D46" s="150" t="s">
        <v>30</v>
      </c>
      <c r="E46" s="138" t="s">
        <v>15</v>
      </c>
      <c r="F46" s="138" t="s">
        <v>129</v>
      </c>
      <c r="G46" s="32"/>
      <c r="H46" s="32"/>
      <c r="J46" s="137">
        <f>SUM(J32:J44)</f>
        <v>0</v>
      </c>
      <c r="K46" s="137">
        <f t="shared" ref="K46:S46" si="4">SUM(K32:K44)</f>
        <v>0</v>
      </c>
      <c r="L46" s="137">
        <f t="shared" si="4"/>
        <v>0</v>
      </c>
      <c r="M46" s="137">
        <f t="shared" si="4"/>
        <v>37.070566006537319</v>
      </c>
      <c r="N46" s="137">
        <f t="shared" si="4"/>
        <v>0</v>
      </c>
      <c r="O46" s="137">
        <f t="shared" si="4"/>
        <v>0</v>
      </c>
      <c r="P46" s="137">
        <f t="shared" si="4"/>
        <v>0</v>
      </c>
      <c r="Q46" s="137">
        <f t="shared" si="4"/>
        <v>0</v>
      </c>
      <c r="R46" s="137">
        <f t="shared" si="4"/>
        <v>0</v>
      </c>
      <c r="S46" s="137">
        <f t="shared" si="4"/>
        <v>0</v>
      </c>
    </row>
    <row r="47" spans="3:20">
      <c r="G47" s="32"/>
      <c r="H47" s="32"/>
    </row>
    <row r="48" spans="3:20">
      <c r="C48" s="116"/>
      <c r="G48" s="32"/>
      <c r="H48" s="32"/>
    </row>
    <row r="49" spans="1:47" s="107" customFormat="1" ht="12.75">
      <c r="A49" s="98"/>
      <c r="B49" s="99" t="s">
        <v>148</v>
      </c>
      <c r="C49" s="98"/>
      <c r="D49" s="98"/>
      <c r="E49" s="98"/>
      <c r="F49" s="100"/>
      <c r="G49" s="100"/>
      <c r="H49" s="100"/>
      <c r="I49" s="100"/>
      <c r="J49" s="101"/>
      <c r="K49" s="102"/>
      <c r="L49" s="101"/>
      <c r="M49" s="102"/>
      <c r="N49" s="101"/>
      <c r="O49" s="101"/>
      <c r="P49" s="101"/>
      <c r="Q49" s="101"/>
      <c r="R49" s="101"/>
      <c r="S49" s="101"/>
      <c r="T49" s="101"/>
      <c r="U49" s="101"/>
      <c r="V49" s="102"/>
      <c r="W49" s="102"/>
      <c r="X49" s="103"/>
      <c r="Y49" s="103"/>
      <c r="Z49" s="103"/>
      <c r="AA49" s="103"/>
      <c r="AB49" s="104"/>
      <c r="AC49" s="105"/>
      <c r="AD49" s="105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outlineLevel="1"/>
    <row r="51" spans="1:47" outlineLevel="1">
      <c r="C51" s="70" t="s">
        <v>149</v>
      </c>
      <c r="D51" s="32" t="s">
        <v>7</v>
      </c>
      <c r="E51" s="32" t="s">
        <v>8</v>
      </c>
      <c r="F51" s="32" t="s">
        <v>22</v>
      </c>
      <c r="G51" s="32"/>
      <c r="H51" s="32"/>
      <c r="I51" s="32"/>
      <c r="J51" s="110" t="str">
        <f>IF(RIGHT(J9,2)=RIGHT('Input|General'!$G$10,2),'Input|Reported opex'!J9,"")</f>
        <v/>
      </c>
      <c r="K51" s="110" t="str">
        <f>IF(RIGHT(K9,2)=RIGHT('Input|General'!$G$10,2),'Input|Reported opex'!K9,"")</f>
        <v/>
      </c>
      <c r="L51" s="110" t="str">
        <f>IF(RIGHT(L9,2)=RIGHT('Input|General'!$G$10,2),'Input|Reported opex'!L9,"")</f>
        <v/>
      </c>
      <c r="M51" s="110" t="str">
        <f>IF(RIGHT(M9,2)=RIGHT('Input|General'!$G$10,2),'Input|Reported opex'!M9,"")</f>
        <v/>
      </c>
      <c r="N51" s="110" t="str">
        <f ca="1">IF(RIGHT(N$4,2)=RIGHT('Input|General'!$G$10,2),N$4,"")</f>
        <v>2018-19</v>
      </c>
    </row>
    <row r="52" spans="1:47" outlineLevel="1">
      <c r="C52" s="62" t="s">
        <v>150</v>
      </c>
      <c r="D52" s="30" t="s">
        <v>34</v>
      </c>
      <c r="E52" s="30" t="str">
        <f>$E$46</f>
        <v>$millions</v>
      </c>
      <c r="F52" s="30" t="s">
        <v>41</v>
      </c>
      <c r="G52" s="32"/>
      <c r="H52" s="32"/>
      <c r="I52" s="32"/>
      <c r="J52" s="126"/>
      <c r="K52" s="126"/>
      <c r="L52" s="126"/>
      <c r="M52" s="126"/>
      <c r="N52" s="60"/>
      <c r="O52" s="126"/>
      <c r="P52" s="126"/>
      <c r="Q52" s="126"/>
      <c r="R52" s="126"/>
      <c r="S52" s="126"/>
      <c r="T52" s="130"/>
      <c r="U52" s="152"/>
      <c r="V52" s="152"/>
    </row>
    <row r="53" spans="1:47" outlineLevel="1">
      <c r="C53" s="62" t="s">
        <v>155</v>
      </c>
      <c r="D53" s="30" t="s">
        <v>34</v>
      </c>
      <c r="E53" s="30" t="str">
        <f t="shared" ref="E53:E56" si="5">$E$46</f>
        <v>$millions</v>
      </c>
      <c r="F53" s="30" t="s">
        <v>41</v>
      </c>
      <c r="G53" s="32"/>
      <c r="H53" s="32"/>
      <c r="I53" s="32"/>
      <c r="J53" s="126"/>
      <c r="K53" s="126"/>
      <c r="L53" s="126"/>
      <c r="M53" s="126"/>
      <c r="N53" s="60"/>
      <c r="O53" s="126"/>
      <c r="P53" s="126"/>
      <c r="Q53" s="126"/>
      <c r="R53" s="126"/>
      <c r="S53" s="126"/>
      <c r="T53" s="130"/>
      <c r="U53" s="152"/>
      <c r="V53" s="152"/>
    </row>
    <row r="54" spans="1:47" outlineLevel="1">
      <c r="C54" s="62" t="s">
        <v>156</v>
      </c>
      <c r="D54" s="30" t="s">
        <v>34</v>
      </c>
      <c r="E54" s="30" t="str">
        <f t="shared" si="5"/>
        <v>$millions</v>
      </c>
      <c r="F54" s="30" t="s">
        <v>41</v>
      </c>
      <c r="G54" s="32"/>
      <c r="H54" s="32"/>
      <c r="I54" s="32"/>
      <c r="J54" s="126"/>
      <c r="K54" s="126"/>
      <c r="L54" s="126"/>
      <c r="M54" s="126"/>
      <c r="N54" s="60"/>
      <c r="O54" s="126"/>
      <c r="P54" s="126"/>
      <c r="Q54" s="126"/>
      <c r="R54" s="126"/>
      <c r="S54" s="126"/>
      <c r="T54" s="130"/>
      <c r="U54" s="152"/>
      <c r="V54" s="152"/>
    </row>
    <row r="55" spans="1:47" outlineLevel="1">
      <c r="C55" s="62" t="s">
        <v>157</v>
      </c>
      <c r="D55" s="30" t="s">
        <v>34</v>
      </c>
      <c r="E55" s="30" t="str">
        <f t="shared" si="5"/>
        <v>$millions</v>
      </c>
      <c r="F55" s="30" t="s">
        <v>41</v>
      </c>
      <c r="G55" s="32"/>
      <c r="H55" s="32"/>
      <c r="I55" s="32"/>
      <c r="J55" s="126"/>
      <c r="K55" s="126"/>
      <c r="L55" s="126"/>
      <c r="M55" s="126"/>
      <c r="N55" s="60"/>
      <c r="O55" s="126"/>
      <c r="P55" s="126"/>
      <c r="Q55" s="126"/>
      <c r="R55" s="126"/>
      <c r="S55" s="126"/>
      <c r="T55" s="130"/>
      <c r="U55" s="152"/>
      <c r="V55" s="152"/>
    </row>
    <row r="56" spans="1:47" outlineLevel="1">
      <c r="C56" s="62" t="s">
        <v>158</v>
      </c>
      <c r="D56" s="30" t="s">
        <v>34</v>
      </c>
      <c r="E56" s="30" t="str">
        <f t="shared" si="5"/>
        <v>$millions</v>
      </c>
      <c r="F56" s="30" t="s">
        <v>41</v>
      </c>
      <c r="G56" s="32"/>
      <c r="H56" s="32"/>
      <c r="I56" s="32"/>
      <c r="J56" s="126"/>
      <c r="K56" s="126"/>
      <c r="L56" s="126"/>
      <c r="M56" s="126"/>
      <c r="N56" s="60"/>
      <c r="O56" s="126"/>
      <c r="P56" s="126"/>
      <c r="Q56" s="126"/>
      <c r="R56" s="126"/>
      <c r="S56" s="126"/>
      <c r="T56" s="130"/>
      <c r="U56" s="152"/>
      <c r="V56" s="152"/>
    </row>
    <row r="57" spans="1:47" outlineLevel="1">
      <c r="C57" s="62" t="s">
        <v>112</v>
      </c>
      <c r="D57" s="30" t="s">
        <v>34</v>
      </c>
      <c r="E57" s="30" t="s">
        <v>31</v>
      </c>
      <c r="F57" s="32"/>
      <c r="G57" s="32"/>
      <c r="H57" s="32"/>
      <c r="I57" s="32"/>
      <c r="K57" s="126"/>
      <c r="L57" s="126"/>
      <c r="M57" s="126"/>
      <c r="N57" s="166">
        <v>0</v>
      </c>
      <c r="O57" s="170"/>
      <c r="P57" s="126"/>
      <c r="Q57" s="126"/>
      <c r="R57" s="126"/>
      <c r="S57" s="126"/>
      <c r="T57" s="130"/>
      <c r="U57" s="152"/>
      <c r="V57" s="152"/>
    </row>
    <row r="58" spans="1:47">
      <c r="C58" s="116"/>
      <c r="G58" s="32"/>
      <c r="H58" s="32"/>
    </row>
    <row r="59" spans="1:47" s="107" customFormat="1" ht="12.75">
      <c r="A59" s="98"/>
      <c r="B59" s="99" t="s">
        <v>21</v>
      </c>
      <c r="C59" s="98"/>
      <c r="D59" s="98"/>
      <c r="E59" s="98"/>
      <c r="F59" s="100"/>
      <c r="G59" s="100"/>
      <c r="H59" s="100"/>
      <c r="I59" s="100"/>
      <c r="J59" s="101"/>
      <c r="K59" s="102"/>
      <c r="L59" s="101"/>
      <c r="M59" s="102"/>
      <c r="N59" s="101"/>
      <c r="O59" s="101"/>
      <c r="P59" s="101"/>
      <c r="Q59" s="101"/>
      <c r="R59" s="101"/>
      <c r="S59" s="101"/>
      <c r="T59" s="101"/>
      <c r="U59" s="101"/>
      <c r="V59" s="102"/>
      <c r="W59" s="102"/>
      <c r="X59" s="103"/>
      <c r="Y59" s="103"/>
      <c r="Z59" s="103"/>
      <c r="AA59" s="103"/>
      <c r="AB59" s="104"/>
      <c r="AC59" s="105"/>
      <c r="AD59" s="105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1:47" hidden="1">
      <c r="G60" s="32"/>
      <c r="H60" s="32"/>
    </row>
    <row r="61" spans="1:47" hidden="1">
      <c r="G61" s="32"/>
      <c r="H61" s="32"/>
    </row>
    <row r="62" spans="1:47" hidden="1">
      <c r="G62" s="32"/>
      <c r="H62" s="32"/>
    </row>
    <row r="63" spans="1:47" hidden="1">
      <c r="G63" s="32"/>
      <c r="H63" s="32"/>
    </row>
    <row r="64" spans="1:47" hidden="1">
      <c r="G64" s="32"/>
      <c r="H64" s="32"/>
    </row>
    <row r="65" spans="7:8" hidden="1">
      <c r="G65" s="32"/>
      <c r="H65" s="32"/>
    </row>
    <row r="66" spans="7:8" hidden="1">
      <c r="G66" s="32"/>
      <c r="H66" s="32"/>
    </row>
    <row r="67" spans="7:8" hidden="1">
      <c r="G67" s="32"/>
      <c r="H67" s="32"/>
    </row>
    <row r="68" spans="7:8" hidden="1">
      <c r="G68" s="32"/>
      <c r="H68" s="32"/>
    </row>
    <row r="69" spans="7:8" hidden="1">
      <c r="G69" s="32"/>
      <c r="H69" s="32"/>
    </row>
    <row r="70" spans="7:8" hidden="1"/>
    <row r="71" spans="7:8" hidden="1"/>
    <row r="72" spans="7:8" hidden="1"/>
    <row r="73" spans="7:8" hidden="1"/>
    <row r="74" spans="7:8" hidden="1"/>
    <row r="75" spans="7:8" hidden="1"/>
    <row r="76" spans="7:8" hidden="1"/>
    <row r="77" spans="7:8" hidden="1"/>
    <row r="78" spans="7:8" hidden="1"/>
    <row r="79" spans="7:8" hidden="1"/>
    <row r="80" spans="7: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</sheetData>
  <conditionalFormatting sqref="W32:W44">
    <cfRule type="cellIs" dxfId="95" priority="24" operator="equal">
      <formula>"Check"</formula>
    </cfRule>
    <cfRule type="cellIs" dxfId="94" priority="25" operator="equal">
      <formula>"Ok"</formula>
    </cfRule>
  </conditionalFormatting>
  <conditionalFormatting sqref="W46">
    <cfRule type="cellIs" dxfId="93" priority="16" operator="equal">
      <formula>"Check"</formula>
    </cfRule>
    <cfRule type="cellIs" dxfId="92" priority="17" operator="equal">
      <formula>"Ok"</formula>
    </cfRule>
  </conditionalFormatting>
  <conditionalFormatting sqref="W24">
    <cfRule type="cellIs" dxfId="91" priority="7" operator="equal">
      <formula>"Check"</formula>
    </cfRule>
    <cfRule type="cellIs" dxfId="90" priority="8" operator="equal">
      <formula>"Ok"</formula>
    </cfRule>
  </conditionalFormatting>
  <conditionalFormatting sqref="V1">
    <cfRule type="cellIs" dxfId="89" priority="5" operator="equal">
      <formula>"Check"</formula>
    </cfRule>
    <cfRule type="cellIs" dxfId="88" priority="6" operator="equal">
      <formula>"Ok"</formula>
    </cfRule>
  </conditionalFormatting>
  <conditionalFormatting sqref="S1">
    <cfRule type="cellIs" dxfId="87" priority="3" operator="equal">
      <formula>"Check"</formula>
    </cfRule>
    <cfRule type="cellIs" dxfId="86" priority="4" operator="equal">
      <formula>"Ok"</formula>
    </cfRule>
  </conditionalFormatting>
  <conditionalFormatting sqref="J24:S24">
    <cfRule type="cellIs" dxfId="85" priority="2" operator="equal">
      <formula>0</formula>
    </cfRule>
  </conditionalFormatting>
  <conditionalFormatting sqref="J46:S46">
    <cfRule type="cellIs" dxfId="84" priority="1" operator="equal">
      <formula>0</formula>
    </cfRule>
  </conditionalFormatting>
  <dataValidations count="3">
    <dataValidation type="list" allowBlank="1" showInputMessage="1" showErrorMessage="1" sqref="I46">
      <formula1>#REF!</formula1>
    </dataValidation>
    <dataValidation type="list" allowBlank="1" showInputMessage="1" showErrorMessage="1" sqref="I30:I37 I58 I48 F23 I41:I45">
      <formula1>#REF!</formula1>
    </dataValidation>
    <dataValidation type="list" allowBlank="1" showInputMessage="1" showErrorMessage="1" sqref="F46 F41:F44 F32:F37">
      <formula1>$G$25:$G$31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'Lookup|Tables'!$G$19:$G$20</xm:f>
          </x14:formula1>
          <xm:sqref>J28:S28</xm:sqref>
        </x14:dataValidation>
        <x14:dataValidation type="list" allowBlank="1" showInputMessage="1" showErrorMessage="1">
          <x14:formula1>
            <xm:f>'Lookup|Tables'!$G$25:$G$35</xm:f>
          </x14:formula1>
          <xm:sqref>F24</xm:sqref>
        </x14:dataValidation>
        <x14:dataValidation type="list" allowBlank="1" showInputMessage="1" showErrorMessage="1">
          <x14:formula1>
            <xm:f>'Lookup|Tables'!$G$10:$G$12</xm:f>
          </x14:formula1>
          <xm:sqref>E24 E13:E22 E46 E32:E37 E41:E44 E52:E56</xm:sqref>
        </x14:dataValidation>
        <x14:dataValidation type="list" allowBlank="1" showInputMessage="1" showErrorMessage="1">
          <x14:formula1>
            <xm:f>'Lookup|Tables'!$G$25:$G$33</xm:f>
          </x14:formula1>
          <xm:sqref>F52:F56</xm:sqref>
        </x14:dataValidation>
        <x14:dataValidation type="list" allowBlank="1" showInputMessage="1" showErrorMessage="1">
          <x14:formula1>
            <xm:f>'Lookup|Tables'!$G$25:$G$42</xm:f>
          </x14:formula1>
          <xm:sqref>F13:F22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workbookViewId="0">
      <selection activeCell="F14" sqref="F14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74"/>
      <c r="K1" s="37" t="s">
        <v>2</v>
      </c>
      <c r="M1" s="75" t="s">
        <v>3</v>
      </c>
      <c r="N1" s="76" t="s">
        <v>4</v>
      </c>
      <c r="O1" s="77" t="s">
        <v>5</v>
      </c>
      <c r="P1" s="78" t="s">
        <v>6</v>
      </c>
      <c r="S1" s="75" t="s">
        <v>105</v>
      </c>
      <c r="T1" s="79" t="str">
        <f>IF(COUNTIF(W5:W94,"Check")=0,"Ok","Check")</f>
        <v>Ok</v>
      </c>
      <c r="V1" s="75" t="s">
        <v>24</v>
      </c>
      <c r="W1" s="79" t="str">
        <f>'Check|List'!$S$1</f>
        <v>Ok</v>
      </c>
    </row>
    <row r="2" spans="1:50" s="80" customFormat="1" ht="13.5" thickBot="1">
      <c r="B2" s="81" t="str">
        <f>Index!$C$10</f>
        <v>Input | Rate of change</v>
      </c>
      <c r="C2" s="81"/>
      <c r="D2" s="81"/>
      <c r="E2" s="81"/>
      <c r="F2" s="82"/>
      <c r="G2" s="82"/>
      <c r="H2" s="82"/>
      <c r="I2" s="82"/>
      <c r="J2" s="82"/>
    </row>
    <row r="3" spans="1:50" s="83" customFormat="1">
      <c r="C3" s="84"/>
      <c r="D3" s="85"/>
      <c r="E3" s="85"/>
      <c r="F3" s="85"/>
      <c r="G3" s="85"/>
      <c r="H3" s="85"/>
      <c r="I3" s="85"/>
      <c r="J3" s="162"/>
      <c r="K3" s="180"/>
      <c r="L3" s="180"/>
      <c r="M3" s="180"/>
      <c r="N3" s="85"/>
      <c r="O3" s="180"/>
      <c r="P3" s="180"/>
      <c r="Q3" s="180"/>
      <c r="R3" s="180"/>
      <c r="S3" s="180"/>
      <c r="T3" s="180"/>
      <c r="U3" s="86"/>
      <c r="V3" s="86"/>
      <c r="W3" s="86"/>
      <c r="X3" s="86"/>
      <c r="Y3" s="86"/>
      <c r="Z3" s="86"/>
      <c r="AA3" s="86"/>
      <c r="AB3" s="86"/>
      <c r="AC3" s="86"/>
    </row>
    <row r="4" spans="1:50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91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2013-14</v>
      </c>
      <c r="K4" s="91" t="str">
        <f>'Input|General'!$G$8</f>
        <v>2014-15</v>
      </c>
      <c r="L4" s="91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M4" s="91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2016-17</v>
      </c>
      <c r="N4" s="91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2017-18</v>
      </c>
      <c r="O4" s="91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2018-19</v>
      </c>
      <c r="P4" s="91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2019-20</v>
      </c>
      <c r="Q4" s="91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2020-21</v>
      </c>
      <c r="R4" s="91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>2021-22</v>
      </c>
      <c r="S4" s="91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>2022-23</v>
      </c>
      <c r="T4" s="91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U4" s="91"/>
      <c r="V4" s="91"/>
      <c r="W4" s="92"/>
      <c r="X4" s="93"/>
      <c r="Y4" s="93"/>
      <c r="Z4" s="93"/>
      <c r="AA4" s="93"/>
      <c r="AB4" s="93"/>
      <c r="AC4" s="93"/>
      <c r="AD4" s="93"/>
      <c r="AE4" s="94"/>
      <c r="AF4" s="95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7" customFormat="1" ht="12.75">
      <c r="A8" s="98"/>
      <c r="B8" s="99" t="s">
        <v>35</v>
      </c>
      <c r="C8" s="98"/>
      <c r="D8" s="98"/>
      <c r="E8" s="98"/>
      <c r="F8" s="100"/>
      <c r="G8" s="100"/>
      <c r="H8" s="100"/>
      <c r="I8" s="100"/>
      <c r="J8" s="100"/>
      <c r="K8" s="101"/>
      <c r="L8" s="102"/>
      <c r="M8" s="101"/>
      <c r="N8" s="102"/>
      <c r="O8" s="101"/>
      <c r="P8" s="101"/>
      <c r="Q8" s="101"/>
      <c r="R8" s="101"/>
      <c r="S8" s="101"/>
      <c r="T8" s="101"/>
      <c r="U8" s="101"/>
      <c r="V8" s="101"/>
      <c r="W8" s="102"/>
      <c r="X8" s="103"/>
      <c r="Y8" s="103"/>
      <c r="Z8" s="103"/>
      <c r="AA8" s="103"/>
      <c r="AB8" s="103"/>
      <c r="AC8" s="103"/>
      <c r="AD8" s="103"/>
      <c r="AE8" s="104"/>
      <c r="AF8" s="105"/>
      <c r="AG8" s="105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ht="11.25" customHeight="1" outlineLevel="1"/>
    <row r="10" spans="1:50" ht="11.25" customHeight="1" outlineLevel="1">
      <c r="C10" s="70" t="s">
        <v>33</v>
      </c>
      <c r="J10" s="110" t="str">
        <f ca="1">J$4</f>
        <v>2013-14</v>
      </c>
      <c r="K10" s="110" t="str">
        <f>K$4</f>
        <v>2014-15</v>
      </c>
      <c r="L10" s="110" t="str">
        <f t="shared" ref="L10:T10" ca="1" si="0">L$4</f>
        <v>2015-16</v>
      </c>
      <c r="M10" s="110" t="str">
        <f t="shared" ca="1" si="0"/>
        <v>2016-17</v>
      </c>
      <c r="N10" s="110" t="str">
        <f t="shared" ca="1" si="0"/>
        <v>2017-18</v>
      </c>
      <c r="O10" s="110" t="str">
        <f t="shared" ca="1" si="0"/>
        <v>2018-19</v>
      </c>
      <c r="P10" s="110" t="str">
        <f t="shared" ca="1" si="0"/>
        <v>2019-20</v>
      </c>
      <c r="Q10" s="110" t="str">
        <f t="shared" ca="1" si="0"/>
        <v>2020-21</v>
      </c>
      <c r="R10" s="110" t="str">
        <f t="shared" ca="1" si="0"/>
        <v>2021-22</v>
      </c>
      <c r="S10" s="110" t="str">
        <f t="shared" ca="1" si="0"/>
        <v>2022-23</v>
      </c>
      <c r="T10" s="110" t="str">
        <f t="shared" ca="1" si="0"/>
        <v>2023-24</v>
      </c>
    </row>
    <row r="11" spans="1:50" ht="11.25" customHeight="1" outlineLevel="1">
      <c r="C11" s="70"/>
      <c r="J11" s="29"/>
      <c r="P11" s="154"/>
      <c r="Q11" s="154"/>
      <c r="R11" s="154"/>
      <c r="S11" s="154"/>
      <c r="T11" s="154"/>
      <c r="U11" s="126"/>
      <c r="V11" s="126"/>
      <c r="W11" s="126"/>
    </row>
    <row r="12" spans="1:50" ht="11.25" customHeight="1" outlineLevel="1">
      <c r="C12" s="116" t="s">
        <v>33</v>
      </c>
      <c r="D12" s="155" t="s">
        <v>126</v>
      </c>
      <c r="E12" s="30" t="str">
        <f>percent</f>
        <v>Per cent</v>
      </c>
      <c r="J12" s="176">
        <f>'Input|Inflation'!$E38/'Input|Inflation'!$E34-1</f>
        <v>3.0155642023346418E-2</v>
      </c>
      <c r="K12" s="176">
        <f>'Input|Inflation'!$E42/'Input|Inflation'!$E38-1</f>
        <v>1.5108593012275628E-2</v>
      </c>
      <c r="L12" s="176">
        <f>'Input|Inflation'!$E46/'Input|Inflation'!$E42-1</f>
        <v>1.0232558139534831E-2</v>
      </c>
      <c r="M12" s="176">
        <f>'Input|Inflation'!$E50/'Input|Inflation'!$E46-1</f>
        <v>1.9337016574585641E-2</v>
      </c>
      <c r="N12" s="176">
        <f>'Input|Inflation'!$E54/'Input|Inflation'!$E50-1</f>
        <v>2.4499999999999966E-2</v>
      </c>
      <c r="O12" s="176">
        <f>'Input|Inflation'!$E58/'Input|Inflation'!$E54-1</f>
        <v>2.4499999999999966E-2</v>
      </c>
      <c r="P12" s="154"/>
      <c r="Q12" s="154"/>
      <c r="R12" s="154"/>
      <c r="S12" s="154"/>
      <c r="T12" s="154"/>
      <c r="U12" s="156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127</v>
      </c>
      <c r="I14" s="29"/>
      <c r="J14" s="110" t="str">
        <f ca="1">J$4</f>
        <v>2013-14</v>
      </c>
      <c r="K14" s="110" t="str">
        <f>K$4</f>
        <v>2014-15</v>
      </c>
      <c r="L14" s="110" t="str">
        <f ca="1">L4</f>
        <v>2015-16</v>
      </c>
      <c r="M14" s="110" t="str">
        <f ca="1">M4</f>
        <v>2016-17</v>
      </c>
      <c r="N14" s="110" t="str">
        <f ca="1">N4</f>
        <v>2017-18</v>
      </c>
      <c r="O14" s="110" t="str">
        <f ca="1">O4</f>
        <v>2018-19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6"/>
      <c r="K15" s="126"/>
      <c r="L15" s="126"/>
      <c r="M15" s="126"/>
      <c r="N15" s="126"/>
      <c r="O15" s="126"/>
      <c r="P15" s="26"/>
      <c r="Q15" s="26"/>
      <c r="R15" s="26"/>
      <c r="S15" s="26"/>
      <c r="T15" s="26"/>
    </row>
    <row r="16" spans="1:50" ht="11.25" customHeight="1" outlineLevel="1">
      <c r="C16" s="116" t="str">
        <f t="array" ref="C16:C21" ca="1">TRANSPOSE(J10:O10)</f>
        <v>2013-14</v>
      </c>
      <c r="D16" s="155" t="s">
        <v>126</v>
      </c>
      <c r="E16" s="30" t="s">
        <v>106</v>
      </c>
      <c r="J16" s="22">
        <v>1</v>
      </c>
      <c r="K16" s="22">
        <f t="shared" ref="K16:N16" si="1">J16*(1+K$12)</f>
        <v>1.0151085930122756</v>
      </c>
      <c r="L16" s="22">
        <f t="shared" si="1"/>
        <v>1.0254957507082152</v>
      </c>
      <c r="M16" s="22">
        <f t="shared" si="1"/>
        <v>1.0453257790368271</v>
      </c>
      <c r="N16" s="22">
        <f t="shared" si="1"/>
        <v>1.0709362606232293</v>
      </c>
      <c r="O16" s="22">
        <f>N16*(1+O$12)</f>
        <v>1.0971741990084984</v>
      </c>
      <c r="P16" s="152"/>
    </row>
    <row r="17" spans="1:50" ht="11.25" customHeight="1" outlineLevel="1">
      <c r="C17" s="116" t="str">
        <v>2014-15</v>
      </c>
      <c r="D17" s="155" t="s">
        <v>126</v>
      </c>
      <c r="E17" s="30" t="s">
        <v>106</v>
      </c>
      <c r="I17" s="22"/>
      <c r="J17" s="22">
        <f>K17/(1+K$12)</f>
        <v>0.98511627906976751</v>
      </c>
      <c r="K17" s="22">
        <v>1</v>
      </c>
      <c r="L17" s="22">
        <f>K17*(1+L$12)</f>
        <v>1.0102325581395348</v>
      </c>
      <c r="M17" s="22">
        <f t="shared" ref="M17:O17" si="2">L17*(1+M$12)</f>
        <v>1.029767441860465</v>
      </c>
      <c r="N17" s="22">
        <f t="shared" si="2"/>
        <v>1.0549967441860464</v>
      </c>
      <c r="O17" s="22">
        <f t="shared" si="2"/>
        <v>1.0808441644186044</v>
      </c>
      <c r="P17" s="152"/>
    </row>
    <row r="18" spans="1:50" ht="11.25" customHeight="1" outlineLevel="1">
      <c r="C18" s="116" t="str">
        <f ca="1"/>
        <v>2015-16</v>
      </c>
      <c r="D18" s="155" t="s">
        <v>126</v>
      </c>
      <c r="E18" s="30" t="s">
        <v>106</v>
      </c>
      <c r="I18" s="22"/>
      <c r="J18" s="22">
        <f>K18/(1+K$12)</f>
        <v>0.97513812154696156</v>
      </c>
      <c r="K18" s="22">
        <f>L18/(1+L$12)</f>
        <v>0.98987108655616951</v>
      </c>
      <c r="L18" s="22">
        <v>1</v>
      </c>
      <c r="M18" s="22">
        <f t="shared" ref="M18:O18" si="3">L18*(1+M$12)</f>
        <v>1.0193370165745856</v>
      </c>
      <c r="N18" s="22">
        <f t="shared" si="3"/>
        <v>1.0443107734806629</v>
      </c>
      <c r="O18" s="22">
        <f t="shared" si="3"/>
        <v>1.0698963874309391</v>
      </c>
      <c r="P18" s="152"/>
    </row>
    <row r="19" spans="1:50" ht="11.25" customHeight="1" outlineLevel="1">
      <c r="C19" s="116" t="str">
        <f ca="1"/>
        <v>2016-17</v>
      </c>
      <c r="D19" s="155" t="s">
        <v>126</v>
      </c>
      <c r="E19" s="30" t="s">
        <v>106</v>
      </c>
      <c r="I19" s="22"/>
      <c r="J19" s="22">
        <f t="shared" ref="J19:N21" si="4">K19/(1+K$12)</f>
        <v>0.95663956639566416</v>
      </c>
      <c r="K19" s="22">
        <f t="shared" si="4"/>
        <v>0.97109304426377607</v>
      </c>
      <c r="L19" s="22">
        <f t="shared" si="4"/>
        <v>0.98102981029810299</v>
      </c>
      <c r="M19" s="22">
        <v>1</v>
      </c>
      <c r="N19" s="22">
        <f t="shared" ref="N19:O19" si="5">M19*(1+N$12)</f>
        <v>1.0245</v>
      </c>
      <c r="O19" s="22">
        <f t="shared" si="5"/>
        <v>1.0496002499999999</v>
      </c>
      <c r="P19" s="152"/>
    </row>
    <row r="20" spans="1:50" ht="11.25" customHeight="1" outlineLevel="1">
      <c r="C20" s="116" t="str">
        <f ca="1"/>
        <v>2017-18</v>
      </c>
      <c r="D20" s="155" t="s">
        <v>126</v>
      </c>
      <c r="E20" s="30" t="s">
        <v>106</v>
      </c>
      <c r="I20" s="22"/>
      <c r="J20" s="22">
        <f t="shared" si="4"/>
        <v>0.9337623878923027</v>
      </c>
      <c r="K20" s="22">
        <f t="shared" si="4"/>
        <v>0.94787022378113817</v>
      </c>
      <c r="L20" s="22">
        <f t="shared" si="4"/>
        <v>0.95756936095471257</v>
      </c>
      <c r="M20" s="22">
        <f t="shared" si="4"/>
        <v>0.9760858955588092</v>
      </c>
      <c r="N20" s="22">
        <v>1</v>
      </c>
      <c r="O20" s="22">
        <f t="shared" ref="O20" si="6">N20*(1+O$12)</f>
        <v>1.0245</v>
      </c>
      <c r="P20" s="152"/>
      <c r="Q20" s="157"/>
    </row>
    <row r="21" spans="1:50" ht="11.25" customHeight="1" outlineLevel="1">
      <c r="C21" s="116" t="str">
        <f ca="1"/>
        <v>2018-19</v>
      </c>
      <c r="D21" s="155" t="s">
        <v>126</v>
      </c>
      <c r="E21" s="30" t="s">
        <v>106</v>
      </c>
      <c r="I21" s="22"/>
      <c r="J21" s="22">
        <f t="shared" si="4"/>
        <v>0.91143229662499037</v>
      </c>
      <c r="K21" s="22">
        <f t="shared" si="4"/>
        <v>0.92520275625294102</v>
      </c>
      <c r="L21" s="22">
        <f t="shared" si="4"/>
        <v>0.93466994724715713</v>
      </c>
      <c r="M21" s="22">
        <f t="shared" si="4"/>
        <v>0.95274367550884254</v>
      </c>
      <c r="N21" s="22">
        <f t="shared" si="4"/>
        <v>0.9760858955588092</v>
      </c>
      <c r="O21" s="22">
        <v>1</v>
      </c>
    </row>
    <row r="22" spans="1:50" ht="11.25" customHeight="1" outlineLevel="1">
      <c r="C22" s="116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53</v>
      </c>
      <c r="J23" s="110" t="str">
        <f t="shared" ref="J23:O23" ca="1" si="7">J10</f>
        <v>2013-14</v>
      </c>
      <c r="K23" s="110" t="str">
        <f t="shared" si="7"/>
        <v>2014-15</v>
      </c>
      <c r="L23" s="110" t="str">
        <f t="shared" ca="1" si="7"/>
        <v>2015-16</v>
      </c>
      <c r="M23" s="110" t="str">
        <f t="shared" ca="1" si="7"/>
        <v>2016-17</v>
      </c>
      <c r="N23" s="110" t="str">
        <f t="shared" ca="1" si="7"/>
        <v>2017-18</v>
      </c>
      <c r="O23" s="110" t="str">
        <f t="shared" ca="1" si="7"/>
        <v>2018-19</v>
      </c>
      <c r="P23" s="22"/>
      <c r="Q23" s="22"/>
      <c r="R23" s="22"/>
      <c r="S23" s="22"/>
      <c r="T23" s="22"/>
    </row>
    <row r="24" spans="1:50" ht="11.25" customHeight="1" outlineLevel="1">
      <c r="C24" s="116"/>
      <c r="J24" s="29"/>
      <c r="P24" s="152"/>
      <c r="Q24" s="22"/>
      <c r="R24" s="22"/>
      <c r="S24" s="22"/>
      <c r="T24" s="22"/>
    </row>
    <row r="25" spans="1:50" ht="11.25" customHeight="1" outlineLevel="1">
      <c r="C25" s="116" t="str">
        <f t="array" ref="C25:C30" ca="1">TRANSPOSE(J10:O10)</f>
        <v>2013-14</v>
      </c>
      <c r="D25" s="155" t="s">
        <v>126</v>
      </c>
      <c r="E25" s="30" t="s">
        <v>106</v>
      </c>
      <c r="I25" s="22"/>
      <c r="J25" s="22">
        <f t="shared" ref="J25:O30" si="8">1/J16*(1+J$12)^0.5</f>
        <v>1.0149658329339695</v>
      </c>
      <c r="K25" s="22">
        <f t="shared" si="8"/>
        <v>0.99253024088426012</v>
      </c>
      <c r="L25" s="22">
        <f t="shared" si="8"/>
        <v>0.98011450243194831</v>
      </c>
      <c r="M25" s="22">
        <f t="shared" si="8"/>
        <v>0.96584455776929623</v>
      </c>
      <c r="N25" s="22">
        <f t="shared" si="8"/>
        <v>0.94513176111580988</v>
      </c>
      <c r="O25" s="22">
        <f t="shared" si="8"/>
        <v>0.92252978146979969</v>
      </c>
      <c r="P25" s="152"/>
      <c r="Q25" s="157"/>
      <c r="R25" s="157"/>
      <c r="S25" s="157"/>
      <c r="T25" s="157"/>
      <c r="U25" s="157"/>
      <c r="V25" s="157"/>
    </row>
    <row r="26" spans="1:50" ht="11.25" customHeight="1" outlineLevel="1">
      <c r="C26" s="116" t="str">
        <v>2014-15</v>
      </c>
      <c r="D26" s="155" t="s">
        <v>126</v>
      </c>
      <c r="E26" s="30" t="s">
        <v>106</v>
      </c>
      <c r="I26" s="22"/>
      <c r="J26" s="22">
        <f t="shared" si="8"/>
        <v>1.030300538625134</v>
      </c>
      <c r="K26" s="22">
        <f t="shared" si="8"/>
        <v>1.0075259763461564</v>
      </c>
      <c r="L26" s="22">
        <f t="shared" si="8"/>
        <v>0.99492265355462162</v>
      </c>
      <c r="M26" s="22">
        <f t="shared" si="8"/>
        <v>0.98043711010575396</v>
      </c>
      <c r="N26" s="22">
        <f t="shared" si="8"/>
        <v>0.95941137223748396</v>
      </c>
      <c r="O26" s="22">
        <f t="shared" si="8"/>
        <v>0.93646790847973072</v>
      </c>
      <c r="P26" s="152"/>
      <c r="Q26" s="157"/>
      <c r="R26" s="157"/>
      <c r="S26" s="157"/>
      <c r="T26" s="157"/>
      <c r="U26" s="157"/>
      <c r="V26" s="157"/>
    </row>
    <row r="27" spans="1:50" ht="11.25" customHeight="1" outlineLevel="1">
      <c r="C27" s="116" t="str">
        <f ca="1"/>
        <v>2015-16</v>
      </c>
      <c r="D27" s="155" t="s">
        <v>126</v>
      </c>
      <c r="E27" s="30" t="s">
        <v>106</v>
      </c>
      <c r="I27" s="22"/>
      <c r="J27" s="22">
        <f t="shared" si="8"/>
        <v>1.0408431487878098</v>
      </c>
      <c r="K27" s="22">
        <f t="shared" si="8"/>
        <v>1.0178355444762099</v>
      </c>
      <c r="L27" s="22">
        <f t="shared" si="8"/>
        <v>1.0051032574514596</v>
      </c>
      <c r="M27" s="22">
        <f t="shared" si="8"/>
        <v>0.99046948983706851</v>
      </c>
      <c r="N27" s="22">
        <f t="shared" si="8"/>
        <v>0.96922860488363494</v>
      </c>
      <c r="O27" s="22">
        <f t="shared" si="8"/>
        <v>0.94605037079905807</v>
      </c>
      <c r="P27" s="152"/>
      <c r="Q27" s="157"/>
      <c r="R27" s="157"/>
      <c r="S27" s="157"/>
      <c r="T27" s="157"/>
      <c r="U27" s="157"/>
      <c r="V27" s="157"/>
    </row>
    <row r="28" spans="1:50" ht="11.25" customHeight="1" outlineLevel="1">
      <c r="C28" s="116" t="str">
        <f ca="1"/>
        <v>2016-17</v>
      </c>
      <c r="D28" s="155" t="s">
        <v>126</v>
      </c>
      <c r="E28" s="30" t="s">
        <v>106</v>
      </c>
      <c r="I28" s="22"/>
      <c r="J28" s="22">
        <f t="shared" si="8"/>
        <v>1.0609699500074634</v>
      </c>
      <c r="K28" s="22">
        <f t="shared" si="8"/>
        <v>1.0375174472699489</v>
      </c>
      <c r="L28" s="22">
        <f t="shared" si="8"/>
        <v>1.0245389557999685</v>
      </c>
      <c r="M28" s="22">
        <f t="shared" si="8"/>
        <v>1.0096222147786693</v>
      </c>
      <c r="N28" s="22">
        <f t="shared" si="8"/>
        <v>0.98797059448083224</v>
      </c>
      <c r="O28" s="22">
        <f t="shared" si="8"/>
        <v>0.96434416249959232</v>
      </c>
      <c r="P28" s="152"/>
      <c r="Q28" s="157"/>
      <c r="R28" s="157"/>
      <c r="S28" s="157"/>
      <c r="T28" s="157"/>
      <c r="U28" s="157"/>
      <c r="V28" s="157"/>
    </row>
    <row r="29" spans="1:50" ht="11.25" customHeight="1" outlineLevel="1">
      <c r="C29" s="116" t="str">
        <f ca="1"/>
        <v>2017-18</v>
      </c>
      <c r="D29" s="155" t="s">
        <v>126</v>
      </c>
      <c r="E29" s="30" t="s">
        <v>106</v>
      </c>
      <c r="I29" s="22"/>
      <c r="J29" s="22">
        <f t="shared" si="8"/>
        <v>1.0869637137826467</v>
      </c>
      <c r="K29" s="22">
        <f t="shared" si="8"/>
        <v>1.0629366247280625</v>
      </c>
      <c r="L29" s="22">
        <f t="shared" si="8"/>
        <v>1.0496401602170675</v>
      </c>
      <c r="M29" s="22">
        <f t="shared" si="8"/>
        <v>1.0343579590407468</v>
      </c>
      <c r="N29" s="22">
        <f t="shared" si="8"/>
        <v>1.0121758740456126</v>
      </c>
      <c r="O29" s="22">
        <f t="shared" si="8"/>
        <v>0.98797059448083224</v>
      </c>
      <c r="Q29" s="157"/>
      <c r="R29" s="157"/>
      <c r="S29" s="157"/>
      <c r="T29" s="157"/>
      <c r="U29" s="157"/>
      <c r="V29" s="157"/>
    </row>
    <row r="30" spans="1:50" ht="11.25" customHeight="1" outlineLevel="1">
      <c r="C30" s="116" t="str">
        <f ca="1"/>
        <v>2018-19</v>
      </c>
      <c r="D30" s="155" t="s">
        <v>126</v>
      </c>
      <c r="E30" s="30" t="s">
        <v>106</v>
      </c>
      <c r="I30" s="22"/>
      <c r="J30" s="22">
        <f t="shared" si="8"/>
        <v>1.1135943247703215</v>
      </c>
      <c r="K30" s="22">
        <f t="shared" si="8"/>
        <v>1.0889785720339002</v>
      </c>
      <c r="L30" s="22">
        <f t="shared" si="8"/>
        <v>1.0753563441423859</v>
      </c>
      <c r="M30" s="22">
        <f t="shared" si="8"/>
        <v>1.059699729037245</v>
      </c>
      <c r="N30" s="22">
        <f t="shared" si="8"/>
        <v>1.0369741829597301</v>
      </c>
      <c r="O30" s="22">
        <f t="shared" si="8"/>
        <v>1.0121758740456126</v>
      </c>
      <c r="P30" s="152"/>
      <c r="Q30" s="157"/>
      <c r="R30" s="157"/>
      <c r="S30" s="157"/>
      <c r="T30" s="157"/>
      <c r="U30" s="157"/>
      <c r="V30" s="157"/>
    </row>
    <row r="31" spans="1:50">
      <c r="C31" s="116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7" customFormat="1" ht="12.75">
      <c r="A32" s="98"/>
      <c r="B32" s="99" t="s">
        <v>100</v>
      </c>
      <c r="C32" s="98"/>
      <c r="D32" s="98"/>
      <c r="E32" s="98"/>
      <c r="F32" s="100"/>
      <c r="G32" s="100"/>
      <c r="H32" s="100"/>
      <c r="I32" s="100"/>
      <c r="J32" s="100"/>
      <c r="K32" s="101"/>
      <c r="L32" s="102"/>
      <c r="M32" s="101"/>
      <c r="N32" s="102"/>
      <c r="O32" s="101"/>
      <c r="P32" s="101"/>
      <c r="Q32" s="101"/>
      <c r="R32" s="101"/>
      <c r="S32" s="101"/>
      <c r="T32" s="101"/>
      <c r="U32" s="101"/>
      <c r="V32" s="101"/>
      <c r="W32" s="102"/>
      <c r="X32" s="103"/>
      <c r="Y32" s="103"/>
      <c r="Z32" s="103"/>
      <c r="AA32" s="103"/>
      <c r="AB32" s="103"/>
      <c r="AC32" s="103"/>
      <c r="AD32" s="103"/>
      <c r="AE32" s="104"/>
      <c r="AF32" s="105"/>
      <c r="AG32" s="105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103</v>
      </c>
      <c r="D34" s="32" t="s">
        <v>7</v>
      </c>
      <c r="E34" s="32" t="s">
        <v>8</v>
      </c>
      <c r="K34" s="110" t="str">
        <f>IF(RIGHT(K$4,2)&gt;=RIGHT('Input|General'!$G$11,2),IF(RIGHT(K$4,2)&lt;=RIGHT('Input|General'!$G$12,2),K$4,""),"")</f>
        <v/>
      </c>
      <c r="L34" s="110" t="str">
        <f ca="1">IF(RIGHT(L$4,2)&gt;=RIGHT('Input|General'!$G$11,2),IF(RIGHT(L$4,2)&lt;=RIGHT('Input|General'!$G$12,2),L$4,""),"")</f>
        <v/>
      </c>
      <c r="M34" s="110" t="str">
        <f ca="1">IF(RIGHT(M$4,2)&gt;=RIGHT('Input|General'!$G$11,2),IF(RIGHT(M$4,2)&lt;=RIGHT('Input|General'!$G$12,2),M$4,""),"")</f>
        <v/>
      </c>
      <c r="N34" s="110" t="str">
        <f ca="1">IF(RIGHT(N$4,2)&gt;=RIGHT('Input|General'!$G$11,2),IF(RIGHT(N$4,2)&lt;=RIGHT('Input|General'!$G$12,2),N$4,""),"")</f>
        <v/>
      </c>
      <c r="O34" s="110" t="str">
        <f ca="1">IF(RIGHT(O$4,2)&gt;=RIGHT('Input|General'!$G$11,2),IF(RIGHT(O$4,2)&lt;=RIGHT('Input|General'!$G$12,2),O$4,""),"")</f>
        <v/>
      </c>
      <c r="P34" s="110" t="str">
        <f ca="1">IF(RIGHT(P$4,2)&gt;=RIGHT('Input|General'!$G$11,2),IF(RIGHT(P$4,2)&lt;=RIGHT('Input|General'!$G$12,2),P$4,""),"")</f>
        <v>2019-20</v>
      </c>
      <c r="Q34" s="110" t="str">
        <f ca="1">IF(RIGHT(Q$4,2)&gt;=RIGHT('Input|General'!$G$11,2),IF(RIGHT(Q$4,2)&lt;=RIGHT('Input|General'!$G$12,2),Q$4,""),"")</f>
        <v>2020-21</v>
      </c>
      <c r="R34" s="110" t="str">
        <f ca="1">IF(RIGHT(R$4,2)&gt;=RIGHT('Input|General'!$G$11,2),IF(RIGHT(R$4,2)&lt;=RIGHT('Input|General'!$G$12,2),R$4,""),"")</f>
        <v>2021-22</v>
      </c>
      <c r="S34" s="110" t="str">
        <f ca="1">IF(RIGHT(S$4,2)&gt;=RIGHT('Input|General'!$G$11,2),IF(RIGHT(S$4,2)&lt;=RIGHT('Input|General'!$G$12,2),S$4,""),"")</f>
        <v>2022-23</v>
      </c>
      <c r="T34" s="110" t="str">
        <f ca="1">IF(RIGHT(T$4,2)&gt;=RIGHT('Input|General'!$G$11,2),IF(RIGHT(T$4,2)&lt;=RIGHT('Input|General'!$G$12,2),T$4,""),"")</f>
        <v>2023-24</v>
      </c>
    </row>
    <row r="35" spans="3:21" ht="11.25" customHeight="1" outlineLevel="1"/>
    <row r="36" spans="3:21" ht="11.25" customHeight="1" outlineLevel="1">
      <c r="C36" s="62" t="s">
        <v>142</v>
      </c>
      <c r="D36" s="30" t="s">
        <v>130</v>
      </c>
      <c r="E36" s="30" t="str">
        <f t="shared" ref="E36:E43" si="9">percent</f>
        <v>Per cent</v>
      </c>
      <c r="P36" s="61"/>
      <c r="Q36" s="61">
        <v>4.8999999999999998E-3</v>
      </c>
      <c r="R36" s="61">
        <v>4.8999999999999998E-3</v>
      </c>
      <c r="S36" s="61">
        <v>4.8999999999999998E-3</v>
      </c>
      <c r="T36" s="61">
        <v>4.8999999999999998E-3</v>
      </c>
    </row>
    <row r="37" spans="3:21" ht="11.25" customHeight="1" outlineLevel="1">
      <c r="C37" s="62"/>
      <c r="D37" s="30" t="s">
        <v>130</v>
      </c>
      <c r="E37" s="30" t="str">
        <f t="shared" si="9"/>
        <v>Per cent</v>
      </c>
      <c r="P37" s="61"/>
      <c r="Q37" s="61"/>
      <c r="R37" s="61"/>
      <c r="S37" s="61"/>
      <c r="T37" s="61"/>
    </row>
    <row r="38" spans="3:21" ht="11.25" customHeight="1" outlineLevel="1">
      <c r="C38" s="62"/>
      <c r="D38" s="30" t="s">
        <v>130</v>
      </c>
      <c r="E38" s="30" t="str">
        <f t="shared" si="9"/>
        <v>Per cent</v>
      </c>
      <c r="P38" s="61"/>
      <c r="Q38" s="61"/>
      <c r="R38" s="61"/>
      <c r="S38" s="61"/>
      <c r="T38" s="61"/>
    </row>
    <row r="39" spans="3:21" ht="11.25" customHeight="1" outlineLevel="1">
      <c r="C39" s="62"/>
      <c r="D39" s="30" t="s">
        <v>130</v>
      </c>
      <c r="E39" s="30" t="str">
        <f t="shared" si="9"/>
        <v>Per cent</v>
      </c>
      <c r="P39" s="61"/>
      <c r="Q39" s="61"/>
      <c r="R39" s="61"/>
      <c r="S39" s="61"/>
      <c r="T39" s="61"/>
      <c r="U39" s="158"/>
    </row>
    <row r="40" spans="3:21" ht="11.25" customHeight="1" outlineLevel="1">
      <c r="C40" s="62"/>
      <c r="D40" s="30" t="s">
        <v>130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130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130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104</v>
      </c>
      <c r="D43" s="30" t="s">
        <v>130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49</v>
      </c>
      <c r="D45" s="32" t="s">
        <v>7</v>
      </c>
      <c r="E45" s="32" t="s">
        <v>8</v>
      </c>
      <c r="K45" s="110" t="str">
        <f>IF(RIGHT(K$4,2)&gt;=RIGHT('Input|General'!$G$11,2),IF(RIGHT(K$4,2)&lt;=RIGHT('Input|General'!$G$12,2),K$4,""),"")</f>
        <v/>
      </c>
      <c r="L45" s="110" t="str">
        <f ca="1">IF(RIGHT(L$4,2)&gt;=RIGHT('Input|General'!$G$11,2),IF(RIGHT(L$4,2)&lt;=RIGHT('Input|General'!$G$12,2),L$4,""),"")</f>
        <v/>
      </c>
      <c r="M45" s="110" t="str">
        <f ca="1">IF(RIGHT(M$4,2)&gt;=RIGHT('Input|General'!$G$11,2),IF(RIGHT(M$4,2)&lt;=RIGHT('Input|General'!$G$12,2),M$4,""),"")</f>
        <v/>
      </c>
      <c r="N45" s="110" t="str">
        <f ca="1">IF(RIGHT(N$4,2)&gt;=RIGHT('Input|General'!$G$11,2),IF(RIGHT(N$4,2)&lt;=RIGHT('Input|General'!$G$12,2),N$4,""),"")</f>
        <v/>
      </c>
      <c r="O45" s="110" t="str">
        <f ca="1">IF(RIGHT(O$4,2)&gt;=RIGHT('Input|General'!$G$11,2),IF(RIGHT(O$4,2)&lt;=RIGHT('Input|General'!$G$12,2),O$4,""),"")</f>
        <v/>
      </c>
      <c r="P45" s="110" t="str">
        <f ca="1">IF(RIGHT(P$4,2)&gt;=RIGHT('Input|General'!$G$11,2),IF(RIGHT(P$4,2)&lt;=RIGHT('Input|General'!$G$12,2),P$4,""),"")</f>
        <v>2019-20</v>
      </c>
      <c r="Q45" s="110" t="str">
        <f ca="1">IF(RIGHT(Q$4,2)&gt;=RIGHT('Input|General'!$G$11,2),IF(RIGHT(Q$4,2)&lt;=RIGHT('Input|General'!$G$12,2),Q$4,""),"")</f>
        <v>2020-21</v>
      </c>
      <c r="R45" s="110" t="str">
        <f ca="1">IF(RIGHT(R$4,2)&gt;=RIGHT('Input|General'!$G$11,2),IF(RIGHT(R$4,2)&lt;=RIGHT('Input|General'!$G$12,2),R$4,""),"")</f>
        <v>2021-22</v>
      </c>
      <c r="S45" s="110" t="str">
        <f ca="1">IF(RIGHT(S$4,2)&gt;=RIGHT('Input|General'!$G$11,2),IF(RIGHT(S$4,2)&lt;=RIGHT('Input|General'!$G$12,2),S$4,""),"")</f>
        <v>2022-23</v>
      </c>
      <c r="T45" s="110" t="str">
        <f ca="1">IF(RIGHT(T$4,2)&gt;=RIGHT('Input|General'!$G$11,2),IF(RIGHT(T$4,2)&lt;=RIGHT('Input|General'!$G$12,2),T$4,""),"")</f>
        <v>2023-24</v>
      </c>
    </row>
    <row r="46" spans="3:21" ht="11.25" customHeight="1" outlineLevel="1"/>
    <row r="47" spans="3:21" ht="11.25" customHeight="1" outlineLevel="1">
      <c r="C47" s="159" t="str">
        <f>C36</f>
        <v>Wage Price Index</v>
      </c>
      <c r="D47" s="30" t="s">
        <v>130</v>
      </c>
      <c r="E47" s="30" t="str">
        <f t="shared" ref="E47:E54" si="10">percent</f>
        <v>Per cent</v>
      </c>
      <c r="P47" s="61">
        <v>0.62</v>
      </c>
      <c r="Q47" s="61">
        <v>0.62</v>
      </c>
      <c r="R47" s="61">
        <v>0.62</v>
      </c>
      <c r="S47" s="61">
        <v>0.62</v>
      </c>
      <c r="T47" s="61">
        <v>0.62</v>
      </c>
    </row>
    <row r="48" spans="3:21" ht="11.25" customHeight="1" outlineLevel="1">
      <c r="C48" s="159">
        <f t="shared" ref="C48:C54" si="11">C37</f>
        <v>0</v>
      </c>
      <c r="D48" s="30" t="s">
        <v>130</v>
      </c>
      <c r="E48" s="30" t="str">
        <f t="shared" si="10"/>
        <v>Per cent</v>
      </c>
      <c r="P48" s="61"/>
      <c r="Q48" s="61"/>
      <c r="R48" s="61"/>
      <c r="S48" s="61"/>
      <c r="T48" s="61"/>
    </row>
    <row r="49" spans="1:50" ht="11.25" customHeight="1" outlineLevel="1">
      <c r="C49" s="159">
        <f t="shared" si="11"/>
        <v>0</v>
      </c>
      <c r="D49" s="30" t="s">
        <v>130</v>
      </c>
      <c r="E49" s="30" t="str">
        <f t="shared" si="10"/>
        <v>Per cent</v>
      </c>
      <c r="P49" s="61"/>
      <c r="Q49" s="61"/>
      <c r="R49" s="61"/>
      <c r="S49" s="61"/>
      <c r="T49" s="61"/>
    </row>
    <row r="50" spans="1:50" ht="11.25" customHeight="1" outlineLevel="1">
      <c r="C50" s="159">
        <f t="shared" si="11"/>
        <v>0</v>
      </c>
      <c r="D50" s="30" t="s">
        <v>130</v>
      </c>
      <c r="E50" s="30" t="str">
        <f t="shared" si="10"/>
        <v>Per cent</v>
      </c>
      <c r="P50" s="61"/>
      <c r="Q50" s="61"/>
      <c r="R50" s="61"/>
      <c r="S50" s="61"/>
      <c r="T50" s="61"/>
      <c r="U50" s="158"/>
    </row>
    <row r="51" spans="1:50" ht="11.25" customHeight="1" outlineLevel="1">
      <c r="C51" s="159">
        <f t="shared" si="11"/>
        <v>0</v>
      </c>
      <c r="D51" s="30" t="s">
        <v>130</v>
      </c>
      <c r="E51" s="30" t="str">
        <f t="shared" si="10"/>
        <v>Per cent</v>
      </c>
      <c r="P51" s="61"/>
      <c r="Q51" s="61"/>
      <c r="R51" s="61"/>
      <c r="S51" s="61"/>
      <c r="T51" s="61"/>
    </row>
    <row r="52" spans="1:50" ht="11.25" customHeight="1" outlineLevel="1">
      <c r="C52" s="159">
        <f t="shared" si="11"/>
        <v>0</v>
      </c>
      <c r="D52" s="30" t="s">
        <v>130</v>
      </c>
      <c r="E52" s="30" t="str">
        <f t="shared" si="10"/>
        <v>Per cent</v>
      </c>
      <c r="P52" s="61"/>
      <c r="Q52" s="61"/>
      <c r="R52" s="61"/>
      <c r="S52" s="61"/>
      <c r="T52" s="61"/>
    </row>
    <row r="53" spans="1:50" ht="11.25" customHeight="1" outlineLevel="1">
      <c r="C53" s="159">
        <f t="shared" si="11"/>
        <v>0</v>
      </c>
      <c r="D53" s="30" t="s">
        <v>130</v>
      </c>
      <c r="E53" s="30" t="str">
        <f t="shared" si="10"/>
        <v>Per cent</v>
      </c>
      <c r="P53" s="61"/>
      <c r="Q53" s="61"/>
      <c r="R53" s="61"/>
      <c r="S53" s="61"/>
      <c r="T53" s="61"/>
    </row>
    <row r="54" spans="1:50" ht="11.25" customHeight="1" outlineLevel="1">
      <c r="C54" s="159" t="str">
        <f t="shared" si="11"/>
        <v>CPI</v>
      </c>
      <c r="D54" s="30" t="s">
        <v>130</v>
      </c>
      <c r="E54" s="30" t="str">
        <f t="shared" si="10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126</v>
      </c>
      <c r="E56" s="30" t="s">
        <v>28</v>
      </c>
      <c r="F56" s="30" t="s">
        <v>36</v>
      </c>
      <c r="N56" s="24"/>
      <c r="O56" s="24"/>
      <c r="P56" s="139" t="str">
        <f>IF(SUM(P47:P54)=1,"Ok","Check")</f>
        <v>Ok</v>
      </c>
      <c r="Q56" s="139" t="str">
        <f t="shared" ref="Q56:T56" si="12">IF(SUM(Q47:Q54)=1,"Ok","Check")</f>
        <v>Ok</v>
      </c>
      <c r="R56" s="139" t="str">
        <f t="shared" si="12"/>
        <v>Ok</v>
      </c>
      <c r="S56" s="139" t="str">
        <f t="shared" si="12"/>
        <v>Ok</v>
      </c>
      <c r="T56" s="139" t="str">
        <f t="shared" si="12"/>
        <v>Ok</v>
      </c>
      <c r="U56" s="24"/>
      <c r="W56" s="139" t="str">
        <f>IF(COUNTIF(K56:T56,"Check")=0,"Ok","Check")</f>
        <v>Ok</v>
      </c>
    </row>
    <row r="57" spans="1:50"/>
    <row r="58" spans="1:50" s="107" customFormat="1" ht="12.75">
      <c r="A58" s="98"/>
      <c r="B58" s="99" t="s">
        <v>107</v>
      </c>
      <c r="C58" s="98"/>
      <c r="D58" s="98"/>
      <c r="E58" s="98"/>
      <c r="F58" s="100"/>
      <c r="G58" s="100"/>
      <c r="H58" s="100"/>
      <c r="I58" s="100"/>
      <c r="J58" s="100"/>
      <c r="K58" s="101"/>
      <c r="L58" s="102"/>
      <c r="M58" s="101"/>
      <c r="N58" s="102"/>
      <c r="O58" s="101"/>
      <c r="P58" s="101"/>
      <c r="Q58" s="101"/>
      <c r="R58" s="101"/>
      <c r="S58" s="101"/>
      <c r="T58" s="101"/>
      <c r="U58" s="101"/>
      <c r="V58" s="101"/>
      <c r="W58" s="102"/>
      <c r="X58" s="103"/>
      <c r="Y58" s="103"/>
      <c r="Z58" s="103"/>
      <c r="AA58" s="103"/>
      <c r="AB58" s="103"/>
      <c r="AC58" s="103"/>
      <c r="AD58" s="103"/>
      <c r="AE58" s="104"/>
      <c r="AF58" s="105"/>
      <c r="AG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</row>
    <row r="59" spans="1:50" outlineLevel="1">
      <c r="G59" s="32"/>
      <c r="H59" s="32"/>
    </row>
    <row r="60" spans="1:50" outlineLevel="1">
      <c r="C60" s="70" t="s">
        <v>108</v>
      </c>
      <c r="D60" s="32" t="s">
        <v>7</v>
      </c>
      <c r="E60" s="32" t="s">
        <v>8</v>
      </c>
      <c r="F60" s="32" t="s">
        <v>22</v>
      </c>
      <c r="G60" s="32"/>
      <c r="H60" s="32"/>
      <c r="K60" s="110" t="str">
        <f>IF(RIGHT(K$4,2)&gt;=RIGHT('Input|General'!$G$10,2),IF(RIGHT(K$4,2)&lt;=RIGHT('Input|General'!$G$12,2),K$4,""),"")</f>
        <v/>
      </c>
      <c r="L60" s="110" t="str">
        <f ca="1">IF(RIGHT(L$4,2)&gt;=RIGHT('Input|General'!$G$10,2),IF(RIGHT(L$4,2)&lt;=RIGHT('Input|General'!$G$12,2),L$4,""),"")</f>
        <v/>
      </c>
      <c r="M60" s="110" t="str">
        <f ca="1">IF(RIGHT(M$4,2)&gt;=RIGHT('Input|General'!$G$10,2),IF(RIGHT(M$4,2)&lt;=RIGHT('Input|General'!$G$12,2),M$4,""),"")</f>
        <v/>
      </c>
      <c r="N60" s="110" t="str">
        <f ca="1">IF(RIGHT(N$4,2)&gt;=RIGHT('Input|General'!$G$10,2),IF(RIGHT(N$4,2)&lt;=RIGHT('Input|General'!$G$12,2),N$4,""),"")</f>
        <v/>
      </c>
      <c r="O60" s="110" t="str">
        <f ca="1">IF(RIGHT(O$4,2)&gt;=RIGHT('Input|General'!$G$10,2),IF(RIGHT(O$4,2)&lt;=RIGHT('Input|General'!$G$12,2),O$4,""),"")</f>
        <v>2018-19</v>
      </c>
      <c r="P60" s="110" t="str">
        <f ca="1">IF(RIGHT(P$4,2)&gt;=RIGHT('Input|General'!$G$10,2),IF(RIGHT(P$4,2)&lt;=RIGHT('Input|General'!$G$12,2),P$4,""),"")</f>
        <v>2019-20</v>
      </c>
      <c r="Q60" s="110" t="str">
        <f ca="1">IF(RIGHT(Q$4,2)&gt;=RIGHT('Input|General'!$G$10,2),IF(RIGHT(Q$4,2)&lt;=RIGHT('Input|General'!$G$12,2),Q$4,""),"")</f>
        <v>2020-21</v>
      </c>
      <c r="R60" s="110" t="str">
        <f ca="1">IF(RIGHT(R$4,2)&gt;=RIGHT('Input|General'!$G$10,2),IF(RIGHT(R$4,2)&lt;=RIGHT('Input|General'!$G$12,2),R$4,""),"")</f>
        <v>2021-22</v>
      </c>
      <c r="S60" s="110" t="str">
        <f ca="1">IF(RIGHT(S$4,2)&gt;=RIGHT('Input|General'!$G$10,2),IF(RIGHT(S$4,2)&lt;=RIGHT('Input|General'!$G$12,2),S$4,""),"")</f>
        <v>2022-23</v>
      </c>
      <c r="T60" s="110" t="str">
        <f ca="1">IF(RIGHT(T$4,2)&gt;=RIGHT('Input|General'!$G$10,2),IF(RIGHT(T$4,2)&lt;=RIGHT('Input|General'!$G$12,2),T$4,""),"")</f>
        <v>2023-24</v>
      </c>
    </row>
    <row r="61" spans="1:50" outlineLevel="1">
      <c r="C61" s="116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163</v>
      </c>
      <c r="D62" s="30" t="s">
        <v>130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177">
        <v>13576.60585</v>
      </c>
      <c r="P62" s="177">
        <v>13644.83</v>
      </c>
      <c r="Q62" s="177">
        <v>13710.93</v>
      </c>
      <c r="R62" s="177">
        <v>13798.03</v>
      </c>
      <c r="S62" s="177">
        <v>13865.63</v>
      </c>
      <c r="T62" s="177">
        <v>13935.33</v>
      </c>
    </row>
    <row r="63" spans="1:50" outlineLevel="1">
      <c r="C63" s="62" t="s">
        <v>140</v>
      </c>
      <c r="D63" s="30" t="s">
        <v>130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177">
        <v>2691</v>
      </c>
      <c r="P63" s="177">
        <v>2691</v>
      </c>
      <c r="Q63" s="177">
        <v>2691</v>
      </c>
      <c r="R63" s="177">
        <v>2691</v>
      </c>
      <c r="S63" s="177">
        <v>2691</v>
      </c>
      <c r="T63" s="177">
        <v>2691</v>
      </c>
    </row>
    <row r="64" spans="1:50" outlineLevel="1">
      <c r="C64" s="62" t="s">
        <v>164</v>
      </c>
      <c r="D64" s="30" t="s">
        <v>130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177">
        <v>6076.0410256410269</v>
      </c>
      <c r="P64" s="177">
        <v>6080.8</v>
      </c>
      <c r="Q64" s="177">
        <v>6080.8</v>
      </c>
      <c r="R64" s="177">
        <v>6102.8</v>
      </c>
      <c r="S64" s="177">
        <v>6102.8</v>
      </c>
      <c r="T64" s="177">
        <v>6102.8</v>
      </c>
    </row>
    <row r="65" spans="3:21" outlineLevel="1">
      <c r="C65" s="62" t="s">
        <v>141</v>
      </c>
      <c r="D65" s="30" t="s">
        <v>130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177">
        <v>3457</v>
      </c>
      <c r="P65" s="177">
        <v>3457</v>
      </c>
      <c r="Q65" s="177">
        <v>3457</v>
      </c>
      <c r="R65" s="177">
        <v>3457</v>
      </c>
      <c r="S65" s="177">
        <v>3457</v>
      </c>
      <c r="T65" s="177">
        <v>3457</v>
      </c>
    </row>
    <row r="66" spans="3:21" outlineLevel="1">
      <c r="C66" s="62"/>
      <c r="D66" s="30" t="s">
        <v>130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130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6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111</v>
      </c>
      <c r="D69" s="32" t="s">
        <v>7</v>
      </c>
      <c r="E69" s="32" t="s">
        <v>8</v>
      </c>
      <c r="F69" s="32" t="s">
        <v>22</v>
      </c>
      <c r="G69" s="32"/>
      <c r="H69" s="32"/>
      <c r="K69" s="110" t="str">
        <f>IF(RIGHT(K$4,2)&gt;=RIGHT('Input|General'!$G$11,2),IF(RIGHT(K$4,2)&lt;=RIGHT('Input|General'!$G$12,2),K$4,""),"")</f>
        <v/>
      </c>
      <c r="L69" s="110" t="str">
        <f ca="1">IF(RIGHT(L$4,2)&gt;=RIGHT('Input|General'!$G$11,2),IF(RIGHT(L$4,2)&lt;=RIGHT('Input|General'!$G$12,2),L$4,""),"")</f>
        <v/>
      </c>
      <c r="M69" s="110" t="str">
        <f ca="1">IF(RIGHT(M$4,2)&gt;=RIGHT('Input|General'!$G$11,2),IF(RIGHT(M$4,2)&lt;=RIGHT('Input|General'!$G$12,2),M$4,""),"")</f>
        <v/>
      </c>
      <c r="N69" s="110" t="str">
        <f ca="1">IF(RIGHT(N$4,2)&gt;=RIGHT('Input|General'!$G$11,2),IF(RIGHT(N$4,2)&lt;=RIGHT('Input|General'!$G$12,2),N$4,""),"")</f>
        <v/>
      </c>
      <c r="O69" s="110" t="str">
        <f ca="1">IF(RIGHT(O$4,2)&gt;=RIGHT('Input|General'!$G$11,2),IF(RIGHT(O$4,2)&lt;=RIGHT('Input|General'!$G$12,2),O$4,""),"")</f>
        <v/>
      </c>
      <c r="P69" s="110" t="str">
        <f ca="1">IF(RIGHT(P$4,2)&gt;=RIGHT('Input|General'!$G$11,2),IF(RIGHT(P$4,2)&lt;=RIGHT('Input|General'!$G$12,2),P$4,""),"")</f>
        <v>2019-20</v>
      </c>
      <c r="Q69" s="110" t="str">
        <f ca="1">IF(RIGHT(Q$4,2)&gt;=RIGHT('Input|General'!$G$11,2),IF(RIGHT(Q$4,2)&lt;=RIGHT('Input|General'!$G$12,2),Q$4,""),"")</f>
        <v>2020-21</v>
      </c>
      <c r="R69" s="110" t="str">
        <f ca="1">IF(RIGHT(R$4,2)&gt;=RIGHT('Input|General'!$G$11,2),IF(RIGHT(R$4,2)&lt;=RIGHT('Input|General'!$G$12,2),R$4,""),"")</f>
        <v>2021-22</v>
      </c>
      <c r="S69" s="110" t="str">
        <f ca="1">IF(RIGHT(S$4,2)&gt;=RIGHT('Input|General'!$G$11,2),IF(RIGHT(S$4,2)&lt;=RIGHT('Input|General'!$G$12,2),S$4,""),"")</f>
        <v>2022-23</v>
      </c>
      <c r="T69" s="110" t="str">
        <f ca="1">IF(RIGHT(T$4,2)&gt;=RIGHT('Input|General'!$G$11,2),IF(RIGHT(T$4,2)&lt;=RIGHT('Input|General'!$G$12,2),T$4,""),"")</f>
        <v>2023-24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6"/>
      <c r="G70" s="32"/>
      <c r="H70" s="32"/>
      <c r="K70" s="23"/>
      <c r="L70" s="23"/>
      <c r="M70" s="23"/>
      <c r="N70" s="23"/>
      <c r="O70" s="23"/>
    </row>
    <row r="71" spans="3:21" outlineLevel="1">
      <c r="C71" s="159" t="str">
        <f>C62</f>
        <v>Energy</v>
      </c>
      <c r="D71" s="30" t="s">
        <v>126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3">
        <f>IF(ISBLANK(P62),"",LN(P62)-LN(O62))</f>
        <v>5.0125418235449359E-3</v>
      </c>
      <c r="Q71" s="123">
        <f>IF(ISBLANK(Q62),"",LN(Q62)-LN(P62))</f>
        <v>4.8326296650706979E-3</v>
      </c>
      <c r="R71" s="123">
        <f t="shared" ref="R71:T71" si="13">IF(ISBLANK(R62),"",LN(R62)-LN(Q62))</f>
        <v>6.3325033780490259E-3</v>
      </c>
      <c r="S71" s="123">
        <f t="shared" si="13"/>
        <v>4.8872878393826369E-3</v>
      </c>
      <c r="T71" s="123">
        <f t="shared" si="13"/>
        <v>5.0142258422525288E-3</v>
      </c>
    </row>
    <row r="72" spans="3:21" outlineLevel="1">
      <c r="C72" s="159" t="str">
        <f t="shared" ref="C72:C76" si="14">C63</f>
        <v>Ratcheted maximum demand</v>
      </c>
      <c r="D72" s="30" t="s">
        <v>126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3">
        <f t="shared" ref="P72:T72" si="15">IF(ISBLANK(P63),"",LN(P63)-LN(O63))</f>
        <v>0</v>
      </c>
      <c r="Q72" s="123">
        <f t="shared" si="15"/>
        <v>0</v>
      </c>
      <c r="R72" s="123">
        <f t="shared" si="15"/>
        <v>0</v>
      </c>
      <c r="S72" s="123">
        <f t="shared" si="15"/>
        <v>0</v>
      </c>
      <c r="T72" s="123">
        <f t="shared" si="15"/>
        <v>0</v>
      </c>
    </row>
    <row r="73" spans="3:21" outlineLevel="1">
      <c r="C73" s="159" t="str">
        <f t="shared" si="14"/>
        <v>Weighted entry and exit connections</v>
      </c>
      <c r="D73" s="30" t="s">
        <v>126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3">
        <f t="shared" ref="P73:T73" si="16">IF(ISBLANK(P64),"",LN(P64)-LN(O64))</f>
        <v>7.8292947847735661E-4</v>
      </c>
      <c r="Q73" s="123">
        <f t="shared" si="16"/>
        <v>0</v>
      </c>
      <c r="R73" s="123">
        <f t="shared" si="16"/>
        <v>3.6114159872173701E-3</v>
      </c>
      <c r="S73" s="123">
        <f t="shared" si="16"/>
        <v>0</v>
      </c>
      <c r="T73" s="123">
        <f t="shared" si="16"/>
        <v>0</v>
      </c>
    </row>
    <row r="74" spans="3:21" outlineLevel="1">
      <c r="C74" s="159" t="str">
        <f t="shared" si="14"/>
        <v>Circuit length</v>
      </c>
      <c r="D74" s="30" t="s">
        <v>126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3">
        <f t="shared" ref="P74:T74" si="17">IF(ISBLANK(P65),"",LN(P65)-LN(O65))</f>
        <v>0</v>
      </c>
      <c r="Q74" s="123">
        <f t="shared" si="17"/>
        <v>0</v>
      </c>
      <c r="R74" s="123">
        <f t="shared" si="17"/>
        <v>0</v>
      </c>
      <c r="S74" s="123">
        <f t="shared" si="17"/>
        <v>0</v>
      </c>
      <c r="T74" s="123">
        <f t="shared" si="17"/>
        <v>0</v>
      </c>
    </row>
    <row r="75" spans="3:21" outlineLevel="1">
      <c r="C75" s="159">
        <f t="shared" si="14"/>
        <v>0</v>
      </c>
      <c r="D75" s="30" t="s">
        <v>126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3" t="str">
        <f t="shared" ref="P75:T75" si="18">IF(ISBLANK(P66),"",LN(P66)-LN(O66))</f>
        <v/>
      </c>
      <c r="Q75" s="123" t="str">
        <f t="shared" si="18"/>
        <v/>
      </c>
      <c r="R75" s="123" t="str">
        <f t="shared" si="18"/>
        <v/>
      </c>
      <c r="S75" s="123" t="str">
        <f t="shared" si="18"/>
        <v/>
      </c>
      <c r="T75" s="123" t="str">
        <f t="shared" si="18"/>
        <v/>
      </c>
    </row>
    <row r="76" spans="3:21" outlineLevel="1">
      <c r="C76" s="159">
        <f t="shared" si="14"/>
        <v>0</v>
      </c>
      <c r="D76" s="30" t="s">
        <v>126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3" t="str">
        <f t="shared" ref="P76:T76" si="19">IF(ISBLANK(P67),"",LN(P67)-LN(O67))</f>
        <v/>
      </c>
      <c r="Q76" s="123" t="str">
        <f t="shared" si="19"/>
        <v/>
      </c>
      <c r="R76" s="123" t="str">
        <f t="shared" si="19"/>
        <v/>
      </c>
      <c r="S76" s="123" t="str">
        <f t="shared" si="19"/>
        <v/>
      </c>
      <c r="T76" s="123" t="str">
        <f t="shared" si="19"/>
        <v/>
      </c>
    </row>
    <row r="77" spans="3:21" outlineLevel="1">
      <c r="C77" s="116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49</v>
      </c>
      <c r="G78" s="32"/>
      <c r="H78" s="32"/>
      <c r="K78" s="23"/>
      <c r="L78" s="23"/>
      <c r="M78" s="23"/>
      <c r="N78" s="23"/>
      <c r="O78" s="23"/>
    </row>
    <row r="79" spans="3:21" outlineLevel="1">
      <c r="C79" s="116"/>
      <c r="G79" s="32"/>
      <c r="H79" s="32"/>
      <c r="K79" s="23"/>
      <c r="L79" s="23"/>
      <c r="M79" s="23"/>
      <c r="N79" s="23"/>
    </row>
    <row r="80" spans="3:21" outlineLevel="1">
      <c r="C80" s="159" t="str">
        <f>C62</f>
        <v>Energy</v>
      </c>
      <c r="D80" s="30" t="s">
        <v>130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0.214</v>
      </c>
    </row>
    <row r="81" spans="1:50" outlineLevel="1">
      <c r="C81" s="159" t="str">
        <f t="shared" ref="C81:C85" si="20">C63</f>
        <v>Ratcheted maximum demand</v>
      </c>
      <c r="D81" s="30" t="s">
        <v>130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0.221</v>
      </c>
    </row>
    <row r="82" spans="1:50" outlineLevel="1">
      <c r="C82" s="159" t="str">
        <f t="shared" si="20"/>
        <v>Weighted entry and exit connections</v>
      </c>
      <c r="D82" s="30" t="s">
        <v>130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>
        <v>0.27800000000000002</v>
      </c>
    </row>
    <row r="83" spans="1:50" outlineLevel="1">
      <c r="C83" s="159" t="str">
        <f t="shared" si="20"/>
        <v>Circuit length</v>
      </c>
      <c r="D83" s="30" t="s">
        <v>130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>
        <v>0.28699999999999998</v>
      </c>
    </row>
    <row r="84" spans="1:50" outlineLevel="1">
      <c r="C84" s="159">
        <f t="shared" si="20"/>
        <v>0</v>
      </c>
      <c r="D84" s="30" t="s">
        <v>130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9">
        <f t="shared" si="20"/>
        <v>0</v>
      </c>
      <c r="D85" s="30" t="s">
        <v>130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126</v>
      </c>
      <c r="E87" s="30" t="s">
        <v>28</v>
      </c>
      <c r="F87" s="30" t="s">
        <v>36</v>
      </c>
      <c r="N87" s="24"/>
      <c r="P87" s="139" t="str">
        <f>IF(SUM(P80:P85)=1,"Ok","Check")</f>
        <v>Ok</v>
      </c>
      <c r="Q87" s="24"/>
      <c r="R87" s="24"/>
      <c r="S87" s="24"/>
      <c r="T87" s="24"/>
      <c r="U87" s="24"/>
      <c r="W87" s="139" t="str">
        <f>IF(COUNTIF(K87:T87,"Check")=0,"Ok","Check")</f>
        <v>Ok</v>
      </c>
    </row>
    <row r="88" spans="1:50"/>
    <row r="89" spans="1:50" s="107" customFormat="1" ht="12.75">
      <c r="A89" s="98"/>
      <c r="B89" s="99" t="s">
        <v>101</v>
      </c>
      <c r="C89" s="98"/>
      <c r="D89" s="98"/>
      <c r="E89" s="98"/>
      <c r="F89" s="100"/>
      <c r="G89" s="100"/>
      <c r="H89" s="100"/>
      <c r="I89" s="100"/>
      <c r="J89" s="100"/>
      <c r="K89" s="101"/>
      <c r="L89" s="102"/>
      <c r="M89" s="101"/>
      <c r="N89" s="102"/>
      <c r="O89" s="101"/>
      <c r="P89" s="101"/>
      <c r="Q89" s="101"/>
      <c r="R89" s="101"/>
      <c r="S89" s="101"/>
      <c r="T89" s="101"/>
      <c r="U89" s="101"/>
      <c r="V89" s="101"/>
      <c r="W89" s="102"/>
      <c r="X89" s="103"/>
      <c r="Y89" s="103"/>
      <c r="Z89" s="103"/>
      <c r="AA89" s="103"/>
      <c r="AB89" s="103"/>
      <c r="AC89" s="103"/>
      <c r="AD89" s="103"/>
      <c r="AE89" s="104"/>
      <c r="AF89" s="105"/>
      <c r="AG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</row>
    <row r="90" spans="1:50" outlineLevel="1">
      <c r="G90" s="32"/>
      <c r="H90" s="32"/>
    </row>
    <row r="91" spans="1:50" outlineLevel="1">
      <c r="C91" s="70" t="s">
        <v>54</v>
      </c>
      <c r="D91" s="32" t="s">
        <v>7</v>
      </c>
      <c r="E91" s="32" t="s">
        <v>8</v>
      </c>
      <c r="F91" s="32" t="s">
        <v>22</v>
      </c>
      <c r="G91" s="32"/>
      <c r="H91" s="32"/>
      <c r="K91" s="110" t="str">
        <f>IF(RIGHT(K$4,2)&gt;=RIGHT('Input|General'!$G$11,2),IF(RIGHT(K$4,2)&lt;=RIGHT('Input|General'!$G$12,2),K$4,""),"")</f>
        <v/>
      </c>
      <c r="L91" s="110" t="str">
        <f ca="1">IF(RIGHT(L$4,2)&gt;=RIGHT('Input|General'!$G$11,2),IF(RIGHT(L$4,2)&lt;=RIGHT('Input|General'!$G$12,2),L$4,""),"")</f>
        <v/>
      </c>
      <c r="M91" s="110" t="str">
        <f ca="1">IF(RIGHT(M$4,2)&gt;=RIGHT('Input|General'!$G$11,2),IF(RIGHT(M$4,2)&lt;=RIGHT('Input|General'!$G$12,2),M$4,""),"")</f>
        <v/>
      </c>
      <c r="N91" s="110" t="str">
        <f ca="1">IF(RIGHT(N$4,2)&gt;=RIGHT('Input|General'!$G$11,2),IF(RIGHT(N$4,2)&lt;=RIGHT('Input|General'!$G$12,2),N$4,""),"")</f>
        <v/>
      </c>
      <c r="O91" s="110" t="str">
        <f ca="1">IF(RIGHT(O$4,2)&gt;=RIGHT('Input|General'!$G$11,2),IF(RIGHT(O$4,2)&lt;=RIGHT('Input|General'!$G$12,2),O$4,""),"")</f>
        <v/>
      </c>
      <c r="P91" s="110" t="str">
        <f ca="1">IF(RIGHT(P$4,2)&gt;=RIGHT('Input|General'!$G$11,2),IF(RIGHT(P$4,2)&lt;=RIGHT('Input|General'!$G$12,2),P$4,""),"")</f>
        <v>2019-20</v>
      </c>
      <c r="Q91" s="110" t="str">
        <f ca="1">IF(RIGHT(Q$4,2)&gt;=RIGHT('Input|General'!$G$11,2),IF(RIGHT(Q$4,2)&lt;=RIGHT('Input|General'!$G$12,2),Q$4,""),"")</f>
        <v>2020-21</v>
      </c>
      <c r="R91" s="110" t="str">
        <f ca="1">IF(RIGHT(R$4,2)&gt;=RIGHT('Input|General'!$G$11,2),IF(RIGHT(R$4,2)&lt;=RIGHT('Input|General'!$G$12,2),R$4,""),"")</f>
        <v>2021-22</v>
      </c>
      <c r="S91" s="110" t="str">
        <f ca="1">IF(RIGHT(S$4,2)&gt;=RIGHT('Input|General'!$G$11,2),IF(RIGHT(S$4,2)&lt;=RIGHT('Input|General'!$G$12,2),S$4,""),"")</f>
        <v>2022-23</v>
      </c>
      <c r="T91" s="110" t="str">
        <f ca="1">IF(RIGHT(T$4,2)&gt;=RIGHT('Input|General'!$G$11,2),IF(RIGHT(T$4,2)&lt;=RIGHT('Input|General'!$G$12,2),T$4,""),"")</f>
        <v>2023-24</v>
      </c>
    </row>
    <row r="92" spans="1:50" outlineLevel="1">
      <c r="C92" s="116"/>
      <c r="G92" s="32"/>
      <c r="H92" s="32"/>
      <c r="K92" s="23"/>
      <c r="L92" s="23"/>
      <c r="M92" s="23"/>
      <c r="N92" s="23"/>
      <c r="O92" s="23"/>
    </row>
    <row r="93" spans="1:50" outlineLevel="1">
      <c r="C93" s="116" t="s">
        <v>54</v>
      </c>
      <c r="D93" s="30" t="s">
        <v>130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50" outlineLevel="1">
      <c r="C94" s="116"/>
      <c r="G94" s="32"/>
      <c r="H94" s="32"/>
      <c r="K94" s="23"/>
      <c r="L94" s="23"/>
      <c r="M94" s="23"/>
      <c r="N94" s="23"/>
      <c r="O94" s="23"/>
    </row>
    <row r="95" spans="1:50" s="107" customFormat="1" ht="12.75">
      <c r="A95" s="98"/>
      <c r="B95" s="99" t="s">
        <v>21</v>
      </c>
      <c r="C95" s="98"/>
      <c r="D95" s="98"/>
      <c r="E95" s="98"/>
      <c r="F95" s="100"/>
      <c r="G95" s="100"/>
      <c r="H95" s="100"/>
      <c r="I95" s="100"/>
      <c r="J95" s="100"/>
      <c r="K95" s="101"/>
      <c r="L95" s="102"/>
      <c r="M95" s="101"/>
      <c r="N95" s="102"/>
      <c r="O95" s="101"/>
      <c r="P95" s="101"/>
      <c r="Q95" s="101"/>
      <c r="R95" s="101"/>
      <c r="S95" s="101"/>
      <c r="T95" s="101"/>
      <c r="U95" s="101"/>
      <c r="V95" s="101"/>
      <c r="W95" s="102"/>
      <c r="X95" s="103"/>
      <c r="Y95" s="103"/>
      <c r="Z95" s="103"/>
      <c r="AA95" s="103"/>
      <c r="AB95" s="103"/>
      <c r="AC95" s="103"/>
      <c r="AD95" s="103"/>
      <c r="AE95" s="104"/>
      <c r="AF95" s="105"/>
      <c r="AG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3" priority="57" operator="equal">
      <formula>"Check"</formula>
    </cfRule>
    <cfRule type="cellIs" dxfId="82" priority="58" operator="equal">
      <formula>"Ok"</formula>
    </cfRule>
  </conditionalFormatting>
  <conditionalFormatting sqref="T1">
    <cfRule type="cellIs" dxfId="81" priority="21" operator="equal">
      <formula>"Check"</formula>
    </cfRule>
    <cfRule type="cellIs" dxfId="80" priority="22" operator="equal">
      <formula>"Ok"</formula>
    </cfRule>
  </conditionalFormatting>
  <conditionalFormatting sqref="W56">
    <cfRule type="cellIs" dxfId="79" priority="9" operator="equal">
      <formula>"Check"</formula>
    </cfRule>
    <cfRule type="cellIs" dxfId="78" priority="10" operator="equal">
      <formula>"Ok"</formula>
    </cfRule>
  </conditionalFormatting>
  <conditionalFormatting sqref="P56:S56">
    <cfRule type="cellIs" dxfId="77" priority="7" operator="equal">
      <formula>"Check"</formula>
    </cfRule>
    <cfRule type="cellIs" dxfId="76" priority="8" operator="equal">
      <formula>"Ok"</formula>
    </cfRule>
  </conditionalFormatting>
  <conditionalFormatting sqref="W87">
    <cfRule type="cellIs" dxfId="75" priority="5" operator="equal">
      <formula>"Check"</formula>
    </cfRule>
    <cfRule type="cellIs" dxfId="74" priority="6" operator="equal">
      <formula>"Ok"</formula>
    </cfRule>
  </conditionalFormatting>
  <conditionalFormatting sqref="P87:T87">
    <cfRule type="cellIs" dxfId="73" priority="3" operator="equal">
      <formula>"Check"</formula>
    </cfRule>
    <cfRule type="cellIs" dxfId="72" priority="4" operator="equal">
      <formula>"Ok"</formula>
    </cfRule>
  </conditionalFormatting>
  <conditionalFormatting sqref="T56">
    <cfRule type="cellIs" dxfId="71" priority="1" operator="equal">
      <formula>"Check"</formula>
    </cfRule>
    <cfRule type="cellIs" dxfId="70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9"/>
  <sheetViews>
    <sheetView showGridLines="0" workbookViewId="0">
      <selection activeCell="O39" sqref="O3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IF(COUNTA($W$8:$W$232)=COUNTIF($W$8:$W$232,"OK"),"OK","Check")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Index!$C$11</f>
        <v>Input | Step changes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80"/>
      <c r="K3" s="180"/>
      <c r="L3" s="180"/>
      <c r="M3" s="85"/>
      <c r="N3" s="180"/>
      <c r="O3" s="180"/>
      <c r="P3" s="180"/>
      <c r="Q3" s="180"/>
      <c r="R3" s="180"/>
      <c r="S3" s="18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7" t="s">
        <v>7</v>
      </c>
      <c r="E4" s="87" t="s">
        <v>8</v>
      </c>
      <c r="F4" s="90" t="s">
        <v>22</v>
      </c>
      <c r="G4" s="90"/>
      <c r="H4" s="90"/>
      <c r="I4" s="90"/>
      <c r="J4" s="91" t="str">
        <f>'Input|General'!$G$8</f>
        <v>2014-15</v>
      </c>
      <c r="K4" s="168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91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168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91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91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91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91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91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91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56</v>
      </c>
      <c r="C8" s="98"/>
      <c r="D8" s="98"/>
      <c r="E8" s="98"/>
      <c r="F8" s="100"/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outlineLevel="1">
      <c r="G9" s="32"/>
      <c r="H9" s="32"/>
    </row>
    <row r="10" spans="1:47" outlineLevel="1">
      <c r="C10" s="70" t="s">
        <v>102</v>
      </c>
      <c r="D10" s="32" t="s">
        <v>7</v>
      </c>
      <c r="E10" s="32" t="s">
        <v>8</v>
      </c>
      <c r="F10" s="32" t="s">
        <v>22</v>
      </c>
      <c r="G10" s="32"/>
      <c r="H10" s="32"/>
      <c r="J10" s="110" t="str">
        <f>IF(RIGHT(J$4,2)&gt;=RIGHT('Input|General'!$G$11,2),IF(RIGHT(J$4,2)&lt;=RIGHT('Input|General'!$G$12,2),J$4,""),"")</f>
        <v/>
      </c>
      <c r="K10" s="110" t="str">
        <f ca="1">IF(RIGHT(K$4,2)&gt;=RIGHT('Input|General'!$G$11,2),IF(RIGHT(K$4,2)&lt;=RIGHT('Input|General'!$G$12,2),K$4,""),"")</f>
        <v/>
      </c>
      <c r="L10" s="110" t="str">
        <f ca="1">IF(RIGHT(L$4,2)&gt;=RIGHT('Input|General'!$G$11,2),IF(RIGHT(L$4,2)&lt;=RIGHT('Input|General'!$G$12,2),L$4,""),"")</f>
        <v/>
      </c>
      <c r="M10" s="110" t="str">
        <f ca="1">IF(RIGHT(M$4,2)&gt;=RIGHT('Input|General'!$G$11,2),IF(RIGHT(M$4,2)&lt;=RIGHT('Input|General'!$G$12,2),M$4,""),"")</f>
        <v/>
      </c>
      <c r="N10" s="110" t="str">
        <f ca="1">IF(RIGHT(N$4,2)&gt;=RIGHT('Input|General'!$G$11,2),IF(RIGHT(N$4,2)&lt;=RIGHT('Input|General'!$G$12,2),N$4,""),"")</f>
        <v/>
      </c>
      <c r="O10" s="110" t="str">
        <f ca="1">IF(RIGHT(O$4,2)&gt;=RIGHT('Input|General'!$G$11,2),IF(RIGHT(O$4,2)&lt;=RIGHT('Input|General'!$G$12,2),O$4,""),"")</f>
        <v>2019-20</v>
      </c>
      <c r="P10" s="110" t="str">
        <f ca="1">IF(RIGHT(P$4,2)&gt;=RIGHT('Input|General'!$G$11,2),IF(RIGHT(P$4,2)&lt;=RIGHT('Input|General'!$G$12,2),P$4,""),"")</f>
        <v>2020-21</v>
      </c>
      <c r="Q10" s="110" t="str">
        <f ca="1">IF(RIGHT(Q$4,2)&gt;=RIGHT('Input|General'!$G$11,2),IF(RIGHT(Q$4,2)&lt;=RIGHT('Input|General'!$G$12,2),Q$4,""),"")</f>
        <v>2021-22</v>
      </c>
      <c r="R10" s="110" t="str">
        <f ca="1">IF(RIGHT(R$4,2)&gt;=RIGHT('Input|General'!$G$11,2),IF(RIGHT(R$4,2)&lt;=RIGHT('Input|General'!$G$12,2),R$4,""),"")</f>
        <v>2022-23</v>
      </c>
      <c r="S10" s="110" t="str">
        <f ca="1">IF(RIGHT(S$4,2)&gt;=RIGHT('Input|General'!$G$11,2),IF(RIGHT(S$4,2)&lt;=RIGHT('Input|General'!$G$12,2),S$4,""),"")</f>
        <v>2023-24</v>
      </c>
    </row>
    <row r="11" spans="1:47" outlineLevel="1">
      <c r="G11" s="32"/>
      <c r="H11" s="32"/>
    </row>
    <row r="12" spans="1:47" outlineLevel="1">
      <c r="C12" s="62"/>
      <c r="D12" s="30" t="s">
        <v>87</v>
      </c>
      <c r="E12" s="164" t="s">
        <v>15</v>
      </c>
      <c r="F12" s="64" t="s">
        <v>45</v>
      </c>
      <c r="G12" s="32"/>
      <c r="H12" s="32"/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spans="1:47" outlineLevel="1">
      <c r="C13" s="62"/>
      <c r="D13" s="30" t="s">
        <v>87</v>
      </c>
      <c r="E13" s="164" t="s">
        <v>15</v>
      </c>
      <c r="F13" s="64" t="s">
        <v>45</v>
      </c>
      <c r="G13" s="32"/>
      <c r="H13" s="32"/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spans="1:47" outlineLevel="1">
      <c r="C14" s="62"/>
      <c r="D14" s="30" t="s">
        <v>87</v>
      </c>
      <c r="E14" s="164" t="s">
        <v>15</v>
      </c>
      <c r="F14" s="64" t="s">
        <v>45</v>
      </c>
      <c r="G14" s="32"/>
      <c r="H14" s="32"/>
      <c r="O14" s="64">
        <v>0</v>
      </c>
      <c r="P14" s="64">
        <v>0</v>
      </c>
      <c r="Q14" s="64">
        <v>0</v>
      </c>
      <c r="R14" s="64">
        <v>0</v>
      </c>
      <c r="S14" s="64">
        <v>0</v>
      </c>
    </row>
    <row r="15" spans="1:47" outlineLevel="1">
      <c r="C15" s="62"/>
      <c r="D15" s="30" t="s">
        <v>87</v>
      </c>
      <c r="E15" s="164" t="s">
        <v>15</v>
      </c>
      <c r="F15" s="64" t="s">
        <v>45</v>
      </c>
      <c r="G15" s="32"/>
      <c r="H15" s="32"/>
      <c r="O15" s="64">
        <v>0</v>
      </c>
      <c r="P15" s="64">
        <v>0</v>
      </c>
      <c r="Q15" s="64">
        <v>0</v>
      </c>
      <c r="R15" s="64">
        <v>0</v>
      </c>
      <c r="S15" s="64">
        <v>0</v>
      </c>
    </row>
    <row r="16" spans="1:47" outlineLevel="1">
      <c r="C16" s="62"/>
      <c r="D16" s="30" t="s">
        <v>87</v>
      </c>
      <c r="E16" s="164" t="s">
        <v>15</v>
      </c>
      <c r="F16" s="64" t="s">
        <v>45</v>
      </c>
      <c r="G16" s="32"/>
      <c r="H16" s="32"/>
      <c r="O16" s="64">
        <v>0</v>
      </c>
      <c r="P16" s="64">
        <v>0</v>
      </c>
      <c r="Q16" s="64">
        <v>0</v>
      </c>
      <c r="R16" s="64">
        <v>0</v>
      </c>
      <c r="S16" s="64">
        <v>0</v>
      </c>
    </row>
    <row r="17" spans="1:47" outlineLevel="1">
      <c r="C17" s="62"/>
      <c r="D17" s="30" t="s">
        <v>87</v>
      </c>
      <c r="E17" s="164" t="s">
        <v>15</v>
      </c>
      <c r="F17" s="64" t="s">
        <v>45</v>
      </c>
      <c r="G17" s="32"/>
      <c r="H17" s="32"/>
      <c r="O17" s="64">
        <v>0</v>
      </c>
      <c r="P17" s="64">
        <v>0</v>
      </c>
      <c r="Q17" s="64">
        <v>0</v>
      </c>
      <c r="R17" s="64">
        <v>0</v>
      </c>
      <c r="S17" s="64">
        <v>0</v>
      </c>
    </row>
    <row r="18" spans="1:47" outlineLevel="1">
      <c r="C18" s="62"/>
      <c r="D18" s="30" t="s">
        <v>87</v>
      </c>
      <c r="E18" s="164" t="s">
        <v>15</v>
      </c>
      <c r="F18" s="64" t="s">
        <v>45</v>
      </c>
      <c r="G18" s="32"/>
      <c r="H18" s="32"/>
      <c r="O18" s="64">
        <v>0</v>
      </c>
      <c r="P18" s="64">
        <v>0</v>
      </c>
      <c r="Q18" s="64">
        <v>0</v>
      </c>
      <c r="R18" s="64">
        <v>0</v>
      </c>
      <c r="S18" s="64">
        <v>0</v>
      </c>
    </row>
    <row r="19" spans="1:47" outlineLevel="1">
      <c r="C19" s="62"/>
      <c r="D19" s="30" t="s">
        <v>87</v>
      </c>
      <c r="E19" s="164" t="s">
        <v>15</v>
      </c>
      <c r="F19" s="64" t="s">
        <v>45</v>
      </c>
      <c r="G19" s="32"/>
      <c r="H19" s="32"/>
      <c r="O19" s="64">
        <v>0</v>
      </c>
      <c r="P19" s="64">
        <v>0</v>
      </c>
      <c r="Q19" s="64">
        <v>0</v>
      </c>
      <c r="R19" s="64">
        <v>0</v>
      </c>
      <c r="S19" s="64">
        <v>0</v>
      </c>
    </row>
    <row r="20" spans="1:47" outlineLevel="1">
      <c r="C20" s="62"/>
      <c r="D20" s="30" t="s">
        <v>87</v>
      </c>
      <c r="E20" s="164" t="s">
        <v>15</v>
      </c>
      <c r="F20" s="64" t="s">
        <v>45</v>
      </c>
      <c r="G20" s="32"/>
      <c r="H20" s="32"/>
      <c r="O20" s="64">
        <v>0</v>
      </c>
      <c r="P20" s="64">
        <v>0</v>
      </c>
      <c r="Q20" s="64">
        <v>0</v>
      </c>
      <c r="R20" s="64">
        <v>0</v>
      </c>
      <c r="S20" s="64">
        <v>0</v>
      </c>
    </row>
    <row r="21" spans="1:47" outlineLevel="1">
      <c r="C21" s="62"/>
      <c r="D21" s="30" t="s">
        <v>87</v>
      </c>
      <c r="E21" s="164" t="s">
        <v>15</v>
      </c>
      <c r="F21" s="64" t="s">
        <v>45</v>
      </c>
      <c r="G21" s="32"/>
      <c r="H21" s="32"/>
      <c r="O21" s="64">
        <v>0</v>
      </c>
      <c r="P21" s="64">
        <v>0</v>
      </c>
      <c r="Q21" s="64">
        <v>0</v>
      </c>
      <c r="R21" s="64">
        <v>0</v>
      </c>
      <c r="S21" s="64">
        <v>0</v>
      </c>
    </row>
    <row r="22" spans="1:47" outlineLevel="1">
      <c r="C22" s="62"/>
      <c r="D22" s="30" t="s">
        <v>87</v>
      </c>
      <c r="E22" s="164" t="s">
        <v>15</v>
      </c>
      <c r="F22" s="64" t="s">
        <v>45</v>
      </c>
      <c r="G22" s="32"/>
      <c r="H22" s="32"/>
      <c r="O22" s="64">
        <v>0</v>
      </c>
      <c r="P22" s="64">
        <v>0</v>
      </c>
      <c r="Q22" s="64">
        <v>0</v>
      </c>
      <c r="R22" s="64">
        <v>0</v>
      </c>
      <c r="S22" s="64">
        <v>0</v>
      </c>
    </row>
    <row r="23" spans="1:47" outlineLevel="1">
      <c r="C23" s="62"/>
      <c r="D23" s="30" t="s">
        <v>87</v>
      </c>
      <c r="E23" s="164" t="s">
        <v>15</v>
      </c>
      <c r="F23" s="64" t="s">
        <v>45</v>
      </c>
      <c r="G23" s="32"/>
      <c r="H23" s="32"/>
      <c r="O23" s="64">
        <v>0</v>
      </c>
      <c r="P23" s="64">
        <v>0</v>
      </c>
      <c r="Q23" s="64">
        <v>0</v>
      </c>
      <c r="R23" s="64">
        <v>0</v>
      </c>
      <c r="S23" s="64">
        <v>0</v>
      </c>
    </row>
    <row r="24" spans="1:47">
      <c r="G24" s="32"/>
      <c r="H24" s="32"/>
    </row>
    <row r="25" spans="1:47" s="107" customFormat="1" ht="12.75">
      <c r="A25" s="98"/>
      <c r="B25" s="99" t="s">
        <v>151</v>
      </c>
      <c r="C25" s="98"/>
      <c r="D25" s="98"/>
      <c r="E25" s="98"/>
      <c r="F25" s="100"/>
      <c r="G25" s="100"/>
      <c r="H25" s="100"/>
      <c r="I25" s="100"/>
      <c r="J25" s="101"/>
      <c r="K25" s="102"/>
      <c r="L25" s="101"/>
      <c r="M25" s="102"/>
      <c r="N25" s="101"/>
      <c r="O25" s="101"/>
      <c r="P25" s="101"/>
      <c r="Q25" s="101"/>
      <c r="R25" s="101"/>
      <c r="S25" s="101"/>
      <c r="T25" s="101"/>
      <c r="U25" s="101"/>
      <c r="V25" s="102"/>
      <c r="W25" s="102"/>
      <c r="X25" s="103"/>
      <c r="Y25" s="103"/>
      <c r="Z25" s="103"/>
      <c r="AA25" s="103"/>
      <c r="AB25" s="104"/>
      <c r="AC25" s="105"/>
      <c r="AD25" s="105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</row>
    <row r="26" spans="1:47" outlineLevel="1">
      <c r="G26" s="32"/>
      <c r="H26" s="32"/>
    </row>
    <row r="27" spans="1:47" outlineLevel="1">
      <c r="C27" s="70" t="s">
        <v>152</v>
      </c>
      <c r="D27" s="32" t="s">
        <v>7</v>
      </c>
      <c r="E27" s="32" t="s">
        <v>8</v>
      </c>
      <c r="F27" s="32" t="s">
        <v>22</v>
      </c>
      <c r="G27" s="32"/>
      <c r="H27" s="32"/>
      <c r="J27" s="110" t="str">
        <f>IF(RIGHT(J$4,2)&gt;=RIGHT('Input|General'!$G$11,2),IF(RIGHT(J$4,2)&lt;=RIGHT('Input|General'!$G$12,2),J$4,""),"")</f>
        <v/>
      </c>
      <c r="K27" s="110" t="str">
        <f ca="1">IF(RIGHT(K$4,2)&gt;=RIGHT('Input|General'!$G$11,2),IF(RIGHT(K$4,2)&lt;=RIGHT('Input|General'!$G$12,2),K$4,""),"")</f>
        <v/>
      </c>
      <c r="L27" s="110" t="str">
        <f ca="1">IF(RIGHT(L$4,2)&gt;=RIGHT('Input|General'!$G$11,2),IF(RIGHT(L$4,2)&lt;=RIGHT('Input|General'!$G$12,2),L$4,""),"")</f>
        <v/>
      </c>
      <c r="M27" s="110" t="str">
        <f ca="1">IF(RIGHT(M$4,2)&gt;=RIGHT('Input|General'!$G$11,2),IF(RIGHT(M$4,2)&lt;=RIGHT('Input|General'!$G$12,2),M$4,""),"")</f>
        <v/>
      </c>
      <c r="N27" s="110" t="str">
        <f ca="1">IF(RIGHT(N$4,2)&gt;=RIGHT('Input|General'!$G$11,2),IF(RIGHT(N$4,2)&lt;=RIGHT('Input|General'!$G$12,2),N$4,""),"")</f>
        <v/>
      </c>
      <c r="O27" s="110" t="str">
        <f ca="1">IF(RIGHT(O$4,2)&gt;=RIGHT('Input|General'!$G$11,2),IF(RIGHT(O$4,2)&lt;=RIGHT('Input|General'!$G$12,2),O$4,""),"")</f>
        <v>2019-20</v>
      </c>
      <c r="P27" s="110" t="str">
        <f ca="1">IF(RIGHT(P$4,2)&gt;=RIGHT('Input|General'!$G$11,2),IF(RIGHT(P$4,2)&lt;=RIGHT('Input|General'!$G$12,2),P$4,""),"")</f>
        <v>2020-21</v>
      </c>
      <c r="Q27" s="110" t="str">
        <f ca="1">IF(RIGHT(Q$4,2)&gt;=RIGHT('Input|General'!$G$11,2),IF(RIGHT(Q$4,2)&lt;=RIGHT('Input|General'!$G$12,2),Q$4,""),"")</f>
        <v>2021-22</v>
      </c>
      <c r="R27" s="110" t="str">
        <f ca="1">IF(RIGHT(R$4,2)&gt;=RIGHT('Input|General'!$G$11,2),IF(RIGHT(R$4,2)&lt;=RIGHT('Input|General'!$G$12,2),R$4,""),"")</f>
        <v>2022-23</v>
      </c>
      <c r="S27" s="110" t="str">
        <f ca="1">IF(RIGHT(S$4,2)&gt;=RIGHT('Input|General'!$G$11,2),IF(RIGHT(S$4,2)&lt;=RIGHT('Input|General'!$G$12,2),S$4,""),"")</f>
        <v>2023-24</v>
      </c>
    </row>
    <row r="28" spans="1:47" outlineLevel="1">
      <c r="G28" s="32"/>
      <c r="H28" s="32"/>
    </row>
    <row r="29" spans="1:47" outlineLevel="1">
      <c r="C29" s="62"/>
      <c r="D29" s="30" t="s">
        <v>87</v>
      </c>
      <c r="E29" s="164" t="s">
        <v>15</v>
      </c>
      <c r="F29" s="64" t="s">
        <v>45</v>
      </c>
      <c r="G29" s="32"/>
      <c r="H29" s="32"/>
      <c r="O29" s="64"/>
      <c r="P29" s="64"/>
      <c r="Q29" s="64"/>
      <c r="R29" s="64"/>
      <c r="S29" s="64"/>
    </row>
    <row r="30" spans="1:47" outlineLevel="1">
      <c r="C30" s="62"/>
      <c r="D30" s="30" t="s">
        <v>87</v>
      </c>
      <c r="E30" s="164" t="s">
        <v>15</v>
      </c>
      <c r="F30" s="64" t="s">
        <v>45</v>
      </c>
      <c r="G30" s="32"/>
      <c r="H30" s="32"/>
      <c r="O30" s="64"/>
      <c r="P30" s="64"/>
      <c r="Q30" s="64"/>
      <c r="R30" s="64"/>
      <c r="S30" s="64"/>
    </row>
    <row r="31" spans="1:47" outlineLevel="1">
      <c r="C31" s="62"/>
      <c r="D31" s="30" t="s">
        <v>87</v>
      </c>
      <c r="E31" s="164" t="s">
        <v>15</v>
      </c>
      <c r="F31" s="64" t="s">
        <v>45</v>
      </c>
      <c r="G31" s="32"/>
      <c r="H31" s="32"/>
      <c r="O31" s="64"/>
      <c r="P31" s="64"/>
      <c r="Q31" s="64"/>
      <c r="R31" s="64"/>
      <c r="S31" s="64"/>
    </row>
    <row r="32" spans="1:47">
      <c r="G32" s="32"/>
      <c r="H32" s="32"/>
    </row>
    <row r="33" spans="1:47" s="107" customFormat="1" ht="12.75">
      <c r="A33" s="98"/>
      <c r="B33" s="99" t="s">
        <v>50</v>
      </c>
      <c r="C33" s="98"/>
      <c r="D33" s="98"/>
      <c r="E33" s="98"/>
      <c r="F33" s="100"/>
      <c r="G33" s="100"/>
      <c r="H33" s="100"/>
      <c r="I33" s="100"/>
      <c r="J33" s="101"/>
      <c r="K33" s="102"/>
      <c r="L33" s="101"/>
      <c r="M33" s="102"/>
      <c r="N33" s="101"/>
      <c r="O33" s="101"/>
      <c r="P33" s="101"/>
      <c r="Q33" s="101"/>
      <c r="R33" s="101"/>
      <c r="S33" s="101"/>
      <c r="T33" s="101"/>
      <c r="U33" s="101"/>
      <c r="V33" s="102"/>
      <c r="W33" s="102"/>
      <c r="X33" s="103"/>
      <c r="Y33" s="103"/>
      <c r="Z33" s="103"/>
      <c r="AA33" s="103"/>
      <c r="AB33" s="104"/>
      <c r="AC33" s="105"/>
      <c r="AD33" s="105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</row>
    <row r="34" spans="1:47" outlineLevel="1">
      <c r="G34" s="32"/>
      <c r="H34" s="32"/>
    </row>
    <row r="35" spans="1:47" outlineLevel="1">
      <c r="C35" s="70" t="s">
        <v>32</v>
      </c>
      <c r="D35" s="32" t="s">
        <v>7</v>
      </c>
      <c r="E35" s="32" t="s">
        <v>8</v>
      </c>
      <c r="F35" s="32" t="s">
        <v>22</v>
      </c>
      <c r="G35" s="32"/>
      <c r="H35" s="32"/>
      <c r="J35" s="110" t="str">
        <f>IF(RIGHT(J$4,2)&gt;=RIGHT('Input|General'!$G$11,2),IF(RIGHT(J$4,2)&lt;=RIGHT('Input|General'!$G$12,2),J$4,""),"")</f>
        <v/>
      </c>
      <c r="K35" s="110" t="str">
        <f ca="1">IF(RIGHT(K$4,2)&gt;=RIGHT('Input|General'!$G$11,2),IF(RIGHT(K$4,2)&lt;=RIGHT('Input|General'!$G$12,2),K$4,""),"")</f>
        <v/>
      </c>
      <c r="L35" s="110" t="str">
        <f ca="1">IF(RIGHT(L$4,2)&gt;=RIGHT('Input|General'!$G$11,2),IF(RIGHT(L$4,2)&lt;=RIGHT('Input|General'!$G$12,2),L$4,""),"")</f>
        <v/>
      </c>
      <c r="M35" s="110" t="str">
        <f ca="1">IF(RIGHT(M$4,2)&gt;=RIGHT('Input|General'!$G$11,2),IF(RIGHT(M$4,2)&lt;=RIGHT('Input|General'!$G$12,2),M$4,""),"")</f>
        <v/>
      </c>
      <c r="N35" s="110" t="str">
        <f ca="1">IF(RIGHT(N$4,2)&gt;=RIGHT('Input|General'!$G$11,2),IF(RIGHT(N$4,2)&lt;=RIGHT('Input|General'!$G$12,2),N$4,""),"")</f>
        <v/>
      </c>
      <c r="O35" s="110" t="str">
        <f ca="1">IF(RIGHT(O$4,2)&gt;=RIGHT('Input|General'!$G$11,2),IF(RIGHT(O$4,2)&lt;=RIGHT('Input|General'!$G$12,2),O$4,""),"")</f>
        <v>2019-20</v>
      </c>
      <c r="P35" s="110" t="str">
        <f ca="1">IF(RIGHT(P$4,2)&gt;=RIGHT('Input|General'!$G$11,2),IF(RIGHT(P$4,2)&lt;=RIGHT('Input|General'!$G$12,2),P$4,""),"")</f>
        <v>2020-21</v>
      </c>
      <c r="Q35" s="110" t="str">
        <f ca="1">IF(RIGHT(Q$4,2)&gt;=RIGHT('Input|General'!$G$11,2),IF(RIGHT(Q$4,2)&lt;=RIGHT('Input|General'!$G$12,2),Q$4,""),"")</f>
        <v>2021-22</v>
      </c>
      <c r="R35" s="110" t="str">
        <f ca="1">IF(RIGHT(R$4,2)&gt;=RIGHT('Input|General'!$G$11,2),IF(RIGHT(R$4,2)&lt;=RIGHT('Input|General'!$G$12,2),R$4,""),"")</f>
        <v>2022-23</v>
      </c>
      <c r="S35" s="110" t="str">
        <f ca="1">IF(RIGHT(S$4,2)&gt;=RIGHT('Input|General'!$G$11,2),IF(RIGHT(S$4,2)&lt;=RIGHT('Input|General'!$G$12,2),S$4,""),"")</f>
        <v>2023-24</v>
      </c>
    </row>
    <row r="36" spans="1:47" outlineLevel="1">
      <c r="G36" s="32"/>
      <c r="H36" s="32"/>
    </row>
    <row r="37" spans="1:47" outlineLevel="1">
      <c r="C37" s="116" t="s">
        <v>39</v>
      </c>
      <c r="D37" s="30" t="s">
        <v>95</v>
      </c>
      <c r="E37" s="30" t="s">
        <v>15</v>
      </c>
      <c r="F37" s="64" t="s">
        <v>45</v>
      </c>
      <c r="G37" s="32"/>
      <c r="H37" s="32"/>
      <c r="O37" s="64">
        <v>1.0125391709525366</v>
      </c>
      <c r="P37" s="64">
        <v>1.003338623607527</v>
      </c>
      <c r="Q37" s="64">
        <v>1.0098727651985102</v>
      </c>
      <c r="R37" s="64">
        <v>1.0161377260271394</v>
      </c>
      <c r="S37" s="64">
        <v>1.0078188972042001</v>
      </c>
    </row>
    <row r="38" spans="1:47">
      <c r="G38" s="32"/>
      <c r="H38" s="32"/>
    </row>
    <row r="39" spans="1:47" s="107" customFormat="1" ht="12.75">
      <c r="A39" s="98"/>
      <c r="B39" s="99" t="s">
        <v>21</v>
      </c>
      <c r="C39" s="98"/>
      <c r="D39" s="98"/>
      <c r="E39" s="98"/>
      <c r="F39" s="100"/>
      <c r="G39" s="100"/>
      <c r="H39" s="100"/>
      <c r="I39" s="100"/>
      <c r="J39" s="101"/>
      <c r="K39" s="102"/>
      <c r="L39" s="101"/>
      <c r="M39" s="102"/>
      <c r="N39" s="101"/>
      <c r="O39" s="101"/>
      <c r="P39" s="101"/>
      <c r="Q39" s="101"/>
      <c r="R39" s="101"/>
      <c r="S39" s="101"/>
      <c r="T39" s="101"/>
      <c r="U39" s="101"/>
      <c r="V39" s="102"/>
      <c r="W39" s="102"/>
      <c r="X39" s="103"/>
      <c r="Y39" s="103"/>
      <c r="Z39" s="103"/>
      <c r="AA39" s="103"/>
      <c r="AB39" s="104"/>
      <c r="AC39" s="105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</sheetData>
  <mergeCells count="2">
    <mergeCell ref="J3:L3"/>
    <mergeCell ref="N3:S3"/>
  </mergeCells>
  <conditionalFormatting sqref="S1">
    <cfRule type="cellIs" dxfId="69" priority="1" operator="equal">
      <formula>"Check"</formula>
    </cfRule>
    <cfRule type="cellIs" dxfId="68" priority="2" operator="equal">
      <formula>"Ok"</formula>
    </cfRule>
  </conditionalFormatting>
  <conditionalFormatting sqref="V1">
    <cfRule type="cellIs" dxfId="67" priority="3" operator="equal">
      <formula>"Check"</formula>
    </cfRule>
    <cfRule type="cellIs" dxfId="66" priority="4" operator="equal">
      <formula>"Ok"</formula>
    </cfRule>
  </conditionalFormatting>
  <dataValidations count="3">
    <dataValidation type="list" allowBlank="1" showInputMessage="1" showErrorMessage="1" sqref="F24">
      <formula1>"Real 2010,Real 2011,Real 2012,Real 2013,Real 2014,Real 2015,Nominal"</formula1>
    </dataValidation>
    <dataValidation type="list" allowBlank="1" showInputMessage="1" showErrorMessage="1" sqref="I12:I24 I37 U12:U24 I29:I31">
      <formula1>#REF!</formula1>
    </dataValidation>
    <dataValidation type="list" allowBlank="1" showInputMessage="1" showErrorMessage="1" sqref="U29:U3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E12:E23 E37 E29:E31</xm:sqref>
        </x14:dataValidation>
        <x14:dataValidation type="list" allowBlank="1" showInputMessage="1" showErrorMessage="1">
          <x14:formula1>
            <xm:f>'Lookup|Tables'!$G$25:$G$42</xm:f>
          </x14:formula1>
          <xm:sqref>F37 F29:F31 F12:F23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0"/>
  <sheetViews>
    <sheetView showGridLines="0" topLeftCell="A31" workbookViewId="0">
      <selection activeCell="N17" sqref="N17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16" width="10.83203125" style="29" customWidth="1"/>
    <col min="17" max="17" width="14.33203125" style="29" bestFit="1" customWidth="1"/>
    <col min="18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">
        <v>36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Index!$C$12</f>
        <v>Calc | Opex Forecast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80"/>
      <c r="K3" s="180"/>
      <c r="L3" s="180"/>
      <c r="M3" s="85"/>
      <c r="N3" s="180"/>
      <c r="O3" s="180"/>
      <c r="P3" s="180"/>
      <c r="Q3" s="180"/>
      <c r="R3" s="180"/>
      <c r="S3" s="18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3" t="str">
        <f>'Input|General'!$G$8</f>
        <v>2014-15</v>
      </c>
      <c r="K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3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2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3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3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3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3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3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153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109</v>
      </c>
      <c r="C8" s="98"/>
      <c r="D8" s="98"/>
      <c r="E8" s="71" t="s">
        <v>15</v>
      </c>
      <c r="F8" s="71" t="s">
        <v>45</v>
      </c>
      <c r="G8" s="100"/>
      <c r="H8" s="100"/>
      <c r="I8" s="100"/>
      <c r="J8" s="101"/>
      <c r="K8" s="102"/>
      <c r="L8" s="101"/>
      <c r="M8" s="102"/>
      <c r="N8" s="17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/>
    <row r="10" spans="1:47" outlineLevel="1">
      <c r="C10" s="108"/>
      <c r="D10" s="32" t="s">
        <v>7</v>
      </c>
      <c r="E10" s="32" t="s">
        <v>8</v>
      </c>
      <c r="F10" s="32" t="s">
        <v>22</v>
      </c>
      <c r="G10" s="109"/>
      <c r="H10" s="109"/>
      <c r="I10" s="109"/>
      <c r="J10" s="110" t="str">
        <f>IF(RIGHT(J$4,2)&gt;=RIGHT('Input|General'!$G$9,2),IF(RIGHT(J$4,2)&lt;=RIGHT('Input|General'!$G$10,2),J$4,""),"")</f>
        <v/>
      </c>
      <c r="K10" s="110" t="str">
        <f ca="1">IF(RIGHT(K$4,2)&gt;=RIGHT('Input|General'!$G$9,2),IF(RIGHT(K$4,2)&lt;=RIGHT('Input|General'!$G$10,2),K$4,""),"")</f>
        <v/>
      </c>
      <c r="L10" s="110" t="str">
        <f ca="1">IF(RIGHT(L$4,2)&gt;=RIGHT('Input|General'!$G$9,2),IF(RIGHT(L$4,2)&lt;=RIGHT('Input|General'!$G$10,2),L$4,""),"")</f>
        <v/>
      </c>
      <c r="M10" s="110" t="str">
        <f ca="1">IF(RIGHT(M$4,2)&gt;=RIGHT('Input|General'!$G$9,2),IF(RIGHT(M$4,2)&lt;=RIGHT('Input|General'!$G$10,2),M$4,""),"")</f>
        <v>2017-18</v>
      </c>
      <c r="N10" s="110" t="str">
        <f ca="1">IF(RIGHT(N$4,2)&gt;=RIGHT('Input|General'!$G$9,2),IF(RIGHT(N$4,2)&lt;=RIGHT('Input|General'!$G$10,2),N$4,""),"")</f>
        <v>2018-19</v>
      </c>
      <c r="O10" s="110" t="str">
        <f ca="1">IF(RIGHT(O$4,2)&gt;=RIGHT('Input|General'!$G$9,2),IF(RIGHT(O$4,2)&lt;=RIGHT('Input|General'!$G$10,2),O$4,""),"")</f>
        <v/>
      </c>
      <c r="P10" s="110" t="str">
        <f ca="1">IF(RIGHT(P$4,2)&gt;=RIGHT('Input|General'!$G$9,2),IF(RIGHT(P$4,2)&lt;=RIGHT('Input|General'!$G$10,2),P$4,""),"")</f>
        <v/>
      </c>
      <c r="Q10" s="110" t="str">
        <f ca="1">IF(RIGHT(Q$4,2)&gt;=RIGHT('Input|General'!$G$9,2),IF(RIGHT(Q$4,2)&lt;=RIGHT('Input|General'!$G$10,2),Q$4,""),"")</f>
        <v/>
      </c>
      <c r="R10" s="110" t="str">
        <f ca="1">IF(RIGHT(R$4,2)&gt;=RIGHT('Input|General'!$G$9,2),IF(RIGHT(R$4,2)&lt;=RIGHT('Input|General'!$G$10,2),R$4,""),"")</f>
        <v/>
      </c>
      <c r="S10" s="110" t="str">
        <f ca="1">IF(RIGHT(S$4,2)&gt;=RIGHT('Input|General'!$G$9,2),IF(RIGHT(S$4,2)&lt;=RIGHT('Input|General'!$G$10,2),S$4,""),"")</f>
        <v/>
      </c>
    </row>
    <row r="11" spans="1:47" outlineLevel="1">
      <c r="C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47" outlineLevel="1">
      <c r="C12" s="111" t="s">
        <v>115</v>
      </c>
      <c r="D12" s="113" t="s">
        <v>118</v>
      </c>
      <c r="E12" s="30" t="str">
        <f>'Input|Reported opex'!E46</f>
        <v>$millions</v>
      </c>
      <c r="F12" s="30" t="str">
        <f>'Input|Reported opex'!F46</f>
        <v>nominal</v>
      </c>
      <c r="J12" s="114">
        <f>IF(J$10='Input|General'!$G$9,'Input|Reported opex'!J46,0)</f>
        <v>0</v>
      </c>
      <c r="K12" s="114">
        <f ca="1">IF(K$10='Input|General'!$G$9,'Input|Reported opex'!K46,0)</f>
        <v>0</v>
      </c>
      <c r="L12" s="114">
        <f ca="1">IF(L$10='Input|General'!$G$9,'Input|Reported opex'!L46,0)</f>
        <v>0</v>
      </c>
      <c r="M12" s="114">
        <f ca="1">IF(M$10='Input|General'!$G$9,'Input|Reported opex'!M46,0)</f>
        <v>37.070566006537319</v>
      </c>
      <c r="N12" s="114">
        <f ca="1">IF(N$10='Input|General'!$G$9,'Input|Reported opex'!N46,0)</f>
        <v>0</v>
      </c>
      <c r="O12" s="114">
        <f ca="1">IF(O$10='Input|General'!$G$9,'Input|Reported opex'!O46,0)</f>
        <v>0</v>
      </c>
      <c r="P12" s="114">
        <f ca="1">IF(P$10='Input|General'!$G$9,'Input|Reported opex'!P46,0)</f>
        <v>0</v>
      </c>
      <c r="Q12" s="114">
        <f ca="1">IF(Q$10='Input|General'!$G$9,'Input|Reported opex'!Q46,0)</f>
        <v>0</v>
      </c>
      <c r="R12" s="114">
        <f ca="1">IF(R$10='Input|General'!$G$9,'Input|Reported opex'!R46,0)</f>
        <v>0</v>
      </c>
      <c r="S12" s="114">
        <f ca="1">IF(S$10='Input|General'!$G$9,'Input|Reported opex'!S46,0)</f>
        <v>0</v>
      </c>
    </row>
    <row r="13" spans="1:47" outlineLevel="1">
      <c r="C13" s="111" t="s">
        <v>115</v>
      </c>
      <c r="D13" s="115" t="s">
        <v>30</v>
      </c>
      <c r="E13" s="30" t="str">
        <f>$E$8</f>
        <v>$millions</v>
      </c>
      <c r="F13" s="30" t="str">
        <f>$F$8</f>
        <v>2018-19</v>
      </c>
      <c r="J13" s="114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4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4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4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38.44121989648378</v>
      </c>
      <c r="N13" s="114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4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4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4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4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4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6" t="s">
        <v>116</v>
      </c>
      <c r="D14" s="113" t="s">
        <v>118</v>
      </c>
      <c r="E14" s="30" t="str">
        <f>'Input|Reported opex'!E24</f>
        <v>$millions</v>
      </c>
      <c r="F14" s="30" t="str">
        <f>'Input|Reported opex'!F24</f>
        <v>2013-14</v>
      </c>
      <c r="J14" s="114">
        <f>IF(J$10='Input|General'!$G$9,'Input|Reported opex'!J24,0)</f>
        <v>0</v>
      </c>
      <c r="K14" s="114">
        <f ca="1">IF(K$10='Input|General'!$G$9,'Input|Reported opex'!K24,0)</f>
        <v>0</v>
      </c>
      <c r="L14" s="114">
        <f ca="1">IF(L$10='Input|General'!$G$9,'Input|Reported opex'!L24,0)</f>
        <v>0</v>
      </c>
      <c r="M14" s="114">
        <f ca="1">IF(M$10='Input|General'!$G$9,'Input|Reported opex'!M24,0)</f>
        <v>42.905571770648322</v>
      </c>
      <c r="N14" s="114">
        <f ca="1">IF(N$10='Input|General'!$G$9,'Input|Reported opex'!N24,0)</f>
        <v>0</v>
      </c>
      <c r="O14" s="114">
        <f ca="1">IF(O$10='Input|General'!$G$9,'Input|Reported opex'!O24,0)</f>
        <v>0</v>
      </c>
      <c r="P14" s="114">
        <f ca="1">IF(P$10='Input|General'!$G$9,'Input|Reported opex'!P24,0)</f>
        <v>0</v>
      </c>
      <c r="Q14" s="114">
        <f ca="1">IF(Q$10='Input|General'!$G$9,'Input|Reported opex'!Q24,0)</f>
        <v>0</v>
      </c>
      <c r="R14" s="114">
        <f ca="1">IF(R$10='Input|General'!$G$9,'Input|Reported opex'!R24,0)</f>
        <v>0</v>
      </c>
      <c r="S14" s="114">
        <f ca="1">IF(S$10='Input|General'!$G$9,'Input|Reported opex'!S24,0)</f>
        <v>0</v>
      </c>
    </row>
    <row r="15" spans="1:47" outlineLevel="1">
      <c r="C15" s="116" t="s">
        <v>116</v>
      </c>
      <c r="D15" s="115" t="s">
        <v>30</v>
      </c>
      <c r="E15" s="30" t="str">
        <f>$E$8</f>
        <v>$millions</v>
      </c>
      <c r="F15" s="30" t="str">
        <f>$F$8</f>
        <v>2018-19</v>
      </c>
      <c r="J15" s="114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4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4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14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47.074886340462712</v>
      </c>
      <c r="N15" s="114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4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4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4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4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4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6" t="s">
        <v>117</v>
      </c>
      <c r="D16" s="113" t="s">
        <v>118</v>
      </c>
      <c r="E16" s="30" t="str">
        <f>'Input|Reported opex'!E24</f>
        <v>$millions</v>
      </c>
      <c r="F16" s="30" t="str">
        <f>'Input|Reported opex'!F24</f>
        <v>2013-14</v>
      </c>
      <c r="J16" s="114">
        <f>IF(J$10='Input|General'!$G$10,'Input|Reported opex'!J24,0)</f>
        <v>0</v>
      </c>
      <c r="K16" s="114">
        <f ca="1">IF(K$10='Input|General'!$G$10,'Input|Reported opex'!K24,0)</f>
        <v>0</v>
      </c>
      <c r="L16" s="114">
        <f ca="1">IF(L$10='Input|General'!$G$10,'Input|Reported opex'!L24,0)</f>
        <v>0</v>
      </c>
      <c r="M16" s="114">
        <f ca="1">IF(M$10='Input|General'!$G$10,'Input|Reported opex'!M24,0)</f>
        <v>0</v>
      </c>
      <c r="N16" s="114">
        <f ca="1">IF(N$10='Input|General'!$G$10,'Input|Reported opex'!N24,0)</f>
        <v>42.421933633489509</v>
      </c>
      <c r="O16" s="114">
        <f ca="1">IF(O$10='Input|General'!$G$10,'Input|Reported opex'!O24,0)</f>
        <v>0</v>
      </c>
      <c r="P16" s="114">
        <f ca="1">IF(P$10='Input|General'!$G$10,'Input|Reported opex'!P24,0)</f>
        <v>0</v>
      </c>
      <c r="Q16" s="114">
        <f ca="1">IF(Q$10='Input|General'!$G$10,'Input|Reported opex'!Q24,0)</f>
        <v>0</v>
      </c>
      <c r="R16" s="114">
        <f ca="1">IF(R$10='Input|General'!$G$10,'Input|Reported opex'!R24,0)</f>
        <v>0</v>
      </c>
      <c r="S16" s="114">
        <f ca="1">IF(S$10='Input|General'!$G$10,'Input|Reported opex'!S24,0)</f>
        <v>0</v>
      </c>
    </row>
    <row r="17" spans="3:19" outlineLevel="1">
      <c r="C17" s="116" t="s">
        <v>117</v>
      </c>
      <c r="D17" s="115" t="s">
        <v>30</v>
      </c>
      <c r="E17" s="30" t="str">
        <f>$E$8</f>
        <v>$millions</v>
      </c>
      <c r="F17" s="30" t="str">
        <f>$F$8</f>
        <v>2018-19</v>
      </c>
      <c r="J17" s="114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4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4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4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4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46.544251054715531</v>
      </c>
      <c r="O17" s="114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4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4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4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4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6"/>
      <c r="F18" s="117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spans="3:19">
      <c r="C19" s="119" t="s">
        <v>134</v>
      </c>
      <c r="D19" s="120" t="s">
        <v>30</v>
      </c>
      <c r="E19" s="120" t="str">
        <f>$E$8</f>
        <v>$millions</v>
      </c>
      <c r="F19" s="30" t="str">
        <f>$F$8</f>
        <v>2018-19</v>
      </c>
      <c r="J19" s="121">
        <f>IF(J$10='Input|General'!$G$10,SUM($J13:$S13)-SUM($J15:$S15)+SUM($J17:$S17),0)</f>
        <v>0</v>
      </c>
      <c r="K19" s="121">
        <f ca="1">IF(K$10='Input|General'!$G$10,SUM($J13:$S13)-SUM($J15:$S15)+SUM($J17:$S17),0)</f>
        <v>0</v>
      </c>
      <c r="L19" s="121">
        <f ca="1">IF(L$10='Input|General'!$G$10,SUM($J13:$S13)-SUM($J15:$S15)+SUM($J17:$S17),0)</f>
        <v>0</v>
      </c>
      <c r="M19" s="121">
        <f ca="1">IF(M$10='Input|General'!$G$10,SUM($J13:$S13)-SUM($J15:$S15)+SUM($J17:$S17),0)</f>
        <v>0</v>
      </c>
      <c r="N19" s="121">
        <f ca="1">IF(N$10='Input|General'!$G$10,SUM($J13:$S13)-SUM($J15:$S15)+SUM($J17:$S17),0)</f>
        <v>37.910584610736599</v>
      </c>
      <c r="O19" s="121">
        <f ca="1">IF(O$10='Input|General'!$G$10,SUM($J13:$S13)-SUM($J15:$S15)+SUM($J17:$S17),0)</f>
        <v>0</v>
      </c>
      <c r="P19" s="121">
        <f ca="1">IF(P$10='Input|General'!$G$10,SUM($J13:$S13)-SUM($J15:$S15)+SUM($J17:$S17),0)</f>
        <v>0</v>
      </c>
      <c r="Q19" s="121">
        <f ca="1">IF(Q$10='Input|General'!$G$10,SUM($J13:$S13)-SUM($J15:$S15)+SUM($J17:$S17),0)</f>
        <v>0</v>
      </c>
      <c r="R19" s="121">
        <f ca="1">IF(R$10='Input|General'!$G$10,SUM($J13:$S13)-SUM($J15:$S15)+SUM($J17:$S17),0)</f>
        <v>0</v>
      </c>
      <c r="S19" s="121">
        <f ca="1">IF(S$10='Input|General'!$G$10,SUM($J13:$S13)-SUM($J15:$S15)+SUM($J17:$S17),0)</f>
        <v>0</v>
      </c>
    </row>
    <row r="20" spans="3:19">
      <c r="C20" s="129"/>
      <c r="D20" s="115"/>
      <c r="E20" s="115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3:19" outlineLevel="1">
      <c r="C21" s="129" t="str">
        <f>'Input|Reported opex'!$C$52</f>
        <v>Adjustment 1</v>
      </c>
      <c r="D21" s="113" t="s">
        <v>118</v>
      </c>
      <c r="E21" s="115" t="str">
        <f>'Input|Reported opex'!E52</f>
        <v>$millions</v>
      </c>
      <c r="F21" s="30" t="str">
        <f>'Input|Reported opex'!F52</f>
        <v>2014-15</v>
      </c>
      <c r="J21" s="114">
        <f>IF(J$10='Input|General'!$G$10,'Input|Reported opex'!J52,0)</f>
        <v>0</v>
      </c>
      <c r="K21" s="114">
        <f ca="1">IF(K$10='Input|General'!$G$10,'Input|Reported opex'!K52,0)</f>
        <v>0</v>
      </c>
      <c r="L21" s="114">
        <f ca="1">IF(L$10='Input|General'!$G$10,'Input|Reported opex'!L52,0)</f>
        <v>0</v>
      </c>
      <c r="M21" s="114">
        <f ca="1">IF(M$10='Input|General'!$G$10,'Input|Reported opex'!M52,0)</f>
        <v>0</v>
      </c>
      <c r="N21" s="114">
        <f ca="1">IF(N$10='Input|General'!$G$10,'Input|Reported opex'!N52,0)</f>
        <v>0</v>
      </c>
      <c r="O21" s="114">
        <f ca="1">IF(O$10='Input|General'!$G$10,'Input|Reported opex'!O52,0)</f>
        <v>0</v>
      </c>
      <c r="P21" s="114">
        <f ca="1">IF(P$10='Input|General'!$G$10,'Input|Reported opex'!P52,0)</f>
        <v>0</v>
      </c>
      <c r="Q21" s="114">
        <f ca="1">IF(Q$10='Input|General'!$G$10,'Input|Reported opex'!Q52,0)</f>
        <v>0</v>
      </c>
      <c r="R21" s="114">
        <f ca="1">IF(R$10='Input|General'!$G$10,'Input|Reported opex'!R52,0)</f>
        <v>0</v>
      </c>
      <c r="S21" s="114">
        <f ca="1">IF(S$10='Input|General'!$G$10,'Input|Reported opex'!S52,0)</f>
        <v>0</v>
      </c>
    </row>
    <row r="22" spans="3:19" outlineLevel="1">
      <c r="C22" s="129" t="str">
        <f>C21</f>
        <v>Adjustment 1</v>
      </c>
      <c r="D22" s="115" t="s">
        <v>30</v>
      </c>
      <c r="E22" s="30" t="str">
        <f>$E$8</f>
        <v>$millions</v>
      </c>
      <c r="F22" s="30" t="str">
        <f>$F$8</f>
        <v>2018-19</v>
      </c>
      <c r="J22" s="121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1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1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1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21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1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1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1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1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1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9"/>
      <c r="D23" s="115"/>
      <c r="J23" s="121"/>
      <c r="K23" s="121"/>
      <c r="L23" s="121"/>
      <c r="M23" s="121"/>
      <c r="N23" s="121"/>
      <c r="O23" s="121"/>
      <c r="P23" s="121"/>
      <c r="Q23" s="121"/>
      <c r="R23" s="114"/>
      <c r="S23" s="114"/>
    </row>
    <row r="24" spans="3:19" outlineLevel="1">
      <c r="C24" s="129" t="str">
        <f>'Input|Reported opex'!$C$53</f>
        <v>Adjustment 2</v>
      </c>
      <c r="D24" s="113" t="s">
        <v>118</v>
      </c>
      <c r="E24" s="30" t="str">
        <f>'Input|Reported opex'!$E$53</f>
        <v>$millions</v>
      </c>
      <c r="F24" s="30" t="str">
        <f>'Input|Reported opex'!$F$53</f>
        <v>2014-15</v>
      </c>
      <c r="J24" s="114">
        <f>IF(J$10='Input|General'!$G$10,'Input|Reported opex'!J53,0)</f>
        <v>0</v>
      </c>
      <c r="K24" s="114">
        <f ca="1">IF(K$10='Input|General'!$G$10,'Input|Reported opex'!K53,0)</f>
        <v>0</v>
      </c>
      <c r="L24" s="114">
        <f ca="1">IF(L$10='Input|General'!$G$10,'Input|Reported opex'!L53,0)</f>
        <v>0</v>
      </c>
      <c r="M24" s="114">
        <f ca="1">IF(M$10='Input|General'!$G$10,'Input|Reported opex'!M53,0)</f>
        <v>0</v>
      </c>
      <c r="N24" s="114">
        <f ca="1">IF(N$10='Input|General'!$G$10,'Input|Reported opex'!N53,0)</f>
        <v>0</v>
      </c>
      <c r="O24" s="114">
        <f ca="1">IF(O$10='Input|General'!$G$10,'Input|Reported opex'!O53,0)</f>
        <v>0</v>
      </c>
      <c r="P24" s="114">
        <f ca="1">IF(P$10='Input|General'!$G$10,'Input|Reported opex'!P53,0)</f>
        <v>0</v>
      </c>
      <c r="Q24" s="114">
        <f ca="1">IF(Q$10='Input|General'!$G$10,'Input|Reported opex'!Q53,0)</f>
        <v>0</v>
      </c>
      <c r="R24" s="114">
        <f ca="1">IF(R$10='Input|General'!$G$10,'Input|Reported opex'!R53,0)</f>
        <v>0</v>
      </c>
      <c r="S24" s="114">
        <f ca="1">IF(S$10='Input|General'!$G$10,'Input|Reported opex'!S53,0)</f>
        <v>0</v>
      </c>
    </row>
    <row r="25" spans="3:19" outlineLevel="1">
      <c r="C25" s="129" t="str">
        <f>C24</f>
        <v>Adjustment 2</v>
      </c>
      <c r="D25" s="115" t="s">
        <v>30</v>
      </c>
      <c r="E25" s="30" t="str">
        <f>$E$8</f>
        <v>$millions</v>
      </c>
      <c r="F25" s="30" t="str">
        <f>$F$8</f>
        <v>2018-19</v>
      </c>
      <c r="J25" s="121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1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1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1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21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1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1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1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1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1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29"/>
      <c r="D26" s="115"/>
      <c r="J26" s="121"/>
      <c r="K26" s="121"/>
      <c r="L26" s="121"/>
      <c r="M26" s="121"/>
      <c r="N26" s="121"/>
      <c r="O26" s="121"/>
      <c r="P26" s="121"/>
      <c r="Q26" s="121"/>
      <c r="R26" s="114"/>
      <c r="S26" s="114"/>
    </row>
    <row r="27" spans="3:19" outlineLevel="1">
      <c r="C27" s="129" t="str">
        <f>'Input|Reported opex'!$C$54</f>
        <v>Adjustment 3</v>
      </c>
      <c r="D27" s="113" t="s">
        <v>118</v>
      </c>
      <c r="E27" s="30" t="str">
        <f>'Input|Reported opex'!$E$54</f>
        <v>$millions</v>
      </c>
      <c r="F27" s="30" t="str">
        <f>'Input|Reported opex'!$F$54</f>
        <v>2014-15</v>
      </c>
      <c r="J27" s="114">
        <f>IF(J$10='Input|General'!$G$10,'Input|Reported opex'!J54,0)</f>
        <v>0</v>
      </c>
      <c r="K27" s="114">
        <f ca="1">IF(K$10='Input|General'!$G$10,'Input|Reported opex'!K54,0)</f>
        <v>0</v>
      </c>
      <c r="L27" s="114">
        <f ca="1">IF(L$10='Input|General'!$G$10,'Input|Reported opex'!L54,0)</f>
        <v>0</v>
      </c>
      <c r="M27" s="114">
        <f ca="1">IF(M$10='Input|General'!$G$10,'Input|Reported opex'!M54,0)</f>
        <v>0</v>
      </c>
      <c r="N27" s="114">
        <f ca="1">IF(N$10='Input|General'!$G$10,'Input|Reported opex'!N54,0)</f>
        <v>0</v>
      </c>
      <c r="O27" s="114">
        <f ca="1">IF(O$10='Input|General'!$G$10,'Input|Reported opex'!O54,0)</f>
        <v>0</v>
      </c>
      <c r="P27" s="114">
        <f ca="1">IF(P$10='Input|General'!$G$10,'Input|Reported opex'!P54,0)</f>
        <v>0</v>
      </c>
      <c r="Q27" s="114">
        <f ca="1">IF(Q$10='Input|General'!$G$10,'Input|Reported opex'!Q54,0)</f>
        <v>0</v>
      </c>
      <c r="R27" s="114">
        <f ca="1">IF(R$10='Input|General'!$G$10,'Input|Reported opex'!R54,0)</f>
        <v>0</v>
      </c>
      <c r="S27" s="114">
        <f ca="1">IF(S$10='Input|General'!$G$10,'Input|Reported opex'!S54,0)</f>
        <v>0</v>
      </c>
    </row>
    <row r="28" spans="3:19" outlineLevel="1">
      <c r="C28" s="129" t="str">
        <f>C27</f>
        <v>Adjustment 3</v>
      </c>
      <c r="D28" s="115" t="s">
        <v>30</v>
      </c>
      <c r="E28" s="30" t="str">
        <f>$E$8</f>
        <v>$millions</v>
      </c>
      <c r="F28" s="30" t="str">
        <f>$F$8</f>
        <v>2018-19</v>
      </c>
      <c r="J28" s="121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1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1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1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21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1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1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1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1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1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outlineLevel="1">
      <c r="C29" s="129"/>
      <c r="D29" s="115"/>
      <c r="J29" s="121"/>
      <c r="K29" s="121"/>
      <c r="L29" s="121"/>
      <c r="M29" s="121"/>
      <c r="N29" s="121"/>
      <c r="O29" s="121"/>
      <c r="P29" s="121"/>
      <c r="Q29" s="121"/>
      <c r="R29" s="114"/>
      <c r="S29" s="114"/>
    </row>
    <row r="30" spans="3:19" outlineLevel="1">
      <c r="C30" s="129" t="str">
        <f>'Input|Reported opex'!$C$55</f>
        <v>Adjustment 4</v>
      </c>
      <c r="D30" s="113" t="s">
        <v>118</v>
      </c>
      <c r="E30" s="30" t="str">
        <f>'Input|Reported opex'!$E$55</f>
        <v>$millions</v>
      </c>
      <c r="F30" s="30" t="str">
        <f>'Input|Reported opex'!$F$55</f>
        <v>2014-15</v>
      </c>
      <c r="J30" s="114">
        <f>IF(J$10='Input|General'!$G$10,'Input|Reported opex'!J55,0)</f>
        <v>0</v>
      </c>
      <c r="K30" s="114">
        <f ca="1">IF(K$10='Input|General'!$G$10,'Input|Reported opex'!K55,0)</f>
        <v>0</v>
      </c>
      <c r="L30" s="114">
        <f ca="1">IF(L$10='Input|General'!$G$10,'Input|Reported opex'!L55,0)</f>
        <v>0</v>
      </c>
      <c r="M30" s="114">
        <f ca="1">IF(M$10='Input|General'!$G$10,'Input|Reported opex'!M55,0)</f>
        <v>0</v>
      </c>
      <c r="N30" s="114">
        <f ca="1">IF(N$10='Input|General'!$G$10,'Input|Reported opex'!N55,0)</f>
        <v>0</v>
      </c>
      <c r="O30" s="114">
        <f ca="1">IF(O$10='Input|General'!$G$10,'Input|Reported opex'!O55,0)</f>
        <v>0</v>
      </c>
      <c r="P30" s="114">
        <f ca="1">IF(P$10='Input|General'!$G$10,'Input|Reported opex'!P55,0)</f>
        <v>0</v>
      </c>
      <c r="Q30" s="114">
        <f ca="1">IF(Q$10='Input|General'!$G$10,'Input|Reported opex'!Q55,0)</f>
        <v>0</v>
      </c>
      <c r="R30" s="114">
        <f ca="1">IF(R$10='Input|General'!$G$10,'Input|Reported opex'!R55,0)</f>
        <v>0</v>
      </c>
      <c r="S30" s="114">
        <f ca="1">IF(S$10='Input|General'!$G$10,'Input|Reported opex'!S55,0)</f>
        <v>0</v>
      </c>
    </row>
    <row r="31" spans="3:19" outlineLevel="1">
      <c r="C31" s="129" t="str">
        <f>C30</f>
        <v>Adjustment 4</v>
      </c>
      <c r="D31" s="115" t="s">
        <v>30</v>
      </c>
      <c r="E31" s="30" t="str">
        <f>$E$8</f>
        <v>$millions</v>
      </c>
      <c r="F31" s="30" t="str">
        <f>$F$8</f>
        <v>2018-19</v>
      </c>
      <c r="J31" s="121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1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1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1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21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1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1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1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1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1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outlineLevel="1">
      <c r="C32" s="129"/>
      <c r="D32" s="115"/>
      <c r="J32" s="121"/>
      <c r="K32" s="121"/>
      <c r="L32" s="121"/>
      <c r="M32" s="121"/>
      <c r="N32" s="121"/>
      <c r="O32" s="121"/>
      <c r="P32" s="121"/>
      <c r="Q32" s="121"/>
      <c r="R32" s="114"/>
      <c r="S32" s="114"/>
    </row>
    <row r="33" spans="1:47" outlineLevel="1">
      <c r="C33" s="129" t="str">
        <f>'Input|Reported opex'!$C$56</f>
        <v>Adjustment 5</v>
      </c>
      <c r="D33" s="113" t="s">
        <v>118</v>
      </c>
      <c r="E33" s="30" t="str">
        <f>'Input|Reported opex'!$E$56</f>
        <v>$millions</v>
      </c>
      <c r="F33" s="30" t="str">
        <f>'Input|Reported opex'!$F$56</f>
        <v>2014-15</v>
      </c>
      <c r="J33" s="114">
        <f>IF(J$10='Input|General'!$G$10,'Input|Reported opex'!J56,0)</f>
        <v>0</v>
      </c>
      <c r="K33" s="114">
        <f ca="1">IF(K$10='Input|General'!$G$10,'Input|Reported opex'!K56,0)</f>
        <v>0</v>
      </c>
      <c r="L33" s="114">
        <f ca="1">IF(L$10='Input|General'!$G$10,'Input|Reported opex'!L56,0)</f>
        <v>0</v>
      </c>
      <c r="M33" s="114">
        <f ca="1">IF(M$10='Input|General'!$G$10,'Input|Reported opex'!M56,0)</f>
        <v>0</v>
      </c>
      <c r="N33" s="114">
        <f ca="1">IF(N$10='Input|General'!$G$10,'Input|Reported opex'!N56,0)</f>
        <v>0</v>
      </c>
      <c r="O33" s="114">
        <f ca="1">IF(O$10='Input|General'!$G$10,'Input|Reported opex'!O56,0)</f>
        <v>0</v>
      </c>
      <c r="P33" s="114">
        <f ca="1">IF(P$10='Input|General'!$G$10,'Input|Reported opex'!P56,0)</f>
        <v>0</v>
      </c>
      <c r="Q33" s="114">
        <f ca="1">IF(Q$10='Input|General'!$G$10,'Input|Reported opex'!Q56,0)</f>
        <v>0</v>
      </c>
      <c r="R33" s="114">
        <f ca="1">IF(R$10='Input|General'!$G$10,'Input|Reported opex'!R56,0)</f>
        <v>0</v>
      </c>
      <c r="S33" s="114">
        <f ca="1">IF(S$10='Input|General'!$G$10,'Input|Reported opex'!S56,0)</f>
        <v>0</v>
      </c>
    </row>
    <row r="34" spans="1:47" outlineLevel="1">
      <c r="C34" s="129" t="str">
        <f>C33</f>
        <v>Adjustment 5</v>
      </c>
      <c r="D34" s="115" t="s">
        <v>30</v>
      </c>
      <c r="E34" s="30" t="str">
        <f>$E$8</f>
        <v>$millions</v>
      </c>
      <c r="F34" s="30" t="str">
        <f>$F$8</f>
        <v>2018-19</v>
      </c>
      <c r="J34" s="121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1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1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1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21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1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1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1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1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1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29"/>
      <c r="D35" s="115"/>
      <c r="E35" s="115"/>
      <c r="J35" s="121"/>
      <c r="K35" s="121"/>
      <c r="L35" s="121"/>
      <c r="M35" s="121"/>
      <c r="N35" s="121"/>
      <c r="O35" s="121"/>
      <c r="P35" s="121"/>
      <c r="Q35" s="121"/>
      <c r="R35" s="121"/>
      <c r="S35" s="121"/>
    </row>
    <row r="36" spans="1:47" outlineLevel="1">
      <c r="C36" s="129" t="s">
        <v>112</v>
      </c>
      <c r="D36" s="115" t="s">
        <v>126</v>
      </c>
      <c r="E36" s="115" t="str">
        <f>$E$8</f>
        <v>$millions</v>
      </c>
      <c r="F36" s="115" t="str">
        <f>$F$8</f>
        <v>2018-19</v>
      </c>
      <c r="J36" s="121">
        <f ca="1">SUM(J19,J22,J25,J28,J31,J34)*'Input|Reported opex'!$N$57</f>
        <v>0</v>
      </c>
      <c r="K36" s="121">
        <f ca="1">SUM(K19,K22,K25,K28,K31,K34)*'Input|Reported opex'!$N$57</f>
        <v>0</v>
      </c>
      <c r="L36" s="121">
        <f ca="1">SUM(L19,L22,L25,L28,L31,L34)*'Input|Reported opex'!$N$57</f>
        <v>0</v>
      </c>
      <c r="M36" s="121">
        <f ca="1">SUM(M19,M22,M25,M28,M31,M34)*'Input|Reported opex'!$N$57</f>
        <v>0</v>
      </c>
      <c r="N36" s="121">
        <f ca="1">SUM(N19,N22,N25,N28,N31,N34)*'Input|Reported opex'!$N$57</f>
        <v>0</v>
      </c>
      <c r="O36" s="121">
        <f ca="1">SUM(O19,O22,O25,O28,O31,O34)*'Input|Reported opex'!$N$57</f>
        <v>0</v>
      </c>
      <c r="P36" s="121">
        <f ca="1">SUM(P19,P22,P25,P28,P31,P34)*'Input|Reported opex'!$N$57</f>
        <v>0</v>
      </c>
      <c r="Q36" s="121">
        <f ca="1">SUM(Q19,Q22,Q25,Q28,Q31,Q34)*'Input|Reported opex'!$N$57</f>
        <v>0</v>
      </c>
      <c r="R36" s="121">
        <f ca="1">SUM(R19,R22,R25,R28,R31,R34)*'Input|Reported opex'!$N$57</f>
        <v>0</v>
      </c>
      <c r="S36" s="121">
        <f ca="1">SUM(S19,S22,S25,S28,S31,S34)*'Input|Reported opex'!$N$57</f>
        <v>0</v>
      </c>
    </row>
    <row r="37" spans="1:47" outlineLevel="1">
      <c r="C37" s="129"/>
      <c r="D37" s="115"/>
      <c r="E37" s="115"/>
      <c r="J37" s="121"/>
      <c r="K37" s="121"/>
      <c r="L37" s="121"/>
      <c r="M37" s="121"/>
      <c r="N37" s="121"/>
      <c r="O37" s="121"/>
      <c r="P37" s="121"/>
      <c r="Q37" s="121"/>
      <c r="R37" s="121"/>
      <c r="S37" s="121"/>
    </row>
    <row r="38" spans="1:47" ht="12" thickBot="1">
      <c r="C38" s="129" t="s">
        <v>143</v>
      </c>
      <c r="D38" s="115" t="s">
        <v>126</v>
      </c>
      <c r="E38" s="115" t="str">
        <f>$E$8</f>
        <v>$millions</v>
      </c>
      <c r="F38" s="115" t="str">
        <f>$F$8</f>
        <v>2018-19</v>
      </c>
      <c r="J38" s="163">
        <f ca="1">SUM(J19,J22,J25,J28,J31,J34,J36)</f>
        <v>0</v>
      </c>
      <c r="K38" s="163">
        <f t="shared" ref="K38:S38" ca="1" si="0">SUM(K19,K22,K25,K28,K31,K34,K36)</f>
        <v>0</v>
      </c>
      <c r="L38" s="163">
        <f t="shared" ca="1" si="0"/>
        <v>0</v>
      </c>
      <c r="M38" s="163">
        <f t="shared" ca="1" si="0"/>
        <v>0</v>
      </c>
      <c r="N38" s="163">
        <f ca="1">SUM(N19,N22,N25,N28,N31,N34,N36)</f>
        <v>37.910584610736599</v>
      </c>
      <c r="O38" s="163">
        <f t="shared" ca="1" si="0"/>
        <v>0</v>
      </c>
      <c r="P38" s="163">
        <f t="shared" ca="1" si="0"/>
        <v>0</v>
      </c>
      <c r="Q38" s="163">
        <f t="shared" ca="1" si="0"/>
        <v>0</v>
      </c>
      <c r="R38" s="163">
        <f t="shared" ca="1" si="0"/>
        <v>0</v>
      </c>
      <c r="S38" s="163">
        <f t="shared" ca="1" si="0"/>
        <v>0</v>
      </c>
    </row>
    <row r="39" spans="1:47" ht="12" thickTop="1">
      <c r="J39" s="112"/>
      <c r="K39" s="112"/>
      <c r="L39" s="112"/>
    </row>
    <row r="40" spans="1:47" s="107" customFormat="1" ht="12.75">
      <c r="A40" s="98"/>
      <c r="B40" s="99" t="s">
        <v>110</v>
      </c>
      <c r="C40" s="98"/>
      <c r="D40" s="98"/>
      <c r="E40" s="98"/>
      <c r="F40" s="100"/>
      <c r="G40" s="100"/>
      <c r="H40" s="100"/>
      <c r="I40" s="100"/>
      <c r="J40" s="101"/>
      <c r="K40" s="102"/>
      <c r="L40" s="101"/>
      <c r="M40" s="102"/>
      <c r="N40" s="101"/>
      <c r="O40" s="101"/>
      <c r="P40" s="101"/>
      <c r="Q40" s="101"/>
      <c r="R40" s="101"/>
      <c r="S40" s="101"/>
      <c r="T40" s="101"/>
      <c r="U40" s="101"/>
      <c r="V40" s="102"/>
      <c r="W40" s="102"/>
      <c r="X40" s="103"/>
      <c r="Y40" s="103"/>
      <c r="Z40" s="103"/>
      <c r="AA40" s="103"/>
      <c r="AB40" s="104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  <row r="42" spans="1:47" outlineLevel="1">
      <c r="C42" s="70" t="s">
        <v>48</v>
      </c>
      <c r="D42" s="32" t="s">
        <v>7</v>
      </c>
      <c r="E42" s="32" t="s">
        <v>8</v>
      </c>
      <c r="F42" s="32" t="s">
        <v>22</v>
      </c>
      <c r="J42" s="110" t="str">
        <f>IF(RIGHT(J$4,2)&gt;=RIGHT('Input|General'!$G$11,2),IF(RIGHT(J$4,2)&lt;=RIGHT('Input|General'!$G$12,2),J$4,""),"")</f>
        <v/>
      </c>
      <c r="K42" s="110" t="str">
        <f ca="1">IF(RIGHT(K$4,2)&gt;=RIGHT('Input|General'!$G$11,2),IF(RIGHT(K$4,2)&lt;=RIGHT('Input|General'!$G$12,2),K$4,""),"")</f>
        <v/>
      </c>
      <c r="L42" s="110" t="str">
        <f ca="1">IF(RIGHT(L$4,2)&gt;=RIGHT('Input|General'!$G$11,2),IF(RIGHT(L$4,2)&lt;=RIGHT('Input|General'!$G$12,2),L$4,""),"")</f>
        <v/>
      </c>
      <c r="M42" s="110" t="str">
        <f ca="1">IF(RIGHT(M$4,2)&gt;=RIGHT('Input|General'!$G$11,2),IF(RIGHT(M$4,2)&lt;=RIGHT('Input|General'!$G$12,2),M$4,""),"")</f>
        <v/>
      </c>
      <c r="N42" s="110" t="str">
        <f ca="1">IF(RIGHT(N$4,2)&gt;=RIGHT('Input|General'!$G$11,2),IF(RIGHT(N$4,2)&lt;=RIGHT('Input|General'!$G$12,2),N$4,""),"")</f>
        <v/>
      </c>
      <c r="O42" s="110" t="str">
        <f ca="1">IF(RIGHT(O$4,2)&gt;=RIGHT('Input|General'!$G$11,2),IF(RIGHT(O$4,2)&lt;=RIGHT('Input|General'!$G$12,2),O$4,""),"")</f>
        <v>2019-20</v>
      </c>
      <c r="P42" s="110" t="str">
        <f ca="1">IF(RIGHT(P$4,2)&gt;=RIGHT('Input|General'!$G$11,2),IF(RIGHT(P$4,2)&lt;=RIGHT('Input|General'!$G$12,2),P$4,""),"")</f>
        <v>2020-21</v>
      </c>
      <c r="Q42" s="110" t="str">
        <f ca="1">IF(RIGHT(Q$4,2)&gt;=RIGHT('Input|General'!$G$11,2),IF(RIGHT(Q$4,2)&lt;=RIGHT('Input|General'!$G$12,2),Q$4,""),"")</f>
        <v>2021-22</v>
      </c>
      <c r="R42" s="110" t="str">
        <f ca="1">IF(RIGHT(R$4,2)&gt;=RIGHT('Input|General'!$G$11,2),IF(RIGHT(R$4,2)&lt;=RIGHT('Input|General'!$G$12,2),R$4,""),"")</f>
        <v>2022-23</v>
      </c>
      <c r="S42" s="110" t="str">
        <f ca="1">IF(RIGHT(S$4,2)&gt;=RIGHT('Input|General'!$G$11,2),IF(RIGHT(S$4,2)&lt;=RIGHT('Input|General'!$G$12,2),S$4,""),"")</f>
        <v>2023-24</v>
      </c>
    </row>
    <row r="43" spans="1:47" outlineLevel="1">
      <c r="C43" s="70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1:47" outlineLevel="1">
      <c r="B44" s="70"/>
      <c r="C44" s="12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1:47" outlineLevel="1">
      <c r="C45" s="116" t="s">
        <v>137</v>
      </c>
      <c r="D45" s="115" t="s">
        <v>30</v>
      </c>
      <c r="E45" s="30" t="s">
        <v>31</v>
      </c>
      <c r="F45" s="30" t="s">
        <v>36</v>
      </c>
      <c r="J45" s="123">
        <f>SUMPRODUCT('Input|Rate of change'!K71:K76,'Input|Rate of change'!$P$80:$P$85)</f>
        <v>0</v>
      </c>
      <c r="K45" s="123">
        <f>SUMPRODUCT('Input|Rate of change'!L71:L76,'Input|Rate of change'!$P$80:$P$85)</f>
        <v>0</v>
      </c>
      <c r="L45" s="123">
        <f>SUMPRODUCT('Input|Rate of change'!M71:M76,'Input|Rate of change'!$P$80:$P$85)</f>
        <v>0</v>
      </c>
      <c r="M45" s="123">
        <f>SUMPRODUCT('Input|Rate of change'!N71:N76,'Input|Rate of change'!$P$80:$P$85)</f>
        <v>0</v>
      </c>
      <c r="N45" s="123">
        <f>SUMPRODUCT('Input|Rate of change'!O71:O76,'Input|Rate of change'!$P$80:$P$85)</f>
        <v>0</v>
      </c>
      <c r="O45" s="123">
        <f>SUMPRODUCT('Input|Rate of change'!P71:P76,'Input|Rate of change'!$P$80:$P$85)</f>
        <v>1.2903383452553215E-3</v>
      </c>
      <c r="P45" s="123">
        <f>SUMPRODUCT('Input|Rate of change'!Q71:Q76,'Input|Rate of change'!$P$80:$P$85)</f>
        <v>1.0341827483251293E-3</v>
      </c>
      <c r="Q45" s="123">
        <f>SUMPRODUCT('Input|Rate of change'!R71:R76,'Input|Rate of change'!$P$80:$P$85)</f>
        <v>2.3591293673489206E-3</v>
      </c>
      <c r="R45" s="123">
        <f>SUMPRODUCT('Input|Rate of change'!S71:S76,'Input|Rate of change'!$P$80:$P$85)</f>
        <v>1.0458795976278842E-3</v>
      </c>
      <c r="S45" s="123">
        <f>SUMPRODUCT('Input|Rate of change'!T71:T76,'Input|Rate of change'!$P$80:$P$85)</f>
        <v>1.0730443302420412E-3</v>
      </c>
    </row>
    <row r="46" spans="1:47" outlineLevel="1"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spans="1:47" outlineLevel="1">
      <c r="C47" s="116" t="s">
        <v>103</v>
      </c>
      <c r="D47" s="115" t="s">
        <v>30</v>
      </c>
      <c r="E47" s="30" t="s">
        <v>31</v>
      </c>
      <c r="F47" s="30" t="s">
        <v>36</v>
      </c>
      <c r="J47" s="123">
        <f>SUMPRODUCT('Input|Rate of change'!K36:K43,'Input|Rate of change'!K47:K54)</f>
        <v>0</v>
      </c>
      <c r="K47" s="123">
        <f>SUMPRODUCT('Input|Rate of change'!L36:L43,'Input|Rate of change'!L47:L54)</f>
        <v>0</v>
      </c>
      <c r="L47" s="123">
        <f>SUMPRODUCT('Input|Rate of change'!M36:M43,'Input|Rate of change'!M47:M54)</f>
        <v>0</v>
      </c>
      <c r="M47" s="123">
        <f>SUMPRODUCT('Input|Rate of change'!N36:N43,'Input|Rate of change'!N47:N54)</f>
        <v>0</v>
      </c>
      <c r="N47" s="123">
        <f>SUMPRODUCT('Input|Rate of change'!O36:O43,'Input|Rate of change'!O47:O54)</f>
        <v>0</v>
      </c>
      <c r="O47" s="123">
        <f>SUMPRODUCT('Input|Rate of change'!P36:P43,'Input|Rate of change'!P47:P54)</f>
        <v>0</v>
      </c>
      <c r="P47" s="123">
        <f>SUMPRODUCT('Input|Rate of change'!Q36:Q43,'Input|Rate of change'!Q47:Q54)</f>
        <v>3.0379999999999999E-3</v>
      </c>
      <c r="Q47" s="123">
        <f>SUMPRODUCT('Input|Rate of change'!R36:R43,'Input|Rate of change'!R47:R54)</f>
        <v>3.0379999999999999E-3</v>
      </c>
      <c r="R47" s="123">
        <f>SUMPRODUCT('Input|Rate of change'!S36:S43,'Input|Rate of change'!S47:S54)</f>
        <v>3.0379999999999999E-3</v>
      </c>
      <c r="S47" s="123">
        <f>SUMPRODUCT('Input|Rate of change'!T36:T43,'Input|Rate of change'!T47:T54)</f>
        <v>3.0379999999999999E-3</v>
      </c>
    </row>
    <row r="48" spans="1:47" outlineLevel="1">
      <c r="C48" s="116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47" outlineLevel="1">
      <c r="C49" s="116" t="s">
        <v>131</v>
      </c>
      <c r="D49" s="115" t="s">
        <v>30</v>
      </c>
      <c r="E49" s="30" t="s">
        <v>31</v>
      </c>
      <c r="F49" s="30" t="s">
        <v>36</v>
      </c>
      <c r="J49" s="123">
        <f>'Input|Rate of change'!K93</f>
        <v>0</v>
      </c>
      <c r="K49" s="123">
        <f>'Input|Rate of change'!L93</f>
        <v>0</v>
      </c>
      <c r="L49" s="123">
        <f>'Input|Rate of change'!M93</f>
        <v>0</v>
      </c>
      <c r="M49" s="123">
        <f>'Input|Rate of change'!N93</f>
        <v>0</v>
      </c>
      <c r="N49" s="123">
        <f>'Input|Rate of change'!O93</f>
        <v>0</v>
      </c>
      <c r="O49" s="123">
        <f>'Input|Rate of change'!P93</f>
        <v>0</v>
      </c>
      <c r="P49" s="123">
        <f>'Input|Rate of change'!Q93</f>
        <v>0</v>
      </c>
      <c r="Q49" s="123"/>
      <c r="R49" s="123"/>
      <c r="S49" s="123"/>
    </row>
    <row r="50" spans="1:47" outlineLevel="1">
      <c r="C50" s="116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1:47">
      <c r="C51" s="124" t="s">
        <v>132</v>
      </c>
      <c r="D51" s="120" t="s">
        <v>30</v>
      </c>
      <c r="E51" s="120" t="s">
        <v>31</v>
      </c>
      <c r="F51" s="120" t="s">
        <v>36</v>
      </c>
      <c r="J51" s="123">
        <f>(1+J45)*(1+J47)*(1-J49)-1</f>
        <v>0</v>
      </c>
      <c r="K51" s="123">
        <f t="shared" ref="K51:S51" si="1">(1+K45)*(1+K47)*(1-K49)-1</f>
        <v>0</v>
      </c>
      <c r="L51" s="123">
        <f t="shared" si="1"/>
        <v>0</v>
      </c>
      <c r="M51" s="123">
        <f t="shared" si="1"/>
        <v>0</v>
      </c>
      <c r="N51" s="123">
        <f t="shared" si="1"/>
        <v>0</v>
      </c>
      <c r="O51" s="123">
        <f t="shared" si="1"/>
        <v>1.2903383452553818E-3</v>
      </c>
      <c r="P51" s="123">
        <f t="shared" si="1"/>
        <v>4.0753245955145179E-3</v>
      </c>
      <c r="Q51" s="123">
        <f t="shared" si="1"/>
        <v>5.4042964023668372E-3</v>
      </c>
      <c r="R51" s="123">
        <f t="shared" si="1"/>
        <v>4.0870569798454603E-3</v>
      </c>
      <c r="S51" s="123">
        <f t="shared" si="1"/>
        <v>4.1143042389173434E-3</v>
      </c>
    </row>
    <row r="52" spans="1:47">
      <c r="J52" s="112"/>
      <c r="K52" s="112"/>
      <c r="L52" s="112"/>
      <c r="M52" s="112"/>
      <c r="N52" s="112"/>
      <c r="O52" s="125"/>
      <c r="P52" s="125"/>
      <c r="Q52" s="125"/>
      <c r="R52" s="125"/>
      <c r="S52" s="125"/>
    </row>
    <row r="53" spans="1:47" s="107" customFormat="1" ht="12.75">
      <c r="A53" s="98"/>
      <c r="B53" s="99" t="s">
        <v>113</v>
      </c>
      <c r="C53" s="98"/>
      <c r="D53" s="98"/>
      <c r="E53" s="98"/>
      <c r="F53" s="100"/>
      <c r="G53" s="100"/>
      <c r="H53" s="100"/>
      <c r="I53" s="100"/>
      <c r="J53" s="101"/>
      <c r="K53" s="102"/>
      <c r="L53" s="101"/>
      <c r="M53" s="102"/>
      <c r="N53" s="101"/>
      <c r="O53" s="101"/>
      <c r="P53" s="101"/>
      <c r="Q53" s="101"/>
      <c r="R53" s="101"/>
      <c r="S53" s="101"/>
      <c r="T53" s="101"/>
      <c r="U53" s="101"/>
      <c r="V53" s="102"/>
      <c r="W53" s="102"/>
      <c r="X53" s="103"/>
      <c r="Y53" s="103"/>
      <c r="Z53" s="103"/>
      <c r="AA53" s="103"/>
      <c r="AB53" s="104"/>
      <c r="AC53" s="105"/>
      <c r="AD53" s="105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1:47">
      <c r="C54" s="111"/>
      <c r="J54" s="112"/>
      <c r="K54" s="112"/>
      <c r="L54" s="112"/>
    </row>
    <row r="55" spans="1:47" outlineLevel="1">
      <c r="C55" s="70" t="s">
        <v>102</v>
      </c>
      <c r="D55" s="32" t="s">
        <v>7</v>
      </c>
      <c r="E55" s="32" t="s">
        <v>8</v>
      </c>
      <c r="F55" s="32" t="s">
        <v>22</v>
      </c>
      <c r="J55" s="110" t="str">
        <f>IF(RIGHT(J$4,2)&gt;=RIGHT('Input|General'!$G$11,2),IF(RIGHT(J$4,2)&lt;=RIGHT('Input|General'!$G$12,2),J$4,""),"")</f>
        <v/>
      </c>
      <c r="K55" s="110" t="str">
        <f ca="1">IF(RIGHT(K$4,2)&gt;=RIGHT('Input|General'!$G$11,2),IF(RIGHT(K$4,2)&lt;=RIGHT('Input|General'!$G$12,2),K$4,""),"")</f>
        <v/>
      </c>
      <c r="L55" s="110" t="str">
        <f ca="1">IF(RIGHT(L$4,2)&gt;=RIGHT('Input|General'!$G$11,2),IF(RIGHT(L$4,2)&lt;=RIGHT('Input|General'!$G$12,2),L$4,""),"")</f>
        <v/>
      </c>
      <c r="M55" s="110" t="str">
        <f ca="1">IF(RIGHT(M$4,2)&gt;=RIGHT('Input|General'!$G$11,2),IF(RIGHT(M$4,2)&lt;=RIGHT('Input|General'!$G$12,2),M$4,""),"")</f>
        <v/>
      </c>
      <c r="N55" s="110" t="str">
        <f ca="1">IF(RIGHT(N$4,2)&gt;=RIGHT('Input|General'!$G$11,2),IF(RIGHT(N$4,2)&lt;=RIGHT('Input|General'!$G$12,2),N$4,""),"")</f>
        <v/>
      </c>
      <c r="O55" s="110" t="str">
        <f ca="1">IF(RIGHT(O$4,2)&gt;=RIGHT('Input|General'!$G$11,2),IF(RIGHT(O$4,2)&lt;=RIGHT('Input|General'!$G$12,2),O$4,""),"")</f>
        <v>2019-20</v>
      </c>
      <c r="P55" s="110" t="str">
        <f ca="1">IF(RIGHT(P$4,2)&gt;=RIGHT('Input|General'!$G$11,2),IF(RIGHT(P$4,2)&lt;=RIGHT('Input|General'!$G$12,2),P$4,""),"")</f>
        <v>2020-21</v>
      </c>
      <c r="Q55" s="110" t="str">
        <f ca="1">IF(RIGHT(Q$4,2)&gt;=RIGHT('Input|General'!$G$11,2),IF(RIGHT(Q$4,2)&lt;=RIGHT('Input|General'!$G$12,2),Q$4,""),"")</f>
        <v>2021-22</v>
      </c>
      <c r="R55" s="110" t="str">
        <f ca="1">IF(RIGHT(R$4,2)&gt;=RIGHT('Input|General'!$G$11,2),IF(RIGHT(R$4,2)&lt;=RIGHT('Input|General'!$G$12,2),R$4,""),"")</f>
        <v>2022-23</v>
      </c>
      <c r="S55" s="110" t="str">
        <f ca="1">IF(RIGHT(S$4,2)&gt;=RIGHT('Input|General'!$G$11,2),IF(RIGHT(S$4,2)&lt;=RIGHT('Input|General'!$G$12,2),S$4,""),"")</f>
        <v>2023-24</v>
      </c>
    </row>
    <row r="56" spans="1:47" outlineLevel="1">
      <c r="C56" s="70"/>
      <c r="J56" s="126"/>
      <c r="K56" s="126"/>
      <c r="L56" s="126"/>
      <c r="M56" s="126"/>
      <c r="N56" s="126"/>
      <c r="O56" s="126"/>
      <c r="P56" s="126"/>
      <c r="Q56" s="126"/>
      <c r="R56" s="126"/>
      <c r="S56" s="126"/>
    </row>
    <row r="57" spans="1:47" outlineLevel="1">
      <c r="C57" s="127">
        <f>'Input|Step changes'!C12</f>
        <v>0</v>
      </c>
      <c r="D57" s="115" t="s">
        <v>30</v>
      </c>
      <c r="E57" s="30" t="str">
        <f t="shared" ref="E57:E68" si="2">$E$8</f>
        <v>$millions</v>
      </c>
      <c r="F57" s="30" t="str">
        <f>$F$8</f>
        <v>2018-19</v>
      </c>
      <c r="J57" s="133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3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3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3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3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3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3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3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3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3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7">
        <f>'Input|Step changes'!C13</f>
        <v>0</v>
      </c>
      <c r="D58" s="115" t="s">
        <v>30</v>
      </c>
      <c r="E58" s="30" t="str">
        <f t="shared" si="2"/>
        <v>$millions</v>
      </c>
      <c r="F58" s="30" t="str">
        <f t="shared" ref="F58:F68" si="3">$F$8</f>
        <v>2018-19</v>
      </c>
      <c r="J58" s="133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3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3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3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3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3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3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3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3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3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7">
        <f>'Input|Step changes'!C14</f>
        <v>0</v>
      </c>
      <c r="D59" s="115" t="s">
        <v>30</v>
      </c>
      <c r="E59" s="30" t="str">
        <f t="shared" si="2"/>
        <v>$millions</v>
      </c>
      <c r="F59" s="30" t="str">
        <f t="shared" si="3"/>
        <v>2018-19</v>
      </c>
      <c r="J59" s="133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3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3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3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3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3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3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3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3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3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7">
        <f>'Input|Step changes'!C15</f>
        <v>0</v>
      </c>
      <c r="D60" s="115" t="s">
        <v>30</v>
      </c>
      <c r="E60" s="30" t="str">
        <f t="shared" si="2"/>
        <v>$millions</v>
      </c>
      <c r="F60" s="30" t="str">
        <f t="shared" si="3"/>
        <v>2018-19</v>
      </c>
      <c r="J60" s="133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3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3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3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3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3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3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3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3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3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7">
        <f>'Input|Step changes'!C16</f>
        <v>0</v>
      </c>
      <c r="D61" s="115" t="s">
        <v>30</v>
      </c>
      <c r="E61" s="30" t="str">
        <f t="shared" si="2"/>
        <v>$millions</v>
      </c>
      <c r="F61" s="30" t="str">
        <f t="shared" si="3"/>
        <v>2018-19</v>
      </c>
      <c r="J61" s="133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3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3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3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3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3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3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3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3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3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7">
        <f>'Input|Step changes'!C17</f>
        <v>0</v>
      </c>
      <c r="D62" s="115" t="s">
        <v>30</v>
      </c>
      <c r="E62" s="30" t="str">
        <f t="shared" si="2"/>
        <v>$millions</v>
      </c>
      <c r="F62" s="30" t="str">
        <f t="shared" si="3"/>
        <v>2018-19</v>
      </c>
      <c r="J62" s="133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3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3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3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3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3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3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3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3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3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7">
        <f>'Input|Step changes'!C18</f>
        <v>0</v>
      </c>
      <c r="D63" s="115" t="s">
        <v>30</v>
      </c>
      <c r="E63" s="30" t="str">
        <f t="shared" si="2"/>
        <v>$millions</v>
      </c>
      <c r="F63" s="30" t="str">
        <f t="shared" si="3"/>
        <v>2018-19</v>
      </c>
      <c r="J63" s="133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3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3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3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3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3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3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3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3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3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7">
        <f>'Input|Step changes'!C19</f>
        <v>0</v>
      </c>
      <c r="D64" s="115" t="s">
        <v>30</v>
      </c>
      <c r="E64" s="30" t="str">
        <f t="shared" si="2"/>
        <v>$millions</v>
      </c>
      <c r="F64" s="30" t="str">
        <f t="shared" si="3"/>
        <v>2018-19</v>
      </c>
      <c r="J64" s="133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3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3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3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3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3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3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3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3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3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7">
        <f>'Input|Step changes'!C20</f>
        <v>0</v>
      </c>
      <c r="D65" s="115" t="s">
        <v>30</v>
      </c>
      <c r="E65" s="30" t="str">
        <f t="shared" si="2"/>
        <v>$millions</v>
      </c>
      <c r="F65" s="30" t="str">
        <f t="shared" si="3"/>
        <v>2018-19</v>
      </c>
      <c r="J65" s="133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3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3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3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3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3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3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3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3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3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7">
        <f>'Input|Step changes'!C21</f>
        <v>0</v>
      </c>
      <c r="D66" s="115" t="s">
        <v>30</v>
      </c>
      <c r="E66" s="30" t="str">
        <f t="shared" si="2"/>
        <v>$millions</v>
      </c>
      <c r="F66" s="30" t="str">
        <f t="shared" si="3"/>
        <v>2018-19</v>
      </c>
      <c r="J66" s="133">
        <f ca="1">'Input|Step changes'!J21*IF('Input|Step changes'!$F21="nominal",LOOKUP($F66,Nominal_to_Real,'Input|Rate of change'!N$25:N$30),INDEX('Input|Rate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K66" s="133">
        <f ca="1">'Input|Step changes'!K21*IF('Input|Step changes'!$F21="nominal",LOOKUP($F66,Nominal_to_Real,'Input|Rate of change'!O$25:O$30),INDEX('Input|Rate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L66" s="133">
        <f ca="1">'Input|Step changes'!L21*IF('Input|Step changes'!$F21="nominal",LOOKUP($F66,Nominal_to_Real,'Input|Rate of change'!P$25:P$30),INDEX('Input|Rate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M66" s="133">
        <f ca="1">'Input|Step changes'!M21*IF('Input|Step changes'!$F21="nominal",LOOKUP($F66,Nominal_to_Real,'Input|Rate of change'!Q$25:Q$30),INDEX('Input|Rate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N66" s="133">
        <f ca="1">'Input|Step changes'!N21*IF('Input|Step changes'!$F21="nominal",LOOKUP($F66,Nominal_to_Real,'Input|Rate of change'!R$25:R$30),INDEX('Input|Rate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O66" s="133">
        <f ca="1">'Input|Step changes'!O21*IF('Input|Step changes'!$F21="nominal",LOOKUP($F66,Nominal_to_Real,'Input|Rate of change'!S$25:S$30),INDEX('Input|Rate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P66" s="133">
        <f ca="1">'Input|Step changes'!P21*IF('Input|Step changes'!$F21="nominal",LOOKUP($F66,Nominal_to_Real,'Input|Rate of change'!T$25:T$30),INDEX('Input|Rate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Q66" s="133">
        <f ca="1">'Input|Step changes'!Q21*IF('Input|Step changes'!$F21="nominal",LOOKUP($F66,Nominal_to_Real,'Input|Rate of change'!U$25:U$30),INDEX('Input|Rate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R66" s="133">
        <f ca="1">'Input|Step changes'!R21*IF('Input|Step changes'!$F21="nominal",LOOKUP($F66,Nominal_to_Real,'Input|Rate of change'!V$25:V$30),INDEX('Input|Rate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S66" s="133">
        <f ca="1">'Input|Step changes'!S21*IF('Input|Step changes'!$F21="nominal",LOOKUP($F66,Nominal_to_Real,'Input|Rate of change'!W$25:W$30),INDEX('Input|Rate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</row>
    <row r="67" spans="1:47" outlineLevel="1">
      <c r="C67" s="127">
        <f>'Input|Step changes'!C22</f>
        <v>0</v>
      </c>
      <c r="D67" s="115" t="s">
        <v>30</v>
      </c>
      <c r="E67" s="30" t="str">
        <f t="shared" si="2"/>
        <v>$millions</v>
      </c>
      <c r="F67" s="30" t="str">
        <f t="shared" si="3"/>
        <v>2018-19</v>
      </c>
      <c r="J67" s="133">
        <f ca="1">'Input|Step changes'!J22*IF('Input|Step changes'!$F22="nominal",LOOKUP($F67,Nominal_to_Real,'Input|Rate of change'!N$25:N$30),INDEX('Input|Rate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K67" s="133">
        <f ca="1">'Input|Step changes'!K22*IF('Input|Step changes'!$F22="nominal",LOOKUP($F67,Nominal_to_Real,'Input|Rate of change'!O$25:O$30),INDEX('Input|Rate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L67" s="133">
        <f ca="1">'Input|Step changes'!L22*IF('Input|Step changes'!$F22="nominal",LOOKUP($F67,Nominal_to_Real,'Input|Rate of change'!P$25:P$30),INDEX('Input|Rate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M67" s="133">
        <f ca="1">'Input|Step changes'!M22*IF('Input|Step changes'!$F22="nominal",LOOKUP($F67,Nominal_to_Real,'Input|Rate of change'!Q$25:Q$30),INDEX('Input|Rate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N67" s="133">
        <f ca="1">'Input|Step changes'!N22*IF('Input|Step changes'!$F22="nominal",LOOKUP($F67,Nominal_to_Real,'Input|Rate of change'!R$25:R$30),INDEX('Input|Rate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O67" s="133">
        <f ca="1">'Input|Step changes'!O22*IF('Input|Step changes'!$F22="nominal",LOOKUP($F67,Nominal_to_Real,'Input|Rate of change'!S$25:S$30),INDEX('Input|Rate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P67" s="133">
        <f ca="1">'Input|Step changes'!P22*IF('Input|Step changes'!$F22="nominal",LOOKUP($F67,Nominal_to_Real,'Input|Rate of change'!T$25:T$30),INDEX('Input|Rate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Q67" s="133">
        <f ca="1">'Input|Step changes'!Q22*IF('Input|Step changes'!$F22="nominal",LOOKUP($F67,Nominal_to_Real,'Input|Rate of change'!U$25:U$30),INDEX('Input|Rate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R67" s="133">
        <f ca="1">'Input|Step changes'!R22*IF('Input|Step changes'!$F22="nominal",LOOKUP($F67,Nominal_to_Real,'Input|Rate of change'!V$25:V$30),INDEX('Input|Rate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S67" s="133">
        <f ca="1">'Input|Step changes'!S22*IF('Input|Step changes'!$F22="nominal",LOOKUP($F67,Nominal_to_Real,'Input|Rate of change'!W$25:W$30),INDEX('Input|Rate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</row>
    <row r="68" spans="1:47" outlineLevel="1">
      <c r="C68" s="127">
        <f>'Input|Step changes'!C23</f>
        <v>0</v>
      </c>
      <c r="D68" s="115" t="s">
        <v>30</v>
      </c>
      <c r="E68" s="30" t="str">
        <f t="shared" si="2"/>
        <v>$millions</v>
      </c>
      <c r="F68" s="30" t="str">
        <f t="shared" si="3"/>
        <v>2018-19</v>
      </c>
      <c r="J68" s="133">
        <f ca="1">'Input|Step changes'!J23*IF('Input|Step changes'!$F23="nominal",LOOKUP($F68,Nominal_to_Real,'Input|Rate of change'!N$25:N$30),INDEX('Input|Rate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K68" s="133">
        <f ca="1">'Input|Step changes'!K23*IF('Input|Step changes'!$F23="nominal",LOOKUP($F68,Nominal_to_Real,'Input|Rate of change'!O$25:O$30),INDEX('Input|Rate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L68" s="133">
        <f ca="1">'Input|Step changes'!L23*IF('Input|Step changes'!$F23="nominal",LOOKUP($F68,Nominal_to_Real,'Input|Rate of change'!P$25:P$30),INDEX('Input|Rate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M68" s="133">
        <f ca="1">'Input|Step changes'!M23*IF('Input|Step changes'!$F23="nominal",LOOKUP($F68,Nominal_to_Real,'Input|Rate of change'!Q$25:Q$30),INDEX('Input|Rate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N68" s="133">
        <f ca="1">'Input|Step changes'!N23*IF('Input|Step changes'!$F23="nominal",LOOKUP($F68,Nominal_to_Real,'Input|Rate of change'!R$25:R$30),INDEX('Input|Rate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O68" s="133">
        <f ca="1">'Input|Step changes'!O23*IF('Input|Step changes'!$F23="nominal",LOOKUP($F68,Nominal_to_Real,'Input|Rate of change'!S$25:S$30),INDEX('Input|Rate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P68" s="133">
        <f ca="1">'Input|Step changes'!P23*IF('Input|Step changes'!$F23="nominal",LOOKUP($F68,Nominal_to_Real,'Input|Rate of change'!T$25:T$30),INDEX('Input|Rate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Q68" s="133">
        <f ca="1">'Input|Step changes'!Q23*IF('Input|Step changes'!$F23="nominal",LOOKUP($F68,Nominal_to_Real,'Input|Rate of change'!U$25:U$30),INDEX('Input|Rate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R68" s="133">
        <f ca="1">'Input|Step changes'!R23*IF('Input|Step changes'!$F23="nominal",LOOKUP($F68,Nominal_to_Real,'Input|Rate of change'!V$25:V$30),INDEX('Input|Rate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S68" s="133">
        <f ca="1">'Input|Step changes'!S23*IF('Input|Step changes'!$F23="nominal",LOOKUP($F68,Nominal_to_Real,'Input|Rate of change'!W$25:W$30),INDEX('Input|Rate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</row>
    <row r="69" spans="1:47" outlineLevel="1">
      <c r="C69" s="127"/>
      <c r="D69" s="113"/>
      <c r="F69" s="117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</row>
    <row r="70" spans="1:47">
      <c r="C70" s="119" t="s">
        <v>55</v>
      </c>
      <c r="D70" s="128" t="s">
        <v>30</v>
      </c>
      <c r="E70" s="128" t="str">
        <f>$E$8</f>
        <v>$millions</v>
      </c>
      <c r="F70" s="32" t="str">
        <f>$F$8</f>
        <v>2018-19</v>
      </c>
      <c r="G70" s="32"/>
      <c r="H70" s="32"/>
      <c r="I70" s="32"/>
      <c r="J70" s="135">
        <f ca="1">SUM(J57:J69)</f>
        <v>0</v>
      </c>
      <c r="K70" s="135">
        <f t="shared" ref="K70:S70" ca="1" si="4">SUM(K57:K69)</f>
        <v>0</v>
      </c>
      <c r="L70" s="135">
        <f t="shared" ca="1" si="4"/>
        <v>0</v>
      </c>
      <c r="M70" s="135">
        <f t="shared" ca="1" si="4"/>
        <v>0</v>
      </c>
      <c r="N70" s="135">
        <f t="shared" ca="1" si="4"/>
        <v>0</v>
      </c>
      <c r="O70" s="135">
        <f ca="1">SUM(O57:O69)</f>
        <v>0</v>
      </c>
      <c r="P70" s="135">
        <f t="shared" ca="1" si="4"/>
        <v>0</v>
      </c>
      <c r="Q70" s="135">
        <f t="shared" ca="1" si="4"/>
        <v>0</v>
      </c>
      <c r="R70" s="135">
        <f t="shared" ca="1" si="4"/>
        <v>0</v>
      </c>
      <c r="S70" s="135">
        <f t="shared" ca="1" si="4"/>
        <v>0</v>
      </c>
    </row>
    <row r="71" spans="1:47">
      <c r="C71" s="129"/>
      <c r="D71" s="115"/>
      <c r="E71" s="115"/>
      <c r="F71" s="115"/>
      <c r="J71" s="112"/>
      <c r="K71" s="112"/>
      <c r="L71" s="112"/>
      <c r="M71" s="112"/>
      <c r="N71" s="23"/>
      <c r="O71" s="23"/>
      <c r="P71" s="23"/>
      <c r="Q71" s="23"/>
      <c r="R71" s="23"/>
      <c r="S71" s="23"/>
    </row>
    <row r="72" spans="1:47" s="107" customFormat="1" ht="12.75">
      <c r="A72" s="98"/>
      <c r="B72" s="99" t="s">
        <v>153</v>
      </c>
      <c r="C72" s="98"/>
      <c r="D72" s="98"/>
      <c r="E72" s="98"/>
      <c r="F72" s="100"/>
      <c r="G72" s="100"/>
      <c r="H72" s="100"/>
      <c r="I72" s="100"/>
      <c r="J72" s="101"/>
      <c r="K72" s="102"/>
      <c r="L72" s="101"/>
      <c r="M72" s="102"/>
      <c r="N72" s="101"/>
      <c r="O72" s="101"/>
      <c r="P72" s="101"/>
      <c r="Q72" s="101"/>
      <c r="R72" s="101"/>
      <c r="S72" s="101"/>
      <c r="T72" s="101"/>
      <c r="U72" s="101"/>
      <c r="V72" s="102"/>
      <c r="W72" s="102"/>
      <c r="X72" s="103"/>
      <c r="Y72" s="103"/>
      <c r="Z72" s="103"/>
      <c r="AA72" s="103"/>
      <c r="AB72" s="104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1:47">
      <c r="C73" s="111"/>
      <c r="J73" s="112"/>
      <c r="K73" s="112"/>
      <c r="L73" s="112"/>
    </row>
    <row r="74" spans="1:47" outlineLevel="1">
      <c r="C74" s="70" t="s">
        <v>159</v>
      </c>
      <c r="D74" s="32" t="s">
        <v>7</v>
      </c>
      <c r="E74" s="32" t="s">
        <v>8</v>
      </c>
      <c r="F74" s="32" t="s">
        <v>22</v>
      </c>
      <c r="J74" s="110" t="str">
        <f>IF(RIGHT(J$4,2)&gt;=RIGHT('Input|General'!$G$11,2),IF(RIGHT(J$4,2)&lt;=RIGHT('Input|General'!$G$12,2),J$4,""),"")</f>
        <v/>
      </c>
      <c r="K74" s="110" t="str">
        <f ca="1">IF(RIGHT(K$4,2)&gt;=RIGHT('Input|General'!$G$11,2),IF(RIGHT(K$4,2)&lt;=RIGHT('Input|General'!$G$12,2),K$4,""),"")</f>
        <v/>
      </c>
      <c r="L74" s="110" t="str">
        <f ca="1">IF(RIGHT(L$4,2)&gt;=RIGHT('Input|General'!$G$11,2),IF(RIGHT(L$4,2)&lt;=RIGHT('Input|General'!$G$12,2),L$4,""),"")</f>
        <v/>
      </c>
      <c r="M74" s="110" t="str">
        <f ca="1">IF(RIGHT(M$4,2)&gt;=RIGHT('Input|General'!$G$11,2),IF(RIGHT(M$4,2)&lt;=RIGHT('Input|General'!$G$12,2),M$4,""),"")</f>
        <v/>
      </c>
      <c r="N74" s="110" t="str">
        <f ca="1">IF(RIGHT(N$4,2)&gt;=RIGHT('Input|General'!$G$11,2),IF(RIGHT(N$4,2)&lt;=RIGHT('Input|General'!$G$12,2),N$4,""),"")</f>
        <v/>
      </c>
      <c r="O74" s="110" t="str">
        <f ca="1">IF(RIGHT(O$4,2)&gt;=RIGHT('Input|General'!$G$11,2),IF(RIGHT(O$4,2)&lt;=RIGHT('Input|General'!$G$12,2),O$4,""),"")</f>
        <v>2019-20</v>
      </c>
      <c r="P74" s="110" t="str">
        <f ca="1">IF(RIGHT(P$4,2)&gt;=RIGHT('Input|General'!$G$11,2),IF(RIGHT(P$4,2)&lt;=RIGHT('Input|General'!$G$12,2),P$4,""),"")</f>
        <v>2020-21</v>
      </c>
      <c r="Q74" s="110" t="str">
        <f ca="1">IF(RIGHT(Q$4,2)&gt;=RIGHT('Input|General'!$G$11,2),IF(RIGHT(Q$4,2)&lt;=RIGHT('Input|General'!$G$12,2),Q$4,""),"")</f>
        <v>2021-22</v>
      </c>
      <c r="R74" s="110" t="str">
        <f ca="1">IF(RIGHT(R$4,2)&gt;=RIGHT('Input|General'!$G$11,2),IF(RIGHT(R$4,2)&lt;=RIGHT('Input|General'!$G$12,2),R$4,""),"")</f>
        <v>2022-23</v>
      </c>
      <c r="S74" s="110" t="str">
        <f ca="1">IF(RIGHT(S$4,2)&gt;=RIGHT('Input|General'!$G$11,2),IF(RIGHT(S$4,2)&lt;=RIGHT('Input|General'!$G$12,2),S$4,""),"")</f>
        <v>2023-24</v>
      </c>
    </row>
    <row r="75" spans="1:47" outlineLevel="1">
      <c r="C75" s="70"/>
      <c r="J75" s="126"/>
      <c r="K75" s="126"/>
      <c r="L75" s="126"/>
      <c r="M75" s="126"/>
      <c r="N75" s="126"/>
      <c r="O75" s="126"/>
      <c r="P75" s="126"/>
      <c r="Q75" s="126"/>
      <c r="R75" s="126"/>
      <c r="S75" s="126"/>
    </row>
    <row r="76" spans="1:47" outlineLevel="1">
      <c r="C76" s="127">
        <f>'Input|Step changes'!C29</f>
        <v>0</v>
      </c>
      <c r="D76" s="115" t="s">
        <v>30</v>
      </c>
      <c r="E76" s="30" t="str">
        <f t="shared" ref="E76:E78" si="5">$E$8</f>
        <v>$millions</v>
      </c>
      <c r="F76" s="30" t="str">
        <f>$F$8</f>
        <v>2018-19</v>
      </c>
      <c r="J76" s="133">
        <f ca="1"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33">
        <f ca="1"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33">
        <f ca="1"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33">
        <f ca="1"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33">
        <f ca="1"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33">
        <f ca="1"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33">
        <f ca="1"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33">
        <f ca="1"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33">
        <f ca="1"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33">
        <f ca="1"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7" t="s">
        <v>160</v>
      </c>
      <c r="D77" s="115" t="s">
        <v>30</v>
      </c>
      <c r="E77" s="30" t="str">
        <f t="shared" si="5"/>
        <v>$millions</v>
      </c>
      <c r="F77" s="30" t="str">
        <f t="shared" ref="F77:F78" si="6">$F$8</f>
        <v>2018-19</v>
      </c>
      <c r="J77" s="133">
        <f ca="1"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33">
        <f ca="1"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33">
        <f ca="1"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33">
        <f ca="1"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33">
        <f ca="1"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33">
        <f ca="1"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33">
        <f ca="1"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33">
        <f ca="1"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33">
        <f ca="1"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33">
        <f ca="1"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7" t="s">
        <v>161</v>
      </c>
      <c r="D78" s="115" t="s">
        <v>30</v>
      </c>
      <c r="E78" s="30" t="str">
        <f t="shared" si="5"/>
        <v>$millions</v>
      </c>
      <c r="F78" s="30" t="str">
        <f t="shared" si="6"/>
        <v>2018-19</v>
      </c>
      <c r="J78" s="133">
        <f ca="1">'Input|Step changes'!J31*IF('Input|Step changes'!$F31="nominal",LOOKUP($F78,Nominal_to_Real,'Input|Rate of change'!N$25:N$30),INDEX('Input|Rate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K78" s="133">
        <f ca="1">'Input|Step changes'!K31*IF('Input|Step changes'!$F31="nominal",LOOKUP($F78,Nominal_to_Real,'Input|Rate of change'!O$25:O$30),INDEX('Input|Rate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L78" s="133">
        <f ca="1">'Input|Step changes'!L31*IF('Input|Step changes'!$F31="nominal",LOOKUP($F78,Nominal_to_Real,'Input|Rate of change'!P$25:P$30),INDEX('Input|Rate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M78" s="133">
        <f ca="1">'Input|Step changes'!M31*IF('Input|Step changes'!$F31="nominal",LOOKUP($F78,Nominal_to_Real,'Input|Rate of change'!Q$25:Q$30),INDEX('Input|Rate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N78" s="133">
        <f ca="1">'Input|Step changes'!N31*IF('Input|Step changes'!$F31="nominal",LOOKUP($F78,Nominal_to_Real,'Input|Rate of change'!R$25:R$30),INDEX('Input|Rate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O78" s="133">
        <f ca="1">'Input|Step changes'!O31*IF('Input|Step changes'!$F31="nominal",LOOKUP($F78,Nominal_to_Real,'Input|Rate of change'!S$25:S$30),INDEX('Input|Rate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P78" s="133">
        <f ca="1">'Input|Step changes'!P31*IF('Input|Step changes'!$F31="nominal",LOOKUP($F78,Nominal_to_Real,'Input|Rate of change'!T$25:T$30),INDEX('Input|Rate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Q78" s="133">
        <f ca="1">'Input|Step changes'!Q31*IF('Input|Step changes'!$F31="nominal",LOOKUP($F78,Nominal_to_Real,'Input|Rate of change'!U$25:U$30),INDEX('Input|Rate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R78" s="133">
        <f ca="1">'Input|Step changes'!R31*IF('Input|Step changes'!$F31="nominal",LOOKUP($F78,Nominal_to_Real,'Input|Rate of change'!V$25:V$30),INDEX('Input|Rate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S78" s="133">
        <f ca="1">'Input|Step changes'!S31*IF('Input|Step changes'!$F31="nominal",LOOKUP($F78,Nominal_to_Real,'Input|Rate of change'!W$25:W$30),INDEX('Input|Rate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</row>
    <row r="79" spans="1:47" outlineLevel="1">
      <c r="C79" s="127"/>
      <c r="D79" s="113"/>
      <c r="F79" s="117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</row>
    <row r="80" spans="1:47">
      <c r="C80" s="119" t="s">
        <v>154</v>
      </c>
      <c r="D80" s="128" t="s">
        <v>30</v>
      </c>
      <c r="E80" s="128" t="str">
        <f>$E$8</f>
        <v>$millions</v>
      </c>
      <c r="F80" s="32" t="str">
        <f>$F$8</f>
        <v>2018-19</v>
      </c>
      <c r="G80" s="32"/>
      <c r="H80" s="32"/>
      <c r="I80" s="32"/>
      <c r="J80" s="135">
        <f t="shared" ref="J80:S80" ca="1" si="7">SUM(J76:J79)</f>
        <v>0</v>
      </c>
      <c r="K80" s="135">
        <f t="shared" ca="1" si="7"/>
        <v>0</v>
      </c>
      <c r="L80" s="135">
        <f t="shared" ca="1" si="7"/>
        <v>0</v>
      </c>
      <c r="M80" s="135">
        <f t="shared" ca="1" si="7"/>
        <v>0</v>
      </c>
      <c r="N80" s="135">
        <f t="shared" ca="1" si="7"/>
        <v>0</v>
      </c>
      <c r="O80" s="135">
        <f t="shared" ca="1" si="7"/>
        <v>0</v>
      </c>
      <c r="P80" s="135">
        <f t="shared" ca="1" si="7"/>
        <v>0</v>
      </c>
      <c r="Q80" s="135">
        <f t="shared" ca="1" si="7"/>
        <v>0</v>
      </c>
      <c r="R80" s="135">
        <f t="shared" ca="1" si="7"/>
        <v>0</v>
      </c>
      <c r="S80" s="135">
        <f t="shared" ca="1" si="7"/>
        <v>0</v>
      </c>
    </row>
    <row r="81" spans="1:47">
      <c r="C81" s="129"/>
      <c r="D81" s="115"/>
      <c r="E81" s="115"/>
      <c r="F81" s="115"/>
      <c r="J81" s="112"/>
      <c r="K81" s="112"/>
      <c r="L81" s="112"/>
      <c r="M81" s="112"/>
      <c r="N81" s="23"/>
      <c r="O81" s="23"/>
      <c r="P81" s="23"/>
      <c r="Q81" s="23"/>
      <c r="R81" s="23"/>
      <c r="S81" s="23"/>
    </row>
    <row r="82" spans="1:47" s="107" customFormat="1" ht="12.75">
      <c r="A82" s="98"/>
      <c r="B82" s="99" t="s">
        <v>114</v>
      </c>
      <c r="C82" s="98"/>
      <c r="D82" s="98"/>
      <c r="E82" s="98"/>
      <c r="F82" s="100"/>
      <c r="G82" s="100"/>
      <c r="H82" s="100"/>
      <c r="I82" s="100"/>
      <c r="J82" s="101"/>
      <c r="K82" s="102"/>
      <c r="L82" s="101"/>
      <c r="M82" s="102"/>
      <c r="N82" s="101"/>
      <c r="O82" s="101"/>
      <c r="P82" s="101"/>
      <c r="Q82" s="101"/>
      <c r="R82" s="101"/>
      <c r="S82" s="101"/>
      <c r="T82" s="101"/>
      <c r="U82" s="101"/>
      <c r="V82" s="102"/>
      <c r="W82" s="102"/>
      <c r="X82" s="103"/>
      <c r="Y82" s="103"/>
      <c r="Z82" s="103"/>
      <c r="AA82" s="103"/>
      <c r="AB82" s="104"/>
      <c r="AC82" s="105"/>
      <c r="AD82" s="105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1:47">
      <c r="C83" s="111"/>
      <c r="J83" s="112"/>
      <c r="K83" s="112"/>
      <c r="L83" s="112"/>
    </row>
    <row r="84" spans="1:47">
      <c r="C84" s="70"/>
      <c r="J84" s="110" t="str">
        <f>IF(RIGHT(J$4,2)&gt;=RIGHT('Input|General'!$G$9,2),IF(RIGHT(J$4,2)&lt;=RIGHT('Input|General'!$G$12,2),J$4,""),"")</f>
        <v/>
      </c>
      <c r="K84" s="110" t="str">
        <f ca="1">IF(RIGHT(K$4,2)&gt;=RIGHT('Input|General'!$G$9,2),IF(RIGHT(K$4,2)&lt;=RIGHT('Input|General'!$G$12,2),K$4,""),"")</f>
        <v/>
      </c>
      <c r="L84" s="110" t="str">
        <f ca="1">IF(RIGHT(L$4,2)&gt;=RIGHT('Input|General'!$G$9,2),IF(RIGHT(L$4,2)&lt;=RIGHT('Input|General'!$G$12,2),L$4,""),"")</f>
        <v/>
      </c>
      <c r="M84" s="110" t="str">
        <f ca="1">IF(RIGHT(M$4,2)&gt;=RIGHT('Input|General'!$G$9,2),IF(RIGHT(M$4,2)&lt;=RIGHT('Input|General'!$G$12,2),M$4,""),"")</f>
        <v>2017-18</v>
      </c>
      <c r="N84" s="110" t="str">
        <f ca="1">IF(RIGHT(N$4,2)&gt;=RIGHT('Input|General'!$G$9,2),IF(RIGHT(N$4,2)&lt;=RIGHT('Input|General'!$G$12,2),N$4,""),"")</f>
        <v>2018-19</v>
      </c>
      <c r="O84" s="110" t="str">
        <f ca="1">IF(RIGHT(O$4,2)&gt;=RIGHT('Input|General'!$G$9,2),IF(RIGHT(O$4,2)&lt;=RIGHT('Input|General'!$G$12,2),O$4,""),"")</f>
        <v>2019-20</v>
      </c>
      <c r="P84" s="110" t="str">
        <f ca="1">IF(RIGHT(P$4,2)&gt;=RIGHT('Input|General'!$G$9,2),IF(RIGHT(P$4,2)&lt;=RIGHT('Input|General'!$G$12,2),P$4,""),"")</f>
        <v>2020-21</v>
      </c>
      <c r="Q84" s="110" t="str">
        <f ca="1">IF(RIGHT(Q$4,2)&gt;=RIGHT('Input|General'!$G$9,2),IF(RIGHT(Q$4,2)&lt;=RIGHT('Input|General'!$G$12,2),Q$4,""),"")</f>
        <v>2021-22</v>
      </c>
      <c r="R84" s="110" t="str">
        <f ca="1">IF(RIGHT(R$4,2)&gt;=RIGHT('Input|General'!$G$9,2),IF(RIGHT(R$4,2)&lt;=RIGHT('Input|General'!$G$12,2),R$4,""),"")</f>
        <v>2022-23</v>
      </c>
      <c r="S84" s="110" t="str">
        <f ca="1">IF(RIGHT(S$4,2)&gt;=RIGHT('Input|General'!$G$9,2),IF(RIGHT(S$4,2)&lt;=RIGHT('Input|General'!$G$12,2),S$4,""),"")</f>
        <v>2023-24</v>
      </c>
    </row>
    <row r="85" spans="1:47">
      <c r="C85" s="130"/>
      <c r="D85" s="115"/>
      <c r="E85" s="115"/>
      <c r="F85" s="115"/>
      <c r="J85" s="131"/>
      <c r="K85" s="131"/>
      <c r="L85" s="131"/>
      <c r="M85" s="131"/>
      <c r="N85" s="131"/>
      <c r="O85" s="131"/>
      <c r="P85" s="131"/>
      <c r="Q85" s="131"/>
      <c r="R85" s="131"/>
      <c r="S85" s="131"/>
    </row>
    <row r="86" spans="1:47">
      <c r="C86" s="129" t="s">
        <v>138</v>
      </c>
      <c r="D86" s="132" t="s">
        <v>30</v>
      </c>
      <c r="E86" s="132" t="str">
        <f>$E$8</f>
        <v>$millions</v>
      </c>
      <c r="F86" s="32" t="str">
        <f>$F$8</f>
        <v>2018-19</v>
      </c>
      <c r="J86" s="165">
        <f t="shared" ref="J86:L86" ca="1" si="8">J13</f>
        <v>0</v>
      </c>
      <c r="K86" s="165">
        <f t="shared" ca="1" si="8"/>
        <v>0</v>
      </c>
      <c r="L86" s="165">
        <f t="shared" ca="1" si="8"/>
        <v>0</v>
      </c>
      <c r="M86" s="165">
        <f ca="1">M13</f>
        <v>38.44121989648378</v>
      </c>
      <c r="N86" s="165">
        <f ca="1">N19</f>
        <v>37.910584610736599</v>
      </c>
      <c r="O86" s="165">
        <f t="array" aca="1" ref="O86" ca="1">IF(RIGHT(O$4,2)&gt;=RIGHT('Input|General'!$G$11,2),IF(RIGHT(O$4,2)&lt;=RIGHT('Input|General'!$G$12,2),IF(ISBLANK(O84),"",PRODUCT(1+$J51:O51)*SUM($J38:$S38)+O70+O80),""),"")</f>
        <v>37.959502091750878</v>
      </c>
      <c r="P86" s="165">
        <f t="array" aca="1" ref="P86" ca="1">IF(RIGHT(P$4,2)&gt;=RIGHT('Input|General'!$G$11,2),IF(RIGHT(P$4,2)&lt;=RIGHT('Input|General'!$G$12,2),IF(ISBLANK(P84),"",PRODUCT(1+$J51:P51)*SUM($J38:$S38)+P70+P80),""),"")</f>
        <v>38.114199384258875</v>
      </c>
      <c r="Q86" s="165">
        <f t="array" aca="1" ref="Q86" ca="1">IF(RIGHT(Q$4,2)&gt;=RIGHT('Input|General'!$G$11,2),IF(RIGHT(Q$4,2)&lt;=RIGHT('Input|General'!$G$12,2),IF(ISBLANK(Q84),"",PRODUCT(1+$J51:Q51)*SUM($J38:$S38)+Q70+Q80),""),"")</f>
        <v>38.320179814870315</v>
      </c>
      <c r="R86" s="165">
        <f t="array" aca="1" ref="R86" ca="1">IF(RIGHT(R$4,2)&gt;=RIGHT('Input|General'!$G$11,2),IF(RIGHT(R$4,2)&lt;=RIGHT('Input|General'!$G$12,2),IF(ISBLANK(R84),"",PRODUCT(1+$J51:R51)*SUM($J38:$S38)+R70+R80),""),"")</f>
        <v>38.476796573251612</v>
      </c>
      <c r="S86" s="165">
        <f t="array" aca="1" ref="S86" ca="1">IF(RIGHT(S$4,2)&gt;=RIGHT('Input|General'!$G$11,2),IF(RIGHT(S$4,2)&lt;=RIGHT('Input|General'!$G$12,2),IF(ISBLANK(S84),"",PRODUCT(1+$J51:S51)*SUM($J38:$S38)+S70+S80),""),"")</f>
        <v>38.635101820492899</v>
      </c>
    </row>
    <row r="87" spans="1:47">
      <c r="C87" s="129" t="s">
        <v>139</v>
      </c>
      <c r="D87" s="132" t="s">
        <v>30</v>
      </c>
      <c r="E87" s="132" t="str">
        <f>$E$8</f>
        <v>$millions</v>
      </c>
      <c r="F87" s="32" t="str">
        <f>$F$8</f>
        <v>2018-19</v>
      </c>
      <c r="J87" s="165"/>
      <c r="K87" s="165"/>
      <c r="L87" s="165"/>
      <c r="M87" s="165"/>
      <c r="N87" s="165"/>
      <c r="O87" s="165">
        <f ca="1">O86+'Input|Step changes'!O37</f>
        <v>38.972041262703414</v>
      </c>
      <c r="P87" s="165">
        <f ca="1">P86+'Input|Step changes'!P37</f>
        <v>39.117538007866401</v>
      </c>
      <c r="Q87" s="165">
        <f ca="1">Q86+'Input|Step changes'!Q37</f>
        <v>39.330052580068823</v>
      </c>
      <c r="R87" s="165">
        <f ca="1">R86+'Input|Step changes'!R37</f>
        <v>39.492934299278751</v>
      </c>
      <c r="S87" s="165">
        <f ca="1">S86+'Input|Step changes'!S37</f>
        <v>39.642920717697102</v>
      </c>
    </row>
    <row r="88" spans="1:47">
      <c r="C88" s="129"/>
      <c r="D88" s="115"/>
      <c r="E88" s="115"/>
      <c r="F88" s="115"/>
      <c r="J88" s="112"/>
      <c r="K88" s="112"/>
      <c r="L88" s="112"/>
      <c r="M88" s="112"/>
      <c r="N88" s="23"/>
      <c r="O88" s="23"/>
      <c r="P88" s="23"/>
      <c r="Q88" s="23"/>
      <c r="R88" s="23"/>
      <c r="S88" s="23"/>
    </row>
    <row r="89" spans="1:47" s="107" customFormat="1" ht="12.75">
      <c r="A89" s="98"/>
      <c r="B89" s="99" t="s">
        <v>21</v>
      </c>
      <c r="C89" s="98"/>
      <c r="D89" s="98"/>
      <c r="E89" s="98"/>
      <c r="F89" s="100"/>
      <c r="G89" s="100"/>
      <c r="H89" s="100"/>
      <c r="I89" s="100"/>
      <c r="J89" s="101"/>
      <c r="K89" s="102"/>
      <c r="L89" s="101"/>
      <c r="M89" s="102"/>
      <c r="N89" s="101"/>
      <c r="O89" s="101"/>
      <c r="P89" s="101"/>
      <c r="Q89" s="101"/>
      <c r="R89" s="101"/>
      <c r="S89" s="101"/>
      <c r="T89" s="101"/>
      <c r="U89" s="101"/>
      <c r="V89" s="102"/>
      <c r="W89" s="102"/>
      <c r="X89" s="103"/>
      <c r="Y89" s="103"/>
      <c r="Z89" s="103"/>
      <c r="AA89" s="103"/>
      <c r="AB89" s="104"/>
      <c r="AC89" s="105"/>
      <c r="AD89" s="105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mergeCells count="2">
    <mergeCell ref="J3:L3"/>
    <mergeCell ref="N3:S3"/>
  </mergeCells>
  <conditionalFormatting sqref="S1">
    <cfRule type="cellIs" dxfId="65" priority="64" operator="equal">
      <formula>"Check"</formula>
    </cfRule>
    <cfRule type="cellIs" dxfId="64" priority="65" operator="equal">
      <formula>"Ok"</formula>
    </cfRule>
  </conditionalFormatting>
  <conditionalFormatting sqref="V1">
    <cfRule type="cellIs" dxfId="63" priority="66" operator="equal">
      <formula>"Check"</formula>
    </cfRule>
    <cfRule type="cellIs" dxfId="62" priority="67" operator="equal">
      <formula>"Ok"</formula>
    </cfRule>
  </conditionalFormatting>
  <conditionalFormatting sqref="J12:S17">
    <cfRule type="cellIs" dxfId="61" priority="63" operator="equal">
      <formula>0</formula>
    </cfRule>
  </conditionalFormatting>
  <conditionalFormatting sqref="J13:S13">
    <cfRule type="cellIs" dxfId="60" priority="62" operator="equal">
      <formula>0</formula>
    </cfRule>
  </conditionalFormatting>
  <conditionalFormatting sqref="J14:S14">
    <cfRule type="cellIs" dxfId="59" priority="61" operator="equal">
      <formula>0</formula>
    </cfRule>
  </conditionalFormatting>
  <conditionalFormatting sqref="J15:S15">
    <cfRule type="cellIs" dxfId="58" priority="60" operator="equal">
      <formula>0</formula>
    </cfRule>
  </conditionalFormatting>
  <conditionalFormatting sqref="J16:S16">
    <cfRule type="cellIs" dxfId="57" priority="59" operator="equal">
      <formula>0</formula>
    </cfRule>
  </conditionalFormatting>
  <conditionalFormatting sqref="J17:S17">
    <cfRule type="cellIs" dxfId="56" priority="58" operator="equal">
      <formula>0</formula>
    </cfRule>
  </conditionalFormatting>
  <conditionalFormatting sqref="J45:S49">
    <cfRule type="cellIs" dxfId="55" priority="57" operator="equal">
      <formula>0</formula>
    </cfRule>
  </conditionalFormatting>
  <conditionalFormatting sqref="J51:S51">
    <cfRule type="cellIs" dxfId="54" priority="56" operator="equal">
      <formula>0</formula>
    </cfRule>
  </conditionalFormatting>
  <conditionalFormatting sqref="J57:S68">
    <cfRule type="cellIs" dxfId="53" priority="55" operator="equal">
      <formula>0</formula>
    </cfRule>
  </conditionalFormatting>
  <conditionalFormatting sqref="J70:S70">
    <cfRule type="cellIs" dxfId="52" priority="54" operator="equal">
      <formula>0</formula>
    </cfRule>
  </conditionalFormatting>
  <conditionalFormatting sqref="J19:S20 J35:S38">
    <cfRule type="cellIs" dxfId="51" priority="53" operator="equal">
      <formula>0</formula>
    </cfRule>
  </conditionalFormatting>
  <conditionalFormatting sqref="J19:S20 J35:S38">
    <cfRule type="cellIs" dxfId="50" priority="52" operator="equal">
      <formula>0</formula>
    </cfRule>
  </conditionalFormatting>
  <conditionalFormatting sqref="J86:S87">
    <cfRule type="cellIs" dxfId="49" priority="51" operator="equal">
      <formula>0</formula>
    </cfRule>
  </conditionalFormatting>
  <conditionalFormatting sqref="J86:S87">
    <cfRule type="cellIs" dxfId="48" priority="50" operator="equal">
      <formula>0</formula>
    </cfRule>
  </conditionalFormatting>
  <conditionalFormatting sqref="J21:S21">
    <cfRule type="cellIs" dxfId="47" priority="31" operator="equal">
      <formula>0</formula>
    </cfRule>
  </conditionalFormatting>
  <conditionalFormatting sqref="J24:S24">
    <cfRule type="cellIs" dxfId="46" priority="30" operator="equal">
      <formula>0</formula>
    </cfRule>
  </conditionalFormatting>
  <conditionalFormatting sqref="J76:S78">
    <cfRule type="cellIs" dxfId="45" priority="37" operator="equal">
      <formula>0</formula>
    </cfRule>
  </conditionalFormatting>
  <conditionalFormatting sqref="J80:S80">
    <cfRule type="cellIs" dxfId="44" priority="36" operator="equal">
      <formula>0</formula>
    </cfRule>
  </conditionalFormatting>
  <conditionalFormatting sqref="R23:S23 R26:S26 R29:S29 R32:S32">
    <cfRule type="cellIs" dxfId="43" priority="35" operator="equal">
      <formula>0</formula>
    </cfRule>
  </conditionalFormatting>
  <conditionalFormatting sqref="J30:S30">
    <cfRule type="cellIs" dxfId="42" priority="23" operator="equal">
      <formula>0</formula>
    </cfRule>
  </conditionalFormatting>
  <conditionalFormatting sqref="J23:Q23 J26:Q26 J29:Q29">
    <cfRule type="cellIs" dxfId="41" priority="34" operator="equal">
      <formula>0</formula>
    </cfRule>
  </conditionalFormatting>
  <conditionalFormatting sqref="J23:Q23 J26:Q26 J29:Q29">
    <cfRule type="cellIs" dxfId="40" priority="33" operator="equal">
      <formula>0</formula>
    </cfRule>
  </conditionalFormatting>
  <conditionalFormatting sqref="J21:S21">
    <cfRule type="cellIs" dxfId="39" priority="32" operator="equal">
      <formula>0</formula>
    </cfRule>
  </conditionalFormatting>
  <conditionalFormatting sqref="J32:Q32">
    <cfRule type="cellIs" dxfId="38" priority="26" operator="equal">
      <formula>0</formula>
    </cfRule>
  </conditionalFormatting>
  <conditionalFormatting sqref="J32:Q32">
    <cfRule type="cellIs" dxfId="37" priority="25" operator="equal">
      <formula>0</formula>
    </cfRule>
  </conditionalFormatting>
  <conditionalFormatting sqref="J24:S24">
    <cfRule type="cellIs" dxfId="36" priority="29" operator="equal">
      <formula>0</formula>
    </cfRule>
  </conditionalFormatting>
  <conditionalFormatting sqref="J30:S30">
    <cfRule type="cellIs" dxfId="35" priority="24" operator="equal">
      <formula>0</formula>
    </cfRule>
  </conditionalFormatting>
  <conditionalFormatting sqref="J27:S27">
    <cfRule type="cellIs" dxfId="34" priority="28" operator="equal">
      <formula>0</formula>
    </cfRule>
  </conditionalFormatting>
  <conditionalFormatting sqref="J27:S27">
    <cfRule type="cellIs" dxfId="33" priority="27" operator="equal">
      <formula>0</formula>
    </cfRule>
  </conditionalFormatting>
  <conditionalFormatting sqref="J33:S33">
    <cfRule type="cellIs" dxfId="32" priority="21" operator="equal">
      <formula>0</formula>
    </cfRule>
  </conditionalFormatting>
  <conditionalFormatting sqref="J33:S33">
    <cfRule type="cellIs" dxfId="31" priority="2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count="5">
    <dataValidation type="list" allowBlank="1" showInputMessage="1" showErrorMessage="1" sqref="F18">
      <formula1>$C$52:$C$52</formula1>
    </dataValidation>
    <dataValidation type="list" allowBlank="1" showInputMessage="1" showErrorMessage="1" sqref="F88 F69 F71 F79 F81">
      <formula1>"Real 2010,Real 2011,Real 2012,Real 2013,Real 2014,Real 2015,Nominal"</formula1>
    </dataValidation>
    <dataValidation type="list" allowBlank="1" showInputMessage="1" showErrorMessage="1" sqref="F57:F68 F35 F70 F37 F86:F87 F76:F78 F80">
      <formula1>$G$44:$G$50</formula1>
    </dataValidation>
    <dataValidation type="list" allowBlank="1" showInputMessage="1" showErrorMessage="1" sqref="F19: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E14:F14 E16:F1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'Lookup|Tables'!$G$25:$G$32</xm:f>
          </x14:formula1>
          <xm:sqref>F12:F17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6"/>
  <sheetViews>
    <sheetView showGridLines="0" tabSelected="1" workbookViewId="0">
      <selection activeCell="C17" sqref="C1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IF(COUNTA($W$14:$W$475)=COUNTIF($W$14:$W$475,"OK"),"OK","Check")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Index!$C$13</f>
        <v>Output | Models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80"/>
      <c r="K3" s="180"/>
      <c r="L3" s="180"/>
      <c r="M3" s="85"/>
      <c r="N3" s="180"/>
      <c r="O3" s="180"/>
      <c r="P3" s="180"/>
      <c r="Q3" s="180"/>
      <c r="R3" s="180"/>
      <c r="S3" s="18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3" t="str">
        <f>'Input|General'!$G$8</f>
        <v>2014-15</v>
      </c>
      <c r="K4" s="153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2015-16</v>
      </c>
      <c r="L4" s="153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2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3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3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3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3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3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153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69</v>
      </c>
      <c r="C8" s="98"/>
      <c r="D8" s="98"/>
      <c r="E8" s="71" t="s">
        <v>15</v>
      </c>
      <c r="F8" s="71" t="s">
        <v>45</v>
      </c>
      <c r="G8" s="100"/>
      <c r="H8" s="100"/>
      <c r="I8" s="100"/>
      <c r="J8" s="160" t="s">
        <v>70</v>
      </c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47" ht="4.5" customHeight="1"/>
    <row r="10" spans="1:47">
      <c r="M10" s="112"/>
      <c r="N10" s="112"/>
      <c r="O10"/>
      <c r="P10"/>
      <c r="Q10"/>
      <c r="R10"/>
      <c r="S10"/>
    </row>
    <row r="11" spans="1:47">
      <c r="C11" s="70" t="s">
        <v>52</v>
      </c>
      <c r="D11" s="32" t="s">
        <v>7</v>
      </c>
      <c r="E11" s="32" t="s">
        <v>8</v>
      </c>
      <c r="F11" s="32" t="s">
        <v>22</v>
      </c>
      <c r="H11" s="32"/>
      <c r="I11" s="32"/>
      <c r="J11" s="110" t="str">
        <f>IF(RIGHT(J$4,2)&gt;=RIGHT('Input|General'!$G$11,2),IF(RIGHT(J$4,2)&lt;=RIGHT('Input|General'!$G$12,2),J$4,""),"")</f>
        <v/>
      </c>
      <c r="K11" s="110" t="str">
        <f ca="1">IF(RIGHT(K$4,2)&gt;=RIGHT('Input|General'!$G$11,2),IF(RIGHT(K$4,2)&lt;=RIGHT('Input|General'!$G$12,2),K$4,""),"")</f>
        <v/>
      </c>
      <c r="L11" s="110" t="str">
        <f ca="1">IF(RIGHT(L$4,2)&gt;=RIGHT('Input|General'!$G$11,2),IF(RIGHT(L$4,2)&lt;=RIGHT('Input|General'!$G$12,2),L$4,""),"")</f>
        <v/>
      </c>
      <c r="M11" s="110" t="str">
        <f ca="1">IF(RIGHT(M$4,2)&gt;=RIGHT('Input|General'!$G$11,2),IF(RIGHT(M$4,2)&lt;=RIGHT('Input|General'!$G$12,2),M$4,""),"")</f>
        <v/>
      </c>
      <c r="N11" s="110" t="str">
        <f ca="1">IF(RIGHT(N$4,2)&gt;=RIGHT('Input|General'!$G$11,2),IF(RIGHT(N$4,2)&lt;=RIGHT('Input|General'!$G$12,2),N$4,""),"")</f>
        <v/>
      </c>
      <c r="O11" s="110" t="str">
        <f ca="1">IF(RIGHT(O$4,2)&gt;=RIGHT('Input|General'!$G$11,2),IF(RIGHT(O$4,2)&lt;=RIGHT('Input|General'!$G$12,2),O$4,""),"")</f>
        <v>2019-20</v>
      </c>
      <c r="P11" s="110" t="str">
        <f ca="1">IF(RIGHT(P$4,2)&gt;=RIGHT('Input|General'!$G$11,2),IF(RIGHT(P$4,2)&lt;=RIGHT('Input|General'!$G$12,2),P$4,""),"")</f>
        <v>2020-21</v>
      </c>
      <c r="Q11" s="110" t="str">
        <f ca="1">IF(RIGHT(Q$4,2)&gt;=RIGHT('Input|General'!$G$11,2),IF(RIGHT(Q$4,2)&lt;=RIGHT('Input|General'!$G$12,2),Q$4,""),"")</f>
        <v>2021-22</v>
      </c>
      <c r="R11" s="110" t="str">
        <f ca="1">IF(RIGHT(R$4,2)&gt;=RIGHT('Input|General'!$G$11,2),IF(RIGHT(R$4,2)&lt;=RIGHT('Input|General'!$G$12,2),R$4,""),"")</f>
        <v>2022-23</v>
      </c>
      <c r="S11" s="110" t="str">
        <f ca="1">IF(RIGHT(S$4,2)&gt;=RIGHT('Input|General'!$G$11,2),IF(RIGHT(S$4,2)&lt;=RIGHT('Input|General'!$G$12,2),S$4,""),"")</f>
        <v>2023-24</v>
      </c>
      <c r="U11" s="147" t="s">
        <v>67</v>
      </c>
      <c r="V11" s="148"/>
      <c r="W11" s="148"/>
    </row>
    <row r="12" spans="1:47">
      <c r="C12" s="116" t="s">
        <v>68</v>
      </c>
      <c r="D12" s="34" t="s">
        <v>133</v>
      </c>
      <c r="E12" s="30" t="str">
        <f>$E$8</f>
        <v>$millions</v>
      </c>
      <c r="F12" s="172" t="str">
        <f>$F$8</f>
        <v>2018-19</v>
      </c>
      <c r="H12" s="32"/>
      <c r="I12" s="32"/>
      <c r="J12" s="161">
        <f>IF(J11="",0,'Calc|Opex forecast'!J86*IF('Calc|Opex forecast'!$F$86="nominal",LOOKUP($F12,Nominal_to_Real,'Input|Rate of change'!P$25:P$30),INDEX('Input|Rate of change'!$C$14:$O$21,MATCH('Calc|Opex forecast'!$F$86,'Input|Rate of change'!$C$14:$C$21,0),MATCH('Output|Models'!$F12,'Input|Rate of change'!$C$14:$O$14,0)))*IF('Calc|Opex forecast'!$E$86="$millions",1000000,IF('Output|Models'!B51="$000",1000,1))/IF($E12="$millions",1000000,IF($E12="$000",1000,1)))</f>
        <v>0</v>
      </c>
      <c r="K12" s="161">
        <f ca="1">IF(K11="",0,'Calc|Opex forecast'!K86*IF('Calc|Opex forecast'!$F$86="nominal",LOOKUP($F12,Nominal_to_Real,'Input|Rate of change'!Q$25:Q$30),INDEX('Input|Rate of change'!$C$14:$O$21,MATCH('Calc|Opex forecast'!$F$86,'Input|Rate of change'!$C$14:$C$21,0),MATCH('Output|Models'!$F12,'Input|Rate of change'!$C$14:$O$14,0)))*IF('Calc|Opex forecast'!$E$86="$millions",1000000,IF('Output|Models'!C51="$000",1000,1))/IF($E12="$millions",1000000,IF($E12="$000",1000,1)))</f>
        <v>0</v>
      </c>
      <c r="L12" s="161">
        <f ca="1">IF(L11="",0,'Calc|Opex forecast'!L86*IF('Calc|Opex forecast'!$F$86="nominal",LOOKUP($F12,Nominal_to_Real,'Input|Rate of change'!R$25:R$30),INDEX('Input|Rate of change'!$C$14:$O$21,MATCH('Calc|Opex forecast'!$F$86,'Input|Rate of change'!$C$14:$C$21,0),MATCH('Output|Models'!$F12,'Input|Rate of change'!$C$14:$O$14,0)))*IF('Calc|Opex forecast'!$E$86="$millions",1000000,IF('Output|Models'!D51="$000",1000,1))/IF($E12="$millions",1000000,IF($E12="$000",1000,1)))</f>
        <v>0</v>
      </c>
      <c r="M12" s="161">
        <f ca="1">IF(M11="",0,'Calc|Opex forecast'!M86*IF('Calc|Opex forecast'!$F$86="nominal",LOOKUP($F12,Nominal_to_Real,'Input|Rate of change'!S$25:S$30),INDEX('Input|Rate of change'!$C$14:$O$21,MATCH('Calc|Opex forecast'!$F$86,'Input|Rate of change'!$C$14:$C$21,0),MATCH('Output|Models'!$F12,'Input|Rate of change'!$C$14:$O$14,0)))*IF('Calc|Opex forecast'!$E$86="$millions",1000000,IF('Output|Models'!E51="$000",1000,1))/IF($E12="$millions",1000000,IF($E12="$000",1000,1)))</f>
        <v>0</v>
      </c>
      <c r="N12" s="161">
        <f ca="1">IF(N11="",0,'Calc|Opex forecast'!N86*IF('Calc|Opex forecast'!$F$86="nominal",LOOKUP($F12,Nominal_to_Real,'Input|Rate of change'!T$25:T$30),INDEX('Input|Rate of change'!$C$14:$O$21,MATCH('Calc|Opex forecast'!$F$86,'Input|Rate of change'!$C$14:$C$21,0),MATCH('Output|Models'!$F12,'Input|Rate of change'!$C$14:$O$14,0)))*IF('Calc|Opex forecast'!$E$86="$millions",1000000,IF('Output|Models'!F51="$000",1000,1))/IF($E12="$millions",1000000,IF($E12="$000",1000,1)))</f>
        <v>0</v>
      </c>
      <c r="O12" s="161">
        <f ca="1">IF(O11="",0,'Calc|Opex forecast'!O86*IF('Calc|Opex forecast'!$F$86="nominal",LOOKUP($F12,Nominal_to_Real,'Input|Rate of change'!U$25:U$30),INDEX('Input|Rate of change'!$C$14:$O$21,MATCH('Calc|Opex forecast'!$F$86,'Input|Rate of change'!$C$14:$C$21,0),MATCH('Output|Models'!$F12,'Input|Rate of change'!$C$14:$O$14,0)))*IF('Calc|Opex forecast'!$E$86="$millions",1000000,IF('Output|Models'!G51="$000",1000,1))/IF($E12="$millions",1000000,IF($E12="$000",1000,1)))</f>
        <v>37.959502091750878</v>
      </c>
      <c r="P12" s="161">
        <f ca="1">IF(P11="",0,'Calc|Opex forecast'!P86*IF('Calc|Opex forecast'!$F$86="nominal",LOOKUP($F12,Nominal_to_Real,'Input|Rate of change'!V$25:V$30),INDEX('Input|Rate of change'!$C$14:$O$21,MATCH('Calc|Opex forecast'!$F$86,'Input|Rate of change'!$C$14:$C$21,0),MATCH('Output|Models'!$F12,'Input|Rate of change'!$C$14:$O$14,0)))*IF('Calc|Opex forecast'!$E$86="$millions",1000000,IF('Output|Models'!H51="$000",1000,1))/IF($E12="$millions",1000000,IF($E12="$000",1000,1)))</f>
        <v>38.114199384258875</v>
      </c>
      <c r="Q12" s="161">
        <f ca="1">IF(Q11="",0,'Calc|Opex forecast'!Q86*IF('Calc|Opex forecast'!$F$86="nominal",LOOKUP($F12,Nominal_to_Real,'Input|Rate of change'!W$25:W$30),INDEX('Input|Rate of change'!$C$14:$O$21,MATCH('Calc|Opex forecast'!$F$86,'Input|Rate of change'!$C$14:$C$21,0),MATCH('Output|Models'!$F12,'Input|Rate of change'!$C$14:$O$14,0)))*IF('Calc|Opex forecast'!$E$86="$millions",1000000,IF('Output|Models'!I51="$000",1000,1))/IF($E12="$millions",1000000,IF($E12="$000",1000,1)))</f>
        <v>38.320179814870315</v>
      </c>
      <c r="R12" s="161">
        <f ca="1">IF(R11="",0,'Calc|Opex forecast'!R86*IF('Calc|Opex forecast'!$F$86="nominal",LOOKUP($F12,Nominal_to_Real,'Input|Rate of change'!X$25:X$30),INDEX('Input|Rate of change'!$C$14:$O$21,MATCH('Calc|Opex forecast'!$F$86,'Input|Rate of change'!$C$14:$C$21,0),MATCH('Output|Models'!$F12,'Input|Rate of change'!$C$14:$O$14,0)))*IF('Calc|Opex forecast'!$E$86="$millions",1000000,IF('Output|Models'!J51="$000",1000,1))/IF($E12="$millions",1000000,IF($E12="$000",1000,1)))</f>
        <v>38.476796573251612</v>
      </c>
      <c r="S12" s="161">
        <f ca="1">IF(S11="",0,'Calc|Opex forecast'!S86*IF('Calc|Opex forecast'!$F$86="nominal",LOOKUP($F12,Nominal_to_Real,'Input|Rate of change'!Y$25:Y$30),INDEX('Input|Rate of change'!$C$14:$O$21,MATCH('Calc|Opex forecast'!$F$86,'Input|Rate of change'!$C$14:$C$21,0),MATCH('Output|Models'!$F12,'Input|Rate of change'!$C$14:$O$14,0)))*IF('Calc|Opex forecast'!$E$86="$millions",1000000,IF('Output|Models'!K51="$000",1000,1))/IF($E12="$millions",1000000,IF($E12="$000",1000,1)))</f>
        <v>38.635101820492899</v>
      </c>
      <c r="T12" s="116"/>
      <c r="U12" s="167"/>
    </row>
    <row r="13" spans="1:47">
      <c r="C13" s="116"/>
      <c r="D13" s="34"/>
      <c r="H13" s="32"/>
      <c r="I13" s="32"/>
      <c r="N13" s="152"/>
      <c r="S13" s="136">
        <f ca="1">SUM(O12:S12)</f>
        <v>191.50577968462457</v>
      </c>
    </row>
    <row r="14" spans="1:47">
      <c r="D14" s="34"/>
      <c r="F14" s="172"/>
      <c r="H14" s="32"/>
      <c r="I14" s="32"/>
      <c r="N14" s="152"/>
      <c r="O14" s="173"/>
      <c r="P14" s="173"/>
      <c r="Q14" s="173"/>
      <c r="R14" s="173"/>
      <c r="S14" s="173"/>
    </row>
    <row r="15" spans="1:47">
      <c r="C15" s="70" t="s">
        <v>166</v>
      </c>
      <c r="D15" s="34"/>
      <c r="F15" s="172"/>
      <c r="H15" s="32"/>
      <c r="I15" s="32"/>
      <c r="N15" s="152"/>
      <c r="O15" s="178">
        <v>-4.8917481014278508E-2</v>
      </c>
      <c r="P15" s="178">
        <v>-0.20361477352227553</v>
      </c>
      <c r="Q15" s="178">
        <v>-0.40959520413371564</v>
      </c>
      <c r="R15" s="178">
        <v>-0.5662119625150126</v>
      </c>
      <c r="S15" s="178">
        <v>-0.72451720975629996</v>
      </c>
    </row>
    <row r="16" spans="1:47">
      <c r="C16" s="70" t="s">
        <v>167</v>
      </c>
      <c r="D16" s="34"/>
      <c r="F16" s="172"/>
      <c r="H16" s="32"/>
      <c r="I16" s="32"/>
      <c r="N16" s="152"/>
      <c r="O16" s="178"/>
      <c r="P16" s="178">
        <v>-0.18955292305368243</v>
      </c>
      <c r="Q16" s="178">
        <v>-0.38312929118680472</v>
      </c>
      <c r="R16" s="178">
        <v>-0.76238897653261972</v>
      </c>
      <c r="S16" s="178">
        <v>-1.1378181390564421</v>
      </c>
    </row>
    <row r="17" spans="1:23">
      <c r="C17" s="179" t="s">
        <v>68</v>
      </c>
      <c r="D17" s="34" t="s">
        <v>133</v>
      </c>
      <c r="E17" s="30" t="str">
        <f>$E$8</f>
        <v>$millions</v>
      </c>
      <c r="F17" s="172" t="str">
        <f>$F$8</f>
        <v>2018-19</v>
      </c>
      <c r="G17" s="29"/>
      <c r="H17" s="29"/>
      <c r="I17" s="29"/>
      <c r="O17" s="175">
        <f ca="1">SUM(O12,O15:O16)</f>
        <v>37.910584610736599</v>
      </c>
      <c r="P17" s="175">
        <f t="shared" ref="P17:S17" ca="1" si="0">SUM(P12,P15:P16)</f>
        <v>37.721031687682917</v>
      </c>
      <c r="Q17" s="175">
        <f t="shared" ca="1" si="0"/>
        <v>37.527455319549794</v>
      </c>
      <c r="R17" s="175">
        <f t="shared" ca="1" si="0"/>
        <v>37.148195634203979</v>
      </c>
      <c r="S17" s="175">
        <f t="shared" ca="1" si="0"/>
        <v>36.772766471680157</v>
      </c>
    </row>
    <row r="18" spans="1:23">
      <c r="D18" s="29"/>
      <c r="E18" s="29"/>
      <c r="F18" s="29"/>
      <c r="G18" s="29"/>
      <c r="H18" s="29"/>
      <c r="I18" s="29"/>
    </row>
    <row r="19" spans="1:23" ht="12.75">
      <c r="A19" s="98"/>
      <c r="B19" s="99" t="s">
        <v>21</v>
      </c>
      <c r="C19" s="98"/>
      <c r="D19" s="98"/>
      <c r="E19" s="98"/>
      <c r="F19" s="100"/>
      <c r="G19" s="100"/>
      <c r="H19" s="100"/>
      <c r="I19" s="100"/>
      <c r="J19" s="101"/>
      <c r="K19" s="102"/>
      <c r="L19" s="101"/>
      <c r="M19" s="102"/>
      <c r="N19" s="101"/>
      <c r="O19" s="101"/>
      <c r="P19" s="174"/>
      <c r="Q19" s="174"/>
      <c r="R19" s="174"/>
      <c r="S19" s="174"/>
      <c r="T19" s="101"/>
      <c r="U19" s="101"/>
      <c r="V19" s="102"/>
      <c r="W19" s="102"/>
    </row>
    <row r="20" spans="1:23"/>
    <row r="21" spans="1:23"/>
    <row r="22" spans="1:23">
      <c r="Q22" s="151"/>
      <c r="R22" s="151"/>
      <c r="S22" s="151"/>
    </row>
    <row r="23" spans="1:23"/>
    <row r="24" spans="1:23" s="107" customFormat="1">
      <c r="A24" s="29"/>
      <c r="B24" s="29"/>
      <c r="C24" s="29"/>
      <c r="D24" s="30"/>
      <c r="E24" s="30"/>
      <c r="F24" s="30"/>
      <c r="G24" s="30"/>
      <c r="H24" s="30"/>
      <c r="I24" s="30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idden="1">
      <c r="M25" s="157"/>
      <c r="N25" s="157"/>
      <c r="O25" s="157"/>
      <c r="P25" s="157"/>
      <c r="Q25" s="157"/>
      <c r="R25" s="157"/>
      <c r="S25" s="157"/>
    </row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spans="17:17" hidden="1"/>
    <row r="34" spans="17:17" hidden="1"/>
    <row r="35" spans="17:17" hidden="1"/>
    <row r="36" spans="17:17" hidden="1"/>
    <row r="37" spans="17:17" hidden="1"/>
    <row r="38" spans="17:17" hidden="1"/>
    <row r="39" spans="17:17" hidden="1"/>
    <row r="40" spans="17:17" hidden="1"/>
    <row r="41" spans="17:17" hidden="1"/>
    <row r="44" spans="17:17" hidden="1"/>
    <row r="45" spans="17:17" hidden="1">
      <c r="Q45" s="151"/>
    </row>
    <row r="46" spans="17:17" hidden="1"/>
    <row r="47" spans="17:17" hidden="1"/>
    <row r="48" spans="17:17" hidden="1"/>
    <row r="49"/>
    <row r="50"/>
    <row r="51"/>
    <row r="52"/>
    <row r="53"/>
    <row r="54" hidden="1"/>
    <row r="55" hidden="1"/>
    <row r="56" hidden="1"/>
  </sheetData>
  <mergeCells count="2">
    <mergeCell ref="J3:L3"/>
    <mergeCell ref="N3:S3"/>
  </mergeCells>
  <conditionalFormatting sqref="S1">
    <cfRule type="cellIs" dxfId="20" priority="5" operator="equal">
      <formula>"Check"</formula>
    </cfRule>
    <cfRule type="cellIs" dxfId="19" priority="6" operator="equal">
      <formula>"Ok"</formula>
    </cfRule>
  </conditionalFormatting>
  <conditionalFormatting sqref="V1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J12:S12">
    <cfRule type="cellIs" dxfId="16" priority="4" operator="equal">
      <formula>0</formula>
    </cfRule>
  </conditionalFormatting>
  <dataValidations count="2">
    <dataValidation type="list" allowBlank="1" showInputMessage="1" showErrorMessage="1" sqref="F13">
      <formula1>#REF!</formula1>
    </dataValidation>
    <dataValidation type="list" allowBlank="1" showInputMessage="1" showErrorMessage="1" sqref="F12 F17">
      <formula1>$G$21:$G$27</formula1>
    </dataValidation>
  </dataValidations>
  <hyperlinks>
    <hyperlink ref="J1" location="Index!A1" display="Back to Index"/>
    <hyperlink ref="D12" location="'Calc|Opex forecast'!A1" display="Calc | Opex forecast"/>
    <hyperlink ref="D17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G38" sqref="G38:G4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87</v>
      </c>
      <c r="E10" s="16"/>
      <c r="F10" s="16"/>
      <c r="G10" s="52" t="s">
        <v>12</v>
      </c>
    </row>
    <row r="11" spans="1:47">
      <c r="C11" s="15" t="s">
        <v>13</v>
      </c>
      <c r="D11" s="16" t="s">
        <v>87</v>
      </c>
      <c r="E11" s="16"/>
      <c r="F11" s="16"/>
      <c r="G11" s="52" t="s">
        <v>20</v>
      </c>
    </row>
    <row r="12" spans="1:47">
      <c r="C12" s="15" t="s">
        <v>14</v>
      </c>
      <c r="D12" s="16" t="s">
        <v>87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87</v>
      </c>
      <c r="E14" s="16"/>
      <c r="F14" s="16"/>
      <c r="G14" s="52" t="s">
        <v>31</v>
      </c>
    </row>
    <row r="15" spans="1:47">
      <c r="C15" s="15" t="s">
        <v>8</v>
      </c>
      <c r="D15" s="16" t="s">
        <v>87</v>
      </c>
      <c r="E15" s="16"/>
      <c r="F15" s="16"/>
      <c r="G15" s="52" t="s">
        <v>11</v>
      </c>
    </row>
    <row r="16" spans="1:47">
      <c r="C16" s="15" t="s">
        <v>17</v>
      </c>
      <c r="D16" s="16" t="s">
        <v>87</v>
      </c>
      <c r="E16" s="16"/>
      <c r="F16" s="16"/>
      <c r="G16" s="52" t="s">
        <v>18</v>
      </c>
    </row>
    <row r="17" spans="1:47">
      <c r="C17" s="15" t="s">
        <v>37</v>
      </c>
      <c r="D17" s="16" t="s">
        <v>87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87</v>
      </c>
      <c r="E19" s="16"/>
      <c r="F19" s="16"/>
      <c r="G19" s="52" t="s">
        <v>23</v>
      </c>
    </row>
    <row r="20" spans="1:47">
      <c r="C20" s="15" t="s">
        <v>97</v>
      </c>
      <c r="D20" s="16" t="s">
        <v>87</v>
      </c>
      <c r="E20" s="16"/>
      <c r="F20" s="16"/>
      <c r="G20" s="52" t="s">
        <v>97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129</v>
      </c>
      <c r="D25" s="16" t="s">
        <v>87</v>
      </c>
      <c r="E25" s="16"/>
      <c r="F25" s="16"/>
      <c r="G25" s="52" t="s">
        <v>129</v>
      </c>
      <c r="H25" s="14"/>
    </row>
    <row r="26" spans="1:47">
      <c r="C26" s="15" t="s">
        <v>135</v>
      </c>
      <c r="D26" s="16" t="s">
        <v>87</v>
      </c>
      <c r="E26" s="16"/>
      <c r="F26" s="16"/>
      <c r="G26" s="52" t="s">
        <v>135</v>
      </c>
      <c r="H26" s="14"/>
    </row>
    <row r="27" spans="1:47">
      <c r="C27" s="15" t="s">
        <v>128</v>
      </c>
      <c r="D27" s="16" t="s">
        <v>87</v>
      </c>
      <c r="E27" s="16"/>
      <c r="F27" s="16"/>
      <c r="G27" s="52" t="s">
        <v>128</v>
      </c>
      <c r="H27" s="14"/>
    </row>
    <row r="28" spans="1:47">
      <c r="C28" s="15" t="s">
        <v>89</v>
      </c>
      <c r="D28" s="16" t="s">
        <v>87</v>
      </c>
      <c r="E28" s="16"/>
      <c r="F28" s="16"/>
      <c r="G28" s="52" t="s">
        <v>89</v>
      </c>
    </row>
    <row r="29" spans="1:47">
      <c r="C29" s="15" t="s">
        <v>61</v>
      </c>
      <c r="D29" s="16" t="s">
        <v>87</v>
      </c>
      <c r="E29" s="16"/>
      <c r="F29" s="16"/>
      <c r="G29" s="52" t="s">
        <v>61</v>
      </c>
    </row>
    <row r="30" spans="1:47">
      <c r="C30" s="15" t="s">
        <v>62</v>
      </c>
      <c r="D30" s="16" t="s">
        <v>87</v>
      </c>
      <c r="E30" s="16"/>
      <c r="F30" s="16"/>
      <c r="G30" s="52" t="s">
        <v>62</v>
      </c>
      <c r="T30" s="17"/>
    </row>
    <row r="31" spans="1:47">
      <c r="C31" s="15" t="s">
        <v>63</v>
      </c>
      <c r="D31" s="16" t="s">
        <v>87</v>
      </c>
      <c r="E31" s="16"/>
      <c r="F31" s="16"/>
      <c r="G31" s="52" t="s">
        <v>63</v>
      </c>
      <c r="T31" s="17"/>
    </row>
    <row r="32" spans="1:47">
      <c r="C32" s="15" t="s">
        <v>64</v>
      </c>
      <c r="D32" s="16" t="s">
        <v>87</v>
      </c>
      <c r="E32" s="16"/>
      <c r="F32" s="16"/>
      <c r="G32" s="52" t="s">
        <v>64</v>
      </c>
      <c r="T32" s="17"/>
    </row>
    <row r="33" spans="1:47">
      <c r="C33" s="15" t="s">
        <v>41</v>
      </c>
      <c r="D33" s="16" t="s">
        <v>87</v>
      </c>
      <c r="E33" s="16"/>
      <c r="F33" s="16"/>
      <c r="G33" s="52" t="s">
        <v>41</v>
      </c>
      <c r="T33" s="17"/>
    </row>
    <row r="34" spans="1:47">
      <c r="C34" s="15" t="s">
        <v>42</v>
      </c>
      <c r="D34" s="16" t="s">
        <v>87</v>
      </c>
      <c r="E34" s="16"/>
      <c r="F34" s="16"/>
      <c r="G34" s="52" t="s">
        <v>42</v>
      </c>
      <c r="T34" s="17"/>
    </row>
    <row r="35" spans="1:47">
      <c r="C35" s="15" t="s">
        <v>43</v>
      </c>
      <c r="D35" s="16" t="s">
        <v>87</v>
      </c>
      <c r="E35" s="16"/>
      <c r="F35" s="16"/>
      <c r="G35" s="52" t="s">
        <v>43</v>
      </c>
      <c r="T35" s="17"/>
    </row>
    <row r="36" spans="1:47">
      <c r="C36" s="15" t="s">
        <v>44</v>
      </c>
      <c r="D36" s="16" t="s">
        <v>87</v>
      </c>
      <c r="E36" s="16"/>
      <c r="F36" s="16"/>
      <c r="G36" s="52" t="s">
        <v>44</v>
      </c>
      <c r="T36" s="17"/>
    </row>
    <row r="37" spans="1:47">
      <c r="C37" s="15" t="s">
        <v>45</v>
      </c>
      <c r="D37" s="16" t="s">
        <v>87</v>
      </c>
      <c r="E37" s="16"/>
      <c r="F37" s="16"/>
      <c r="G37" s="52" t="s">
        <v>45</v>
      </c>
      <c r="T37" s="17"/>
    </row>
    <row r="38" spans="1:47">
      <c r="C38" s="15" t="s">
        <v>46</v>
      </c>
      <c r="D38" s="16" t="s">
        <v>87</v>
      </c>
      <c r="E38" s="16"/>
      <c r="F38" s="16"/>
      <c r="G38" s="52" t="s">
        <v>46</v>
      </c>
      <c r="T38" s="17"/>
    </row>
    <row r="39" spans="1:47">
      <c r="C39" s="15" t="s">
        <v>90</v>
      </c>
      <c r="D39" s="16" t="s">
        <v>87</v>
      </c>
      <c r="E39" s="16"/>
      <c r="F39" s="16"/>
      <c r="G39" s="52" t="s">
        <v>90</v>
      </c>
      <c r="T39" s="17"/>
    </row>
    <row r="40" spans="1:47">
      <c r="C40" s="15" t="s">
        <v>91</v>
      </c>
      <c r="D40" s="16" t="s">
        <v>87</v>
      </c>
      <c r="E40" s="16"/>
      <c r="F40" s="16"/>
      <c r="G40" s="52" t="s">
        <v>91</v>
      </c>
      <c r="T40" s="17"/>
    </row>
    <row r="41" spans="1:47">
      <c r="C41" s="15" t="s">
        <v>92</v>
      </c>
      <c r="D41" s="16" t="s">
        <v>87</v>
      </c>
      <c r="E41" s="16"/>
      <c r="F41" s="16"/>
      <c r="G41" s="52" t="s">
        <v>92</v>
      </c>
      <c r="T41" s="17"/>
    </row>
    <row r="42" spans="1:47">
      <c r="C42" s="15" t="s">
        <v>93</v>
      </c>
      <c r="D42" s="16" t="s">
        <v>87</v>
      </c>
      <c r="E42" s="16"/>
      <c r="F42" s="16"/>
      <c r="G42" s="52" t="s">
        <v>93</v>
      </c>
      <c r="T42" s="17"/>
    </row>
    <row r="43" spans="1:47">
      <c r="C43" s="15"/>
    </row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J11" sqref="J1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6EDAA352BDFE404691AAC70C6C98696D" ma:contentTypeVersion="21" ma:contentTypeDescription="" ma:contentTypeScope="" ma:versionID="6dc0624ff51cb64958d03cb352b8db79">
  <xsd:schema xmlns:xsd="http://www.w3.org/2001/XMLSchema" xmlns:xs="http://www.w3.org/2001/XMLSchema" xmlns:p="http://schemas.microsoft.com/office/2006/metadata/properties" xmlns:ns1="8f493e50-f4fa-4672-bec5-6587e791f720" xmlns:ns3="7946d86b-89a8-4e64-b1e9-2d151cd4c610" xmlns:ns4="http://schemas.microsoft.com/sharepoint/v4" targetNamespace="http://schemas.microsoft.com/office/2006/metadata/properties" ma:root="true" ma:fieldsID="7a6c3119682fb44cdd91d5b2c23e2ed4" ns1:_="" ns3:_="" ns4:_="">
    <xsd:import namespace="8f493e50-f4fa-4672-bec5-6587e791f720"/>
    <xsd:import namespace="7946d86b-89a8-4e64-b1e9-2d151cd4c61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 minOccurs="0"/>
                <xsd:element ref="ns1:Document_x0020_Category" minOccurs="0"/>
                <xsd:element ref="ns1:Published_x0020_Externally" minOccurs="0"/>
                <xsd:element ref="ns3:x7iz" minOccurs="0"/>
                <xsd:element ref="ns4:IconOverlay" minOccurs="0"/>
                <xsd:element ref="ns1:m5487619c60d4cdf829961d62f0a4c8b" minOccurs="0"/>
                <xsd:element ref="ns1:TaxCatchAll" minOccurs="0"/>
                <xsd:element ref="ns1:TaxCatchAllLabel" minOccurs="0"/>
                <xsd:element ref="ns1:d515513357cb4f278bf18cadf524fc2b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N/A"/>
        </xsd:restriction>
      </xsd:simpleType>
    </xsd:element>
    <xsd:element name="Attachment_x0020_Category" ma:index="1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12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m5487619c60d4cdf829961d62f0a4c8b" ma:index="18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515513357cb4f278bf18cadf524fc2b" ma:index="23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6d86b-89a8-4e64-b1e9-2d151cd4c610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x7iz" ma:index="13" nillable="true" ma:displayName="Person or Group" ma:list="UserInfo" ma:internalName="x7i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FBS - Finance &amp; Business Services</Business_x0020_Groups>
    <TaxCatchAll xmlns="8f493e50-f4fa-4672-bec5-6587e791f720">
      <Value>65</Value>
      <Value>59</Value>
      <Value>16</Value>
    </TaxCatchAll>
    <Published_x0020_Externally xmlns="8f493e50-f4fa-4672-bec5-6587e791f720">Yes</Published_x0020_Externally>
    <IconOverlay xmlns="http://schemas.microsoft.com/sharepoint/v4" xsi:nil="true"/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x7iz xmlns="7946d86b-89a8-4e64-b1e9-2d151cd4c610">
      <UserInfo>
        <DisplayName>Shaun Leaman</DisplayName>
        <AccountId>2679</AccountId>
        <AccountType/>
      </UserInfo>
    </x7iz>
    <Confidential1 xmlns="8f493e50-f4fa-4672-bec5-6587e791f720">No</Confidential1>
    <Document_x0020_Status xmlns="7946d86b-89a8-4e64-b1e9-2d151cd4c610">Final</Document_x0020_Status>
    <Attachment_x0020_ID xmlns="8f493e50-f4fa-4672-bec5-6587e791f720">TN097</Attachment_x0020_ID>
    <Record_x0020_Number xmlns="8f493e50-f4fa-4672-bec5-6587e791f720">R0000919433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A01BC2B5-2C03-4727-B6DC-7BE1CE69DCE4}"/>
</file>

<file path=customXml/itemProps2.xml><?xml version="1.0" encoding="utf-8"?>
<ds:datastoreItem xmlns:ds="http://schemas.openxmlformats.org/officeDocument/2006/customXml" ds:itemID="{85E864AB-6989-44D1-900E-1E9DFD15C7E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805131-2CF9-41B5-A5A3-D087174FD8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77285D-F7F3-49E0-9EF0-183AB735F525}">
  <ds:schemaRefs>
    <ds:schemaRef ds:uri="http://www.w3.org/XML/1998/namespace"/>
    <ds:schemaRef ds:uri="http://schemas.microsoft.com/office/2006/documentManagement/types"/>
    <ds:schemaRef ds:uri="http://purl.org/dc/terms/"/>
    <ds:schemaRef ds:uri="7946d86b-89a8-4e64-b1e9-2d151cd4c610"/>
    <ds:schemaRef ds:uri="http://schemas.microsoft.com/office/infopath/2007/PartnerControls"/>
    <ds:schemaRef ds:uri="http://purl.org/dc/elements/1.1/"/>
    <ds:schemaRef ds:uri="8f493e50-f4fa-4672-bec5-6587e791f720"/>
    <ds:schemaRef ds:uri="http://purl.org/dc/dcmitype/"/>
    <ds:schemaRef ds:uri="http://schemas.openxmlformats.org/package/2006/metadata/core-properties"/>
    <ds:schemaRef ds:uri="http://schemas.microsoft.com/sharepoint/v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Operating Expenditure Model</dc:title>
  <dc:creator>Holder, Toby</dc:creator>
  <cp:lastModifiedBy>Jo Arnol</cp:lastModifiedBy>
  <dcterms:created xsi:type="dcterms:W3CDTF">2016-09-19T05:06:53Z</dcterms:created>
  <dcterms:modified xsi:type="dcterms:W3CDTF">2018-01-04T00:20:13Z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0x01010001E02CCC3410964E993CCD35D068A93E0204006EDAA352BDFE404691AAC70C6C98696D</vt:lpwstr>
  </property>
  <property fmtid="{D5CDD505-2E9C-101B-9397-08002B2CF9AE}" pid="3" name="Determination Category">
    <vt:lpwstr>59;#Models and Pricing Tariffs|2d578944-a888-48cf-9157-a3f07df87eae</vt:lpwstr>
  </property>
  <property fmtid="{D5CDD505-2E9C-101B-9397-08002B2CF9AE}" pid="4" name="Determination Activity">
    <vt:lpwstr>16;#Revenue Proposal|f3980111-814c-44b7-9aa4-fe076fe6d80d</vt:lpwstr>
  </property>
  <property fmtid="{D5CDD505-2E9C-101B-9397-08002B2CF9AE}" pid="5" name="Network">
    <vt:lpwstr>65;#Transmission|057fc33d-fae5-41b9-87e5-dc1e3aa504ba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WebId">
    <vt:lpwstr>{5b808450-c406-4cde-b139-75118b03b2f9}</vt:lpwstr>
  </property>
  <property fmtid="{D5CDD505-2E9C-101B-9397-08002B2CF9AE}" pid="8" name="RecordPoint_ActiveItemSiteId">
    <vt:lpwstr>{813152b7-69c2-464f-b7a1-05afac6a8a9a}</vt:lpwstr>
  </property>
  <property fmtid="{D5CDD505-2E9C-101B-9397-08002B2CF9AE}" pid="9" name="RecordPoint_ActiveItemListId">
    <vt:lpwstr>{7946d86b-89a8-4e64-b1e9-2d151cd4c610}</vt:lpwstr>
  </property>
  <property fmtid="{D5CDD505-2E9C-101B-9397-08002B2CF9AE}" pid="10" name="RecordPoint_ActiveItemUniqueId">
    <vt:lpwstr>{10032d6e-348f-4e79-adf4-4b8c33b4d5fc}</vt:lpwstr>
  </property>
  <property fmtid="{D5CDD505-2E9C-101B-9397-08002B2CF9AE}" pid="11" name="RecordPoint_RecordNumberSubmitted">
    <vt:lpwstr>R0000919433</vt:lpwstr>
  </property>
  <property fmtid="{D5CDD505-2E9C-101B-9397-08002B2CF9AE}" pid="12" name="RecordPoint_SubmissionCompleted">
    <vt:lpwstr>2018-01-29T18:40:39.9915064+11:00</vt:lpwstr>
  </property>
  <property fmtid="{D5CDD505-2E9C-101B-9397-08002B2CF9AE}" pid="13" name="rnby">
    <vt:lpwstr/>
  </property>
  <property fmtid="{D5CDD505-2E9C-101B-9397-08002B2CF9AE}" pid="14" name="k1hl">
    <vt:lpwstr/>
  </property>
</Properties>
</file>